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4\"/>
    </mc:Choice>
  </mc:AlternateContent>
  <bookViews>
    <workbookView xWindow="0" yWindow="0" windowWidth="19200" windowHeight="11205"/>
  </bookViews>
  <sheets>
    <sheet name="dochod gaz" sheetId="2" r:id="rId1"/>
    <sheet name="mediana dochodu" sheetId="3" r:id="rId2"/>
    <sheet name="demografia gminy" sheetId="4" r:id="rId3"/>
    <sheet name="GUS_tabl_1" sheetId="5" state="veryHidden" r:id="rId4"/>
    <sheet name="GUS_tabl_2" sheetId="6" state="veryHidden" r:id="rId5"/>
    <sheet name="GUS_tabl_21" sheetId="7" state="very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'dochod gaz'!#REF!</definedName>
    <definedName name="_xlnm._FilterDatabase" localSheetId="4" hidden="1">GUS_tabl_2!$B$1:$B$469</definedName>
    <definedName name="_xlnm._FilterDatabase" localSheetId="5" hidden="1">GUS_tabl_21!$A$1:$A$4887</definedName>
    <definedName name="JM_02">"[%]"</definedName>
    <definedName name="JM_04">"[szt.]"</definedName>
    <definedName name="JM_11">"[zł/m³]"</definedName>
    <definedName name="JM_12">"[m³]"</definedName>
    <definedName name="JM_13">"[m³/szt.]"</definedName>
    <definedName name="JM_14">"[zł]"</definedName>
    <definedName name="JM_15">"[zł/szt.]"</definedName>
    <definedName name="_xlnm.Print_Area" localSheetId="2">'demografia gminy'!$B$1:$I$2956</definedName>
    <definedName name="_xlnm.Print_Area" localSheetId="0">'dochod gaz'!$B$47:$AI$54</definedName>
    <definedName name="_xlnm.Print_Area" localSheetId="1">'mediana dochodu'!$B$1:$H$19</definedName>
    <definedName name="Rok_DSP">2019</definedName>
    <definedName name="Rok_ZPR">2024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2" l="1"/>
  <c r="N43" i="2"/>
  <c r="O43" i="2" s="1"/>
  <c r="M44" i="2"/>
  <c r="N44" i="2" s="1"/>
  <c r="O44" i="2" s="1"/>
  <c r="R5" i="2"/>
  <c r="Q5" i="2"/>
  <c r="P5" i="2"/>
  <c r="O5" i="2"/>
  <c r="N5" i="2"/>
  <c r="M5" i="2"/>
  <c r="L5" i="2"/>
  <c r="K5" i="2"/>
  <c r="Q11" i="2"/>
  <c r="R4" i="2"/>
  <c r="R3" i="2"/>
  <c r="Q4" i="2"/>
  <c r="P4" i="2"/>
  <c r="O4" i="2"/>
  <c r="N4" i="2"/>
  <c r="M4" i="2"/>
  <c r="L4" i="2"/>
  <c r="K4" i="2"/>
  <c r="D71" i="2" l="1"/>
  <c r="D65" i="2"/>
  <c r="D59" i="2"/>
  <c r="AG52" i="2"/>
  <c r="AF52" i="2"/>
  <c r="AC52" i="2"/>
  <c r="AB52" i="2"/>
  <c r="Y52" i="2"/>
  <c r="X52" i="2"/>
  <c r="U52" i="2"/>
  <c r="T52" i="2"/>
  <c r="Q52" i="2"/>
  <c r="P52" i="2"/>
  <c r="M52" i="2"/>
  <c r="L52" i="2"/>
  <c r="I52" i="2"/>
  <c r="H52" i="2"/>
  <c r="E52" i="2"/>
  <c r="D52" i="2"/>
  <c r="M100" i="2" l="1"/>
  <c r="L100" i="2"/>
  <c r="K100" i="2"/>
  <c r="J100" i="2"/>
  <c r="I100" i="2"/>
  <c r="M94" i="2"/>
  <c r="L94" i="2"/>
  <c r="K94" i="2"/>
  <c r="J94" i="2"/>
  <c r="I94" i="2"/>
  <c r="M88" i="2"/>
  <c r="L88" i="2"/>
  <c r="K88" i="2"/>
  <c r="J88" i="2"/>
  <c r="I88" i="2"/>
  <c r="M82" i="2"/>
  <c r="L82" i="2"/>
  <c r="K82" i="2"/>
  <c r="J82" i="2"/>
  <c r="I82" i="2"/>
  <c r="M76" i="2"/>
  <c r="L76" i="2"/>
  <c r="K76" i="2"/>
  <c r="J76" i="2"/>
  <c r="I76" i="2"/>
  <c r="M70" i="2"/>
  <c r="L70" i="2"/>
  <c r="K70" i="2"/>
  <c r="J70" i="2"/>
  <c r="I70" i="2"/>
  <c r="M58" i="2"/>
  <c r="L58" i="2"/>
  <c r="K58" i="2"/>
  <c r="J58" i="2"/>
  <c r="I58" i="2"/>
  <c r="M64" i="2"/>
  <c r="L64" i="2"/>
  <c r="K64" i="2"/>
  <c r="J64" i="2"/>
  <c r="I64" i="2"/>
  <c r="AF51" i="2"/>
  <c r="AB51" i="2"/>
  <c r="X51" i="2"/>
  <c r="T51" i="2"/>
  <c r="P51" i="2"/>
  <c r="L51" i="2"/>
  <c r="H51" i="2"/>
  <c r="D51" i="2"/>
  <c r="P100" i="2"/>
  <c r="O100" i="2"/>
  <c r="N100" i="2"/>
  <c r="P94" i="2"/>
  <c r="O94" i="2"/>
  <c r="N94" i="2"/>
  <c r="P88" i="2"/>
  <c r="O88" i="2"/>
  <c r="N88" i="2"/>
  <c r="P82" i="2"/>
  <c r="O82" i="2"/>
  <c r="N82" i="2"/>
  <c r="P76" i="2"/>
  <c r="O76" i="2"/>
  <c r="N76" i="2"/>
  <c r="P70" i="2"/>
  <c r="O70" i="2"/>
  <c r="N70" i="2"/>
  <c r="P64" i="2"/>
  <c r="O64" i="2"/>
  <c r="N64" i="2"/>
  <c r="P58" i="2"/>
  <c r="O58" i="2"/>
  <c r="N58" i="2"/>
  <c r="G5" i="2"/>
  <c r="G4" i="2"/>
  <c r="G51" i="2"/>
  <c r="F51" i="2"/>
  <c r="K51" i="2"/>
  <c r="J51" i="2"/>
  <c r="O51" i="2"/>
  <c r="N51" i="2"/>
  <c r="S51" i="2"/>
  <c r="R51" i="2"/>
  <c r="W51" i="2"/>
  <c r="V51" i="2"/>
  <c r="AA51" i="2"/>
  <c r="Z51" i="2"/>
  <c r="AD51" i="2"/>
  <c r="AE51" i="2"/>
  <c r="AH51" i="2"/>
  <c r="AI51" i="2"/>
  <c r="AG51" i="2"/>
  <c r="AC51" i="2"/>
  <c r="Y51" i="2"/>
  <c r="U51" i="2"/>
  <c r="Q51" i="2"/>
  <c r="M51" i="2"/>
  <c r="I51" i="2"/>
  <c r="E51" i="2"/>
  <c r="F100" i="2"/>
  <c r="E100" i="2"/>
  <c r="D100" i="2"/>
  <c r="F94" i="2"/>
  <c r="E94" i="2"/>
  <c r="D94" i="2"/>
  <c r="F88" i="2"/>
  <c r="E88" i="2"/>
  <c r="D88" i="2"/>
  <c r="F82" i="2"/>
  <c r="E82" i="2"/>
  <c r="D82" i="2"/>
  <c r="F70" i="2"/>
  <c r="E70" i="2"/>
  <c r="D70" i="2"/>
  <c r="F64" i="2"/>
  <c r="E64" i="2"/>
  <c r="D64" i="2"/>
  <c r="F58" i="2"/>
  <c r="E58" i="2"/>
  <c r="D58" i="2"/>
  <c r="F76" i="2"/>
  <c r="E76" i="2"/>
  <c r="D76" i="2"/>
  <c r="P3" i="2" l="1"/>
  <c r="Q3" i="2" s="1"/>
  <c r="O11" i="2"/>
  <c r="P11" i="2" s="1"/>
  <c r="L44" i="2" l="1"/>
  <c r="K44" i="2"/>
  <c r="J44" i="2"/>
  <c r="I44" i="2"/>
  <c r="H44" i="2"/>
  <c r="G44" i="2"/>
  <c r="F44" i="2"/>
  <c r="L43" i="2"/>
  <c r="K43" i="2"/>
  <c r="J43" i="2"/>
  <c r="I43" i="2"/>
  <c r="H43" i="2"/>
  <c r="G43" i="2"/>
  <c r="F43" i="2"/>
  <c r="E43" i="2"/>
  <c r="N11" i="2"/>
  <c r="M11" i="2"/>
  <c r="L11" i="2"/>
  <c r="K11" i="2"/>
  <c r="J11" i="2"/>
  <c r="I11" i="2"/>
  <c r="H11" i="2"/>
  <c r="G11" i="2"/>
  <c r="H3" i="2"/>
  <c r="B1" i="4"/>
  <c r="B1" i="3"/>
  <c r="A2950" i="4"/>
  <c r="A2949" i="4"/>
  <c r="A2948" i="4"/>
  <c r="A2947" i="4"/>
  <c r="A2946" i="4"/>
  <c r="A2944" i="4"/>
  <c r="A2943" i="4"/>
  <c r="A2942" i="4"/>
  <c r="A2941" i="4"/>
  <c r="A2940" i="4"/>
  <c r="A2939" i="4"/>
  <c r="A2937" i="4"/>
  <c r="A2936" i="4"/>
  <c r="A2935" i="4"/>
  <c r="A2934" i="4"/>
  <c r="A2933" i="4"/>
  <c r="A2932" i="4"/>
  <c r="A2930" i="4"/>
  <c r="A2929" i="4"/>
  <c r="A2928" i="4"/>
  <c r="A2927" i="4"/>
  <c r="A2926" i="4"/>
  <c r="A2925" i="4"/>
  <c r="A2924" i="4"/>
  <c r="A2923" i="4"/>
  <c r="A2922" i="4"/>
  <c r="A2921" i="4"/>
  <c r="A2919" i="4"/>
  <c r="A2918" i="4"/>
  <c r="A2917" i="4"/>
  <c r="A2916" i="4"/>
  <c r="A2915" i="4"/>
  <c r="A2914" i="4"/>
  <c r="A2912" i="4"/>
  <c r="A2911" i="4"/>
  <c r="A2910" i="4"/>
  <c r="A2909" i="4"/>
  <c r="A2908" i="4"/>
  <c r="A2907" i="4"/>
  <c r="A2905" i="4"/>
  <c r="A2904" i="4"/>
  <c r="A2903" i="4"/>
  <c r="A2902" i="4"/>
  <c r="A2900" i="4"/>
  <c r="A2899" i="4"/>
  <c r="A2898" i="4"/>
  <c r="A2897" i="4"/>
  <c r="A2896" i="4"/>
  <c r="A2894" i="4"/>
  <c r="A2893" i="4"/>
  <c r="A2892" i="4"/>
  <c r="A2891" i="4"/>
  <c r="A2890" i="4"/>
  <c r="A2888" i="4"/>
  <c r="A2887" i="4"/>
  <c r="A2886" i="4"/>
  <c r="A2885" i="4"/>
  <c r="A2884" i="4"/>
  <c r="A2883" i="4"/>
  <c r="A2882" i="4"/>
  <c r="A2881" i="4"/>
  <c r="A2879" i="4"/>
  <c r="A2878" i="4"/>
  <c r="A2877" i="4"/>
  <c r="A2876" i="4"/>
  <c r="A2875" i="4"/>
  <c r="A2874" i="4"/>
  <c r="A2873" i="4"/>
  <c r="A2871" i="4"/>
  <c r="A2870" i="4"/>
  <c r="A2869" i="4"/>
  <c r="A2868" i="4"/>
  <c r="A2867" i="4"/>
  <c r="A2866" i="4"/>
  <c r="A2864" i="4"/>
  <c r="A2863" i="4"/>
  <c r="A2862" i="4"/>
  <c r="A2861" i="4"/>
  <c r="A2860" i="4"/>
  <c r="A2859" i="4"/>
  <c r="A2858" i="4"/>
  <c r="A2857" i="4"/>
  <c r="A2856" i="4"/>
  <c r="A2854" i="4"/>
  <c r="A2853" i="4"/>
  <c r="A2852" i="4"/>
  <c r="A2851" i="4"/>
  <c r="A2850" i="4"/>
  <c r="A2849" i="4"/>
  <c r="A2847" i="4"/>
  <c r="A2846" i="4"/>
  <c r="A2845" i="4"/>
  <c r="A2844" i="4"/>
  <c r="A2843" i="4"/>
  <c r="A2842" i="4"/>
  <c r="A2839" i="4"/>
  <c r="A2838" i="4"/>
  <c r="A2837" i="4"/>
  <c r="A2836" i="4"/>
  <c r="A2835" i="4"/>
  <c r="A2833" i="4"/>
  <c r="A2832" i="4"/>
  <c r="A2831" i="4"/>
  <c r="A2830" i="4"/>
  <c r="A2829" i="4"/>
  <c r="A2828" i="4"/>
  <c r="A2826" i="4"/>
  <c r="A2825" i="4"/>
  <c r="A2824" i="4"/>
  <c r="A2823" i="4"/>
  <c r="A2803" i="4"/>
  <c r="A2802" i="4"/>
  <c r="A2801" i="4"/>
  <c r="A2800" i="4"/>
  <c r="A2799" i="4"/>
  <c r="A2798" i="4"/>
  <c r="A2797" i="4"/>
  <c r="A2796" i="4"/>
  <c r="A2794" i="4"/>
  <c r="A2793" i="4"/>
  <c r="A2792" i="4"/>
  <c r="A2791" i="4"/>
  <c r="A2790" i="4"/>
  <c r="A2788" i="4"/>
  <c r="A2787" i="4"/>
  <c r="A2786" i="4"/>
  <c r="A2784" i="4"/>
  <c r="A2783" i="4"/>
  <c r="A2782" i="4"/>
  <c r="A2781" i="4"/>
  <c r="A2780" i="4"/>
  <c r="A2779" i="4"/>
  <c r="A2778" i="4"/>
  <c r="A2776" i="4"/>
  <c r="A2775" i="4"/>
  <c r="A2774" i="4"/>
  <c r="A2773" i="4"/>
  <c r="A2772" i="4"/>
  <c r="A2771" i="4"/>
  <c r="A2770" i="4"/>
  <c r="A2769" i="4"/>
  <c r="A2768" i="4"/>
  <c r="A2766" i="4"/>
  <c r="A2765" i="4"/>
  <c r="A2764" i="4"/>
  <c r="A2763" i="4"/>
  <c r="A2761" i="4"/>
  <c r="A2760" i="4"/>
  <c r="A2759" i="4"/>
  <c r="A2758" i="4"/>
  <c r="A2757" i="4"/>
  <c r="A2755" i="4"/>
  <c r="A2754" i="4"/>
  <c r="A2753" i="4"/>
  <c r="A2752" i="4"/>
  <c r="A2751" i="4"/>
  <c r="A2750" i="4"/>
  <c r="A2749" i="4"/>
  <c r="A2748" i="4"/>
  <c r="A2746" i="4"/>
  <c r="A2745" i="4"/>
  <c r="A2744" i="4"/>
  <c r="A2743" i="4"/>
  <c r="A2742" i="4"/>
  <c r="A2741" i="4"/>
  <c r="A2740" i="4"/>
  <c r="A2739" i="4"/>
  <c r="A2737" i="4"/>
  <c r="A2736" i="4"/>
  <c r="A2735" i="4"/>
  <c r="A2734" i="4"/>
  <c r="A2733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3" i="4"/>
  <c r="A2712" i="4"/>
  <c r="A2711" i="4"/>
  <c r="A2710" i="4"/>
  <c r="A2709" i="4"/>
  <c r="A2708" i="4"/>
  <c r="A2706" i="4"/>
  <c r="A2705" i="4"/>
  <c r="A2704" i="4"/>
  <c r="A2703" i="4"/>
  <c r="A2702" i="4"/>
  <c r="A2701" i="4"/>
  <c r="A2700" i="4"/>
  <c r="A2699" i="4"/>
  <c r="A2698" i="4"/>
  <c r="A2696" i="4"/>
  <c r="A2695" i="4"/>
  <c r="A2694" i="4"/>
  <c r="A2693" i="4"/>
  <c r="A2692" i="4"/>
  <c r="A2691" i="4"/>
  <c r="A2690" i="4"/>
  <c r="A2688" i="4"/>
  <c r="A2687" i="4"/>
  <c r="A2686" i="4"/>
  <c r="A2685" i="4"/>
  <c r="A2684" i="4"/>
  <c r="A2683" i="4"/>
  <c r="A2682" i="4"/>
  <c r="A2681" i="4"/>
  <c r="A2679" i="4"/>
  <c r="A2678" i="4"/>
  <c r="A2677" i="4"/>
  <c r="A2675" i="4"/>
  <c r="A2674" i="4"/>
  <c r="A2673" i="4"/>
  <c r="A2672" i="4"/>
  <c r="A2671" i="4"/>
  <c r="A2670" i="4"/>
  <c r="A2668" i="4"/>
  <c r="A2667" i="4"/>
  <c r="A2666" i="4"/>
  <c r="A2665" i="4"/>
  <c r="A2663" i="4"/>
  <c r="A2662" i="4"/>
  <c r="A2661" i="4"/>
  <c r="A2660" i="4"/>
  <c r="A2659" i="4"/>
  <c r="A2658" i="4"/>
  <c r="A2657" i="4"/>
  <c r="A2655" i="4"/>
  <c r="A2654" i="4"/>
  <c r="A2653" i="4"/>
  <c r="A2652" i="4"/>
  <c r="A2651" i="4"/>
  <c r="A2650" i="4"/>
  <c r="A2648" i="4"/>
  <c r="A2647" i="4"/>
  <c r="A2646" i="4"/>
  <c r="A2645" i="4"/>
  <c r="A2644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7" i="4"/>
  <c r="A2626" i="4"/>
  <c r="A2625" i="4"/>
  <c r="A2624" i="4"/>
  <c r="A2623" i="4"/>
  <c r="A2622" i="4"/>
  <c r="A2621" i="4"/>
  <c r="A2620" i="4"/>
  <c r="A2619" i="4"/>
  <c r="A2618" i="4"/>
  <c r="A2617" i="4"/>
  <c r="A2615" i="4"/>
  <c r="A2614" i="4"/>
  <c r="A2613" i="4"/>
  <c r="A2612" i="4"/>
  <c r="A2611" i="4"/>
  <c r="A2610" i="4"/>
  <c r="A2609" i="4"/>
  <c r="A2607" i="4"/>
  <c r="A2606" i="4"/>
  <c r="A2605" i="4"/>
  <c r="A2604" i="4"/>
  <c r="A2603" i="4"/>
  <c r="A2602" i="4"/>
  <c r="A2601" i="4"/>
  <c r="A2600" i="4"/>
  <c r="A2599" i="4"/>
  <c r="A2598" i="4"/>
  <c r="A2597" i="4"/>
  <c r="A2595" i="4"/>
  <c r="A2594" i="4"/>
  <c r="A2593" i="4"/>
  <c r="A2592" i="4"/>
  <c r="A2590" i="4"/>
  <c r="A2589" i="4"/>
  <c r="A2588" i="4"/>
  <c r="A2587" i="4"/>
  <c r="A2586" i="4"/>
  <c r="A2584" i="4"/>
  <c r="A2583" i="4"/>
  <c r="A2582" i="4"/>
  <c r="A2581" i="4"/>
  <c r="A2580" i="4"/>
  <c r="A2579" i="4"/>
  <c r="A2578" i="4"/>
  <c r="A2576" i="4"/>
  <c r="A2575" i="4"/>
  <c r="A2574" i="4"/>
  <c r="A2573" i="4"/>
  <c r="A2572" i="4"/>
  <c r="A2571" i="4"/>
  <c r="A2570" i="4"/>
  <c r="A2569" i="4"/>
  <c r="A2568" i="4"/>
  <c r="A2567" i="4"/>
  <c r="A2565" i="4"/>
  <c r="A2564" i="4"/>
  <c r="A2563" i="4"/>
  <c r="A2562" i="4"/>
  <c r="A2561" i="4"/>
  <c r="A2560" i="4"/>
  <c r="A2559" i="4"/>
  <c r="A2558" i="4"/>
  <c r="A2556" i="4"/>
  <c r="A2555" i="4"/>
  <c r="A2554" i="4"/>
  <c r="A2553" i="4"/>
  <c r="A2552" i="4"/>
  <c r="A2540" i="4"/>
  <c r="A2539" i="4"/>
  <c r="A2538" i="4"/>
  <c r="A2536" i="4"/>
  <c r="A2535" i="4"/>
  <c r="A2534" i="4"/>
  <c r="A2533" i="4"/>
  <c r="A2532" i="4"/>
  <c r="A2531" i="4"/>
  <c r="A2530" i="4"/>
  <c r="A2529" i="4"/>
  <c r="A2527" i="4"/>
  <c r="A2526" i="4"/>
  <c r="A2525" i="4"/>
  <c r="A2524" i="4"/>
  <c r="A2522" i="4"/>
  <c r="A2521" i="4"/>
  <c r="A2520" i="4"/>
  <c r="A2519" i="4"/>
  <c r="A2518" i="4"/>
  <c r="A2517" i="4"/>
  <c r="A2516" i="4"/>
  <c r="A2515" i="4"/>
  <c r="A2514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499" i="4"/>
  <c r="A2498" i="4"/>
  <c r="A2497" i="4"/>
  <c r="A2496" i="4"/>
  <c r="A2494" i="4"/>
  <c r="A2493" i="4"/>
  <c r="A2492" i="4"/>
  <c r="A2491" i="4"/>
  <c r="A2490" i="4"/>
  <c r="A2488" i="4"/>
  <c r="A2487" i="4"/>
  <c r="A2486" i="4"/>
  <c r="A2485" i="4"/>
  <c r="A2483" i="4"/>
  <c r="A2482" i="4"/>
  <c r="A2481" i="4"/>
  <c r="A2480" i="4"/>
  <c r="A2479" i="4"/>
  <c r="A2477" i="4"/>
  <c r="A2476" i="4"/>
  <c r="A2475" i="4"/>
  <c r="A2474" i="4"/>
  <c r="A2473" i="4"/>
  <c r="A2471" i="4"/>
  <c r="A2470" i="4"/>
  <c r="A2469" i="4"/>
  <c r="A2468" i="4"/>
  <c r="A2467" i="4"/>
  <c r="A2466" i="4"/>
  <c r="A2464" i="4"/>
  <c r="A2463" i="4"/>
  <c r="A2462" i="4"/>
  <c r="A2461" i="4"/>
  <c r="A2460" i="4"/>
  <c r="A2459" i="4"/>
  <c r="A2458" i="4"/>
  <c r="A2456" i="4"/>
  <c r="A2455" i="4"/>
  <c r="A2454" i="4"/>
  <c r="A2452" i="4"/>
  <c r="A2451" i="4"/>
  <c r="A2450" i="4"/>
  <c r="A2449" i="4"/>
  <c r="A2448" i="4"/>
  <c r="A2447" i="4"/>
  <c r="A2445" i="4"/>
  <c r="A2444" i="4"/>
  <c r="A2443" i="4"/>
  <c r="A2442" i="4"/>
  <c r="A2441" i="4"/>
  <c r="A2439" i="4"/>
  <c r="A2438" i="4"/>
  <c r="A2437" i="4"/>
  <c r="A2436" i="4"/>
  <c r="A2435" i="4"/>
  <c r="A2434" i="4"/>
  <c r="A2433" i="4"/>
  <c r="A2432" i="4"/>
  <c r="A2431" i="4"/>
  <c r="A2429" i="4"/>
  <c r="A2428" i="4"/>
  <c r="A2427" i="4"/>
  <c r="A2426" i="4"/>
  <c r="A2425" i="4"/>
  <c r="A2424" i="4"/>
  <c r="A2422" i="4"/>
  <c r="A2421" i="4"/>
  <c r="A2420" i="4"/>
  <c r="A2419" i="4"/>
  <c r="A2418" i="4"/>
  <c r="A2417" i="4"/>
  <c r="A2416" i="4"/>
  <c r="A2414" i="4"/>
  <c r="A2413" i="4"/>
  <c r="A2412" i="4"/>
  <c r="A2411" i="4"/>
  <c r="A2410" i="4"/>
  <c r="A2409" i="4"/>
  <c r="A2397" i="4"/>
  <c r="A2396" i="4"/>
  <c r="A2395" i="4"/>
  <c r="A2394" i="4"/>
  <c r="A2393" i="4"/>
  <c r="A2392" i="4"/>
  <c r="A2390" i="4"/>
  <c r="A2389" i="4"/>
  <c r="A2388" i="4"/>
  <c r="A2387" i="4"/>
  <c r="A2386" i="4"/>
  <c r="A2385" i="4"/>
  <c r="A2384" i="4"/>
  <c r="A2383" i="4"/>
  <c r="A2381" i="4"/>
  <c r="A2380" i="4"/>
  <c r="A2379" i="4"/>
  <c r="A2378" i="4"/>
  <c r="A2377" i="4"/>
  <c r="A2375" i="4"/>
  <c r="A2374" i="4"/>
  <c r="A2373" i="4"/>
  <c r="A2372" i="4"/>
  <c r="A2371" i="4"/>
  <c r="A2369" i="4"/>
  <c r="A2368" i="4"/>
  <c r="A2367" i="4"/>
  <c r="A2366" i="4"/>
  <c r="A2365" i="4"/>
  <c r="A2364" i="4"/>
  <c r="A2363" i="4"/>
  <c r="A2362" i="4"/>
  <c r="A2361" i="4"/>
  <c r="A2359" i="4"/>
  <c r="A2358" i="4"/>
  <c r="A2357" i="4"/>
  <c r="A2356" i="4"/>
  <c r="A2355" i="4"/>
  <c r="A2353" i="4"/>
  <c r="A2352" i="4"/>
  <c r="A2351" i="4"/>
  <c r="A2350" i="4"/>
  <c r="A2349" i="4"/>
  <c r="A2348" i="4"/>
  <c r="A2346" i="4"/>
  <c r="A2345" i="4"/>
  <c r="A2344" i="4"/>
  <c r="A2343" i="4"/>
  <c r="A2342" i="4"/>
  <c r="A2341" i="4"/>
  <c r="A2340" i="4"/>
  <c r="A2339" i="4"/>
  <c r="A2337" i="4"/>
  <c r="A2336" i="4"/>
  <c r="A2335" i="4"/>
  <c r="A2334" i="4"/>
  <c r="A2333" i="4"/>
  <c r="A2332" i="4"/>
  <c r="A2331" i="4"/>
  <c r="A2330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8" i="4"/>
  <c r="A2307" i="4"/>
  <c r="A2306" i="4"/>
  <c r="A2305" i="4"/>
  <c r="A2304" i="4"/>
  <c r="A2302" i="4"/>
  <c r="A2301" i="4"/>
  <c r="A2300" i="4"/>
  <c r="A2299" i="4"/>
  <c r="A2298" i="4"/>
  <c r="A2297" i="4"/>
  <c r="A2296" i="4"/>
  <c r="A2295" i="4"/>
  <c r="A2294" i="4"/>
  <c r="A2292" i="4"/>
  <c r="A2291" i="4"/>
  <c r="A2290" i="4"/>
  <c r="A2289" i="4"/>
  <c r="A2288" i="4"/>
  <c r="A2287" i="4"/>
  <c r="A2286" i="4"/>
  <c r="A2285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0" i="4"/>
  <c r="A2239" i="4"/>
  <c r="A2238" i="4"/>
  <c r="A2237" i="4"/>
  <c r="A2236" i="4"/>
  <c r="A2235" i="4"/>
  <c r="A2234" i="4"/>
  <c r="A2233" i="4"/>
  <c r="A2232" i="4"/>
  <c r="A2231" i="4"/>
  <c r="A2229" i="4"/>
  <c r="A2228" i="4"/>
  <c r="A2227" i="4"/>
  <c r="A2226" i="4"/>
  <c r="A2225" i="4"/>
  <c r="A2224" i="4"/>
  <c r="A2223" i="4"/>
  <c r="A2222" i="4"/>
  <c r="A2221" i="4"/>
  <c r="A2219" i="4"/>
  <c r="A2218" i="4"/>
  <c r="A2217" i="4"/>
  <c r="A2216" i="4"/>
  <c r="A2215" i="4"/>
  <c r="A2214" i="4"/>
  <c r="A2213" i="4"/>
  <c r="A2212" i="4"/>
  <c r="A2211" i="4"/>
  <c r="A2209" i="4"/>
  <c r="A2208" i="4"/>
  <c r="A2207" i="4"/>
  <c r="A2206" i="4"/>
  <c r="A2205" i="4"/>
  <c r="A2203" i="4"/>
  <c r="A2202" i="4"/>
  <c r="A2201" i="4"/>
  <c r="A2200" i="4"/>
  <c r="A2199" i="4"/>
  <c r="A2198" i="4"/>
  <c r="A2197" i="4"/>
  <c r="A2196" i="4"/>
  <c r="A2194" i="4"/>
  <c r="A2193" i="4"/>
  <c r="A2192" i="4"/>
  <c r="A2191" i="4"/>
  <c r="A2190" i="4"/>
  <c r="A2189" i="4"/>
  <c r="A2187" i="4"/>
  <c r="A2186" i="4"/>
  <c r="A2185" i="4"/>
  <c r="A2184" i="4"/>
  <c r="A2183" i="4"/>
  <c r="A2181" i="4"/>
  <c r="A2180" i="4"/>
  <c r="A2179" i="4"/>
  <c r="A2178" i="4"/>
  <c r="A2177" i="4"/>
  <c r="A2175" i="4"/>
  <c r="A2174" i="4"/>
  <c r="A2173" i="4"/>
  <c r="A2172" i="4"/>
  <c r="A2171" i="4"/>
  <c r="A2170" i="4"/>
  <c r="A2169" i="4"/>
  <c r="A2168" i="4"/>
  <c r="A2166" i="4"/>
  <c r="A2165" i="4"/>
  <c r="A2164" i="4"/>
  <c r="A2163" i="4"/>
  <c r="A2162" i="4"/>
  <c r="A2161" i="4"/>
  <c r="A2160" i="4"/>
  <c r="A2159" i="4"/>
  <c r="A2158" i="4"/>
  <c r="A2156" i="4"/>
  <c r="A2155" i="4"/>
  <c r="A2154" i="4"/>
  <c r="A2153" i="4"/>
  <c r="A2152" i="4"/>
  <c r="A2151" i="4"/>
  <c r="A2150" i="4"/>
  <c r="A2149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7" i="4"/>
  <c r="A2116" i="4"/>
  <c r="A2115" i="4"/>
  <c r="A2114" i="4"/>
  <c r="A2113" i="4"/>
  <c r="A2111" i="4"/>
  <c r="A2110" i="4"/>
  <c r="A2109" i="4"/>
  <c r="A2108" i="4"/>
  <c r="A2107" i="4"/>
  <c r="A2106" i="4"/>
  <c r="A2105" i="4"/>
  <c r="A2104" i="4"/>
  <c r="A2103" i="4"/>
  <c r="A2102" i="4"/>
  <c r="A2100" i="4"/>
  <c r="A2099" i="4"/>
  <c r="A2098" i="4"/>
  <c r="A2097" i="4"/>
  <c r="A2096" i="4"/>
  <c r="A2095" i="4"/>
  <c r="A2094" i="4"/>
  <c r="A2093" i="4"/>
  <c r="A2078" i="4"/>
  <c r="A2077" i="4"/>
  <c r="A2076" i="4"/>
  <c r="A2075" i="4"/>
  <c r="A2074" i="4"/>
  <c r="A2073" i="4"/>
  <c r="A2072" i="4"/>
  <c r="A2071" i="4"/>
  <c r="A2070" i="4"/>
  <c r="A2069" i="4"/>
  <c r="A2067" i="4"/>
  <c r="A2066" i="4"/>
  <c r="A2065" i="4"/>
  <c r="A2064" i="4"/>
  <c r="A2063" i="4"/>
  <c r="A2062" i="4"/>
  <c r="A2060" i="4"/>
  <c r="A2059" i="4"/>
  <c r="A2058" i="4"/>
  <c r="A2057" i="4"/>
  <c r="A2056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0" i="4"/>
  <c r="A2039" i="4"/>
  <c r="A2038" i="4"/>
  <c r="A2037" i="4"/>
  <c r="A2036" i="4"/>
  <c r="A2035" i="4"/>
  <c r="A2034" i="4"/>
  <c r="A2033" i="4"/>
  <c r="A2032" i="4"/>
  <c r="A2031" i="4"/>
  <c r="A2029" i="4"/>
  <c r="A2028" i="4"/>
  <c r="A2027" i="4"/>
  <c r="A2026" i="4"/>
  <c r="A2025" i="4"/>
  <c r="A2024" i="4"/>
  <c r="A2023" i="4"/>
  <c r="A2021" i="4"/>
  <c r="A2020" i="4"/>
  <c r="A2019" i="4"/>
  <c r="A2018" i="4"/>
  <c r="A2017" i="4"/>
  <c r="A2015" i="4"/>
  <c r="A2014" i="4"/>
  <c r="A2013" i="4"/>
  <c r="A2012" i="4"/>
  <c r="A2011" i="4"/>
  <c r="A2010" i="4"/>
  <c r="A2008" i="4"/>
  <c r="A2007" i="4"/>
  <c r="A2006" i="4"/>
  <c r="A2005" i="4"/>
  <c r="A2004" i="4"/>
  <c r="A2002" i="4"/>
  <c r="A2001" i="4"/>
  <c r="A2000" i="4"/>
  <c r="A1999" i="4"/>
  <c r="A1998" i="4"/>
  <c r="A1997" i="4"/>
  <c r="A1995" i="4"/>
  <c r="A1994" i="4"/>
  <c r="A1993" i="4"/>
  <c r="A1992" i="4"/>
  <c r="A1991" i="4"/>
  <c r="A1990" i="4"/>
  <c r="A1989" i="4"/>
  <c r="A1988" i="4"/>
  <c r="A1986" i="4"/>
  <c r="A1985" i="4"/>
  <c r="A1984" i="4"/>
  <c r="A1983" i="4"/>
  <c r="A1982" i="4"/>
  <c r="A1981" i="4"/>
  <c r="A1980" i="4"/>
  <c r="A1979" i="4"/>
  <c r="A1977" i="4"/>
  <c r="A1976" i="4"/>
  <c r="A1975" i="4"/>
  <c r="A1974" i="4"/>
  <c r="A1973" i="4"/>
  <c r="A1972" i="4"/>
  <c r="A1971" i="4"/>
  <c r="A1970" i="4"/>
  <c r="A1968" i="4"/>
  <c r="A1967" i="4"/>
  <c r="A1966" i="4"/>
  <c r="A1965" i="4"/>
  <c r="A1964" i="4"/>
  <c r="A1963" i="4"/>
  <c r="A1962" i="4"/>
  <c r="A1960" i="4"/>
  <c r="A1959" i="4"/>
  <c r="A1958" i="4"/>
  <c r="A1957" i="4"/>
  <c r="A1956" i="4"/>
  <c r="A1954" i="4"/>
  <c r="A1953" i="4"/>
  <c r="A1952" i="4"/>
  <c r="A1951" i="4"/>
  <c r="A1950" i="4"/>
  <c r="A1949" i="4"/>
  <c r="A1948" i="4"/>
  <c r="A1947" i="4"/>
  <c r="A1946" i="4"/>
  <c r="A1945" i="4"/>
  <c r="A1932" i="4"/>
  <c r="A1931" i="4"/>
  <c r="A1930" i="4"/>
  <c r="A1929" i="4"/>
  <c r="A1928" i="4"/>
  <c r="A1926" i="4"/>
  <c r="A1925" i="4"/>
  <c r="A1924" i="4"/>
  <c r="A1923" i="4"/>
  <c r="A1922" i="4"/>
  <c r="A1921" i="4"/>
  <c r="A1920" i="4"/>
  <c r="A1919" i="4"/>
  <c r="A1918" i="4"/>
  <c r="A1917" i="4"/>
  <c r="A1915" i="4"/>
  <c r="A1914" i="4"/>
  <c r="A1913" i="4"/>
  <c r="A1912" i="4"/>
  <c r="A1911" i="4"/>
  <c r="A1910" i="4"/>
  <c r="A1909" i="4"/>
  <c r="A1908" i="4"/>
  <c r="A1907" i="4"/>
  <c r="A1905" i="4"/>
  <c r="A1904" i="4"/>
  <c r="A1903" i="4"/>
  <c r="A1902" i="4"/>
  <c r="A1901" i="4"/>
  <c r="A1900" i="4"/>
  <c r="A1899" i="4"/>
  <c r="A1898" i="4"/>
  <c r="A1897" i="4"/>
  <c r="A1896" i="4"/>
  <c r="A1894" i="4"/>
  <c r="A1893" i="4"/>
  <c r="A1892" i="4"/>
  <c r="A1891" i="4"/>
  <c r="A1890" i="4"/>
  <c r="A1889" i="4"/>
  <c r="A1888" i="4"/>
  <c r="A1887" i="4"/>
  <c r="A1886" i="4"/>
  <c r="A1884" i="4"/>
  <c r="A1883" i="4"/>
  <c r="A1882" i="4"/>
  <c r="A1881" i="4"/>
  <c r="A1880" i="4"/>
  <c r="A1878" i="4"/>
  <c r="A1877" i="4"/>
  <c r="A1876" i="4"/>
  <c r="A1875" i="4"/>
  <c r="A1874" i="4"/>
  <c r="A1873" i="4"/>
  <c r="A1872" i="4"/>
  <c r="A1870" i="4"/>
  <c r="A1869" i="4"/>
  <c r="A1868" i="4"/>
  <c r="A1867" i="4"/>
  <c r="A1866" i="4"/>
  <c r="A1865" i="4"/>
  <c r="A1864" i="4"/>
  <c r="A1863" i="4"/>
  <c r="A1862" i="4"/>
  <c r="A1860" i="4"/>
  <c r="A1859" i="4"/>
  <c r="A1858" i="4"/>
  <c r="A1857" i="4"/>
  <c r="A1856" i="4"/>
  <c r="A1855" i="4"/>
  <c r="A1853" i="4"/>
  <c r="A1852" i="4"/>
  <c r="A1851" i="4"/>
  <c r="A1850" i="4"/>
  <c r="A1849" i="4"/>
  <c r="A1848" i="4"/>
  <c r="A1847" i="4"/>
  <c r="A1846" i="4"/>
  <c r="A1845" i="4"/>
  <c r="A1843" i="4"/>
  <c r="A1842" i="4"/>
  <c r="A1841" i="4"/>
  <c r="A1840" i="4"/>
  <c r="A1839" i="4"/>
  <c r="A1838" i="4"/>
  <c r="A1836" i="4"/>
  <c r="A1835" i="4"/>
  <c r="A1834" i="4"/>
  <c r="A1833" i="4"/>
  <c r="A1832" i="4"/>
  <c r="A1831" i="4"/>
  <c r="A1830" i="4"/>
  <c r="A1829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1" i="4"/>
  <c r="A1810" i="4"/>
  <c r="A1809" i="4"/>
  <c r="A1808" i="4"/>
  <c r="A1807" i="4"/>
  <c r="A1806" i="4"/>
  <c r="A1805" i="4"/>
  <c r="A1792" i="4"/>
  <c r="A1791" i="4"/>
  <c r="A1790" i="4"/>
  <c r="A1789" i="4"/>
  <c r="A1787" i="4"/>
  <c r="A1786" i="4"/>
  <c r="A1785" i="4"/>
  <c r="A1784" i="4"/>
  <c r="A1783" i="4"/>
  <c r="A1781" i="4"/>
  <c r="A1780" i="4"/>
  <c r="A1779" i="4"/>
  <c r="A1778" i="4"/>
  <c r="A1777" i="4"/>
  <c r="A1776" i="4"/>
  <c r="A1774" i="4"/>
  <c r="A1773" i="4"/>
  <c r="A1772" i="4"/>
  <c r="A1771" i="4"/>
  <c r="A1770" i="4"/>
  <c r="A1769" i="4"/>
  <c r="A1768" i="4"/>
  <c r="A1767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0" i="4"/>
  <c r="A1749" i="4"/>
  <c r="A1748" i="4"/>
  <c r="A1747" i="4"/>
  <c r="A1746" i="4"/>
  <c r="A1744" i="4"/>
  <c r="A1743" i="4"/>
  <c r="A1742" i="4"/>
  <c r="A1741" i="4"/>
  <c r="A1740" i="4"/>
  <c r="A1739" i="4"/>
  <c r="A1738" i="4"/>
  <c r="A1737" i="4"/>
  <c r="A1736" i="4"/>
  <c r="A1734" i="4"/>
  <c r="A1733" i="4"/>
  <c r="A1732" i="4"/>
  <c r="A1731" i="4"/>
  <c r="A1730" i="4"/>
  <c r="A1729" i="4"/>
  <c r="A1728" i="4"/>
  <c r="A1727" i="4"/>
  <c r="A1726" i="4"/>
  <c r="A1725" i="4"/>
  <c r="A1723" i="4"/>
  <c r="A1722" i="4"/>
  <c r="A1721" i="4"/>
  <c r="A1720" i="4"/>
  <c r="A1719" i="4"/>
  <c r="A1718" i="4"/>
  <c r="A1717" i="4"/>
  <c r="A1715" i="4"/>
  <c r="A1714" i="4"/>
  <c r="A1713" i="4"/>
  <c r="A1712" i="4"/>
  <c r="A1711" i="4"/>
  <c r="A1710" i="4"/>
  <c r="A1709" i="4"/>
  <c r="A1708" i="4"/>
  <c r="A1707" i="4"/>
  <c r="A1706" i="4"/>
  <c r="A1704" i="4"/>
  <c r="A1703" i="4"/>
  <c r="A1702" i="4"/>
  <c r="A1701" i="4"/>
  <c r="A1700" i="4"/>
  <c r="A1699" i="4"/>
  <c r="A1698" i="4"/>
  <c r="A1696" i="4"/>
  <c r="A1695" i="4"/>
  <c r="A1694" i="4"/>
  <c r="A1693" i="4"/>
  <c r="A1692" i="4"/>
  <c r="A1691" i="4"/>
  <c r="A1690" i="4"/>
  <c r="A1689" i="4"/>
  <c r="A1687" i="4"/>
  <c r="A1686" i="4"/>
  <c r="A1685" i="4"/>
  <c r="A1684" i="4"/>
  <c r="A1683" i="4"/>
  <c r="A1681" i="4"/>
  <c r="A1680" i="4"/>
  <c r="A1679" i="4"/>
  <c r="A1678" i="4"/>
  <c r="A1677" i="4"/>
  <c r="A1675" i="4"/>
  <c r="A1674" i="4"/>
  <c r="A1673" i="4"/>
  <c r="A1672" i="4"/>
  <c r="A1671" i="4"/>
  <c r="A1670" i="4"/>
  <c r="A1669" i="4"/>
  <c r="A1668" i="4"/>
  <c r="A1667" i="4"/>
  <c r="A1666" i="4"/>
  <c r="A1664" i="4"/>
  <c r="A1663" i="4"/>
  <c r="A1662" i="4"/>
  <c r="A1661" i="4"/>
  <c r="A1660" i="4"/>
  <c r="A1659" i="4"/>
  <c r="A1657" i="4"/>
  <c r="A1656" i="4"/>
  <c r="A1655" i="4"/>
  <c r="A1654" i="4"/>
  <c r="A1653" i="4"/>
  <c r="A1652" i="4"/>
  <c r="A1651" i="4"/>
  <c r="A1650" i="4"/>
  <c r="A1649" i="4"/>
  <c r="A1648" i="4"/>
  <c r="A1646" i="4"/>
  <c r="A1645" i="4"/>
  <c r="A1644" i="4"/>
  <c r="A1643" i="4"/>
  <c r="A1642" i="4"/>
  <c r="A1641" i="4"/>
  <c r="A1640" i="4"/>
  <c r="A1639" i="4"/>
  <c r="A1638" i="4"/>
  <c r="A1637" i="4"/>
  <c r="A1636" i="4"/>
  <c r="A1634" i="4"/>
  <c r="A1633" i="4"/>
  <c r="A1632" i="4"/>
  <c r="A1631" i="4"/>
  <c r="A1630" i="4"/>
  <c r="A1629" i="4"/>
  <c r="A1628" i="4"/>
  <c r="A1626" i="4"/>
  <c r="A1625" i="4"/>
  <c r="A1624" i="4"/>
  <c r="A1623" i="4"/>
  <c r="A1622" i="4"/>
  <c r="A1621" i="4"/>
  <c r="A1619" i="4"/>
  <c r="A1618" i="4"/>
  <c r="A1617" i="4"/>
  <c r="A1606" i="4"/>
  <c r="A1605" i="4"/>
  <c r="A1604" i="4"/>
  <c r="A1603" i="4"/>
  <c r="A1602" i="4"/>
  <c r="A1601" i="4"/>
  <c r="A1600" i="4"/>
  <c r="A1598" i="4"/>
  <c r="A1597" i="4"/>
  <c r="A1596" i="4"/>
  <c r="A1595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79" i="4"/>
  <c r="A1578" i="4"/>
  <c r="A1577" i="4"/>
  <c r="A1576" i="4"/>
  <c r="A1575" i="4"/>
  <c r="A1574" i="4"/>
  <c r="A1573" i="4"/>
  <c r="A1571" i="4"/>
  <c r="A1570" i="4"/>
  <c r="A1569" i="4"/>
  <c r="A1568" i="4"/>
  <c r="A1567" i="4"/>
  <c r="A1566" i="4"/>
  <c r="A1565" i="4"/>
  <c r="A1564" i="4"/>
  <c r="A1563" i="4"/>
  <c r="A1561" i="4"/>
  <c r="A1560" i="4"/>
  <c r="A1559" i="4"/>
  <c r="A1558" i="4"/>
  <c r="A1557" i="4"/>
  <c r="A1555" i="4"/>
  <c r="A1554" i="4"/>
  <c r="A1553" i="4"/>
  <c r="A1552" i="4"/>
  <c r="A1551" i="4"/>
  <c r="A1549" i="4"/>
  <c r="A1548" i="4"/>
  <c r="A1547" i="4"/>
  <c r="A1546" i="4"/>
  <c r="A1544" i="4"/>
  <c r="A1543" i="4"/>
  <c r="A1542" i="4"/>
  <c r="A1541" i="4"/>
  <c r="A1540" i="4"/>
  <c r="A1539" i="4"/>
  <c r="A1537" i="4"/>
  <c r="A1536" i="4"/>
  <c r="A1535" i="4"/>
  <c r="A1534" i="4"/>
  <c r="A1532" i="4"/>
  <c r="A1531" i="4"/>
  <c r="A1530" i="4"/>
  <c r="A1529" i="4"/>
  <c r="A1528" i="4"/>
  <c r="A1527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494" i="4"/>
  <c r="A1493" i="4"/>
  <c r="A1492" i="4"/>
  <c r="A1491" i="4"/>
  <c r="A1490" i="4"/>
  <c r="A1488" i="4"/>
  <c r="A1487" i="4"/>
  <c r="A1486" i="4"/>
  <c r="A1485" i="4"/>
  <c r="A1484" i="4"/>
  <c r="A1483" i="4"/>
  <c r="A1481" i="4"/>
  <c r="A1480" i="4"/>
  <c r="A1479" i="4"/>
  <c r="A1478" i="4"/>
  <c r="A1477" i="4"/>
  <c r="A1475" i="4"/>
  <c r="A1474" i="4"/>
  <c r="A1473" i="4"/>
  <c r="A1472" i="4"/>
  <c r="A1471" i="4"/>
  <c r="A1470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5" i="4"/>
  <c r="A1454" i="4"/>
  <c r="A1453" i="4"/>
  <c r="A1452" i="4"/>
  <c r="A1451" i="4"/>
  <c r="A1450" i="4"/>
  <c r="A1449" i="4"/>
  <c r="A1448" i="4"/>
  <c r="A1447" i="4"/>
  <c r="A1445" i="4"/>
  <c r="A1444" i="4"/>
  <c r="A1443" i="4"/>
  <c r="A1442" i="4"/>
  <c r="A1441" i="4"/>
  <c r="A1440" i="4"/>
  <c r="A1439" i="4"/>
  <c r="A1437" i="4"/>
  <c r="A1436" i="4"/>
  <c r="A1435" i="4"/>
  <c r="A1434" i="4"/>
  <c r="A1433" i="4"/>
  <c r="A1431" i="4"/>
  <c r="A1430" i="4"/>
  <c r="A1429" i="4"/>
  <c r="A1428" i="4"/>
  <c r="A1427" i="4"/>
  <c r="A1426" i="4"/>
  <c r="A1425" i="4"/>
  <c r="A1424" i="4"/>
  <c r="A1423" i="4"/>
  <c r="A1421" i="4"/>
  <c r="A1420" i="4"/>
  <c r="A1419" i="4"/>
  <c r="A1418" i="4"/>
  <c r="A1417" i="4"/>
  <c r="A1416" i="4"/>
  <c r="A1415" i="4"/>
  <c r="A1414" i="4"/>
  <c r="A1412" i="4"/>
  <c r="A1411" i="4"/>
  <c r="A1410" i="4"/>
  <c r="A1409" i="4"/>
  <c r="A1408" i="4"/>
  <c r="A1407" i="4"/>
  <c r="A1406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6" i="4"/>
  <c r="A1375" i="4"/>
  <c r="A1374" i="4"/>
  <c r="A1373" i="4"/>
  <c r="A1372" i="4"/>
  <c r="A1371" i="4"/>
  <c r="A1370" i="4"/>
  <c r="A1368" i="4"/>
  <c r="A1367" i="4"/>
  <c r="A1366" i="4"/>
  <c r="A1365" i="4"/>
  <c r="A1364" i="4"/>
  <c r="A1363" i="4"/>
  <c r="A1362" i="4"/>
  <c r="A1361" i="4"/>
  <c r="A1359" i="4"/>
  <c r="A1358" i="4"/>
  <c r="A1357" i="4"/>
  <c r="A1356" i="4"/>
  <c r="A1355" i="4"/>
  <c r="A1354" i="4"/>
  <c r="A1353" i="4"/>
  <c r="A1351" i="4"/>
  <c r="A1350" i="4"/>
  <c r="A1349" i="4"/>
  <c r="A1348" i="4"/>
  <c r="A1347" i="4"/>
  <c r="A1346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5" i="4"/>
  <c r="A1314" i="4"/>
  <c r="A1313" i="4"/>
  <c r="A1312" i="4"/>
  <c r="A1311" i="4"/>
  <c r="A1310" i="4"/>
  <c r="A1308" i="4"/>
  <c r="A1307" i="4"/>
  <c r="A1306" i="4"/>
  <c r="A1305" i="4"/>
  <c r="A1304" i="4"/>
  <c r="A1303" i="4"/>
  <c r="A1302" i="4"/>
  <c r="A1301" i="4"/>
  <c r="A1294" i="4"/>
  <c r="A1299" i="4"/>
  <c r="A1298" i="4"/>
  <c r="A1297" i="4"/>
  <c r="A1296" i="4"/>
  <c r="A1295" i="4"/>
  <c r="A1293" i="4"/>
  <c r="A1292" i="4"/>
  <c r="A1291" i="4"/>
  <c r="A1290" i="4"/>
  <c r="A1289" i="4"/>
  <c r="A1287" i="4"/>
  <c r="A1286" i="4"/>
  <c r="A1285" i="4"/>
  <c r="A1284" i="4"/>
  <c r="A1283" i="4"/>
  <c r="A1282" i="4"/>
  <c r="A1281" i="4"/>
  <c r="A1280" i="4"/>
  <c r="A1279" i="4"/>
  <c r="A1278" i="4"/>
  <c r="A1277" i="4"/>
  <c r="A1275" i="4"/>
  <c r="A1274" i="4"/>
  <c r="A1273" i="4"/>
  <c r="A1272" i="4"/>
  <c r="A1271" i="4"/>
  <c r="A1270" i="4"/>
  <c r="A1268" i="4"/>
  <c r="A1267" i="4"/>
  <c r="A1266" i="4"/>
  <c r="A1265" i="4"/>
  <c r="A1264" i="4"/>
  <c r="A1263" i="4"/>
  <c r="A1262" i="4"/>
  <c r="A1261" i="4"/>
  <c r="A1260" i="4"/>
  <c r="A1259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3" i="4"/>
  <c r="A1242" i="4"/>
  <c r="A1241" i="4"/>
  <c r="A1240" i="4"/>
  <c r="A1239" i="4"/>
  <c r="A1238" i="4"/>
  <c r="A1237" i="4"/>
  <c r="A1236" i="4"/>
  <c r="A1235" i="4"/>
  <c r="A1234" i="4"/>
  <c r="A1232" i="4"/>
  <c r="A1231" i="4"/>
  <c r="A1230" i="4"/>
  <c r="A1229" i="4"/>
  <c r="A1228" i="4"/>
  <c r="A1227" i="4"/>
  <c r="A1225" i="4"/>
  <c r="A1224" i="4"/>
  <c r="A1223" i="4"/>
  <c r="A1222" i="4"/>
  <c r="A1221" i="4"/>
  <c r="A1220" i="4"/>
  <c r="A1218" i="4"/>
  <c r="A1217" i="4"/>
  <c r="A1216" i="4"/>
  <c r="A1215" i="4"/>
  <c r="A1214" i="4"/>
  <c r="A1212" i="4"/>
  <c r="A1211" i="4"/>
  <c r="A1210" i="4"/>
  <c r="A1209" i="4"/>
  <c r="A1208" i="4"/>
  <c r="A1207" i="4"/>
  <c r="A1206" i="4"/>
  <c r="A1204" i="4"/>
  <c r="A1203" i="4"/>
  <c r="A1202" i="4"/>
  <c r="A1201" i="4"/>
  <c r="A1200" i="4"/>
  <c r="A1199" i="4"/>
  <c r="A1198" i="4"/>
  <c r="A1197" i="4"/>
  <c r="A1196" i="4"/>
  <c r="A1195" i="4"/>
  <c r="A1193" i="4"/>
  <c r="A1192" i="4"/>
  <c r="A1191" i="4"/>
  <c r="A1190" i="4"/>
  <c r="A1189" i="4"/>
  <c r="A1188" i="4"/>
  <c r="A1186" i="4"/>
  <c r="A1185" i="4"/>
  <c r="A1184" i="4"/>
  <c r="A1183" i="4"/>
  <c r="A1182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5" i="4"/>
  <c r="A1164" i="4"/>
  <c r="A1163" i="4"/>
  <c r="A1162" i="4"/>
  <c r="A1161" i="4"/>
  <c r="A1160" i="4"/>
  <c r="A1159" i="4"/>
  <c r="A1158" i="4"/>
  <c r="A1157" i="4"/>
  <c r="A1155" i="4"/>
  <c r="A1154" i="4"/>
  <c r="A1153" i="4"/>
  <c r="A1152" i="4"/>
  <c r="A1151" i="4"/>
  <c r="A1150" i="4"/>
  <c r="A1137" i="4"/>
  <c r="A1136" i="4"/>
  <c r="A1135" i="4"/>
  <c r="A1134" i="4"/>
  <c r="A1133" i="4"/>
  <c r="A1131" i="4"/>
  <c r="A1130" i="4"/>
  <c r="A1129" i="4"/>
  <c r="A1128" i="4"/>
  <c r="A1127" i="4"/>
  <c r="A1126" i="4"/>
  <c r="A1125" i="4"/>
  <c r="A1124" i="4"/>
  <c r="A1123" i="4"/>
  <c r="A1122" i="4"/>
  <c r="A1120" i="4"/>
  <c r="A1119" i="4"/>
  <c r="A1118" i="4"/>
  <c r="A1117" i="4"/>
  <c r="A1116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7" i="4"/>
  <c r="A1096" i="4"/>
  <c r="A1095" i="4"/>
  <c r="A1094" i="4"/>
  <c r="A1093" i="4"/>
  <c r="A1092" i="4"/>
  <c r="A1091" i="4"/>
  <c r="A1090" i="4"/>
  <c r="A1089" i="4"/>
  <c r="A1087" i="4"/>
  <c r="A1086" i="4"/>
  <c r="A1085" i="4"/>
  <c r="A1084" i="4"/>
  <c r="A1083" i="4"/>
  <c r="A1082" i="4"/>
  <c r="A1080" i="4"/>
  <c r="A1079" i="4"/>
  <c r="A1078" i="4"/>
  <c r="A1077" i="4"/>
  <c r="A1076" i="4"/>
  <c r="A1075" i="4"/>
  <c r="A1074" i="4"/>
  <c r="A1073" i="4"/>
  <c r="A1072" i="4"/>
  <c r="A1070" i="4"/>
  <c r="A1069" i="4"/>
  <c r="A1068" i="4"/>
  <c r="A1067" i="4"/>
  <c r="A1066" i="4"/>
  <c r="A1065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1" i="4"/>
  <c r="A1030" i="4"/>
  <c r="A1029" i="4"/>
  <c r="A1028" i="4"/>
  <c r="A1027" i="4"/>
  <c r="A1026" i="4"/>
  <c r="A1025" i="4"/>
  <c r="A1024" i="4"/>
  <c r="A1023" i="4"/>
  <c r="A1021" i="4"/>
  <c r="A1020" i="4"/>
  <c r="A1019" i="4"/>
  <c r="A1018" i="4"/>
  <c r="A1017" i="4"/>
  <c r="A1016" i="4"/>
  <c r="A1015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2" i="4"/>
  <c r="A981" i="4"/>
  <c r="A980" i="4"/>
  <c r="A979" i="4"/>
  <c r="A978" i="4"/>
  <c r="A977" i="4"/>
  <c r="A976" i="4"/>
  <c r="A975" i="4"/>
  <c r="A974" i="4"/>
  <c r="A973" i="4"/>
  <c r="A971" i="4"/>
  <c r="A970" i="4"/>
  <c r="A969" i="4"/>
  <c r="A968" i="4"/>
  <c r="A967" i="4"/>
  <c r="A966" i="4"/>
  <c r="A965" i="4"/>
  <c r="A963" i="4"/>
  <c r="A962" i="4"/>
  <c r="A961" i="4"/>
  <c r="A960" i="4"/>
  <c r="A959" i="4"/>
  <c r="A957" i="4"/>
  <c r="A956" i="4"/>
  <c r="A955" i="4"/>
  <c r="A954" i="4"/>
  <c r="A953" i="4"/>
  <c r="A952" i="4"/>
  <c r="A951" i="4"/>
  <c r="A949" i="4"/>
  <c r="A948" i="4"/>
  <c r="A947" i="4"/>
  <c r="A946" i="4"/>
  <c r="A945" i="4"/>
  <c r="A944" i="4"/>
  <c r="A943" i="4"/>
  <c r="A942" i="4"/>
  <c r="A941" i="4"/>
  <c r="H38" i="2" l="1"/>
  <c r="I38" i="2" s="1"/>
  <c r="A3" i="3"/>
  <c r="A37" i="2"/>
  <c r="A36" i="2"/>
  <c r="A35" i="2"/>
  <c r="A34" i="2"/>
  <c r="A33" i="2"/>
  <c r="A32" i="2"/>
  <c r="A29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3" i="2"/>
  <c r="A14" i="2"/>
  <c r="B11" i="2"/>
  <c r="A11" i="2"/>
  <c r="A928" i="4"/>
  <c r="A927" i="4"/>
  <c r="A926" i="4"/>
  <c r="A925" i="4"/>
  <c r="A924" i="4"/>
  <c r="A923" i="4"/>
  <c r="A922" i="4"/>
  <c r="A921" i="4"/>
  <c r="A920" i="4"/>
  <c r="A918" i="4"/>
  <c r="A917" i="4"/>
  <c r="A916" i="4"/>
  <c r="A915" i="4"/>
  <c r="A913" i="4"/>
  <c r="A912" i="4"/>
  <c r="A911" i="4"/>
  <c r="A910" i="4"/>
  <c r="A909" i="4"/>
  <c r="A908" i="4"/>
  <c r="A907" i="4"/>
  <c r="A905" i="4"/>
  <c r="A904" i="4"/>
  <c r="A903" i="4"/>
  <c r="A902" i="4"/>
  <c r="A901" i="4"/>
  <c r="A900" i="4"/>
  <c r="A899" i="4"/>
  <c r="A898" i="4"/>
  <c r="A897" i="4"/>
  <c r="A896" i="4"/>
  <c r="A894" i="4"/>
  <c r="A893" i="4"/>
  <c r="A892" i="4"/>
  <c r="A891" i="4"/>
  <c r="A890" i="4"/>
  <c r="A889" i="4"/>
  <c r="A888" i="4"/>
  <c r="A887" i="4"/>
  <c r="A886" i="4"/>
  <c r="A885" i="4"/>
  <c r="A884" i="4"/>
  <c r="A882" i="4"/>
  <c r="A881" i="4"/>
  <c r="A880" i="4"/>
  <c r="A879" i="4"/>
  <c r="A878" i="4"/>
  <c r="A877" i="4"/>
  <c r="A876" i="4"/>
  <c r="A875" i="4"/>
  <c r="A874" i="4"/>
  <c r="A872" i="4"/>
  <c r="A871" i="4"/>
  <c r="A870" i="4"/>
  <c r="A869" i="4"/>
  <c r="A868" i="4"/>
  <c r="A867" i="4"/>
  <c r="A866" i="4"/>
  <c r="A865" i="4"/>
  <c r="A864" i="4"/>
  <c r="A863" i="4"/>
  <c r="A862" i="4"/>
  <c r="A860" i="4"/>
  <c r="A859" i="4"/>
  <c r="A858" i="4"/>
  <c r="A857" i="4"/>
  <c r="A856" i="4"/>
  <c r="A855" i="4"/>
  <c r="A853" i="4"/>
  <c r="A852" i="4"/>
  <c r="A851" i="4"/>
  <c r="A850" i="4"/>
  <c r="D850" i="4" s="1"/>
  <c r="A849" i="4"/>
  <c r="A848" i="4"/>
  <c r="A847" i="4"/>
  <c r="A846" i="4"/>
  <c r="A845" i="4"/>
  <c r="A844" i="4"/>
  <c r="A843" i="4"/>
  <c r="A842" i="4"/>
  <c r="A841" i="4"/>
  <c r="A840" i="4"/>
  <c r="A838" i="4"/>
  <c r="A837" i="4"/>
  <c r="A836" i="4"/>
  <c r="A835" i="4"/>
  <c r="A834" i="4"/>
  <c r="A833" i="4"/>
  <c r="A831" i="4"/>
  <c r="A830" i="4"/>
  <c r="A829" i="4"/>
  <c r="A828" i="4"/>
  <c r="A827" i="4"/>
  <c r="A826" i="4"/>
  <c r="A825" i="4"/>
  <c r="A824" i="4"/>
  <c r="A823" i="4"/>
  <c r="A822" i="4"/>
  <c r="A821" i="4"/>
  <c r="A819" i="4"/>
  <c r="A818" i="4"/>
  <c r="A817" i="4"/>
  <c r="A816" i="4"/>
  <c r="A815" i="4"/>
  <c r="A814" i="4"/>
  <c r="A813" i="4"/>
  <c r="A812" i="4"/>
  <c r="A810" i="4"/>
  <c r="A809" i="4"/>
  <c r="A808" i="4"/>
  <c r="A807" i="4"/>
  <c r="A806" i="4"/>
  <c r="A805" i="4"/>
  <c r="A28" i="2" s="1"/>
  <c r="A804" i="4"/>
  <c r="A802" i="4"/>
  <c r="A801" i="4"/>
  <c r="A800" i="4"/>
  <c r="A799" i="4"/>
  <c r="A798" i="4"/>
  <c r="A797" i="4"/>
  <c r="A796" i="4"/>
  <c r="A795" i="4"/>
  <c r="A793" i="4"/>
  <c r="A792" i="4"/>
  <c r="A791" i="4"/>
  <c r="A790" i="4"/>
  <c r="A789" i="4"/>
  <c r="A788" i="4"/>
  <c r="A786" i="4"/>
  <c r="A785" i="4"/>
  <c r="A784" i="4"/>
  <c r="A783" i="4"/>
  <c r="A782" i="4"/>
  <c r="A781" i="4"/>
  <c r="A780" i="4"/>
  <c r="A779" i="4"/>
  <c r="A778" i="4"/>
  <c r="A777" i="4"/>
  <c r="A775" i="4"/>
  <c r="A774" i="4"/>
  <c r="A773" i="4"/>
  <c r="A772" i="4"/>
  <c r="A771" i="4"/>
  <c r="A770" i="4"/>
  <c r="A769" i="4"/>
  <c r="A768" i="4"/>
  <c r="A766" i="4"/>
  <c r="A765" i="4"/>
  <c r="A764" i="4"/>
  <c r="A763" i="4"/>
  <c r="A762" i="4"/>
  <c r="A760" i="4"/>
  <c r="A759" i="4"/>
  <c r="A758" i="4"/>
  <c r="A757" i="4"/>
  <c r="A756" i="4"/>
  <c r="A755" i="4"/>
  <c r="A754" i="4"/>
  <c r="A753" i="4"/>
  <c r="A752" i="4"/>
  <c r="A751" i="4"/>
  <c r="A750" i="4"/>
  <c r="A748" i="4"/>
  <c r="A747" i="4"/>
  <c r="A746" i="4"/>
  <c r="A745" i="4"/>
  <c r="A744" i="4"/>
  <c r="A742" i="4"/>
  <c r="A741" i="4"/>
  <c r="A740" i="4"/>
  <c r="A739" i="4"/>
  <c r="A738" i="4"/>
  <c r="A737" i="4"/>
  <c r="A736" i="4"/>
  <c r="A735" i="4"/>
  <c r="C2950" i="4"/>
  <c r="C2949" i="4"/>
  <c r="C2948" i="4"/>
  <c r="C2947" i="4"/>
  <c r="C2946" i="4"/>
  <c r="C2944" i="4"/>
  <c r="C2943" i="4"/>
  <c r="C2942" i="4"/>
  <c r="C2941" i="4"/>
  <c r="C2940" i="4"/>
  <c r="C2939" i="4"/>
  <c r="C2937" i="4"/>
  <c r="C2936" i="4"/>
  <c r="C2935" i="4"/>
  <c r="C2934" i="4"/>
  <c r="C2933" i="4"/>
  <c r="C2932" i="4"/>
  <c r="C2930" i="4"/>
  <c r="C2929" i="4"/>
  <c r="C2928" i="4"/>
  <c r="C2927" i="4"/>
  <c r="C2926" i="4"/>
  <c r="C2925" i="4"/>
  <c r="C2924" i="4"/>
  <c r="C2923" i="4"/>
  <c r="C2922" i="4"/>
  <c r="C2921" i="4"/>
  <c r="C2919" i="4"/>
  <c r="C2918" i="4"/>
  <c r="C2917" i="4"/>
  <c r="C2916" i="4"/>
  <c r="C2915" i="4"/>
  <c r="C2914" i="4"/>
  <c r="C2912" i="4"/>
  <c r="C2911" i="4"/>
  <c r="C2910" i="4"/>
  <c r="C2909" i="4"/>
  <c r="C2908" i="4"/>
  <c r="C2907" i="4"/>
  <c r="C2905" i="4"/>
  <c r="C2904" i="4"/>
  <c r="C2903" i="4"/>
  <c r="C2902" i="4"/>
  <c r="C2900" i="4"/>
  <c r="C2899" i="4"/>
  <c r="C2898" i="4"/>
  <c r="C2897" i="4"/>
  <c r="C2896" i="4"/>
  <c r="C2894" i="4"/>
  <c r="C2893" i="4"/>
  <c r="C2892" i="4"/>
  <c r="C2891" i="4"/>
  <c r="C2890" i="4"/>
  <c r="C2888" i="4"/>
  <c r="C2887" i="4"/>
  <c r="C2886" i="4"/>
  <c r="C2885" i="4"/>
  <c r="C2884" i="4"/>
  <c r="C2883" i="4"/>
  <c r="C2882" i="4"/>
  <c r="C2881" i="4"/>
  <c r="C2879" i="4"/>
  <c r="C2878" i="4"/>
  <c r="C2877" i="4"/>
  <c r="C2876" i="4"/>
  <c r="C2875" i="4"/>
  <c r="C2874" i="4"/>
  <c r="C2873" i="4"/>
  <c r="C2871" i="4"/>
  <c r="C2870" i="4"/>
  <c r="C2869" i="4"/>
  <c r="C2868" i="4"/>
  <c r="C2867" i="4"/>
  <c r="C2866" i="4"/>
  <c r="C2864" i="4"/>
  <c r="C2863" i="4"/>
  <c r="C2862" i="4"/>
  <c r="C2861" i="4"/>
  <c r="C2860" i="4"/>
  <c r="C2859" i="4"/>
  <c r="C2858" i="4"/>
  <c r="C2857" i="4"/>
  <c r="C2856" i="4"/>
  <c r="C2854" i="4"/>
  <c r="C2853" i="4"/>
  <c r="C2852" i="4"/>
  <c r="C2851" i="4"/>
  <c r="C2850" i="4"/>
  <c r="C2849" i="4"/>
  <c r="C2847" i="4"/>
  <c r="C2846" i="4"/>
  <c r="C2845" i="4"/>
  <c r="C2844" i="4"/>
  <c r="C2843" i="4"/>
  <c r="C2842" i="4"/>
  <c r="C2840" i="4"/>
  <c r="C2839" i="4"/>
  <c r="C2838" i="4"/>
  <c r="C2837" i="4"/>
  <c r="C2836" i="4"/>
  <c r="C2835" i="4"/>
  <c r="C2833" i="4"/>
  <c r="C2832" i="4"/>
  <c r="C2831" i="4"/>
  <c r="C2830" i="4"/>
  <c r="C2829" i="4"/>
  <c r="C2828" i="4"/>
  <c r="C2826" i="4"/>
  <c r="C2825" i="4"/>
  <c r="C2824" i="4"/>
  <c r="C2823" i="4"/>
  <c r="C2821" i="4"/>
  <c r="C2820" i="4"/>
  <c r="C2818" i="4"/>
  <c r="C2815" i="4"/>
  <c r="C2814" i="4"/>
  <c r="C2813" i="4"/>
  <c r="C2812" i="4"/>
  <c r="C2811" i="4"/>
  <c r="C2810" i="4"/>
  <c r="C2803" i="4"/>
  <c r="C2802" i="4"/>
  <c r="C2801" i="4"/>
  <c r="C2800" i="4"/>
  <c r="C2799" i="4"/>
  <c r="C2798" i="4"/>
  <c r="C2797" i="4"/>
  <c r="C2796" i="4"/>
  <c r="C2794" i="4"/>
  <c r="C2793" i="4"/>
  <c r="C2792" i="4"/>
  <c r="C2791" i="4"/>
  <c r="C2790" i="4"/>
  <c r="C2788" i="4"/>
  <c r="C2787" i="4"/>
  <c r="C2786" i="4"/>
  <c r="C2784" i="4"/>
  <c r="C2783" i="4"/>
  <c r="C2782" i="4"/>
  <c r="C2781" i="4"/>
  <c r="C2780" i="4"/>
  <c r="C2779" i="4"/>
  <c r="C2778" i="4"/>
  <c r="C2776" i="4"/>
  <c r="C2775" i="4"/>
  <c r="C2774" i="4"/>
  <c r="C2773" i="4"/>
  <c r="C2772" i="4"/>
  <c r="C2771" i="4"/>
  <c r="C2770" i="4"/>
  <c r="C2769" i="4"/>
  <c r="C2768" i="4"/>
  <c r="C2766" i="4"/>
  <c r="C2765" i="4"/>
  <c r="C2764" i="4"/>
  <c r="C2763" i="4"/>
  <c r="C2761" i="4"/>
  <c r="C2760" i="4"/>
  <c r="C2759" i="4"/>
  <c r="C2758" i="4"/>
  <c r="C2757" i="4"/>
  <c r="C2755" i="4"/>
  <c r="C2754" i="4"/>
  <c r="C2753" i="4"/>
  <c r="C2752" i="4"/>
  <c r="C2751" i="4"/>
  <c r="C2750" i="4"/>
  <c r="C2749" i="4"/>
  <c r="C2748" i="4"/>
  <c r="C2746" i="4"/>
  <c r="C2745" i="4"/>
  <c r="C2744" i="4"/>
  <c r="C2743" i="4"/>
  <c r="C2742" i="4"/>
  <c r="C2741" i="4"/>
  <c r="C2740" i="4"/>
  <c r="C2739" i="4"/>
  <c r="C2737" i="4"/>
  <c r="C2736" i="4"/>
  <c r="C2735" i="4"/>
  <c r="C2734" i="4"/>
  <c r="C2733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3" i="4"/>
  <c r="C2712" i="4"/>
  <c r="C2711" i="4"/>
  <c r="C2710" i="4"/>
  <c r="C2709" i="4"/>
  <c r="C2708" i="4"/>
  <c r="C2706" i="4"/>
  <c r="C2705" i="4"/>
  <c r="C2704" i="4"/>
  <c r="C2703" i="4"/>
  <c r="C2702" i="4"/>
  <c r="C2701" i="4"/>
  <c r="C2700" i="4"/>
  <c r="C2699" i="4"/>
  <c r="C2698" i="4"/>
  <c r="C2696" i="4"/>
  <c r="C2695" i="4"/>
  <c r="C2694" i="4"/>
  <c r="C2693" i="4"/>
  <c r="C2692" i="4"/>
  <c r="C2691" i="4"/>
  <c r="C2690" i="4"/>
  <c r="C2688" i="4"/>
  <c r="C2687" i="4"/>
  <c r="C2686" i="4"/>
  <c r="C2685" i="4"/>
  <c r="C2684" i="4"/>
  <c r="C2683" i="4"/>
  <c r="C2682" i="4"/>
  <c r="C2681" i="4"/>
  <c r="C2679" i="4"/>
  <c r="C2678" i="4"/>
  <c r="C2677" i="4"/>
  <c r="C2675" i="4"/>
  <c r="C2674" i="4"/>
  <c r="C2673" i="4"/>
  <c r="C2672" i="4"/>
  <c r="C2671" i="4"/>
  <c r="C2670" i="4"/>
  <c r="C2668" i="4"/>
  <c r="C2667" i="4"/>
  <c r="C2666" i="4"/>
  <c r="C2665" i="4"/>
  <c r="C2663" i="4"/>
  <c r="C2662" i="4"/>
  <c r="C2661" i="4"/>
  <c r="C2660" i="4"/>
  <c r="C2659" i="4"/>
  <c r="C2658" i="4"/>
  <c r="C2657" i="4"/>
  <c r="C2655" i="4"/>
  <c r="C2654" i="4"/>
  <c r="C2653" i="4"/>
  <c r="C2652" i="4"/>
  <c r="C2651" i="4"/>
  <c r="C2650" i="4"/>
  <c r="C2648" i="4"/>
  <c r="C2647" i="4"/>
  <c r="C2646" i="4"/>
  <c r="C2645" i="4"/>
  <c r="C2644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7" i="4"/>
  <c r="C2626" i="4"/>
  <c r="C2625" i="4"/>
  <c r="C2624" i="4"/>
  <c r="C2623" i="4"/>
  <c r="C2622" i="4"/>
  <c r="C2621" i="4"/>
  <c r="C2620" i="4"/>
  <c r="C2619" i="4"/>
  <c r="C2618" i="4"/>
  <c r="C2617" i="4"/>
  <c r="C2615" i="4"/>
  <c r="C2614" i="4"/>
  <c r="C2613" i="4"/>
  <c r="C2612" i="4"/>
  <c r="C2611" i="4"/>
  <c r="C2610" i="4"/>
  <c r="C2609" i="4"/>
  <c r="C2607" i="4"/>
  <c r="C2606" i="4"/>
  <c r="C2605" i="4"/>
  <c r="C2604" i="4"/>
  <c r="C2603" i="4"/>
  <c r="C2602" i="4"/>
  <c r="C2601" i="4"/>
  <c r="C2600" i="4"/>
  <c r="C2599" i="4"/>
  <c r="C2598" i="4"/>
  <c r="C2597" i="4"/>
  <c r="C2595" i="4"/>
  <c r="C2594" i="4"/>
  <c r="C2593" i="4"/>
  <c r="C2592" i="4"/>
  <c r="C2590" i="4"/>
  <c r="C2589" i="4"/>
  <c r="C2588" i="4"/>
  <c r="C2587" i="4"/>
  <c r="C2586" i="4"/>
  <c r="C2584" i="4"/>
  <c r="C2583" i="4"/>
  <c r="C2582" i="4"/>
  <c r="C2581" i="4"/>
  <c r="C2580" i="4"/>
  <c r="C2579" i="4"/>
  <c r="C2578" i="4"/>
  <c r="C2576" i="4"/>
  <c r="C2575" i="4"/>
  <c r="C2574" i="4"/>
  <c r="C2573" i="4"/>
  <c r="C2572" i="4"/>
  <c r="C2571" i="4"/>
  <c r="C2570" i="4"/>
  <c r="C2569" i="4"/>
  <c r="C2568" i="4"/>
  <c r="C2567" i="4"/>
  <c r="C2565" i="4"/>
  <c r="C2564" i="4"/>
  <c r="C2563" i="4"/>
  <c r="C2562" i="4"/>
  <c r="C2561" i="4"/>
  <c r="C2560" i="4"/>
  <c r="C2559" i="4"/>
  <c r="C2558" i="4"/>
  <c r="C2556" i="4"/>
  <c r="C2555" i="4"/>
  <c r="C2554" i="4"/>
  <c r="C2553" i="4"/>
  <c r="C2552" i="4"/>
  <c r="C2550" i="4"/>
  <c r="C2548" i="4"/>
  <c r="D2548" i="4"/>
  <c r="C2545" i="4"/>
  <c r="C2540" i="4"/>
  <c r="C2539" i="4"/>
  <c r="C2538" i="4"/>
  <c r="C2536" i="4"/>
  <c r="C2535" i="4"/>
  <c r="C2534" i="4"/>
  <c r="C2533" i="4"/>
  <c r="C2532" i="4"/>
  <c r="C2531" i="4"/>
  <c r="C2530" i="4"/>
  <c r="C2529" i="4"/>
  <c r="C2527" i="4"/>
  <c r="C2526" i="4"/>
  <c r="C2525" i="4"/>
  <c r="C2524" i="4"/>
  <c r="C2522" i="4"/>
  <c r="C2521" i="4"/>
  <c r="C2520" i="4"/>
  <c r="C2519" i="4"/>
  <c r="C2518" i="4"/>
  <c r="C2517" i="4"/>
  <c r="C2516" i="4"/>
  <c r="C2515" i="4"/>
  <c r="C2514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499" i="4"/>
  <c r="C2498" i="4"/>
  <c r="C2497" i="4"/>
  <c r="C2496" i="4"/>
  <c r="C2494" i="4"/>
  <c r="C2493" i="4"/>
  <c r="C2492" i="4"/>
  <c r="C2491" i="4"/>
  <c r="C2490" i="4"/>
  <c r="C2488" i="4"/>
  <c r="C2487" i="4"/>
  <c r="C2486" i="4"/>
  <c r="C2485" i="4"/>
  <c r="C2483" i="4"/>
  <c r="C2482" i="4"/>
  <c r="C2481" i="4"/>
  <c r="C2480" i="4"/>
  <c r="C2479" i="4"/>
  <c r="C2477" i="4"/>
  <c r="C2476" i="4"/>
  <c r="C2475" i="4"/>
  <c r="C2474" i="4"/>
  <c r="C2473" i="4"/>
  <c r="C2471" i="4"/>
  <c r="C2470" i="4"/>
  <c r="C2469" i="4"/>
  <c r="C2468" i="4"/>
  <c r="C2467" i="4"/>
  <c r="C2466" i="4"/>
  <c r="C2464" i="4"/>
  <c r="C2463" i="4"/>
  <c r="C2462" i="4"/>
  <c r="C2461" i="4"/>
  <c r="C2460" i="4"/>
  <c r="C2459" i="4"/>
  <c r="C2458" i="4"/>
  <c r="C2456" i="4"/>
  <c r="C2455" i="4"/>
  <c r="C2454" i="4"/>
  <c r="C2452" i="4"/>
  <c r="C2451" i="4"/>
  <c r="C2450" i="4"/>
  <c r="C2449" i="4"/>
  <c r="C2448" i="4"/>
  <c r="C2447" i="4"/>
  <c r="C2445" i="4"/>
  <c r="C2444" i="4"/>
  <c r="C2443" i="4"/>
  <c r="C2442" i="4"/>
  <c r="C2441" i="4"/>
  <c r="C2439" i="4"/>
  <c r="C2438" i="4"/>
  <c r="C2437" i="4"/>
  <c r="C2436" i="4"/>
  <c r="C2435" i="4"/>
  <c r="C2434" i="4"/>
  <c r="C2433" i="4"/>
  <c r="C2432" i="4"/>
  <c r="C2431" i="4"/>
  <c r="C2429" i="4"/>
  <c r="C2428" i="4"/>
  <c r="C2427" i="4"/>
  <c r="C2426" i="4"/>
  <c r="C2425" i="4"/>
  <c r="C2424" i="4"/>
  <c r="C2422" i="4"/>
  <c r="C2421" i="4"/>
  <c r="C2420" i="4"/>
  <c r="C2419" i="4"/>
  <c r="C2418" i="4"/>
  <c r="C2417" i="4"/>
  <c r="C2416" i="4"/>
  <c r="C2414" i="4"/>
  <c r="C2413" i="4"/>
  <c r="C2412" i="4"/>
  <c r="C2411" i="4"/>
  <c r="C2410" i="4"/>
  <c r="C2409" i="4"/>
  <c r="C2407" i="4"/>
  <c r="C2406" i="4"/>
  <c r="C2404" i="4"/>
  <c r="C2401" i="4"/>
  <c r="C2397" i="4"/>
  <c r="C2396" i="4"/>
  <c r="C2395" i="4"/>
  <c r="C2394" i="4"/>
  <c r="C2393" i="4"/>
  <c r="C2392" i="4"/>
  <c r="C2390" i="4"/>
  <c r="C2389" i="4"/>
  <c r="C2388" i="4"/>
  <c r="C2387" i="4"/>
  <c r="C2386" i="4"/>
  <c r="C2385" i="4"/>
  <c r="C2384" i="4"/>
  <c r="C2383" i="4"/>
  <c r="C2381" i="4"/>
  <c r="C2380" i="4"/>
  <c r="C2379" i="4"/>
  <c r="C2378" i="4"/>
  <c r="C2377" i="4"/>
  <c r="C2375" i="4"/>
  <c r="C2374" i="4"/>
  <c r="C2373" i="4"/>
  <c r="C2372" i="4"/>
  <c r="C2371" i="4"/>
  <c r="C2369" i="4"/>
  <c r="C2368" i="4"/>
  <c r="C2367" i="4"/>
  <c r="C2366" i="4"/>
  <c r="C2365" i="4"/>
  <c r="C2364" i="4"/>
  <c r="C2363" i="4"/>
  <c r="C2362" i="4"/>
  <c r="C2361" i="4"/>
  <c r="C2359" i="4"/>
  <c r="C2358" i="4"/>
  <c r="C2357" i="4"/>
  <c r="C2356" i="4"/>
  <c r="C2355" i="4"/>
  <c r="C2353" i="4"/>
  <c r="C2352" i="4"/>
  <c r="C2351" i="4"/>
  <c r="C2350" i="4"/>
  <c r="C2349" i="4"/>
  <c r="C2348" i="4"/>
  <c r="C2346" i="4"/>
  <c r="C2345" i="4"/>
  <c r="C2344" i="4"/>
  <c r="C2343" i="4"/>
  <c r="C2342" i="4"/>
  <c r="C2341" i="4"/>
  <c r="C2340" i="4"/>
  <c r="C2339" i="4"/>
  <c r="C2337" i="4"/>
  <c r="C2336" i="4"/>
  <c r="C2335" i="4"/>
  <c r="C2334" i="4"/>
  <c r="C2333" i="4"/>
  <c r="C2332" i="4"/>
  <c r="C2331" i="4"/>
  <c r="C2330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8" i="4"/>
  <c r="C2307" i="4"/>
  <c r="C2306" i="4"/>
  <c r="C2305" i="4"/>
  <c r="C2304" i="4"/>
  <c r="C2302" i="4"/>
  <c r="C2301" i="4"/>
  <c r="C2300" i="4"/>
  <c r="C2299" i="4"/>
  <c r="C2298" i="4"/>
  <c r="C2297" i="4"/>
  <c r="C2296" i="4"/>
  <c r="C2295" i="4"/>
  <c r="C2294" i="4"/>
  <c r="C2292" i="4"/>
  <c r="C2291" i="4"/>
  <c r="C2290" i="4"/>
  <c r="C2289" i="4"/>
  <c r="C2288" i="4"/>
  <c r="C2287" i="4"/>
  <c r="C2286" i="4"/>
  <c r="C2285" i="4"/>
  <c r="C2283" i="4"/>
  <c r="C2281" i="4"/>
  <c r="C2278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0" i="4"/>
  <c r="C2239" i="4"/>
  <c r="C2238" i="4"/>
  <c r="C2237" i="4"/>
  <c r="C2236" i="4"/>
  <c r="C2235" i="4"/>
  <c r="C2234" i="4"/>
  <c r="C2233" i="4"/>
  <c r="C2232" i="4"/>
  <c r="C2231" i="4"/>
  <c r="C2229" i="4"/>
  <c r="C2228" i="4"/>
  <c r="C2227" i="4"/>
  <c r="C2226" i="4"/>
  <c r="C2225" i="4"/>
  <c r="C2224" i="4"/>
  <c r="C2223" i="4"/>
  <c r="C2222" i="4"/>
  <c r="C2221" i="4"/>
  <c r="C2219" i="4"/>
  <c r="C2218" i="4"/>
  <c r="C2217" i="4"/>
  <c r="C2216" i="4"/>
  <c r="C2215" i="4"/>
  <c r="C2214" i="4"/>
  <c r="C2213" i="4"/>
  <c r="C2212" i="4"/>
  <c r="C2211" i="4"/>
  <c r="C2209" i="4"/>
  <c r="C2208" i="4"/>
  <c r="C2207" i="4"/>
  <c r="C2206" i="4"/>
  <c r="C2205" i="4"/>
  <c r="C2203" i="4"/>
  <c r="C2202" i="4"/>
  <c r="C2201" i="4"/>
  <c r="C2200" i="4"/>
  <c r="C2199" i="4"/>
  <c r="C2198" i="4"/>
  <c r="C2197" i="4"/>
  <c r="C2196" i="4"/>
  <c r="C2194" i="4"/>
  <c r="C2193" i="4"/>
  <c r="C2192" i="4"/>
  <c r="C2191" i="4"/>
  <c r="C2190" i="4"/>
  <c r="C2189" i="4"/>
  <c r="C2187" i="4"/>
  <c r="C2186" i="4"/>
  <c r="C2185" i="4"/>
  <c r="C2184" i="4"/>
  <c r="C2183" i="4"/>
  <c r="C2181" i="4"/>
  <c r="C2180" i="4"/>
  <c r="C2179" i="4"/>
  <c r="C2178" i="4"/>
  <c r="C2177" i="4"/>
  <c r="C2175" i="4"/>
  <c r="C2174" i="4"/>
  <c r="C2173" i="4"/>
  <c r="C2172" i="4"/>
  <c r="C2171" i="4"/>
  <c r="C2170" i="4"/>
  <c r="C2169" i="4"/>
  <c r="C2168" i="4"/>
  <c r="C2166" i="4"/>
  <c r="C2165" i="4"/>
  <c r="C2164" i="4"/>
  <c r="C2163" i="4"/>
  <c r="C2162" i="4"/>
  <c r="C2161" i="4"/>
  <c r="C2160" i="4"/>
  <c r="C2159" i="4"/>
  <c r="C2158" i="4"/>
  <c r="C2156" i="4"/>
  <c r="C2155" i="4"/>
  <c r="C2154" i="4"/>
  <c r="C2153" i="4"/>
  <c r="C2152" i="4"/>
  <c r="C2151" i="4"/>
  <c r="C2150" i="4"/>
  <c r="C2149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7" i="4"/>
  <c r="C2116" i="4"/>
  <c r="C2115" i="4"/>
  <c r="C2114" i="4"/>
  <c r="C2113" i="4"/>
  <c r="C2111" i="4"/>
  <c r="C2110" i="4"/>
  <c r="C2109" i="4"/>
  <c r="C2108" i="4"/>
  <c r="C2107" i="4"/>
  <c r="C2106" i="4"/>
  <c r="C2105" i="4"/>
  <c r="C2104" i="4"/>
  <c r="C2103" i="4"/>
  <c r="C2102" i="4"/>
  <c r="C2100" i="4"/>
  <c r="C2099" i="4"/>
  <c r="C2098" i="4"/>
  <c r="C2097" i="4"/>
  <c r="C2096" i="4"/>
  <c r="C2095" i="4"/>
  <c r="C2094" i="4"/>
  <c r="C2093" i="4"/>
  <c r="C2091" i="4"/>
  <c r="C2089" i="4"/>
  <c r="C2078" i="4"/>
  <c r="C2077" i="4"/>
  <c r="C2076" i="4"/>
  <c r="C2075" i="4"/>
  <c r="C2074" i="4"/>
  <c r="C2073" i="4"/>
  <c r="C2072" i="4"/>
  <c r="C2071" i="4"/>
  <c r="C2070" i="4"/>
  <c r="C2069" i="4"/>
  <c r="C2067" i="4"/>
  <c r="C2066" i="4"/>
  <c r="C2065" i="4"/>
  <c r="C2064" i="4"/>
  <c r="C2063" i="4"/>
  <c r="C2062" i="4"/>
  <c r="C2060" i="4"/>
  <c r="C2059" i="4"/>
  <c r="C2058" i="4"/>
  <c r="C2057" i="4"/>
  <c r="C2056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0" i="4"/>
  <c r="C2039" i="4"/>
  <c r="C2038" i="4"/>
  <c r="C2037" i="4"/>
  <c r="C2036" i="4"/>
  <c r="C2035" i="4"/>
  <c r="C2034" i="4"/>
  <c r="C2033" i="4"/>
  <c r="C2032" i="4"/>
  <c r="C2031" i="4"/>
  <c r="C2029" i="4"/>
  <c r="C2028" i="4"/>
  <c r="C2027" i="4"/>
  <c r="C2026" i="4"/>
  <c r="C2025" i="4"/>
  <c r="C2024" i="4"/>
  <c r="C2023" i="4"/>
  <c r="C2021" i="4"/>
  <c r="C2020" i="4"/>
  <c r="C2019" i="4"/>
  <c r="C2018" i="4"/>
  <c r="C2017" i="4"/>
  <c r="C2015" i="4"/>
  <c r="C2014" i="4"/>
  <c r="C2013" i="4"/>
  <c r="C2012" i="4"/>
  <c r="C2011" i="4"/>
  <c r="C2010" i="4"/>
  <c r="C2008" i="4"/>
  <c r="C2007" i="4"/>
  <c r="C2006" i="4"/>
  <c r="C2005" i="4"/>
  <c r="C2004" i="4"/>
  <c r="C2002" i="4"/>
  <c r="C2001" i="4"/>
  <c r="C2000" i="4"/>
  <c r="C1999" i="4"/>
  <c r="C1998" i="4"/>
  <c r="C1997" i="4"/>
  <c r="C1995" i="4"/>
  <c r="C1994" i="4"/>
  <c r="C1993" i="4"/>
  <c r="C1992" i="4"/>
  <c r="C1991" i="4"/>
  <c r="C1990" i="4"/>
  <c r="C1989" i="4"/>
  <c r="C1988" i="4"/>
  <c r="C1986" i="4"/>
  <c r="C1985" i="4"/>
  <c r="C1984" i="4"/>
  <c r="C1983" i="4"/>
  <c r="C1982" i="4"/>
  <c r="C1981" i="4"/>
  <c r="C1980" i="4"/>
  <c r="C1979" i="4"/>
  <c r="C1977" i="4"/>
  <c r="C1976" i="4"/>
  <c r="C1975" i="4"/>
  <c r="C1974" i="4"/>
  <c r="C1973" i="4"/>
  <c r="C1972" i="4"/>
  <c r="C1971" i="4"/>
  <c r="C1970" i="4"/>
  <c r="C1968" i="4"/>
  <c r="C1967" i="4"/>
  <c r="C1966" i="4"/>
  <c r="C1965" i="4"/>
  <c r="C1964" i="4"/>
  <c r="C1963" i="4"/>
  <c r="C1962" i="4"/>
  <c r="C1960" i="4"/>
  <c r="C1959" i="4"/>
  <c r="C1958" i="4"/>
  <c r="C1957" i="4"/>
  <c r="C1956" i="4"/>
  <c r="C1954" i="4"/>
  <c r="C1953" i="4"/>
  <c r="C1952" i="4"/>
  <c r="C1951" i="4"/>
  <c r="C1950" i="4"/>
  <c r="C1949" i="4"/>
  <c r="C1948" i="4"/>
  <c r="C1947" i="4"/>
  <c r="C1946" i="4"/>
  <c r="C1945" i="4"/>
  <c r="C1943" i="4"/>
  <c r="C1941" i="4"/>
  <c r="C1932" i="4"/>
  <c r="C1931" i="4"/>
  <c r="C1930" i="4"/>
  <c r="C1929" i="4"/>
  <c r="C1928" i="4"/>
  <c r="C1926" i="4"/>
  <c r="C1925" i="4"/>
  <c r="C1924" i="4"/>
  <c r="C1923" i="4"/>
  <c r="C1922" i="4"/>
  <c r="C1921" i="4"/>
  <c r="C1920" i="4"/>
  <c r="C1919" i="4"/>
  <c r="C1918" i="4"/>
  <c r="C1917" i="4"/>
  <c r="C1915" i="4"/>
  <c r="C1914" i="4"/>
  <c r="C1913" i="4"/>
  <c r="C1912" i="4"/>
  <c r="C1911" i="4"/>
  <c r="C1910" i="4"/>
  <c r="C1909" i="4"/>
  <c r="C1908" i="4"/>
  <c r="C1907" i="4"/>
  <c r="C1905" i="4"/>
  <c r="C1904" i="4"/>
  <c r="C1903" i="4"/>
  <c r="C1902" i="4"/>
  <c r="C1901" i="4"/>
  <c r="C1900" i="4"/>
  <c r="C1899" i="4"/>
  <c r="C1898" i="4"/>
  <c r="C1897" i="4"/>
  <c r="C1896" i="4"/>
  <c r="C1894" i="4"/>
  <c r="C1893" i="4"/>
  <c r="C1892" i="4"/>
  <c r="C1891" i="4"/>
  <c r="C1890" i="4"/>
  <c r="C1889" i="4"/>
  <c r="C1888" i="4"/>
  <c r="C1887" i="4"/>
  <c r="C1886" i="4"/>
  <c r="C1884" i="4"/>
  <c r="C1883" i="4"/>
  <c r="C1882" i="4"/>
  <c r="C1881" i="4"/>
  <c r="C1880" i="4"/>
  <c r="C1878" i="4"/>
  <c r="C1877" i="4"/>
  <c r="C1876" i="4"/>
  <c r="C1875" i="4"/>
  <c r="C1874" i="4"/>
  <c r="C1873" i="4"/>
  <c r="C1872" i="4"/>
  <c r="C1870" i="4"/>
  <c r="C1869" i="4"/>
  <c r="C1868" i="4"/>
  <c r="C1867" i="4"/>
  <c r="C1866" i="4"/>
  <c r="C1865" i="4"/>
  <c r="C1864" i="4"/>
  <c r="C1863" i="4"/>
  <c r="C1862" i="4"/>
  <c r="C1860" i="4"/>
  <c r="C1859" i="4"/>
  <c r="C1858" i="4"/>
  <c r="C1857" i="4"/>
  <c r="C1856" i="4"/>
  <c r="C1855" i="4"/>
  <c r="C1853" i="4"/>
  <c r="C1852" i="4"/>
  <c r="C1851" i="4"/>
  <c r="C1850" i="4"/>
  <c r="C1849" i="4"/>
  <c r="C1848" i="4"/>
  <c r="C1847" i="4"/>
  <c r="C1846" i="4"/>
  <c r="C1845" i="4"/>
  <c r="C1843" i="4"/>
  <c r="C1842" i="4"/>
  <c r="C1841" i="4"/>
  <c r="C1840" i="4"/>
  <c r="C1839" i="4"/>
  <c r="C1838" i="4"/>
  <c r="C1836" i="4"/>
  <c r="C1835" i="4"/>
  <c r="C1834" i="4"/>
  <c r="C1833" i="4"/>
  <c r="C1832" i="4"/>
  <c r="C1831" i="4"/>
  <c r="C1830" i="4"/>
  <c r="C1829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1" i="4"/>
  <c r="C1810" i="4"/>
  <c r="C1809" i="4"/>
  <c r="C1808" i="4"/>
  <c r="C1807" i="4"/>
  <c r="C1806" i="4"/>
  <c r="C1805" i="4"/>
  <c r="C1803" i="4"/>
  <c r="C1801" i="4"/>
  <c r="C1792" i="4"/>
  <c r="C1791" i="4"/>
  <c r="C1790" i="4"/>
  <c r="C1789" i="4"/>
  <c r="C1787" i="4"/>
  <c r="C1786" i="4"/>
  <c r="C1785" i="4"/>
  <c r="C1784" i="4"/>
  <c r="C1783" i="4"/>
  <c r="C1781" i="4"/>
  <c r="C1780" i="4"/>
  <c r="C1779" i="4"/>
  <c r="C1778" i="4"/>
  <c r="C1777" i="4"/>
  <c r="C1776" i="4"/>
  <c r="C1774" i="4"/>
  <c r="C1773" i="4"/>
  <c r="C1772" i="4"/>
  <c r="C1771" i="4"/>
  <c r="C1770" i="4"/>
  <c r="C1769" i="4"/>
  <c r="C1768" i="4"/>
  <c r="C1767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0" i="4"/>
  <c r="C1749" i="4"/>
  <c r="C1748" i="4"/>
  <c r="C1747" i="4"/>
  <c r="C1746" i="4"/>
  <c r="C1744" i="4"/>
  <c r="C1743" i="4"/>
  <c r="C1742" i="4"/>
  <c r="C1741" i="4"/>
  <c r="C1740" i="4"/>
  <c r="C1739" i="4"/>
  <c r="C1738" i="4"/>
  <c r="C1737" i="4"/>
  <c r="C1736" i="4"/>
  <c r="C1734" i="4"/>
  <c r="C1733" i="4"/>
  <c r="C1732" i="4"/>
  <c r="C1731" i="4"/>
  <c r="C1730" i="4"/>
  <c r="C1729" i="4"/>
  <c r="C1728" i="4"/>
  <c r="C1727" i="4"/>
  <c r="C1726" i="4"/>
  <c r="C1725" i="4"/>
  <c r="C1723" i="4"/>
  <c r="C1722" i="4"/>
  <c r="C1721" i="4"/>
  <c r="C1720" i="4"/>
  <c r="C1719" i="4"/>
  <c r="C1718" i="4"/>
  <c r="C1717" i="4"/>
  <c r="C1715" i="4"/>
  <c r="C1714" i="4"/>
  <c r="C1713" i="4"/>
  <c r="C1712" i="4"/>
  <c r="C1711" i="4"/>
  <c r="C1710" i="4"/>
  <c r="C1709" i="4"/>
  <c r="C1708" i="4"/>
  <c r="C1707" i="4"/>
  <c r="C1706" i="4"/>
  <c r="C1704" i="4"/>
  <c r="C1703" i="4"/>
  <c r="C1702" i="4"/>
  <c r="C1701" i="4"/>
  <c r="C1700" i="4"/>
  <c r="C1699" i="4"/>
  <c r="C1698" i="4"/>
  <c r="C1696" i="4"/>
  <c r="C1695" i="4"/>
  <c r="C1694" i="4"/>
  <c r="C1693" i="4"/>
  <c r="C1692" i="4"/>
  <c r="C1691" i="4"/>
  <c r="C1690" i="4"/>
  <c r="C1689" i="4"/>
  <c r="C1687" i="4"/>
  <c r="C1686" i="4"/>
  <c r="C1685" i="4"/>
  <c r="C1684" i="4"/>
  <c r="C1683" i="4"/>
  <c r="C1681" i="4"/>
  <c r="C1680" i="4"/>
  <c r="C1679" i="4"/>
  <c r="C1678" i="4"/>
  <c r="C1677" i="4"/>
  <c r="C1675" i="4"/>
  <c r="C1674" i="4"/>
  <c r="C1673" i="4"/>
  <c r="C1672" i="4"/>
  <c r="C1671" i="4"/>
  <c r="C1670" i="4"/>
  <c r="C1669" i="4"/>
  <c r="C1668" i="4"/>
  <c r="C1667" i="4"/>
  <c r="C1666" i="4"/>
  <c r="C1664" i="4"/>
  <c r="C1663" i="4"/>
  <c r="C1662" i="4"/>
  <c r="C1661" i="4"/>
  <c r="C1660" i="4"/>
  <c r="C1659" i="4"/>
  <c r="C1657" i="4"/>
  <c r="C1656" i="4"/>
  <c r="C1655" i="4"/>
  <c r="C1654" i="4"/>
  <c r="C1653" i="4"/>
  <c r="C1652" i="4"/>
  <c r="C1651" i="4"/>
  <c r="C1650" i="4"/>
  <c r="C1649" i="4"/>
  <c r="C1648" i="4"/>
  <c r="C1646" i="4"/>
  <c r="C1645" i="4"/>
  <c r="C1644" i="4"/>
  <c r="C1643" i="4"/>
  <c r="C1642" i="4"/>
  <c r="C1641" i="4"/>
  <c r="C1640" i="4"/>
  <c r="C1639" i="4"/>
  <c r="C1638" i="4"/>
  <c r="C1637" i="4"/>
  <c r="C1636" i="4"/>
  <c r="C1634" i="4"/>
  <c r="C1633" i="4"/>
  <c r="C1632" i="4"/>
  <c r="C1631" i="4"/>
  <c r="C1630" i="4"/>
  <c r="C1629" i="4"/>
  <c r="C1628" i="4"/>
  <c r="C1626" i="4"/>
  <c r="C1625" i="4"/>
  <c r="C1624" i="4"/>
  <c r="C1623" i="4"/>
  <c r="C1622" i="4"/>
  <c r="C1621" i="4"/>
  <c r="C1619" i="4"/>
  <c r="C1618" i="4"/>
  <c r="C1617" i="4"/>
  <c r="C1615" i="4"/>
  <c r="C1613" i="4"/>
  <c r="C1606" i="4"/>
  <c r="C1605" i="4"/>
  <c r="C1604" i="4"/>
  <c r="C1603" i="4"/>
  <c r="C1602" i="4"/>
  <c r="C1601" i="4"/>
  <c r="C1600" i="4"/>
  <c r="C1598" i="4"/>
  <c r="C1597" i="4"/>
  <c r="C1596" i="4"/>
  <c r="C1595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79" i="4"/>
  <c r="C1578" i="4"/>
  <c r="C1577" i="4"/>
  <c r="C1576" i="4"/>
  <c r="C1575" i="4"/>
  <c r="C1574" i="4"/>
  <c r="C1573" i="4"/>
  <c r="C1571" i="4"/>
  <c r="C1570" i="4"/>
  <c r="C1569" i="4"/>
  <c r="C1568" i="4"/>
  <c r="C1567" i="4"/>
  <c r="C1566" i="4"/>
  <c r="C1565" i="4"/>
  <c r="C1564" i="4"/>
  <c r="C1563" i="4"/>
  <c r="C1561" i="4"/>
  <c r="C1560" i="4"/>
  <c r="C1559" i="4"/>
  <c r="C1558" i="4"/>
  <c r="C1557" i="4"/>
  <c r="C1555" i="4"/>
  <c r="C1554" i="4"/>
  <c r="C1553" i="4"/>
  <c r="C1552" i="4"/>
  <c r="C1551" i="4"/>
  <c r="C1549" i="4"/>
  <c r="C1548" i="4"/>
  <c r="C1547" i="4"/>
  <c r="C1546" i="4"/>
  <c r="C1544" i="4"/>
  <c r="C1543" i="4"/>
  <c r="C1542" i="4"/>
  <c r="C1541" i="4"/>
  <c r="C1540" i="4"/>
  <c r="C1539" i="4"/>
  <c r="C1537" i="4"/>
  <c r="C1536" i="4"/>
  <c r="C1535" i="4"/>
  <c r="C1534" i="4"/>
  <c r="C1532" i="4"/>
  <c r="C1531" i="4"/>
  <c r="C1530" i="4"/>
  <c r="C1529" i="4"/>
  <c r="C1528" i="4"/>
  <c r="C1527" i="4"/>
  <c r="C1525" i="4"/>
  <c r="C1523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494" i="4"/>
  <c r="C1493" i="4"/>
  <c r="C1492" i="4"/>
  <c r="C1491" i="4"/>
  <c r="C1490" i="4"/>
  <c r="C1488" i="4"/>
  <c r="C1487" i="4"/>
  <c r="C1486" i="4"/>
  <c r="C1485" i="4"/>
  <c r="C1484" i="4"/>
  <c r="C1483" i="4"/>
  <c r="C1481" i="4"/>
  <c r="C1480" i="4"/>
  <c r="C1479" i="4"/>
  <c r="C1478" i="4"/>
  <c r="C1477" i="4"/>
  <c r="C1475" i="4"/>
  <c r="C1474" i="4"/>
  <c r="C1473" i="4"/>
  <c r="C1472" i="4"/>
  <c r="C1471" i="4"/>
  <c r="C1470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5" i="4"/>
  <c r="C1454" i="4"/>
  <c r="C1453" i="4"/>
  <c r="C1452" i="4"/>
  <c r="C1451" i="4"/>
  <c r="C1450" i="4"/>
  <c r="C1449" i="4"/>
  <c r="C1448" i="4"/>
  <c r="C1447" i="4"/>
  <c r="C1445" i="4"/>
  <c r="C1444" i="4"/>
  <c r="C1443" i="4"/>
  <c r="C1442" i="4"/>
  <c r="C1441" i="4"/>
  <c r="C1440" i="4"/>
  <c r="C1439" i="4"/>
  <c r="C1437" i="4"/>
  <c r="C1436" i="4"/>
  <c r="C1435" i="4"/>
  <c r="C1434" i="4"/>
  <c r="C1433" i="4"/>
  <c r="C1431" i="4"/>
  <c r="C1430" i="4"/>
  <c r="C1429" i="4"/>
  <c r="C1428" i="4"/>
  <c r="C1427" i="4"/>
  <c r="C1426" i="4"/>
  <c r="C1425" i="4"/>
  <c r="C1424" i="4"/>
  <c r="C1423" i="4"/>
  <c r="C1421" i="4"/>
  <c r="C1420" i="4"/>
  <c r="C1419" i="4"/>
  <c r="C1418" i="4"/>
  <c r="C1417" i="4"/>
  <c r="C1416" i="4"/>
  <c r="C1415" i="4"/>
  <c r="C1414" i="4"/>
  <c r="C1412" i="4"/>
  <c r="C1411" i="4"/>
  <c r="C1410" i="4"/>
  <c r="C1409" i="4"/>
  <c r="C1408" i="4"/>
  <c r="C1407" i="4"/>
  <c r="C1406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6" i="4"/>
  <c r="C1375" i="4"/>
  <c r="C1374" i="4"/>
  <c r="C1373" i="4"/>
  <c r="C1372" i="4"/>
  <c r="C1371" i="4"/>
  <c r="C1370" i="4"/>
  <c r="C1368" i="4"/>
  <c r="C1367" i="4"/>
  <c r="C1366" i="4"/>
  <c r="C1365" i="4"/>
  <c r="C1364" i="4"/>
  <c r="C1363" i="4"/>
  <c r="C1362" i="4"/>
  <c r="C1361" i="4"/>
  <c r="C1359" i="4"/>
  <c r="C1358" i="4"/>
  <c r="C1357" i="4"/>
  <c r="C1356" i="4"/>
  <c r="C1355" i="4"/>
  <c r="C1354" i="4"/>
  <c r="C1353" i="4"/>
  <c r="C1351" i="4"/>
  <c r="C1350" i="4"/>
  <c r="C1349" i="4"/>
  <c r="C1348" i="4"/>
  <c r="C1347" i="4"/>
  <c r="C1346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5" i="4"/>
  <c r="C1314" i="4"/>
  <c r="C1313" i="4"/>
  <c r="C1312" i="4"/>
  <c r="C1311" i="4"/>
  <c r="C1310" i="4"/>
  <c r="C1308" i="4"/>
  <c r="C1307" i="4"/>
  <c r="C1306" i="4"/>
  <c r="C1305" i="4"/>
  <c r="C1304" i="4"/>
  <c r="C1303" i="4"/>
  <c r="C1302" i="4"/>
  <c r="C1301" i="4"/>
  <c r="C1299" i="4"/>
  <c r="C1298" i="4"/>
  <c r="C1297" i="4"/>
  <c r="C1296" i="4"/>
  <c r="C1295" i="4"/>
  <c r="C1294" i="4"/>
  <c r="C1293" i="4"/>
  <c r="C1292" i="4"/>
  <c r="C1291" i="4"/>
  <c r="C1290" i="4"/>
  <c r="C1289" i="4"/>
  <c r="C1287" i="4"/>
  <c r="C1286" i="4"/>
  <c r="C1285" i="4"/>
  <c r="C1284" i="4"/>
  <c r="C1283" i="4"/>
  <c r="C1282" i="4"/>
  <c r="C1281" i="4"/>
  <c r="C1280" i="4"/>
  <c r="C1279" i="4"/>
  <c r="C1278" i="4"/>
  <c r="C1277" i="4"/>
  <c r="C1275" i="4"/>
  <c r="C1274" i="4"/>
  <c r="C1273" i="4"/>
  <c r="C1272" i="4"/>
  <c r="C1271" i="4"/>
  <c r="C1270" i="4"/>
  <c r="C1268" i="4"/>
  <c r="C1267" i="4"/>
  <c r="C1266" i="4"/>
  <c r="C1265" i="4"/>
  <c r="C1264" i="4"/>
  <c r="C1263" i="4"/>
  <c r="C1262" i="4"/>
  <c r="C1261" i="4"/>
  <c r="C1260" i="4"/>
  <c r="C1259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3" i="4"/>
  <c r="C1242" i="4"/>
  <c r="C1241" i="4"/>
  <c r="C1240" i="4"/>
  <c r="C1239" i="4"/>
  <c r="C1238" i="4"/>
  <c r="C1237" i="4"/>
  <c r="C1236" i="4"/>
  <c r="C1235" i="4"/>
  <c r="C1234" i="4"/>
  <c r="C1232" i="4"/>
  <c r="C1231" i="4"/>
  <c r="C1230" i="4"/>
  <c r="C1229" i="4"/>
  <c r="C1228" i="4"/>
  <c r="C1227" i="4"/>
  <c r="C1225" i="4"/>
  <c r="C1224" i="4"/>
  <c r="C1223" i="4"/>
  <c r="C1222" i="4"/>
  <c r="C1221" i="4"/>
  <c r="C1220" i="4"/>
  <c r="C1218" i="4"/>
  <c r="C1217" i="4"/>
  <c r="C1216" i="4"/>
  <c r="C1215" i="4"/>
  <c r="C1214" i="4"/>
  <c r="C1212" i="4"/>
  <c r="C1211" i="4"/>
  <c r="C1210" i="4"/>
  <c r="C1209" i="4"/>
  <c r="C1208" i="4"/>
  <c r="C1207" i="4"/>
  <c r="C1206" i="4"/>
  <c r="C1204" i="4"/>
  <c r="C1203" i="4"/>
  <c r="C1202" i="4"/>
  <c r="C1201" i="4"/>
  <c r="C1200" i="4"/>
  <c r="C1199" i="4"/>
  <c r="C1198" i="4"/>
  <c r="C1197" i="4"/>
  <c r="C1196" i="4"/>
  <c r="C1195" i="4"/>
  <c r="C1193" i="4"/>
  <c r="C1192" i="4"/>
  <c r="C1191" i="4"/>
  <c r="C1190" i="4"/>
  <c r="C1189" i="4"/>
  <c r="C1188" i="4"/>
  <c r="C1186" i="4"/>
  <c r="C1185" i="4"/>
  <c r="C1184" i="4"/>
  <c r="C1183" i="4"/>
  <c r="C1182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5" i="4"/>
  <c r="C1164" i="4"/>
  <c r="C1163" i="4"/>
  <c r="C1162" i="4"/>
  <c r="C1161" i="4"/>
  <c r="C1160" i="4"/>
  <c r="C1159" i="4"/>
  <c r="C1158" i="4"/>
  <c r="C1157" i="4"/>
  <c r="C1155" i="4"/>
  <c r="C1154" i="4"/>
  <c r="C1153" i="4"/>
  <c r="C1152" i="4"/>
  <c r="C1151" i="4"/>
  <c r="C1150" i="4"/>
  <c r="C1148" i="4"/>
  <c r="C1146" i="4"/>
  <c r="C1137" i="4"/>
  <c r="C1136" i="4"/>
  <c r="C1135" i="4"/>
  <c r="C1134" i="4"/>
  <c r="C1133" i="4"/>
  <c r="C1131" i="4"/>
  <c r="C1130" i="4"/>
  <c r="C1129" i="4"/>
  <c r="C1128" i="4"/>
  <c r="C1127" i="4"/>
  <c r="C1126" i="4"/>
  <c r="C1125" i="4"/>
  <c r="C1124" i="4"/>
  <c r="C1123" i="4"/>
  <c r="C1122" i="4"/>
  <c r="C1120" i="4"/>
  <c r="C1119" i="4"/>
  <c r="C1118" i="4"/>
  <c r="C1117" i="4"/>
  <c r="C1116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7" i="4"/>
  <c r="C1096" i="4"/>
  <c r="C1095" i="4"/>
  <c r="C1094" i="4"/>
  <c r="C1093" i="4"/>
  <c r="C1092" i="4"/>
  <c r="C1091" i="4"/>
  <c r="C1090" i="4"/>
  <c r="C1089" i="4"/>
  <c r="C1087" i="4"/>
  <c r="C1086" i="4"/>
  <c r="C1085" i="4"/>
  <c r="C1084" i="4"/>
  <c r="C1083" i="4"/>
  <c r="C1082" i="4"/>
  <c r="C1080" i="4"/>
  <c r="C1079" i="4"/>
  <c r="C1078" i="4"/>
  <c r="C1077" i="4"/>
  <c r="C1076" i="4"/>
  <c r="C1075" i="4"/>
  <c r="C1074" i="4"/>
  <c r="C1073" i="4"/>
  <c r="C1072" i="4"/>
  <c r="C1070" i="4"/>
  <c r="C1069" i="4"/>
  <c r="C1068" i="4"/>
  <c r="C1067" i="4"/>
  <c r="C1066" i="4"/>
  <c r="C1065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1" i="4"/>
  <c r="C1030" i="4"/>
  <c r="C1029" i="4"/>
  <c r="C1028" i="4"/>
  <c r="C1027" i="4"/>
  <c r="C1026" i="4"/>
  <c r="C1025" i="4"/>
  <c r="C1024" i="4"/>
  <c r="C1023" i="4"/>
  <c r="C1021" i="4"/>
  <c r="C1020" i="4"/>
  <c r="C1019" i="4"/>
  <c r="C1018" i="4"/>
  <c r="C1017" i="4"/>
  <c r="C1016" i="4"/>
  <c r="C1015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2" i="4"/>
  <c r="C981" i="4"/>
  <c r="C980" i="4"/>
  <c r="C979" i="4"/>
  <c r="C978" i="4"/>
  <c r="C977" i="4"/>
  <c r="C976" i="4"/>
  <c r="C975" i="4"/>
  <c r="C974" i="4"/>
  <c r="C973" i="4"/>
  <c r="C971" i="4"/>
  <c r="C970" i="4"/>
  <c r="C969" i="4"/>
  <c r="C968" i="4"/>
  <c r="C967" i="4"/>
  <c r="C966" i="4"/>
  <c r="C965" i="4"/>
  <c r="C963" i="4"/>
  <c r="C962" i="4"/>
  <c r="C961" i="4"/>
  <c r="C960" i="4"/>
  <c r="C959" i="4"/>
  <c r="C957" i="4"/>
  <c r="C956" i="4"/>
  <c r="C955" i="4"/>
  <c r="C954" i="4"/>
  <c r="C953" i="4"/>
  <c r="C952" i="4"/>
  <c r="C951" i="4"/>
  <c r="C949" i="4"/>
  <c r="C948" i="4"/>
  <c r="C947" i="4"/>
  <c r="C946" i="4"/>
  <c r="C945" i="4"/>
  <c r="C944" i="4"/>
  <c r="C943" i="4"/>
  <c r="C942" i="4"/>
  <c r="C941" i="4"/>
  <c r="C939" i="4"/>
  <c r="C937" i="4"/>
  <c r="C928" i="4"/>
  <c r="C927" i="4"/>
  <c r="C926" i="4"/>
  <c r="C925" i="4"/>
  <c r="C924" i="4"/>
  <c r="C923" i="4"/>
  <c r="C922" i="4"/>
  <c r="C921" i="4"/>
  <c r="C920" i="4"/>
  <c r="C918" i="4"/>
  <c r="C917" i="4"/>
  <c r="C916" i="4"/>
  <c r="C915" i="4"/>
  <c r="C913" i="4"/>
  <c r="C912" i="4"/>
  <c r="C911" i="4"/>
  <c r="C910" i="4"/>
  <c r="C909" i="4"/>
  <c r="C908" i="4"/>
  <c r="C907" i="4"/>
  <c r="C903" i="4"/>
  <c r="C904" i="4"/>
  <c r="C905" i="4"/>
  <c r="C902" i="4"/>
  <c r="C901" i="4"/>
  <c r="C900" i="4"/>
  <c r="C899" i="4"/>
  <c r="C898" i="4"/>
  <c r="C897" i="4"/>
  <c r="C896" i="4"/>
  <c r="C894" i="4"/>
  <c r="C893" i="4"/>
  <c r="C892" i="4"/>
  <c r="C891" i="4"/>
  <c r="C890" i="4"/>
  <c r="C889" i="4"/>
  <c r="C888" i="4"/>
  <c r="C887" i="4"/>
  <c r="C886" i="4"/>
  <c r="C885" i="4"/>
  <c r="C884" i="4"/>
  <c r="C882" i="4"/>
  <c r="C881" i="4"/>
  <c r="C880" i="4"/>
  <c r="C879" i="4"/>
  <c r="C878" i="4"/>
  <c r="C877" i="4"/>
  <c r="C876" i="4"/>
  <c r="C875" i="4"/>
  <c r="C874" i="4"/>
  <c r="C872" i="4"/>
  <c r="C871" i="4"/>
  <c r="C870" i="4"/>
  <c r="C869" i="4"/>
  <c r="C868" i="4"/>
  <c r="C867" i="4"/>
  <c r="C866" i="4"/>
  <c r="C865" i="4"/>
  <c r="C864" i="4"/>
  <c r="C863" i="4"/>
  <c r="C862" i="4"/>
  <c r="C860" i="4"/>
  <c r="C859" i="4"/>
  <c r="C858" i="4"/>
  <c r="C857" i="4"/>
  <c r="C856" i="4"/>
  <c r="C855" i="4"/>
  <c r="C853" i="4"/>
  <c r="C852" i="4"/>
  <c r="C851" i="4"/>
  <c r="C849" i="4"/>
  <c r="C848" i="4"/>
  <c r="C847" i="4"/>
  <c r="C846" i="4"/>
  <c r="C845" i="4"/>
  <c r="C844" i="4"/>
  <c r="C843" i="4"/>
  <c r="C842" i="4"/>
  <c r="C841" i="4"/>
  <c r="C840" i="4"/>
  <c r="C838" i="4"/>
  <c r="C837" i="4"/>
  <c r="C836" i="4"/>
  <c r="C835" i="4"/>
  <c r="C834" i="4"/>
  <c r="C833" i="4"/>
  <c r="C831" i="4"/>
  <c r="C830" i="4"/>
  <c r="C829" i="4"/>
  <c r="C828" i="4"/>
  <c r="C827" i="4"/>
  <c r="C826" i="4"/>
  <c r="C825" i="4"/>
  <c r="C824" i="4"/>
  <c r="C823" i="4"/>
  <c r="C822" i="4"/>
  <c r="C821" i="4"/>
  <c r="C819" i="4"/>
  <c r="C818" i="4"/>
  <c r="C817" i="4"/>
  <c r="C816" i="4"/>
  <c r="C815" i="4"/>
  <c r="C814" i="4"/>
  <c r="C813" i="4"/>
  <c r="C812" i="4"/>
  <c r="C810" i="4"/>
  <c r="C809" i="4"/>
  <c r="C808" i="4"/>
  <c r="C807" i="4"/>
  <c r="C806" i="4"/>
  <c r="C805" i="4"/>
  <c r="C804" i="4"/>
  <c r="C802" i="4"/>
  <c r="C801" i="4"/>
  <c r="C800" i="4"/>
  <c r="C799" i="4"/>
  <c r="C798" i="4"/>
  <c r="C797" i="4"/>
  <c r="C796" i="4"/>
  <c r="C795" i="4"/>
  <c r="C793" i="4"/>
  <c r="C792" i="4"/>
  <c r="C791" i="4"/>
  <c r="C790" i="4"/>
  <c r="C789" i="4"/>
  <c r="C788" i="4"/>
  <c r="C786" i="4"/>
  <c r="C785" i="4"/>
  <c r="C784" i="4"/>
  <c r="C783" i="4"/>
  <c r="C782" i="4"/>
  <c r="C781" i="4"/>
  <c r="C780" i="4"/>
  <c r="C779" i="4"/>
  <c r="C778" i="4"/>
  <c r="C777" i="4"/>
  <c r="C775" i="4"/>
  <c r="C774" i="4"/>
  <c r="C773" i="4"/>
  <c r="C772" i="4"/>
  <c r="C771" i="4"/>
  <c r="C770" i="4"/>
  <c r="C769" i="4"/>
  <c r="C768" i="4"/>
  <c r="C766" i="4"/>
  <c r="C765" i="4"/>
  <c r="C764" i="4"/>
  <c r="C763" i="4"/>
  <c r="C762" i="4"/>
  <c r="C760" i="4"/>
  <c r="C759" i="4"/>
  <c r="C758" i="4"/>
  <c r="C757" i="4"/>
  <c r="C756" i="4"/>
  <c r="C755" i="4"/>
  <c r="C754" i="4"/>
  <c r="C753" i="4"/>
  <c r="C752" i="4"/>
  <c r="C751" i="4"/>
  <c r="C750" i="4"/>
  <c r="C748" i="4"/>
  <c r="C747" i="4"/>
  <c r="C746" i="4"/>
  <c r="C745" i="4"/>
  <c r="C744" i="4"/>
  <c r="C742" i="4"/>
  <c r="C741" i="4"/>
  <c r="C740" i="4"/>
  <c r="C739" i="4"/>
  <c r="C738" i="4"/>
  <c r="C737" i="4"/>
  <c r="C736" i="4"/>
  <c r="C735" i="4"/>
  <c r="C733" i="4"/>
  <c r="C731" i="4"/>
  <c r="C723" i="4"/>
  <c r="C630" i="4"/>
  <c r="C628" i="4"/>
  <c r="C389" i="4"/>
  <c r="C387" i="4"/>
  <c r="C377" i="4"/>
  <c r="C217" i="4"/>
  <c r="C215" i="4"/>
  <c r="C163" i="4"/>
  <c r="C8" i="4"/>
  <c r="C6" i="4"/>
  <c r="C212" i="4"/>
  <c r="C211" i="4"/>
  <c r="C210" i="4"/>
  <c r="C209" i="4"/>
  <c r="C208" i="4"/>
  <c r="C207" i="4"/>
  <c r="D2952" i="4"/>
  <c r="D2951" i="4"/>
  <c r="D2950" i="4"/>
  <c r="D2949" i="4"/>
  <c r="D2948" i="4"/>
  <c r="D2947" i="4"/>
  <c r="D2946" i="4"/>
  <c r="D2944" i="4"/>
  <c r="D2943" i="4"/>
  <c r="D2942" i="4"/>
  <c r="D2941" i="4"/>
  <c r="D2940" i="4"/>
  <c r="D2939" i="4"/>
  <c r="D2937" i="4"/>
  <c r="D2936" i="4"/>
  <c r="D2935" i="4"/>
  <c r="D2934" i="4"/>
  <c r="D2933" i="4"/>
  <c r="D2932" i="4"/>
  <c r="D2930" i="4"/>
  <c r="D2929" i="4"/>
  <c r="D2928" i="4"/>
  <c r="D2927" i="4"/>
  <c r="D2926" i="4"/>
  <c r="D2925" i="4"/>
  <c r="D2924" i="4"/>
  <c r="D2923" i="4"/>
  <c r="D2922" i="4"/>
  <c r="D2921" i="4"/>
  <c r="D2919" i="4"/>
  <c r="D2918" i="4"/>
  <c r="D2917" i="4"/>
  <c r="D2916" i="4"/>
  <c r="D2915" i="4"/>
  <c r="D2914" i="4"/>
  <c r="D2912" i="4"/>
  <c r="D2911" i="4"/>
  <c r="D2910" i="4"/>
  <c r="D2909" i="4"/>
  <c r="D2908" i="4"/>
  <c r="D2907" i="4"/>
  <c r="D2905" i="4"/>
  <c r="D2904" i="4"/>
  <c r="D2903" i="4"/>
  <c r="D2902" i="4"/>
  <c r="D2900" i="4"/>
  <c r="D2899" i="4"/>
  <c r="D2898" i="4"/>
  <c r="D2897" i="4"/>
  <c r="D2896" i="4"/>
  <c r="D2894" i="4"/>
  <c r="D2893" i="4"/>
  <c r="D2892" i="4"/>
  <c r="D2891" i="4"/>
  <c r="D2890" i="4"/>
  <c r="D2888" i="4"/>
  <c r="D2887" i="4"/>
  <c r="D2886" i="4"/>
  <c r="D2885" i="4"/>
  <c r="D2884" i="4"/>
  <c r="D2883" i="4"/>
  <c r="D2882" i="4"/>
  <c r="D2881" i="4"/>
  <c r="D2879" i="4"/>
  <c r="D2878" i="4"/>
  <c r="D2877" i="4"/>
  <c r="D2876" i="4"/>
  <c r="D2875" i="4"/>
  <c r="D2874" i="4"/>
  <c r="D2873" i="4"/>
  <c r="D2871" i="4"/>
  <c r="D2870" i="4"/>
  <c r="D2869" i="4"/>
  <c r="D2868" i="4"/>
  <c r="D2867" i="4"/>
  <c r="D2866" i="4"/>
  <c r="D2864" i="4"/>
  <c r="D2863" i="4"/>
  <c r="D2862" i="4"/>
  <c r="D2861" i="4"/>
  <c r="D2860" i="4"/>
  <c r="D2859" i="4"/>
  <c r="D2858" i="4"/>
  <c r="D2857" i="4"/>
  <c r="D2856" i="4"/>
  <c r="D2854" i="4"/>
  <c r="D2853" i="4"/>
  <c r="D2852" i="4"/>
  <c r="D2851" i="4"/>
  <c r="D2850" i="4"/>
  <c r="D2849" i="4"/>
  <c r="D2847" i="4"/>
  <c r="D2846" i="4"/>
  <c r="D2845" i="4"/>
  <c r="D2844" i="4"/>
  <c r="D2843" i="4"/>
  <c r="D2842" i="4"/>
  <c r="D2840" i="4"/>
  <c r="D2839" i="4"/>
  <c r="D2838" i="4"/>
  <c r="D2837" i="4"/>
  <c r="D2836" i="4"/>
  <c r="D2835" i="4"/>
  <c r="D2833" i="4"/>
  <c r="D2832" i="4"/>
  <c r="D2831" i="4"/>
  <c r="D2830" i="4"/>
  <c r="D2829" i="4"/>
  <c r="D2828" i="4"/>
  <c r="D2826" i="4"/>
  <c r="D2825" i="4"/>
  <c r="D2824" i="4"/>
  <c r="D2823" i="4"/>
  <c r="D2821" i="4"/>
  <c r="D2820" i="4"/>
  <c r="D2818" i="4"/>
  <c r="D2815" i="4"/>
  <c r="D2814" i="4"/>
  <c r="D2813" i="4"/>
  <c r="D2812" i="4"/>
  <c r="D2811" i="4"/>
  <c r="D2810" i="4"/>
  <c r="D2803" i="4"/>
  <c r="D2802" i="4"/>
  <c r="D2801" i="4"/>
  <c r="D2800" i="4"/>
  <c r="D2799" i="4"/>
  <c r="D2798" i="4"/>
  <c r="D2797" i="4"/>
  <c r="D2796" i="4"/>
  <c r="D2794" i="4"/>
  <c r="D2793" i="4"/>
  <c r="D2792" i="4"/>
  <c r="D2791" i="4"/>
  <c r="D2790" i="4"/>
  <c r="D2788" i="4"/>
  <c r="D2787" i="4"/>
  <c r="D2786" i="4"/>
  <c r="D2784" i="4"/>
  <c r="D2783" i="4"/>
  <c r="D2782" i="4"/>
  <c r="D2781" i="4"/>
  <c r="D2780" i="4"/>
  <c r="D2779" i="4"/>
  <c r="D2778" i="4"/>
  <c r="D2776" i="4"/>
  <c r="D2775" i="4"/>
  <c r="D2774" i="4"/>
  <c r="D2773" i="4"/>
  <c r="D2772" i="4"/>
  <c r="D2771" i="4"/>
  <c r="D2770" i="4"/>
  <c r="D2769" i="4"/>
  <c r="D2768" i="4"/>
  <c r="D2766" i="4"/>
  <c r="D2765" i="4"/>
  <c r="D2764" i="4"/>
  <c r="D2763" i="4"/>
  <c r="D2761" i="4"/>
  <c r="D2760" i="4"/>
  <c r="D2759" i="4"/>
  <c r="D2758" i="4"/>
  <c r="D2757" i="4"/>
  <c r="D2755" i="4"/>
  <c r="D2754" i="4"/>
  <c r="D2753" i="4"/>
  <c r="D2752" i="4"/>
  <c r="D2751" i="4"/>
  <c r="D2750" i="4"/>
  <c r="D2749" i="4"/>
  <c r="D2748" i="4"/>
  <c r="D2746" i="4"/>
  <c r="D2745" i="4"/>
  <c r="D2744" i="4"/>
  <c r="D2743" i="4"/>
  <c r="D2742" i="4"/>
  <c r="D2741" i="4"/>
  <c r="D2740" i="4"/>
  <c r="D2739" i="4"/>
  <c r="D2737" i="4"/>
  <c r="D2736" i="4"/>
  <c r="D2735" i="4"/>
  <c r="D2734" i="4"/>
  <c r="D2733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3" i="4"/>
  <c r="D2712" i="4"/>
  <c r="D2711" i="4"/>
  <c r="D2710" i="4"/>
  <c r="D2709" i="4"/>
  <c r="D2708" i="4"/>
  <c r="D2706" i="4"/>
  <c r="D2705" i="4"/>
  <c r="D2704" i="4"/>
  <c r="D2703" i="4"/>
  <c r="D2702" i="4"/>
  <c r="D2701" i="4"/>
  <c r="D2700" i="4"/>
  <c r="D2699" i="4"/>
  <c r="D2698" i="4"/>
  <c r="D2696" i="4"/>
  <c r="D2695" i="4"/>
  <c r="D2694" i="4"/>
  <c r="D2693" i="4"/>
  <c r="D2692" i="4"/>
  <c r="D2691" i="4"/>
  <c r="D2690" i="4"/>
  <c r="D2688" i="4"/>
  <c r="D2687" i="4"/>
  <c r="D2686" i="4"/>
  <c r="D2685" i="4"/>
  <c r="D2684" i="4"/>
  <c r="D2683" i="4"/>
  <c r="D2682" i="4"/>
  <c r="D2681" i="4"/>
  <c r="D2679" i="4"/>
  <c r="D2678" i="4"/>
  <c r="D2677" i="4"/>
  <c r="D2675" i="4"/>
  <c r="D2674" i="4"/>
  <c r="D2673" i="4"/>
  <c r="D2672" i="4"/>
  <c r="D2671" i="4"/>
  <c r="D2670" i="4"/>
  <c r="D2668" i="4"/>
  <c r="D2667" i="4"/>
  <c r="D2666" i="4"/>
  <c r="D2665" i="4"/>
  <c r="D2663" i="4"/>
  <c r="D2662" i="4"/>
  <c r="D2661" i="4"/>
  <c r="D2660" i="4"/>
  <c r="D2659" i="4"/>
  <c r="D2658" i="4"/>
  <c r="D2657" i="4"/>
  <c r="D2655" i="4"/>
  <c r="D2654" i="4"/>
  <c r="D2653" i="4"/>
  <c r="D2652" i="4"/>
  <c r="D2651" i="4"/>
  <c r="D2650" i="4"/>
  <c r="D2648" i="4"/>
  <c r="D2647" i="4"/>
  <c r="D2646" i="4"/>
  <c r="D2645" i="4"/>
  <c r="D2644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7" i="4"/>
  <c r="D2626" i="4"/>
  <c r="D2625" i="4"/>
  <c r="D2624" i="4"/>
  <c r="D2623" i="4"/>
  <c r="D2622" i="4"/>
  <c r="D2621" i="4"/>
  <c r="D2620" i="4"/>
  <c r="D2619" i="4"/>
  <c r="D2618" i="4"/>
  <c r="D2617" i="4"/>
  <c r="D2615" i="4"/>
  <c r="D2614" i="4"/>
  <c r="D2613" i="4"/>
  <c r="D2612" i="4"/>
  <c r="D2611" i="4"/>
  <c r="D2610" i="4"/>
  <c r="D2609" i="4"/>
  <c r="D2607" i="4"/>
  <c r="D2606" i="4"/>
  <c r="D2605" i="4"/>
  <c r="D2604" i="4"/>
  <c r="D2603" i="4"/>
  <c r="D2602" i="4"/>
  <c r="D2601" i="4"/>
  <c r="D2600" i="4"/>
  <c r="D2599" i="4"/>
  <c r="D2598" i="4"/>
  <c r="D2597" i="4"/>
  <c r="D2595" i="4"/>
  <c r="D2594" i="4"/>
  <c r="D2593" i="4"/>
  <c r="D2592" i="4"/>
  <c r="D2590" i="4"/>
  <c r="D2589" i="4"/>
  <c r="D2588" i="4"/>
  <c r="D2587" i="4"/>
  <c r="D2586" i="4"/>
  <c r="D2584" i="4"/>
  <c r="D2583" i="4"/>
  <c r="D2582" i="4"/>
  <c r="D2581" i="4"/>
  <c r="D2580" i="4"/>
  <c r="D2579" i="4"/>
  <c r="D2578" i="4"/>
  <c r="D2576" i="4"/>
  <c r="D2575" i="4"/>
  <c r="D2574" i="4"/>
  <c r="D2573" i="4"/>
  <c r="D2572" i="4"/>
  <c r="D2571" i="4"/>
  <c r="D2570" i="4"/>
  <c r="D2569" i="4"/>
  <c r="D2568" i="4"/>
  <c r="D2567" i="4"/>
  <c r="D2565" i="4"/>
  <c r="D2564" i="4"/>
  <c r="D2563" i="4"/>
  <c r="D2562" i="4"/>
  <c r="D2561" i="4"/>
  <c r="D2560" i="4"/>
  <c r="D2559" i="4"/>
  <c r="D2558" i="4"/>
  <c r="D2556" i="4"/>
  <c r="D2555" i="4"/>
  <c r="D2554" i="4"/>
  <c r="D2553" i="4"/>
  <c r="D2552" i="4"/>
  <c r="D2550" i="4"/>
  <c r="D2542" i="4"/>
  <c r="D2541" i="4"/>
  <c r="D2545" i="4"/>
  <c r="D2540" i="4"/>
  <c r="D2539" i="4"/>
  <c r="D2538" i="4"/>
  <c r="D2536" i="4"/>
  <c r="D2535" i="4"/>
  <c r="D2534" i="4"/>
  <c r="D2533" i="4"/>
  <c r="D2532" i="4"/>
  <c r="D2531" i="4"/>
  <c r="D2530" i="4"/>
  <c r="D2529" i="4"/>
  <c r="D2527" i="4"/>
  <c r="D2526" i="4"/>
  <c r="D2525" i="4"/>
  <c r="D2524" i="4"/>
  <c r="D2522" i="4"/>
  <c r="D2521" i="4"/>
  <c r="D2520" i="4"/>
  <c r="D2519" i="4"/>
  <c r="D2518" i="4"/>
  <c r="D2517" i="4"/>
  <c r="D2516" i="4"/>
  <c r="D2515" i="4"/>
  <c r="D2514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499" i="4"/>
  <c r="D2498" i="4"/>
  <c r="D2497" i="4"/>
  <c r="D2496" i="4"/>
  <c r="D2494" i="4"/>
  <c r="D2493" i="4"/>
  <c r="D2492" i="4"/>
  <c r="D2491" i="4"/>
  <c r="D2490" i="4"/>
  <c r="D2488" i="4"/>
  <c r="D2487" i="4"/>
  <c r="D2486" i="4"/>
  <c r="D2485" i="4"/>
  <c r="D2483" i="4"/>
  <c r="D2482" i="4"/>
  <c r="D2481" i="4"/>
  <c r="D2480" i="4"/>
  <c r="D2479" i="4"/>
  <c r="D2477" i="4"/>
  <c r="D2476" i="4"/>
  <c r="D2475" i="4"/>
  <c r="D2474" i="4"/>
  <c r="D2473" i="4"/>
  <c r="D2471" i="4"/>
  <c r="D2470" i="4"/>
  <c r="D2469" i="4"/>
  <c r="D2468" i="4"/>
  <c r="D2467" i="4"/>
  <c r="D2466" i="4"/>
  <c r="D2464" i="4"/>
  <c r="D2463" i="4"/>
  <c r="D2462" i="4"/>
  <c r="D2461" i="4"/>
  <c r="D2460" i="4"/>
  <c r="D2459" i="4"/>
  <c r="D2458" i="4"/>
  <c r="D2456" i="4"/>
  <c r="D2455" i="4"/>
  <c r="D2454" i="4"/>
  <c r="D2452" i="4"/>
  <c r="D2451" i="4"/>
  <c r="D2450" i="4"/>
  <c r="D2449" i="4"/>
  <c r="D2448" i="4"/>
  <c r="D2447" i="4"/>
  <c r="D2445" i="4"/>
  <c r="D2444" i="4"/>
  <c r="D2443" i="4"/>
  <c r="D2442" i="4"/>
  <c r="D2441" i="4"/>
  <c r="D2439" i="4"/>
  <c r="D2438" i="4"/>
  <c r="D2437" i="4"/>
  <c r="D2436" i="4"/>
  <c r="D2435" i="4"/>
  <c r="D2434" i="4"/>
  <c r="D2433" i="4"/>
  <c r="D2432" i="4"/>
  <c r="D2431" i="4"/>
  <c r="D2429" i="4"/>
  <c r="D2428" i="4"/>
  <c r="D2427" i="4"/>
  <c r="D2426" i="4"/>
  <c r="D2425" i="4"/>
  <c r="D2424" i="4"/>
  <c r="D2422" i="4"/>
  <c r="D2421" i="4"/>
  <c r="D2420" i="4"/>
  <c r="D2419" i="4"/>
  <c r="D2418" i="4"/>
  <c r="D2417" i="4"/>
  <c r="D2416" i="4"/>
  <c r="D2414" i="4"/>
  <c r="D2413" i="4"/>
  <c r="D2412" i="4"/>
  <c r="D2411" i="4"/>
  <c r="D2410" i="4"/>
  <c r="D2409" i="4"/>
  <c r="D2407" i="4"/>
  <c r="D2406" i="4"/>
  <c r="D2404" i="4"/>
  <c r="D2399" i="4"/>
  <c r="D2398" i="4"/>
  <c r="D2397" i="4"/>
  <c r="D2396" i="4"/>
  <c r="D2395" i="4"/>
  <c r="D2394" i="4"/>
  <c r="D2393" i="4"/>
  <c r="D2392" i="4"/>
  <c r="D2390" i="4"/>
  <c r="D2389" i="4"/>
  <c r="D2388" i="4"/>
  <c r="D2387" i="4"/>
  <c r="D2386" i="4"/>
  <c r="D2385" i="4"/>
  <c r="D2384" i="4"/>
  <c r="D2383" i="4"/>
  <c r="D2381" i="4"/>
  <c r="D2380" i="4"/>
  <c r="D2379" i="4"/>
  <c r="D2378" i="4"/>
  <c r="D2377" i="4"/>
  <c r="D2375" i="4"/>
  <c r="D2374" i="4"/>
  <c r="D2373" i="4"/>
  <c r="D2372" i="4"/>
  <c r="D2371" i="4"/>
  <c r="D2369" i="4"/>
  <c r="D2368" i="4"/>
  <c r="D2367" i="4"/>
  <c r="D2366" i="4"/>
  <c r="D2365" i="4"/>
  <c r="D2364" i="4"/>
  <c r="D2363" i="4"/>
  <c r="D2362" i="4"/>
  <c r="D2361" i="4"/>
  <c r="D2359" i="4"/>
  <c r="D2358" i="4"/>
  <c r="D2357" i="4"/>
  <c r="D2356" i="4"/>
  <c r="D2355" i="4"/>
  <c r="D2353" i="4"/>
  <c r="D2352" i="4"/>
  <c r="D2351" i="4"/>
  <c r="D2350" i="4"/>
  <c r="D2349" i="4"/>
  <c r="D2348" i="4"/>
  <c r="D2346" i="4"/>
  <c r="D2345" i="4"/>
  <c r="D2344" i="4"/>
  <c r="D2343" i="4"/>
  <c r="D2342" i="4"/>
  <c r="D2341" i="4"/>
  <c r="D2340" i="4"/>
  <c r="D2339" i="4"/>
  <c r="D2337" i="4"/>
  <c r="D2336" i="4"/>
  <c r="D2335" i="4"/>
  <c r="D2334" i="4"/>
  <c r="D2333" i="4"/>
  <c r="D2332" i="4"/>
  <c r="D2331" i="4"/>
  <c r="D2330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8" i="4"/>
  <c r="D2307" i="4"/>
  <c r="D2306" i="4"/>
  <c r="D2305" i="4"/>
  <c r="D2304" i="4"/>
  <c r="D2302" i="4"/>
  <c r="D2301" i="4"/>
  <c r="D2300" i="4"/>
  <c r="D2299" i="4"/>
  <c r="D2298" i="4"/>
  <c r="D2297" i="4"/>
  <c r="D2296" i="4"/>
  <c r="D2295" i="4"/>
  <c r="D2294" i="4"/>
  <c r="D2292" i="4"/>
  <c r="D2291" i="4"/>
  <c r="D2290" i="4"/>
  <c r="D2289" i="4"/>
  <c r="D2288" i="4"/>
  <c r="D2287" i="4"/>
  <c r="D2286" i="4"/>
  <c r="D2285" i="4"/>
  <c r="D2283" i="4"/>
  <c r="D2281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0" i="4"/>
  <c r="D2239" i="4"/>
  <c r="D2238" i="4"/>
  <c r="D2237" i="4"/>
  <c r="D2236" i="4"/>
  <c r="D2235" i="4"/>
  <c r="D2234" i="4"/>
  <c r="D2233" i="4"/>
  <c r="D2232" i="4"/>
  <c r="D2231" i="4"/>
  <c r="D2229" i="4"/>
  <c r="D2228" i="4"/>
  <c r="D2227" i="4"/>
  <c r="D2226" i="4"/>
  <c r="D2225" i="4"/>
  <c r="D2224" i="4"/>
  <c r="D2223" i="4"/>
  <c r="D2222" i="4"/>
  <c r="D2221" i="4"/>
  <c r="D2219" i="4"/>
  <c r="D2218" i="4"/>
  <c r="D2217" i="4"/>
  <c r="D2216" i="4"/>
  <c r="D2215" i="4"/>
  <c r="D2214" i="4"/>
  <c r="D2213" i="4"/>
  <c r="D2212" i="4"/>
  <c r="D2211" i="4"/>
  <c r="D2209" i="4"/>
  <c r="D2208" i="4"/>
  <c r="D2207" i="4"/>
  <c r="D2206" i="4"/>
  <c r="D2205" i="4"/>
  <c r="D2203" i="4"/>
  <c r="D2202" i="4"/>
  <c r="D2201" i="4"/>
  <c r="D2200" i="4"/>
  <c r="D2199" i="4"/>
  <c r="D2198" i="4"/>
  <c r="D2197" i="4"/>
  <c r="D2196" i="4"/>
  <c r="D2194" i="4"/>
  <c r="D2193" i="4"/>
  <c r="D2192" i="4"/>
  <c r="D2191" i="4"/>
  <c r="D2190" i="4"/>
  <c r="D2189" i="4"/>
  <c r="D2187" i="4"/>
  <c r="D2186" i="4"/>
  <c r="D2185" i="4"/>
  <c r="D2184" i="4"/>
  <c r="D2183" i="4"/>
  <c r="D2181" i="4"/>
  <c r="D2180" i="4"/>
  <c r="D2179" i="4"/>
  <c r="D2178" i="4"/>
  <c r="D2177" i="4"/>
  <c r="D2175" i="4"/>
  <c r="D2174" i="4"/>
  <c r="D2173" i="4"/>
  <c r="D2172" i="4"/>
  <c r="D2171" i="4"/>
  <c r="D2170" i="4"/>
  <c r="D2169" i="4"/>
  <c r="D2168" i="4"/>
  <c r="D2166" i="4"/>
  <c r="D2165" i="4"/>
  <c r="D2164" i="4"/>
  <c r="D2163" i="4"/>
  <c r="D2162" i="4"/>
  <c r="D2161" i="4"/>
  <c r="D2160" i="4"/>
  <c r="D2159" i="4"/>
  <c r="D2158" i="4"/>
  <c r="D2156" i="4"/>
  <c r="D2155" i="4"/>
  <c r="D2154" i="4"/>
  <c r="D2153" i="4"/>
  <c r="D2152" i="4"/>
  <c r="D2151" i="4"/>
  <c r="D2150" i="4"/>
  <c r="D2149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7" i="4"/>
  <c r="D2116" i="4"/>
  <c r="D2115" i="4"/>
  <c r="D2114" i="4"/>
  <c r="D2113" i="4"/>
  <c r="D2111" i="4"/>
  <c r="D2110" i="4"/>
  <c r="D2109" i="4"/>
  <c r="D2108" i="4"/>
  <c r="D2107" i="4"/>
  <c r="D2106" i="4"/>
  <c r="D2105" i="4"/>
  <c r="D2104" i="4"/>
  <c r="D2103" i="4"/>
  <c r="D2102" i="4"/>
  <c r="D2100" i="4"/>
  <c r="D2099" i="4"/>
  <c r="D2098" i="4"/>
  <c r="D2097" i="4"/>
  <c r="D2096" i="4"/>
  <c r="D2095" i="4"/>
  <c r="D2094" i="4"/>
  <c r="D2093" i="4"/>
  <c r="D2091" i="4"/>
  <c r="D2089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7" i="4"/>
  <c r="D2066" i="4"/>
  <c r="D2065" i="4"/>
  <c r="D2064" i="4"/>
  <c r="D2063" i="4"/>
  <c r="D2062" i="4"/>
  <c r="D2060" i="4"/>
  <c r="D2059" i="4"/>
  <c r="D2058" i="4"/>
  <c r="D2057" i="4"/>
  <c r="D2056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0" i="4"/>
  <c r="D2039" i="4"/>
  <c r="D2038" i="4"/>
  <c r="D2037" i="4"/>
  <c r="D2036" i="4"/>
  <c r="D2035" i="4"/>
  <c r="D2034" i="4"/>
  <c r="D2033" i="4"/>
  <c r="D2032" i="4"/>
  <c r="D2031" i="4"/>
  <c r="D2029" i="4"/>
  <c r="D2028" i="4"/>
  <c r="D2027" i="4"/>
  <c r="D2026" i="4"/>
  <c r="D2025" i="4"/>
  <c r="D2024" i="4"/>
  <c r="D2023" i="4"/>
  <c r="D2021" i="4"/>
  <c r="D2020" i="4"/>
  <c r="D2019" i="4"/>
  <c r="D2018" i="4"/>
  <c r="D2017" i="4"/>
  <c r="D2015" i="4"/>
  <c r="D2014" i="4"/>
  <c r="D2013" i="4"/>
  <c r="D2012" i="4"/>
  <c r="D2011" i="4"/>
  <c r="D2010" i="4"/>
  <c r="D2008" i="4"/>
  <c r="D2007" i="4"/>
  <c r="D2006" i="4"/>
  <c r="D2005" i="4"/>
  <c r="D2004" i="4"/>
  <c r="D2002" i="4"/>
  <c r="D2001" i="4"/>
  <c r="D2000" i="4"/>
  <c r="D1999" i="4"/>
  <c r="D1998" i="4"/>
  <c r="D1997" i="4"/>
  <c r="D1995" i="4"/>
  <c r="D1994" i="4"/>
  <c r="D1993" i="4"/>
  <c r="D1992" i="4"/>
  <c r="D1991" i="4"/>
  <c r="D1990" i="4"/>
  <c r="D1989" i="4"/>
  <c r="D1988" i="4"/>
  <c r="D1986" i="4"/>
  <c r="D1985" i="4"/>
  <c r="D1984" i="4"/>
  <c r="D1983" i="4"/>
  <c r="D1982" i="4"/>
  <c r="D1981" i="4"/>
  <c r="D1980" i="4"/>
  <c r="D1979" i="4"/>
  <c r="D1977" i="4"/>
  <c r="D1976" i="4"/>
  <c r="D1975" i="4"/>
  <c r="D1974" i="4"/>
  <c r="D1973" i="4"/>
  <c r="D1972" i="4"/>
  <c r="D1971" i="4"/>
  <c r="D1970" i="4"/>
  <c r="D1968" i="4"/>
  <c r="D1967" i="4"/>
  <c r="D1966" i="4"/>
  <c r="D1965" i="4"/>
  <c r="D1964" i="4"/>
  <c r="D1963" i="4"/>
  <c r="D1962" i="4"/>
  <c r="D1960" i="4"/>
  <c r="D1959" i="4"/>
  <c r="D1958" i="4"/>
  <c r="D1957" i="4"/>
  <c r="D1956" i="4"/>
  <c r="D1954" i="4"/>
  <c r="D1953" i="4"/>
  <c r="D1952" i="4"/>
  <c r="D1951" i="4"/>
  <c r="D1950" i="4"/>
  <c r="D1949" i="4"/>
  <c r="D1948" i="4"/>
  <c r="D1947" i="4"/>
  <c r="D1946" i="4"/>
  <c r="D1945" i="4"/>
  <c r="D1943" i="4"/>
  <c r="D1941" i="4"/>
  <c r="D1934" i="4"/>
  <c r="D1933" i="4"/>
  <c r="D1932" i="4"/>
  <c r="D1931" i="4"/>
  <c r="D1930" i="4"/>
  <c r="D1929" i="4"/>
  <c r="D1928" i="4"/>
  <c r="D1926" i="4"/>
  <c r="D1925" i="4"/>
  <c r="D1924" i="4"/>
  <c r="D1923" i="4"/>
  <c r="D1922" i="4"/>
  <c r="D1921" i="4"/>
  <c r="D1920" i="4"/>
  <c r="D1919" i="4"/>
  <c r="D1918" i="4"/>
  <c r="D1917" i="4"/>
  <c r="D1915" i="4"/>
  <c r="D1914" i="4"/>
  <c r="D1913" i="4"/>
  <c r="D1912" i="4"/>
  <c r="D1911" i="4"/>
  <c r="D1910" i="4"/>
  <c r="D1909" i="4"/>
  <c r="D1908" i="4"/>
  <c r="D1907" i="4"/>
  <c r="D1905" i="4"/>
  <c r="D1904" i="4"/>
  <c r="D1903" i="4"/>
  <c r="D1902" i="4"/>
  <c r="D1901" i="4"/>
  <c r="D1900" i="4"/>
  <c r="D1899" i="4"/>
  <c r="D1898" i="4"/>
  <c r="D1897" i="4"/>
  <c r="D1896" i="4"/>
  <c r="D1894" i="4"/>
  <c r="D1893" i="4"/>
  <c r="D1892" i="4"/>
  <c r="D1891" i="4"/>
  <c r="D1890" i="4"/>
  <c r="D1889" i="4"/>
  <c r="D1888" i="4"/>
  <c r="D1887" i="4"/>
  <c r="D1886" i="4"/>
  <c r="D1884" i="4"/>
  <c r="D1883" i="4"/>
  <c r="D1882" i="4"/>
  <c r="D1881" i="4"/>
  <c r="D1880" i="4"/>
  <c r="D1878" i="4"/>
  <c r="D1877" i="4"/>
  <c r="D1876" i="4"/>
  <c r="D1875" i="4"/>
  <c r="D1874" i="4"/>
  <c r="D1873" i="4"/>
  <c r="D1872" i="4"/>
  <c r="D1870" i="4"/>
  <c r="D1869" i="4"/>
  <c r="D1868" i="4"/>
  <c r="D1867" i="4"/>
  <c r="D1866" i="4"/>
  <c r="D1865" i="4"/>
  <c r="D1864" i="4"/>
  <c r="D1863" i="4"/>
  <c r="D1862" i="4"/>
  <c r="D1860" i="4"/>
  <c r="D1859" i="4"/>
  <c r="D1858" i="4"/>
  <c r="D1857" i="4"/>
  <c r="D1856" i="4"/>
  <c r="D1855" i="4"/>
  <c r="D1853" i="4"/>
  <c r="D1852" i="4"/>
  <c r="D1851" i="4"/>
  <c r="D1850" i="4"/>
  <c r="D1849" i="4"/>
  <c r="D1848" i="4"/>
  <c r="D1847" i="4"/>
  <c r="D1846" i="4"/>
  <c r="D1845" i="4"/>
  <c r="D1843" i="4"/>
  <c r="D1842" i="4"/>
  <c r="D1841" i="4"/>
  <c r="D1840" i="4"/>
  <c r="D1839" i="4"/>
  <c r="D1838" i="4"/>
  <c r="D1836" i="4"/>
  <c r="D1835" i="4"/>
  <c r="D1834" i="4"/>
  <c r="D1833" i="4"/>
  <c r="D1832" i="4"/>
  <c r="D1831" i="4"/>
  <c r="D1830" i="4"/>
  <c r="D1829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1" i="4"/>
  <c r="D1810" i="4"/>
  <c r="D1809" i="4"/>
  <c r="D1808" i="4"/>
  <c r="D1807" i="4"/>
  <c r="D1806" i="4"/>
  <c r="D1805" i="4"/>
  <c r="D1803" i="4"/>
  <c r="D1801" i="4"/>
  <c r="D1794" i="4"/>
  <c r="D1793" i="4"/>
  <c r="D1792" i="4"/>
  <c r="D1791" i="4"/>
  <c r="D1790" i="4"/>
  <c r="D1789" i="4"/>
  <c r="D1787" i="4"/>
  <c r="D1786" i="4"/>
  <c r="D1785" i="4"/>
  <c r="D1784" i="4"/>
  <c r="D1783" i="4"/>
  <c r="D1781" i="4"/>
  <c r="D1780" i="4"/>
  <c r="D1779" i="4"/>
  <c r="D1778" i="4"/>
  <c r="D1777" i="4"/>
  <c r="D1776" i="4"/>
  <c r="D1774" i="4"/>
  <c r="D1773" i="4"/>
  <c r="D1772" i="4"/>
  <c r="D1771" i="4"/>
  <c r="D1770" i="4"/>
  <c r="D1769" i="4"/>
  <c r="D1768" i="4"/>
  <c r="D1767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0" i="4"/>
  <c r="D1749" i="4"/>
  <c r="D1748" i="4"/>
  <c r="D1747" i="4"/>
  <c r="D1746" i="4"/>
  <c r="D1744" i="4"/>
  <c r="D1743" i="4"/>
  <c r="D1742" i="4"/>
  <c r="D1741" i="4"/>
  <c r="D1740" i="4"/>
  <c r="D1739" i="4"/>
  <c r="D1738" i="4"/>
  <c r="D1737" i="4"/>
  <c r="D1736" i="4"/>
  <c r="D1734" i="4"/>
  <c r="D1733" i="4"/>
  <c r="D1732" i="4"/>
  <c r="D1731" i="4"/>
  <c r="D1730" i="4"/>
  <c r="D1729" i="4"/>
  <c r="D1728" i="4"/>
  <c r="D1727" i="4"/>
  <c r="D1726" i="4"/>
  <c r="D1725" i="4"/>
  <c r="D1723" i="4"/>
  <c r="D1722" i="4"/>
  <c r="D1721" i="4"/>
  <c r="D1720" i="4"/>
  <c r="D1719" i="4"/>
  <c r="D1718" i="4"/>
  <c r="D1717" i="4"/>
  <c r="D1715" i="4"/>
  <c r="D1714" i="4"/>
  <c r="D1713" i="4"/>
  <c r="D1712" i="4"/>
  <c r="D1711" i="4"/>
  <c r="D1710" i="4"/>
  <c r="D1709" i="4"/>
  <c r="D1708" i="4"/>
  <c r="D1707" i="4"/>
  <c r="D1706" i="4"/>
  <c r="D1704" i="4"/>
  <c r="D1703" i="4"/>
  <c r="D1702" i="4"/>
  <c r="D1701" i="4"/>
  <c r="D1700" i="4"/>
  <c r="D1699" i="4"/>
  <c r="D1698" i="4"/>
  <c r="D1696" i="4"/>
  <c r="D1695" i="4"/>
  <c r="D1694" i="4"/>
  <c r="D1693" i="4"/>
  <c r="D1692" i="4"/>
  <c r="D1691" i="4"/>
  <c r="D1690" i="4"/>
  <c r="D1689" i="4"/>
  <c r="D1687" i="4"/>
  <c r="D1686" i="4"/>
  <c r="D1685" i="4"/>
  <c r="D1684" i="4"/>
  <c r="D1683" i="4"/>
  <c r="D1681" i="4"/>
  <c r="D1680" i="4"/>
  <c r="D1679" i="4"/>
  <c r="D1678" i="4"/>
  <c r="D1677" i="4"/>
  <c r="D1675" i="4"/>
  <c r="D1674" i="4"/>
  <c r="D1673" i="4"/>
  <c r="D1672" i="4"/>
  <c r="D1671" i="4"/>
  <c r="D1670" i="4"/>
  <c r="D1669" i="4"/>
  <c r="D1668" i="4"/>
  <c r="D1667" i="4"/>
  <c r="D1666" i="4"/>
  <c r="D1664" i="4"/>
  <c r="D1663" i="4"/>
  <c r="D1662" i="4"/>
  <c r="D1661" i="4"/>
  <c r="D1660" i="4"/>
  <c r="D1659" i="4"/>
  <c r="D1657" i="4"/>
  <c r="D1656" i="4"/>
  <c r="D1655" i="4"/>
  <c r="D1654" i="4"/>
  <c r="D1653" i="4"/>
  <c r="D1652" i="4"/>
  <c r="D1651" i="4"/>
  <c r="D1650" i="4"/>
  <c r="D1649" i="4"/>
  <c r="D1648" i="4"/>
  <c r="D1646" i="4"/>
  <c r="D1645" i="4"/>
  <c r="D1644" i="4"/>
  <c r="D1643" i="4"/>
  <c r="D1642" i="4"/>
  <c r="D1641" i="4"/>
  <c r="D1640" i="4"/>
  <c r="D1639" i="4"/>
  <c r="D1638" i="4"/>
  <c r="D1637" i="4"/>
  <c r="D1636" i="4"/>
  <c r="D1634" i="4"/>
  <c r="D1633" i="4"/>
  <c r="D1632" i="4"/>
  <c r="D1631" i="4"/>
  <c r="D1630" i="4"/>
  <c r="D1629" i="4"/>
  <c r="D1628" i="4"/>
  <c r="D1626" i="4"/>
  <c r="D1625" i="4"/>
  <c r="D1624" i="4"/>
  <c r="D1623" i="4"/>
  <c r="D1622" i="4"/>
  <c r="D1621" i="4"/>
  <c r="D1619" i="4"/>
  <c r="D1618" i="4"/>
  <c r="D1617" i="4"/>
  <c r="D1615" i="4"/>
  <c r="D1613" i="4"/>
  <c r="D1607" i="4"/>
  <c r="D1608" i="4"/>
  <c r="D1606" i="4"/>
  <c r="D1605" i="4"/>
  <c r="D1604" i="4"/>
  <c r="D1603" i="4"/>
  <c r="D1602" i="4"/>
  <c r="D1601" i="4"/>
  <c r="D1600" i="4"/>
  <c r="D1598" i="4"/>
  <c r="D1597" i="4"/>
  <c r="D1596" i="4"/>
  <c r="D1595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79" i="4"/>
  <c r="D1578" i="4"/>
  <c r="D1577" i="4"/>
  <c r="D1576" i="4"/>
  <c r="D1569" i="4"/>
  <c r="D1570" i="4"/>
  <c r="D1571" i="4"/>
  <c r="D1573" i="4"/>
  <c r="D1574" i="4"/>
  <c r="D1575" i="4"/>
  <c r="D1568" i="4"/>
  <c r="D1567" i="4"/>
  <c r="D1566" i="4"/>
  <c r="D1565" i="4"/>
  <c r="D1564" i="4"/>
  <c r="D1563" i="4"/>
  <c r="D1561" i="4"/>
  <c r="D1560" i="4"/>
  <c r="D1559" i="4"/>
  <c r="D1558" i="4"/>
  <c r="D1557" i="4"/>
  <c r="D1555" i="4"/>
  <c r="D1554" i="4"/>
  <c r="D1553" i="4"/>
  <c r="D1552" i="4"/>
  <c r="D1551" i="4"/>
  <c r="D1549" i="4"/>
  <c r="D1548" i="4"/>
  <c r="D1547" i="4"/>
  <c r="D1546" i="4"/>
  <c r="D1544" i="4"/>
  <c r="D1543" i="4"/>
  <c r="D1542" i="4"/>
  <c r="D1541" i="4"/>
  <c r="D1540" i="4"/>
  <c r="D1539" i="4"/>
  <c r="D1537" i="4"/>
  <c r="D1536" i="4"/>
  <c r="D1535" i="4"/>
  <c r="D1534" i="4"/>
  <c r="D1532" i="4"/>
  <c r="D1531" i="4"/>
  <c r="D1530" i="4"/>
  <c r="D1529" i="4"/>
  <c r="D1528" i="4"/>
  <c r="D1527" i="4"/>
  <c r="D1525" i="4"/>
  <c r="D1523" i="4"/>
  <c r="D1494" i="4"/>
  <c r="D1493" i="4"/>
  <c r="D1492" i="4"/>
  <c r="D1491" i="4"/>
  <c r="D1490" i="4"/>
  <c r="D1488" i="4"/>
  <c r="D1487" i="4"/>
  <c r="D1486" i="4"/>
  <c r="D1485" i="4"/>
  <c r="D1484" i="4"/>
  <c r="D1483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481" i="4"/>
  <c r="D1480" i="4"/>
  <c r="D1479" i="4"/>
  <c r="D1478" i="4"/>
  <c r="D1477" i="4"/>
  <c r="D1475" i="4"/>
  <c r="D1474" i="4"/>
  <c r="D1473" i="4"/>
  <c r="D1472" i="4"/>
  <c r="D1471" i="4"/>
  <c r="D1470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5" i="4"/>
  <c r="D1454" i="4"/>
  <c r="D1453" i="4"/>
  <c r="D1452" i="4"/>
  <c r="D1451" i="4"/>
  <c r="D1450" i="4"/>
  <c r="D1449" i="4"/>
  <c r="D1448" i="4"/>
  <c r="D1447" i="4"/>
  <c r="D1445" i="4"/>
  <c r="D1444" i="4"/>
  <c r="D1443" i="4"/>
  <c r="D1442" i="4"/>
  <c r="D1441" i="4"/>
  <c r="D1440" i="4"/>
  <c r="D1439" i="4"/>
  <c r="D1437" i="4"/>
  <c r="D1436" i="4"/>
  <c r="D1435" i="4"/>
  <c r="D1434" i="4"/>
  <c r="D1433" i="4"/>
  <c r="D1431" i="4"/>
  <c r="D1430" i="4"/>
  <c r="D1429" i="4"/>
  <c r="D1428" i="4"/>
  <c r="D1427" i="4"/>
  <c r="D1426" i="4"/>
  <c r="D1425" i="4"/>
  <c r="D1424" i="4"/>
  <c r="D1423" i="4"/>
  <c r="D1421" i="4"/>
  <c r="D1420" i="4"/>
  <c r="D1419" i="4"/>
  <c r="D1418" i="4"/>
  <c r="D1417" i="4"/>
  <c r="D1416" i="4"/>
  <c r="D1415" i="4"/>
  <c r="D1414" i="4"/>
  <c r="D1412" i="4"/>
  <c r="D1411" i="4"/>
  <c r="D1410" i="4"/>
  <c r="D1409" i="4"/>
  <c r="D1408" i="4"/>
  <c r="D1407" i="4"/>
  <c r="D1406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6" i="4"/>
  <c r="D1375" i="4"/>
  <c r="D1374" i="4"/>
  <c r="D1373" i="4"/>
  <c r="D1372" i="4"/>
  <c r="D1371" i="4"/>
  <c r="D1370" i="4"/>
  <c r="D1368" i="4"/>
  <c r="D1367" i="4"/>
  <c r="D1366" i="4"/>
  <c r="D1365" i="4"/>
  <c r="D1364" i="4"/>
  <c r="D1363" i="4"/>
  <c r="D1362" i="4"/>
  <c r="D1361" i="4"/>
  <c r="D1359" i="4"/>
  <c r="D1358" i="4"/>
  <c r="D1357" i="4"/>
  <c r="D1356" i="4"/>
  <c r="D1355" i="4"/>
  <c r="D1354" i="4"/>
  <c r="D1353" i="4"/>
  <c r="D1351" i="4"/>
  <c r="D1350" i="4"/>
  <c r="D1349" i="4"/>
  <c r="D1348" i="4"/>
  <c r="D1347" i="4"/>
  <c r="D1346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5" i="4"/>
  <c r="D1314" i="4"/>
  <c r="D1313" i="4"/>
  <c r="D1312" i="4"/>
  <c r="D1311" i="4"/>
  <c r="D1310" i="4"/>
  <c r="D1308" i="4"/>
  <c r="D1307" i="4"/>
  <c r="D1306" i="4"/>
  <c r="D1305" i="4"/>
  <c r="D1304" i="4"/>
  <c r="D1303" i="4"/>
  <c r="D1302" i="4"/>
  <c r="D1301" i="4"/>
  <c r="D1299" i="4"/>
  <c r="D1298" i="4"/>
  <c r="D1297" i="4"/>
  <c r="D1296" i="4"/>
  <c r="D1295" i="4"/>
  <c r="D1294" i="4"/>
  <c r="D1293" i="4"/>
  <c r="D1292" i="4"/>
  <c r="D1291" i="4"/>
  <c r="D1290" i="4"/>
  <c r="D1289" i="4"/>
  <c r="D1287" i="4"/>
  <c r="D1286" i="4"/>
  <c r="D1285" i="4"/>
  <c r="D1284" i="4"/>
  <c r="D1283" i="4"/>
  <c r="D1282" i="4"/>
  <c r="D1281" i="4"/>
  <c r="D1280" i="4"/>
  <c r="D1279" i="4"/>
  <c r="D1278" i="4"/>
  <c r="D1277" i="4"/>
  <c r="D1275" i="4"/>
  <c r="D1274" i="4"/>
  <c r="D1273" i="4"/>
  <c r="D1272" i="4"/>
  <c r="D1271" i="4"/>
  <c r="D1270" i="4"/>
  <c r="D1268" i="4"/>
  <c r="D1267" i="4"/>
  <c r="D1266" i="4"/>
  <c r="D1265" i="4"/>
  <c r="D1264" i="4"/>
  <c r="D1263" i="4"/>
  <c r="D1262" i="4"/>
  <c r="D1261" i="4"/>
  <c r="D1260" i="4"/>
  <c r="D1259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3" i="4"/>
  <c r="D1242" i="4"/>
  <c r="D1241" i="4"/>
  <c r="D1240" i="4"/>
  <c r="D1239" i="4"/>
  <c r="D1238" i="4"/>
  <c r="D1237" i="4"/>
  <c r="D1236" i="4"/>
  <c r="D1235" i="4"/>
  <c r="D1234" i="4"/>
  <c r="D1232" i="4"/>
  <c r="D1231" i="4"/>
  <c r="D1230" i="4"/>
  <c r="D1229" i="4"/>
  <c r="D1228" i="4"/>
  <c r="D1227" i="4"/>
  <c r="D1225" i="4"/>
  <c r="D1224" i="4"/>
  <c r="D1223" i="4"/>
  <c r="D1222" i="4"/>
  <c r="D1221" i="4"/>
  <c r="D1220" i="4"/>
  <c r="D1218" i="4"/>
  <c r="D1217" i="4"/>
  <c r="D1216" i="4"/>
  <c r="D1215" i="4"/>
  <c r="D1214" i="4"/>
  <c r="D1212" i="4"/>
  <c r="D1211" i="4"/>
  <c r="D1210" i="4"/>
  <c r="D1209" i="4"/>
  <c r="D1208" i="4"/>
  <c r="D1207" i="4"/>
  <c r="D1206" i="4"/>
  <c r="D1204" i="4"/>
  <c r="D1203" i="4"/>
  <c r="D1202" i="4"/>
  <c r="D1201" i="4"/>
  <c r="D1200" i="4"/>
  <c r="D1199" i="4"/>
  <c r="D1198" i="4"/>
  <c r="D1197" i="4"/>
  <c r="D1196" i="4"/>
  <c r="D1195" i="4"/>
  <c r="D1193" i="4"/>
  <c r="D1192" i="4"/>
  <c r="D1191" i="4"/>
  <c r="D1190" i="4"/>
  <c r="D1189" i="4"/>
  <c r="D1188" i="4"/>
  <c r="D1186" i="4"/>
  <c r="D1185" i="4"/>
  <c r="D1184" i="4"/>
  <c r="D1183" i="4"/>
  <c r="D1182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5" i="4"/>
  <c r="D1164" i="4"/>
  <c r="D1163" i="4"/>
  <c r="D1162" i="4"/>
  <c r="D1161" i="4"/>
  <c r="D1160" i="4"/>
  <c r="D1159" i="4"/>
  <c r="D1158" i="4"/>
  <c r="D1157" i="4"/>
  <c r="D1155" i="4"/>
  <c r="D1154" i="4"/>
  <c r="D1153" i="4"/>
  <c r="D1152" i="4"/>
  <c r="D1151" i="4"/>
  <c r="D1150" i="4"/>
  <c r="D1148" i="4"/>
  <c r="D1146" i="4"/>
  <c r="D1137" i="4"/>
  <c r="D1136" i="4"/>
  <c r="D1135" i="4"/>
  <c r="D1134" i="4"/>
  <c r="D1133" i="4"/>
  <c r="D1131" i="4"/>
  <c r="D1130" i="4"/>
  <c r="D1129" i="4"/>
  <c r="D1128" i="4"/>
  <c r="D1127" i="4"/>
  <c r="D1126" i="4"/>
  <c r="D1125" i="4"/>
  <c r="D1124" i="4"/>
  <c r="D1123" i="4"/>
  <c r="D1122" i="4"/>
  <c r="D1120" i="4"/>
  <c r="D1119" i="4"/>
  <c r="D1118" i="4"/>
  <c r="D1117" i="4"/>
  <c r="D1116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7" i="4"/>
  <c r="D1096" i="4"/>
  <c r="D1095" i="4"/>
  <c r="D1094" i="4"/>
  <c r="D1093" i="4"/>
  <c r="D1092" i="4"/>
  <c r="D1091" i="4"/>
  <c r="D1090" i="4"/>
  <c r="D1089" i="4"/>
  <c r="D1087" i="4"/>
  <c r="D1086" i="4"/>
  <c r="D1085" i="4"/>
  <c r="D1084" i="4"/>
  <c r="D1083" i="4"/>
  <c r="D1082" i="4"/>
  <c r="D1080" i="4"/>
  <c r="D1079" i="4"/>
  <c r="D1078" i="4"/>
  <c r="D1077" i="4"/>
  <c r="D1076" i="4"/>
  <c r="D1075" i="4"/>
  <c r="D1074" i="4"/>
  <c r="D1073" i="4"/>
  <c r="D1072" i="4"/>
  <c r="D1070" i="4"/>
  <c r="D1069" i="4"/>
  <c r="D1068" i="4"/>
  <c r="D1067" i="4"/>
  <c r="D1066" i="4"/>
  <c r="D1065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1" i="4"/>
  <c r="D1030" i="4"/>
  <c r="D1029" i="4"/>
  <c r="D1028" i="4"/>
  <c r="D1027" i="4"/>
  <c r="D1026" i="4"/>
  <c r="D1025" i="4"/>
  <c r="D1024" i="4"/>
  <c r="D1023" i="4"/>
  <c r="D1021" i="4"/>
  <c r="D1020" i="4"/>
  <c r="D1019" i="4"/>
  <c r="D1018" i="4"/>
  <c r="D1017" i="4"/>
  <c r="D1016" i="4"/>
  <c r="D1015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2" i="4"/>
  <c r="D981" i="4"/>
  <c r="D980" i="4"/>
  <c r="D979" i="4"/>
  <c r="D978" i="4"/>
  <c r="D977" i="4"/>
  <c r="D976" i="4"/>
  <c r="D975" i="4"/>
  <c r="D974" i="4"/>
  <c r="D973" i="4"/>
  <c r="D971" i="4"/>
  <c r="D970" i="4"/>
  <c r="D969" i="4"/>
  <c r="D968" i="4"/>
  <c r="D967" i="4"/>
  <c r="D966" i="4"/>
  <c r="D965" i="4"/>
  <c r="D963" i="4"/>
  <c r="D962" i="4"/>
  <c r="D961" i="4"/>
  <c r="D960" i="4"/>
  <c r="D959" i="4"/>
  <c r="D957" i="4"/>
  <c r="D956" i="4"/>
  <c r="D955" i="4"/>
  <c r="D954" i="4"/>
  <c r="D953" i="4"/>
  <c r="D952" i="4"/>
  <c r="D951" i="4"/>
  <c r="D949" i="4"/>
  <c r="D948" i="4"/>
  <c r="D947" i="4"/>
  <c r="D946" i="4"/>
  <c r="D945" i="4"/>
  <c r="D944" i="4"/>
  <c r="D943" i="4"/>
  <c r="D942" i="4"/>
  <c r="D941" i="4"/>
  <c r="D939" i="4"/>
  <c r="D937" i="4"/>
  <c r="D931" i="4"/>
  <c r="D928" i="4"/>
  <c r="D927" i="4"/>
  <c r="D926" i="4"/>
  <c r="D925" i="4"/>
  <c r="D924" i="4"/>
  <c r="D923" i="4"/>
  <c r="D922" i="4"/>
  <c r="D921" i="4"/>
  <c r="D920" i="4"/>
  <c r="D918" i="4"/>
  <c r="D917" i="4"/>
  <c r="D916" i="4"/>
  <c r="D915" i="4"/>
  <c r="D913" i="4"/>
  <c r="D912" i="4"/>
  <c r="D911" i="4"/>
  <c r="D910" i="4"/>
  <c r="D909" i="4"/>
  <c r="D908" i="4"/>
  <c r="D907" i="4"/>
  <c r="D905" i="4"/>
  <c r="D904" i="4"/>
  <c r="D903" i="4"/>
  <c r="D902" i="4"/>
  <c r="D901" i="4"/>
  <c r="D900" i="4"/>
  <c r="D899" i="4"/>
  <c r="D898" i="4"/>
  <c r="D897" i="4"/>
  <c r="D896" i="4"/>
  <c r="D894" i="4"/>
  <c r="D893" i="4"/>
  <c r="D892" i="4"/>
  <c r="D891" i="4"/>
  <c r="D890" i="4"/>
  <c r="D889" i="4"/>
  <c r="D888" i="4"/>
  <c r="D887" i="4"/>
  <c r="D886" i="4"/>
  <c r="D885" i="4"/>
  <c r="D884" i="4"/>
  <c r="D882" i="4"/>
  <c r="D881" i="4"/>
  <c r="D880" i="4"/>
  <c r="D879" i="4"/>
  <c r="D878" i="4"/>
  <c r="D877" i="4"/>
  <c r="D876" i="4"/>
  <c r="D875" i="4"/>
  <c r="D874" i="4"/>
  <c r="D872" i="4"/>
  <c r="D871" i="4"/>
  <c r="D870" i="4"/>
  <c r="D869" i="4"/>
  <c r="D868" i="4"/>
  <c r="D867" i="4"/>
  <c r="D866" i="4"/>
  <c r="D865" i="4"/>
  <c r="D864" i="4"/>
  <c r="D863" i="4"/>
  <c r="D862" i="4"/>
  <c r="D860" i="4"/>
  <c r="D859" i="4"/>
  <c r="D858" i="4"/>
  <c r="D857" i="4"/>
  <c r="D856" i="4"/>
  <c r="D855" i="4"/>
  <c r="D853" i="4"/>
  <c r="D852" i="4"/>
  <c r="D851" i="4"/>
  <c r="D849" i="4"/>
  <c r="D848" i="4"/>
  <c r="D847" i="4"/>
  <c r="D846" i="4"/>
  <c r="D845" i="4"/>
  <c r="D844" i="4"/>
  <c r="D843" i="4"/>
  <c r="D842" i="4"/>
  <c r="D841" i="4"/>
  <c r="D840" i="4"/>
  <c r="D838" i="4"/>
  <c r="D837" i="4"/>
  <c r="D836" i="4"/>
  <c r="D835" i="4"/>
  <c r="D834" i="4"/>
  <c r="D833" i="4"/>
  <c r="D831" i="4"/>
  <c r="D830" i="4"/>
  <c r="D829" i="4"/>
  <c r="D828" i="4"/>
  <c r="D827" i="4"/>
  <c r="D826" i="4"/>
  <c r="D825" i="4"/>
  <c r="D824" i="4"/>
  <c r="D823" i="4"/>
  <c r="D822" i="4"/>
  <c r="D821" i="4"/>
  <c r="D819" i="4"/>
  <c r="D818" i="4"/>
  <c r="D817" i="4"/>
  <c r="D816" i="4"/>
  <c r="D815" i="4"/>
  <c r="D814" i="4"/>
  <c r="D813" i="4"/>
  <c r="D812" i="4"/>
  <c r="D810" i="4"/>
  <c r="D809" i="4"/>
  <c r="D808" i="4"/>
  <c r="D807" i="4"/>
  <c r="D806" i="4"/>
  <c r="D805" i="4"/>
  <c r="D804" i="4"/>
  <c r="D802" i="4"/>
  <c r="D801" i="4"/>
  <c r="D800" i="4"/>
  <c r="D799" i="4"/>
  <c r="D798" i="4"/>
  <c r="D797" i="4"/>
  <c r="D796" i="4"/>
  <c r="D795" i="4"/>
  <c r="D793" i="4"/>
  <c r="D792" i="4"/>
  <c r="D791" i="4"/>
  <c r="D790" i="4"/>
  <c r="D789" i="4"/>
  <c r="D788" i="4"/>
  <c r="D786" i="4"/>
  <c r="D785" i="4"/>
  <c r="D784" i="4"/>
  <c r="D783" i="4"/>
  <c r="D782" i="4"/>
  <c r="D781" i="4"/>
  <c r="D780" i="4"/>
  <c r="D779" i="4"/>
  <c r="D778" i="4"/>
  <c r="D777" i="4"/>
  <c r="D775" i="4"/>
  <c r="D774" i="4"/>
  <c r="D773" i="4"/>
  <c r="D772" i="4"/>
  <c r="D771" i="4"/>
  <c r="D770" i="4"/>
  <c r="D769" i="4"/>
  <c r="D768" i="4"/>
  <c r="D766" i="4"/>
  <c r="D765" i="4"/>
  <c r="D764" i="4"/>
  <c r="D763" i="4"/>
  <c r="D762" i="4"/>
  <c r="D760" i="4"/>
  <c r="D759" i="4"/>
  <c r="D758" i="4"/>
  <c r="D757" i="4"/>
  <c r="D756" i="4"/>
  <c r="D755" i="4"/>
  <c r="D754" i="4"/>
  <c r="D753" i="4"/>
  <c r="D752" i="4"/>
  <c r="D751" i="4"/>
  <c r="D750" i="4"/>
  <c r="D748" i="4"/>
  <c r="D747" i="4"/>
  <c r="D746" i="4"/>
  <c r="D745" i="4"/>
  <c r="D744" i="4"/>
  <c r="D742" i="4"/>
  <c r="D741" i="4"/>
  <c r="D740" i="4"/>
  <c r="D739" i="4"/>
  <c r="D738" i="4"/>
  <c r="D737" i="4"/>
  <c r="D736" i="4"/>
  <c r="D735" i="4"/>
  <c r="D733" i="4"/>
  <c r="D731" i="4"/>
  <c r="A2945" i="4"/>
  <c r="C2945" i="4" s="1"/>
  <c r="A2938" i="4"/>
  <c r="C2938" i="4" s="1"/>
  <c r="A2931" i="4"/>
  <c r="C2931" i="4" s="1"/>
  <c r="A2920" i="4"/>
  <c r="C2920" i="4" s="1"/>
  <c r="A2913" i="4"/>
  <c r="C2913" i="4" s="1"/>
  <c r="A2906" i="4"/>
  <c r="C2906" i="4" s="1"/>
  <c r="A2901" i="4"/>
  <c r="C2901" i="4" s="1"/>
  <c r="A2895" i="4"/>
  <c r="C2895" i="4" s="1"/>
  <c r="A2889" i="4"/>
  <c r="C2889" i="4" s="1"/>
  <c r="A2880" i="4"/>
  <c r="C2880" i="4" s="1"/>
  <c r="A2872" i="4"/>
  <c r="C2872" i="4" s="1"/>
  <c r="A2865" i="4"/>
  <c r="C2865" i="4" s="1"/>
  <c r="A2855" i="4"/>
  <c r="C2855" i="4" s="1"/>
  <c r="A2848" i="4"/>
  <c r="C2848" i="4" s="1"/>
  <c r="A2841" i="4"/>
  <c r="C2841" i="4" s="1"/>
  <c r="A2834" i="4"/>
  <c r="C2834" i="4" s="1"/>
  <c r="A2827" i="4"/>
  <c r="C2827" i="4" s="1"/>
  <c r="A2822" i="4"/>
  <c r="C2822" i="4" s="1"/>
  <c r="A2955" i="4"/>
  <c r="C2955" i="4" s="1"/>
  <c r="A2954" i="4"/>
  <c r="C2954" i="4" s="1"/>
  <c r="A2953" i="4"/>
  <c r="C2953" i="4" s="1"/>
  <c r="A2819" i="4"/>
  <c r="A2795" i="4"/>
  <c r="C2795" i="4" s="1"/>
  <c r="A2789" i="4"/>
  <c r="C2789" i="4" s="1"/>
  <c r="A2785" i="4"/>
  <c r="C2785" i="4" s="1"/>
  <c r="A2777" i="4"/>
  <c r="C2777" i="4" s="1"/>
  <c r="A2767" i="4"/>
  <c r="C2767" i="4" s="1"/>
  <c r="A2762" i="4"/>
  <c r="C2762" i="4" s="1"/>
  <c r="A2756" i="4"/>
  <c r="C2756" i="4" s="1"/>
  <c r="A2747" i="4"/>
  <c r="C2747" i="4" s="1"/>
  <c r="A2738" i="4"/>
  <c r="C2738" i="4" s="1"/>
  <c r="A2732" i="4"/>
  <c r="C2732" i="4" s="1"/>
  <c r="A2714" i="4"/>
  <c r="C2714" i="4" s="1"/>
  <c r="A2707" i="4"/>
  <c r="C2707" i="4" s="1"/>
  <c r="A2697" i="4"/>
  <c r="C2697" i="4" s="1"/>
  <c r="A2689" i="4"/>
  <c r="C2689" i="4" s="1"/>
  <c r="A2680" i="4"/>
  <c r="C2680" i="4" s="1"/>
  <c r="A2676" i="4"/>
  <c r="C2676" i="4" s="1"/>
  <c r="A2669" i="4"/>
  <c r="C2669" i="4" s="1"/>
  <c r="A2664" i="4"/>
  <c r="C2664" i="4" s="1"/>
  <c r="A2656" i="4"/>
  <c r="C2656" i="4" s="1"/>
  <c r="A2649" i="4"/>
  <c r="C2649" i="4" s="1"/>
  <c r="A2643" i="4"/>
  <c r="C2643" i="4" s="1"/>
  <c r="A2628" i="4"/>
  <c r="C2628" i="4" s="1"/>
  <c r="A2616" i="4"/>
  <c r="C2616" i="4" s="1"/>
  <c r="A2608" i="4"/>
  <c r="C2608" i="4" s="1"/>
  <c r="A2596" i="4"/>
  <c r="C2596" i="4" s="1"/>
  <c r="A2591" i="4"/>
  <c r="C2591" i="4" s="1"/>
  <c r="A2585" i="4"/>
  <c r="C2585" i="4" s="1"/>
  <c r="A2577" i="4"/>
  <c r="C2577" i="4" s="1"/>
  <c r="A2566" i="4"/>
  <c r="C2566" i="4" s="1"/>
  <c r="A2557" i="4"/>
  <c r="C2557" i="4" s="1"/>
  <c r="A2551" i="4"/>
  <c r="C2551" i="4" s="1"/>
  <c r="A2809" i="4"/>
  <c r="C2809" i="4" s="1"/>
  <c r="A2808" i="4"/>
  <c r="C2808" i="4" s="1"/>
  <c r="A2807" i="4"/>
  <c r="C2807" i="4" s="1"/>
  <c r="A2806" i="4"/>
  <c r="C2806" i="4" s="1"/>
  <c r="A2549" i="4"/>
  <c r="A2537" i="4"/>
  <c r="C2537" i="4" s="1"/>
  <c r="A2528" i="4"/>
  <c r="C2528" i="4" s="1"/>
  <c r="A2523" i="4"/>
  <c r="C2523" i="4" s="1"/>
  <c r="A2513" i="4"/>
  <c r="C2513" i="4" s="1"/>
  <c r="A2500" i="4"/>
  <c r="C2500" i="4" s="1"/>
  <c r="A2495" i="4"/>
  <c r="C2495" i="4" s="1"/>
  <c r="A2489" i="4"/>
  <c r="C2489" i="4" s="1"/>
  <c r="A2484" i="4"/>
  <c r="C2484" i="4" s="1"/>
  <c r="A2478" i="4"/>
  <c r="C2478" i="4" s="1"/>
  <c r="A2472" i="4"/>
  <c r="C2472" i="4" s="1"/>
  <c r="A2465" i="4"/>
  <c r="C2465" i="4" s="1"/>
  <c r="A2457" i="4"/>
  <c r="C2457" i="4" s="1"/>
  <c r="A2453" i="4"/>
  <c r="C2453" i="4" s="1"/>
  <c r="A2446" i="4"/>
  <c r="C2446" i="4" s="1"/>
  <c r="A2440" i="4"/>
  <c r="C2440" i="4" s="1"/>
  <c r="A2430" i="4"/>
  <c r="C2430" i="4" s="1"/>
  <c r="A2423" i="4"/>
  <c r="C2423" i="4" s="1"/>
  <c r="A2415" i="4"/>
  <c r="C2415" i="4" s="1"/>
  <c r="A2408" i="4"/>
  <c r="C2408" i="4" s="1"/>
  <c r="A2544" i="4"/>
  <c r="C2544" i="4" s="1"/>
  <c r="A2543" i="4"/>
  <c r="C2543" i="4" s="1"/>
  <c r="A2405" i="4"/>
  <c r="A2391" i="4"/>
  <c r="C2391" i="4" s="1"/>
  <c r="A2382" i="4"/>
  <c r="C2382" i="4" s="1"/>
  <c r="A2376" i="4"/>
  <c r="C2376" i="4" s="1"/>
  <c r="A2370" i="4"/>
  <c r="C2370" i="4" s="1"/>
  <c r="A2360" i="4"/>
  <c r="C2360" i="4" s="1"/>
  <c r="A2354" i="4"/>
  <c r="C2354" i="4" s="1"/>
  <c r="A2347" i="4"/>
  <c r="C2347" i="4" s="1"/>
  <c r="A2338" i="4"/>
  <c r="C2338" i="4" s="1"/>
  <c r="A2329" i="4"/>
  <c r="C2329" i="4" s="1"/>
  <c r="A2309" i="4"/>
  <c r="C2309" i="4" s="1"/>
  <c r="A2303" i="4"/>
  <c r="C2303" i="4" s="1"/>
  <c r="A2293" i="4"/>
  <c r="C2293" i="4" s="1"/>
  <c r="A2284" i="4"/>
  <c r="C2284" i="4" s="1"/>
  <c r="A2400" i="4"/>
  <c r="A2282" i="4"/>
  <c r="A2241" i="4"/>
  <c r="C2241" i="4" s="1"/>
  <c r="A2230" i="4"/>
  <c r="C2230" i="4" s="1"/>
  <c r="A2220" i="4"/>
  <c r="C2220" i="4" s="1"/>
  <c r="A2210" i="4"/>
  <c r="C2210" i="4" s="1"/>
  <c r="A2204" i="4"/>
  <c r="C2204" i="4" s="1"/>
  <c r="A2195" i="4"/>
  <c r="C2195" i="4" s="1"/>
  <c r="A2188" i="4"/>
  <c r="C2188" i="4" s="1"/>
  <c r="A2182" i="4"/>
  <c r="C2182" i="4" s="1"/>
  <c r="A2176" i="4"/>
  <c r="C2176" i="4" s="1"/>
  <c r="A2167" i="4"/>
  <c r="C2167" i="4" s="1"/>
  <c r="A2157" i="4"/>
  <c r="C2157" i="4" s="1"/>
  <c r="A2148" i="4"/>
  <c r="C2148" i="4" s="1"/>
  <c r="A2131" i="4"/>
  <c r="C2131" i="4" s="1"/>
  <c r="A2118" i="4"/>
  <c r="C2118" i="4" s="1"/>
  <c r="A2112" i="4"/>
  <c r="C2112" i="4" s="1"/>
  <c r="A2101" i="4"/>
  <c r="C2101" i="4" s="1"/>
  <c r="A2092" i="4"/>
  <c r="C2092" i="4" s="1"/>
  <c r="A2277" i="4"/>
  <c r="A2276" i="4"/>
  <c r="C2276" i="4" s="1"/>
  <c r="A2275" i="4"/>
  <c r="C2275" i="4" s="1"/>
  <c r="A2274" i="4"/>
  <c r="C2274" i="4" s="1"/>
  <c r="A2273" i="4"/>
  <c r="A2272" i="4"/>
  <c r="A2271" i="4"/>
  <c r="A2270" i="4"/>
  <c r="C2270" i="4" s="1"/>
  <c r="A2269" i="4"/>
  <c r="C2269" i="4" s="1"/>
  <c r="A2268" i="4"/>
  <c r="A2267" i="4"/>
  <c r="C2267" i="4" s="1"/>
  <c r="A2266" i="4"/>
  <c r="A2265" i="4"/>
  <c r="A2264" i="4"/>
  <c r="C2264" i="4" s="1"/>
  <c r="A2263" i="4"/>
  <c r="C2263" i="4" s="1"/>
  <c r="A2262" i="4"/>
  <c r="C2262" i="4" s="1"/>
  <c r="A2261" i="4"/>
  <c r="A2260" i="4"/>
  <c r="A2259" i="4"/>
  <c r="A2090" i="4"/>
  <c r="A2068" i="4"/>
  <c r="C2068" i="4" s="1"/>
  <c r="A2061" i="4"/>
  <c r="C2061" i="4" s="1"/>
  <c r="A2055" i="4"/>
  <c r="C2055" i="4" s="1"/>
  <c r="A2041" i="4"/>
  <c r="C2041" i="4" s="1"/>
  <c r="A2030" i="4"/>
  <c r="C2030" i="4" s="1"/>
  <c r="A2022" i="4"/>
  <c r="C2022" i="4" s="1"/>
  <c r="A2016" i="4"/>
  <c r="C2016" i="4" s="1"/>
  <c r="A2009" i="4"/>
  <c r="C2009" i="4" s="1"/>
  <c r="A2003" i="4"/>
  <c r="C2003" i="4" s="1"/>
  <c r="A1996" i="4"/>
  <c r="C1996" i="4" s="1"/>
  <c r="A1987" i="4"/>
  <c r="C1987" i="4" s="1"/>
  <c r="A1978" i="4"/>
  <c r="C1978" i="4" s="1"/>
  <c r="A1969" i="4"/>
  <c r="C1969" i="4" s="1"/>
  <c r="A1961" i="4"/>
  <c r="C1961" i="4" s="1"/>
  <c r="A1955" i="4"/>
  <c r="C1955" i="4" s="1"/>
  <c r="A1944" i="4"/>
  <c r="C1944" i="4" s="1"/>
  <c r="A2084" i="4"/>
  <c r="A2083" i="4"/>
  <c r="C2083" i="4" s="1"/>
  <c r="A2082" i="4"/>
  <c r="C2082" i="4" s="1"/>
  <c r="A2081" i="4"/>
  <c r="C2081" i="4" s="1"/>
  <c r="A1942" i="4"/>
  <c r="A1927" i="4"/>
  <c r="C1927" i="4" s="1"/>
  <c r="A1916" i="4"/>
  <c r="C1916" i="4" s="1"/>
  <c r="A1906" i="4"/>
  <c r="C1906" i="4" s="1"/>
  <c r="A1895" i="4"/>
  <c r="C1895" i="4" s="1"/>
  <c r="A1885" i="4"/>
  <c r="C1885" i="4" s="1"/>
  <c r="A1879" i="4"/>
  <c r="C1879" i="4" s="1"/>
  <c r="A1871" i="4"/>
  <c r="C1871" i="4" s="1"/>
  <c r="A1861" i="4"/>
  <c r="C1861" i="4" s="1"/>
  <c r="A1854" i="4"/>
  <c r="C1854" i="4" s="1"/>
  <c r="A1844" i="4"/>
  <c r="C1844" i="4" s="1"/>
  <c r="A1837" i="4"/>
  <c r="C1837" i="4" s="1"/>
  <c r="A1828" i="4"/>
  <c r="C1828" i="4" s="1"/>
  <c r="A1812" i="4"/>
  <c r="C1812" i="4" s="1"/>
  <c r="A1804" i="4"/>
  <c r="C1804" i="4" s="1"/>
  <c r="A1937" i="4"/>
  <c r="C1937" i="4" s="1"/>
  <c r="A1936" i="4"/>
  <c r="C1936" i="4" s="1"/>
  <c r="A1935" i="4"/>
  <c r="C1935" i="4" s="1"/>
  <c r="A1802" i="4"/>
  <c r="A1788" i="4"/>
  <c r="C1788" i="4" s="1"/>
  <c r="A1782" i="4"/>
  <c r="C1782" i="4" s="1"/>
  <c r="A1775" i="4"/>
  <c r="C1775" i="4" s="1"/>
  <c r="A1766" i="4"/>
  <c r="C1766" i="4" s="1"/>
  <c r="A1751" i="4"/>
  <c r="C1751" i="4" s="1"/>
  <c r="A1745" i="4"/>
  <c r="C1745" i="4" s="1"/>
  <c r="A1735" i="4"/>
  <c r="C1735" i="4" s="1"/>
  <c r="A1724" i="4"/>
  <c r="C1724" i="4" s="1"/>
  <c r="A1716" i="4"/>
  <c r="C1716" i="4" s="1"/>
  <c r="A1705" i="4"/>
  <c r="C1705" i="4" s="1"/>
  <c r="A1697" i="4"/>
  <c r="C1697" i="4" s="1"/>
  <c r="A1688" i="4"/>
  <c r="C1688" i="4" s="1"/>
  <c r="A1682" i="4"/>
  <c r="C1682" i="4" s="1"/>
  <c r="A1676" i="4"/>
  <c r="C1676" i="4" s="1"/>
  <c r="A1665" i="4"/>
  <c r="C1665" i="4" s="1"/>
  <c r="A1658" i="4"/>
  <c r="C1658" i="4" s="1"/>
  <c r="A1647" i="4"/>
  <c r="C1647" i="4" s="1"/>
  <c r="A1635" i="4"/>
  <c r="C1635" i="4" s="1"/>
  <c r="A1627" i="4"/>
  <c r="C1627" i="4" s="1"/>
  <c r="A1620" i="4"/>
  <c r="C1620" i="4" s="1"/>
  <c r="A1616" i="4"/>
  <c r="C1616" i="4" s="1"/>
  <c r="A1798" i="4"/>
  <c r="C1798" i="4" s="1"/>
  <c r="A1797" i="4"/>
  <c r="C1797" i="4" s="1"/>
  <c r="A1796" i="4"/>
  <c r="A1795" i="4"/>
  <c r="A1614" i="4"/>
  <c r="A1599" i="4"/>
  <c r="C1599" i="4" s="1"/>
  <c r="A1594" i="4"/>
  <c r="C1594" i="4" s="1"/>
  <c r="A1580" i="4"/>
  <c r="C1580" i="4" s="1"/>
  <c r="A1572" i="4"/>
  <c r="C1572" i="4" s="1"/>
  <c r="A1562" i="4"/>
  <c r="C1562" i="4" s="1"/>
  <c r="A1556" i="4"/>
  <c r="C1556" i="4" s="1"/>
  <c r="A1550" i="4"/>
  <c r="C1550" i="4" s="1"/>
  <c r="A1545" i="4"/>
  <c r="C1545" i="4" s="1"/>
  <c r="A1538" i="4"/>
  <c r="C1538" i="4" s="1"/>
  <c r="A1533" i="4"/>
  <c r="C1533" i="4" s="1"/>
  <c r="A1526" i="4"/>
  <c r="C1526" i="4" s="1"/>
  <c r="A1609" i="4"/>
  <c r="A1524" i="4"/>
  <c r="A1489" i="4"/>
  <c r="C1489" i="4" s="1"/>
  <c r="A1482" i="4"/>
  <c r="C1482" i="4" s="1"/>
  <c r="A1476" i="4"/>
  <c r="C1476" i="4" s="1"/>
  <c r="A1469" i="4"/>
  <c r="C1469" i="4" s="1"/>
  <c r="A1456" i="4"/>
  <c r="C1456" i="4" s="1"/>
  <c r="A1446" i="4"/>
  <c r="C1446" i="4" s="1"/>
  <c r="A1438" i="4"/>
  <c r="C1438" i="4" s="1"/>
  <c r="A1432" i="4"/>
  <c r="C1432" i="4" s="1"/>
  <c r="A1422" i="4"/>
  <c r="C1422" i="4" s="1"/>
  <c r="A1413" i="4"/>
  <c r="C1413" i="4" s="1"/>
  <c r="A1405" i="4"/>
  <c r="C1405" i="4" s="1"/>
  <c r="A1391" i="4"/>
  <c r="C1391" i="4" s="1"/>
  <c r="A1377" i="4"/>
  <c r="C1377" i="4" s="1"/>
  <c r="A1369" i="4"/>
  <c r="C1369" i="4" s="1"/>
  <c r="A1360" i="4"/>
  <c r="C1360" i="4" s="1"/>
  <c r="A1352" i="4"/>
  <c r="C1352" i="4" s="1"/>
  <c r="A1345" i="4"/>
  <c r="C1345" i="4" s="1"/>
  <c r="A1332" i="4"/>
  <c r="C1332" i="4" s="1"/>
  <c r="A1316" i="4"/>
  <c r="C1316" i="4" s="1"/>
  <c r="A1309" i="4"/>
  <c r="C1309" i="4" s="1"/>
  <c r="A1300" i="4"/>
  <c r="C1300" i="4" s="1"/>
  <c r="A1288" i="4"/>
  <c r="C1288" i="4" s="1"/>
  <c r="A1276" i="4"/>
  <c r="C1276" i="4" s="1"/>
  <c r="A1269" i="4"/>
  <c r="C1269" i="4" s="1"/>
  <c r="A1258" i="4"/>
  <c r="C1258" i="4" s="1"/>
  <c r="A1244" i="4"/>
  <c r="C1244" i="4" s="1"/>
  <c r="A1233" i="4"/>
  <c r="C1233" i="4" s="1"/>
  <c r="A1226" i="4"/>
  <c r="C1226" i="4" s="1"/>
  <c r="A1219" i="4"/>
  <c r="C1219" i="4" s="1"/>
  <c r="A1213" i="4"/>
  <c r="C1213" i="4" s="1"/>
  <c r="A1205" i="4"/>
  <c r="C1205" i="4" s="1"/>
  <c r="A1194" i="4"/>
  <c r="C1194" i="4" s="1"/>
  <c r="A1187" i="4"/>
  <c r="C1187" i="4" s="1"/>
  <c r="A1181" i="4"/>
  <c r="C1181" i="4" s="1"/>
  <c r="A1166" i="4"/>
  <c r="C1166" i="4" s="1"/>
  <c r="A1156" i="4"/>
  <c r="C1156" i="4" s="1"/>
  <c r="A1149" i="4"/>
  <c r="C1149" i="4" s="1"/>
  <c r="A1501" i="4"/>
  <c r="C1501" i="4" s="1"/>
  <c r="A1500" i="4"/>
  <c r="A1499" i="4"/>
  <c r="A1498" i="4"/>
  <c r="A1497" i="4"/>
  <c r="C1497" i="4" s="1"/>
  <c r="A1147" i="4"/>
  <c r="A10" i="3" s="1"/>
  <c r="A1132" i="4"/>
  <c r="C1132" i="4" s="1"/>
  <c r="A1121" i="4"/>
  <c r="C1121" i="4" s="1"/>
  <c r="A1115" i="4"/>
  <c r="C1115" i="4" s="1"/>
  <c r="A1098" i="4"/>
  <c r="C1098" i="4" s="1"/>
  <c r="A1088" i="4"/>
  <c r="C1088" i="4" s="1"/>
  <c r="A1081" i="4"/>
  <c r="C1081" i="4" s="1"/>
  <c r="A1071" i="4"/>
  <c r="C1071" i="4" s="1"/>
  <c r="A1064" i="4"/>
  <c r="C1064" i="4" s="1"/>
  <c r="A1049" i="4"/>
  <c r="C1049" i="4" s="1"/>
  <c r="A1032" i="4"/>
  <c r="C1032" i="4" s="1"/>
  <c r="A1022" i="4"/>
  <c r="C1022" i="4" s="1"/>
  <c r="A1014" i="4"/>
  <c r="C1014" i="4" s="1"/>
  <c r="A1001" i="4"/>
  <c r="C1001" i="4" s="1"/>
  <c r="A983" i="4"/>
  <c r="C983" i="4" s="1"/>
  <c r="A972" i="4"/>
  <c r="C972" i="4" s="1"/>
  <c r="A964" i="4"/>
  <c r="C964" i="4" s="1"/>
  <c r="A958" i="4"/>
  <c r="C958" i="4" s="1"/>
  <c r="A950" i="4"/>
  <c r="C950" i="4" s="1"/>
  <c r="A940" i="4"/>
  <c r="C940" i="4" s="1"/>
  <c r="A1142" i="4"/>
  <c r="A1141" i="4"/>
  <c r="A1140" i="4"/>
  <c r="A938" i="4"/>
  <c r="A9" i="3" s="1"/>
  <c r="A919" i="4"/>
  <c r="C919" i="4" s="1"/>
  <c r="A914" i="4"/>
  <c r="C914" i="4" s="1"/>
  <c r="A906" i="4"/>
  <c r="C906" i="4" s="1"/>
  <c r="A895" i="4"/>
  <c r="C895" i="4" s="1"/>
  <c r="A883" i="4"/>
  <c r="C883" i="4" s="1"/>
  <c r="A873" i="4"/>
  <c r="C873" i="4" s="1"/>
  <c r="A861" i="4"/>
  <c r="C861" i="4" s="1"/>
  <c r="A854" i="4"/>
  <c r="C854" i="4" s="1"/>
  <c r="A839" i="4"/>
  <c r="C839" i="4" s="1"/>
  <c r="A832" i="4"/>
  <c r="C832" i="4" s="1"/>
  <c r="A820" i="4"/>
  <c r="C820" i="4" s="1"/>
  <c r="A811" i="4"/>
  <c r="C811" i="4" s="1"/>
  <c r="A803" i="4"/>
  <c r="C803" i="4" s="1"/>
  <c r="A794" i="4"/>
  <c r="C794" i="4" s="1"/>
  <c r="A787" i="4"/>
  <c r="C787" i="4" s="1"/>
  <c r="A776" i="4"/>
  <c r="C776" i="4" s="1"/>
  <c r="A767" i="4"/>
  <c r="C767" i="4" s="1"/>
  <c r="A761" i="4"/>
  <c r="C761" i="4" s="1"/>
  <c r="A749" i="4"/>
  <c r="C749" i="4" s="1"/>
  <c r="A743" i="4"/>
  <c r="C743" i="4" s="1"/>
  <c r="A734" i="4"/>
  <c r="C734" i="4" s="1"/>
  <c r="A933" i="4"/>
  <c r="A932" i="4"/>
  <c r="A931" i="4"/>
  <c r="C931" i="4" s="1"/>
  <c r="A732" i="4"/>
  <c r="A8" i="3" s="1"/>
  <c r="A722" i="4"/>
  <c r="A721" i="4"/>
  <c r="A720" i="4"/>
  <c r="C720" i="4" s="1"/>
  <c r="A719" i="4"/>
  <c r="A718" i="4"/>
  <c r="D718" i="4" s="1"/>
  <c r="A717" i="4"/>
  <c r="D717" i="4" s="1"/>
  <c r="A716" i="4"/>
  <c r="C716" i="4" s="1"/>
  <c r="A715" i="4"/>
  <c r="A714" i="4"/>
  <c r="C714" i="4" s="1"/>
  <c r="A713" i="4"/>
  <c r="A711" i="4"/>
  <c r="C711" i="4" s="1"/>
  <c r="A710" i="4"/>
  <c r="D710" i="4" s="1"/>
  <c r="A709" i="4"/>
  <c r="A708" i="4"/>
  <c r="A707" i="4"/>
  <c r="A706" i="4"/>
  <c r="A705" i="4"/>
  <c r="C705" i="4" s="1"/>
  <c r="A704" i="4"/>
  <c r="D704" i="4" s="1"/>
  <c r="A703" i="4"/>
  <c r="C703" i="4" s="1"/>
  <c r="A701" i="4"/>
  <c r="A700" i="4"/>
  <c r="C700" i="4" s="1"/>
  <c r="A699" i="4"/>
  <c r="C699" i="4" s="1"/>
  <c r="A698" i="4"/>
  <c r="C698" i="4" s="1"/>
  <c r="A697" i="4"/>
  <c r="C697" i="4" s="1"/>
  <c r="A696" i="4"/>
  <c r="C696" i="4" s="1"/>
  <c r="A695" i="4"/>
  <c r="A694" i="4"/>
  <c r="C694" i="4" s="1"/>
  <c r="A693" i="4"/>
  <c r="C693" i="4" s="1"/>
  <c r="A691" i="4"/>
  <c r="C691" i="4" s="1"/>
  <c r="A690" i="4"/>
  <c r="C690" i="4" s="1"/>
  <c r="A689" i="4"/>
  <c r="C689" i="4" s="1"/>
  <c r="A687" i="4"/>
  <c r="A686" i="4"/>
  <c r="A685" i="4"/>
  <c r="C685" i="4" s="1"/>
  <c r="A684" i="4"/>
  <c r="C684" i="4" s="1"/>
  <c r="A683" i="4"/>
  <c r="C683" i="4" s="1"/>
  <c r="A682" i="4"/>
  <c r="A680" i="4"/>
  <c r="A679" i="4"/>
  <c r="A678" i="4"/>
  <c r="C678" i="4" s="1"/>
  <c r="A677" i="4"/>
  <c r="C677" i="4" s="1"/>
  <c r="A676" i="4"/>
  <c r="C676" i="4" s="1"/>
  <c r="A674" i="4"/>
  <c r="C674" i="4" s="1"/>
  <c r="A673" i="4"/>
  <c r="A672" i="4"/>
  <c r="A671" i="4"/>
  <c r="A670" i="4"/>
  <c r="C670" i="4" s="1"/>
  <c r="A668" i="4"/>
  <c r="C668" i="4" s="1"/>
  <c r="A667" i="4"/>
  <c r="C667" i="4" s="1"/>
  <c r="A666" i="4"/>
  <c r="A665" i="4"/>
  <c r="C665" i="4" s="1"/>
  <c r="A664" i="4"/>
  <c r="A662" i="4"/>
  <c r="C662" i="4" s="1"/>
  <c r="A661" i="4"/>
  <c r="C661" i="4" s="1"/>
  <c r="A660" i="4"/>
  <c r="C660" i="4" s="1"/>
  <c r="A659" i="4"/>
  <c r="A658" i="4"/>
  <c r="C658" i="4" s="1"/>
  <c r="A657" i="4"/>
  <c r="C657" i="4" s="1"/>
  <c r="A656" i="4"/>
  <c r="D656" i="4" s="1"/>
  <c r="A655" i="4"/>
  <c r="C655" i="4" s="1"/>
  <c r="A653" i="4"/>
  <c r="A652" i="4"/>
  <c r="A651" i="4"/>
  <c r="C651" i="4" s="1"/>
  <c r="A650" i="4"/>
  <c r="C650" i="4" s="1"/>
  <c r="A649" i="4"/>
  <c r="C649" i="4" s="1"/>
  <c r="A648" i="4"/>
  <c r="C648" i="4" s="1"/>
  <c r="A646" i="4"/>
  <c r="D646" i="4" s="1"/>
  <c r="A645" i="4"/>
  <c r="A644" i="4"/>
  <c r="C644" i="4" s="1"/>
  <c r="A643" i="4"/>
  <c r="C643" i="4" s="1"/>
  <c r="A642" i="4"/>
  <c r="C642" i="4" s="1"/>
  <c r="A641" i="4"/>
  <c r="C641" i="4" s="1"/>
  <c r="A640" i="4"/>
  <c r="A638" i="4"/>
  <c r="A637" i="4"/>
  <c r="A636" i="4"/>
  <c r="A635" i="4"/>
  <c r="C635" i="4" s="1"/>
  <c r="A634" i="4"/>
  <c r="C634" i="4" s="1"/>
  <c r="A633" i="4"/>
  <c r="C633" i="4" s="1"/>
  <c r="A632" i="4"/>
  <c r="A712" i="4"/>
  <c r="C712" i="4" s="1"/>
  <c r="A702" i="4"/>
  <c r="C702" i="4" s="1"/>
  <c r="D723" i="4"/>
  <c r="D716" i="4"/>
  <c r="D711" i="4"/>
  <c r="D705" i="4"/>
  <c r="D703" i="4"/>
  <c r="D698" i="4"/>
  <c r="D697" i="4"/>
  <c r="D696" i="4"/>
  <c r="D694" i="4"/>
  <c r="D691" i="4"/>
  <c r="D689" i="4"/>
  <c r="D684" i="4"/>
  <c r="D683" i="4"/>
  <c r="D677" i="4"/>
  <c r="D676" i="4"/>
  <c r="D674" i="4"/>
  <c r="D670" i="4"/>
  <c r="D668" i="4"/>
  <c r="D667" i="4"/>
  <c r="D662" i="4"/>
  <c r="D661" i="4"/>
  <c r="D660" i="4"/>
  <c r="D655" i="4"/>
  <c r="D651" i="4"/>
  <c r="D649" i="4"/>
  <c r="D644" i="4"/>
  <c r="D642" i="4"/>
  <c r="D641" i="4"/>
  <c r="D635" i="4"/>
  <c r="D634" i="4"/>
  <c r="D633" i="4"/>
  <c r="D630" i="4"/>
  <c r="D628" i="4"/>
  <c r="A692" i="4"/>
  <c r="C692" i="4" s="1"/>
  <c r="A688" i="4"/>
  <c r="C688" i="4" s="1"/>
  <c r="A681" i="4"/>
  <c r="C681" i="4" s="1"/>
  <c r="A675" i="4"/>
  <c r="C675" i="4" s="1"/>
  <c r="A669" i="4"/>
  <c r="C669" i="4" s="1"/>
  <c r="A663" i="4"/>
  <c r="C663" i="4" s="1"/>
  <c r="A654" i="4"/>
  <c r="C654" i="4" s="1"/>
  <c r="A647" i="4"/>
  <c r="C647" i="4" s="1"/>
  <c r="A639" i="4"/>
  <c r="C639" i="4" s="1"/>
  <c r="A631" i="4"/>
  <c r="C631" i="4" s="1"/>
  <c r="A727" i="4"/>
  <c r="D727" i="4" s="1"/>
  <c r="A726" i="4"/>
  <c r="D726" i="4" s="1"/>
  <c r="A629" i="4"/>
  <c r="A618" i="4"/>
  <c r="C618" i="4" s="1"/>
  <c r="A617" i="4"/>
  <c r="C617" i="4" s="1"/>
  <c r="A616" i="4"/>
  <c r="C616" i="4" s="1"/>
  <c r="A615" i="4"/>
  <c r="C615" i="4" s="1"/>
  <c r="A614" i="4"/>
  <c r="C614" i="4" s="1"/>
  <c r="A613" i="4"/>
  <c r="C613" i="4" s="1"/>
  <c r="A612" i="4"/>
  <c r="A611" i="4"/>
  <c r="C611" i="4" s="1"/>
  <c r="A610" i="4"/>
  <c r="C610" i="4" s="1"/>
  <c r="A609" i="4"/>
  <c r="C609" i="4" s="1"/>
  <c r="A608" i="4"/>
  <c r="C608" i="4" s="1"/>
  <c r="A607" i="4"/>
  <c r="C607" i="4" s="1"/>
  <c r="A606" i="4"/>
  <c r="A605" i="4"/>
  <c r="A604" i="4"/>
  <c r="A602" i="4"/>
  <c r="D602" i="4" s="1"/>
  <c r="A601" i="4"/>
  <c r="C601" i="4" s="1"/>
  <c r="A600" i="4"/>
  <c r="D600" i="4" s="1"/>
  <c r="A599" i="4"/>
  <c r="C599" i="4" s="1"/>
  <c r="A598" i="4"/>
  <c r="A597" i="4"/>
  <c r="C597" i="4" s="1"/>
  <c r="A596" i="4"/>
  <c r="D596" i="4" s="1"/>
  <c r="A595" i="4"/>
  <c r="C595" i="4" s="1"/>
  <c r="A593" i="4"/>
  <c r="C593" i="4" s="1"/>
  <c r="A592" i="4"/>
  <c r="C592" i="4" s="1"/>
  <c r="A591" i="4"/>
  <c r="C591" i="4" s="1"/>
  <c r="A590" i="4"/>
  <c r="A589" i="4"/>
  <c r="C589" i="4" s="1"/>
  <c r="A588" i="4"/>
  <c r="C588" i="4" s="1"/>
  <c r="A587" i="4"/>
  <c r="C587" i="4" s="1"/>
  <c r="A586" i="4"/>
  <c r="C586" i="4" s="1"/>
  <c r="A585" i="4"/>
  <c r="C585" i="4" s="1"/>
  <c r="A584" i="4"/>
  <c r="C584" i="4" s="1"/>
  <c r="A583" i="4"/>
  <c r="C583" i="4" s="1"/>
  <c r="A582" i="4"/>
  <c r="C582" i="4" s="1"/>
  <c r="A581" i="4"/>
  <c r="C581" i="4" s="1"/>
  <c r="A579" i="4"/>
  <c r="C579" i="4" s="1"/>
  <c r="A578" i="4"/>
  <c r="A577" i="4"/>
  <c r="C577" i="4" s="1"/>
  <c r="A576" i="4"/>
  <c r="D576" i="4" s="1"/>
  <c r="A575" i="4"/>
  <c r="C575" i="4" s="1"/>
  <c r="A573" i="4"/>
  <c r="C573" i="4" s="1"/>
  <c r="A572" i="4"/>
  <c r="C572" i="4" s="1"/>
  <c r="A571" i="4"/>
  <c r="C571" i="4" s="1"/>
  <c r="A570" i="4"/>
  <c r="A569" i="4"/>
  <c r="C569" i="4" s="1"/>
  <c r="A568" i="4"/>
  <c r="C568" i="4" s="1"/>
  <c r="A566" i="4"/>
  <c r="A565" i="4"/>
  <c r="C565" i="4" s="1"/>
  <c r="A564" i="4"/>
  <c r="A563" i="4"/>
  <c r="C563" i="4" s="1"/>
  <c r="A562" i="4"/>
  <c r="D562" i="4" s="1"/>
  <c r="A561" i="4"/>
  <c r="A30" i="2" s="1"/>
  <c r="A560" i="4"/>
  <c r="D560" i="4" s="1"/>
  <c r="A559" i="4"/>
  <c r="C559" i="4" s="1"/>
  <c r="A557" i="4"/>
  <c r="A556" i="4"/>
  <c r="A555" i="4"/>
  <c r="C555" i="4" s="1"/>
  <c r="A554" i="4"/>
  <c r="C554" i="4" s="1"/>
  <c r="A553" i="4"/>
  <c r="C553" i="4" s="1"/>
  <c r="A552" i="4"/>
  <c r="C552" i="4" s="1"/>
  <c r="A551" i="4"/>
  <c r="C551" i="4" s="1"/>
  <c r="A550" i="4"/>
  <c r="A549" i="4"/>
  <c r="C549" i="4" s="1"/>
  <c r="A548" i="4"/>
  <c r="C548" i="4" s="1"/>
  <c r="A547" i="4"/>
  <c r="C547" i="4" s="1"/>
  <c r="A545" i="4"/>
  <c r="C545" i="4" s="1"/>
  <c r="A544" i="4"/>
  <c r="C544" i="4" s="1"/>
  <c r="A543" i="4"/>
  <c r="A542" i="4"/>
  <c r="D542" i="4" s="1"/>
  <c r="A541" i="4"/>
  <c r="C541" i="4" s="1"/>
  <c r="A540" i="4"/>
  <c r="C540" i="4" s="1"/>
  <c r="A539" i="4"/>
  <c r="C539" i="4" s="1"/>
  <c r="A537" i="4"/>
  <c r="C537" i="4" s="1"/>
  <c r="A536" i="4"/>
  <c r="A535" i="4"/>
  <c r="A534" i="4"/>
  <c r="D534" i="4" s="1"/>
  <c r="A533" i="4"/>
  <c r="C533" i="4" s="1"/>
  <c r="A532" i="4"/>
  <c r="C532" i="4" s="1"/>
  <c r="A531" i="4"/>
  <c r="C531" i="4" s="1"/>
  <c r="A529" i="4"/>
  <c r="A528" i="4"/>
  <c r="C528" i="4" s="1"/>
  <c r="A527" i="4"/>
  <c r="C527" i="4" s="1"/>
  <c r="A526" i="4"/>
  <c r="A525" i="4"/>
  <c r="A524" i="4"/>
  <c r="C524" i="4" s="1"/>
  <c r="A523" i="4"/>
  <c r="A522" i="4"/>
  <c r="C522" i="4" s="1"/>
  <c r="A521" i="4"/>
  <c r="C521" i="4" s="1"/>
  <c r="A520" i="4"/>
  <c r="C520" i="4" s="1"/>
  <c r="A519" i="4"/>
  <c r="C519" i="4" s="1"/>
  <c r="A517" i="4"/>
  <c r="C517" i="4" s="1"/>
  <c r="A516" i="4"/>
  <c r="A515" i="4"/>
  <c r="C515" i="4" s="1"/>
  <c r="A514" i="4"/>
  <c r="C514" i="4" s="1"/>
  <c r="A513" i="4"/>
  <c r="C513" i="4" s="1"/>
  <c r="A512" i="4"/>
  <c r="C512" i="4" s="1"/>
  <c r="A510" i="4"/>
  <c r="C510" i="4" s="1"/>
  <c r="A509" i="4"/>
  <c r="A508" i="4"/>
  <c r="C508" i="4" s="1"/>
  <c r="A507" i="4"/>
  <c r="C507" i="4" s="1"/>
  <c r="A506" i="4"/>
  <c r="D506" i="4" s="1"/>
  <c r="A505" i="4"/>
  <c r="C505" i="4" s="1"/>
  <c r="A504" i="4"/>
  <c r="C504" i="4" s="1"/>
  <c r="A503" i="4"/>
  <c r="A502" i="4"/>
  <c r="D502" i="4" s="1"/>
  <c r="A501" i="4"/>
  <c r="C501" i="4" s="1"/>
  <c r="A500" i="4"/>
  <c r="C500" i="4" s="1"/>
  <c r="A499" i="4"/>
  <c r="C499" i="4" s="1"/>
  <c r="A498" i="4"/>
  <c r="C498" i="4" s="1"/>
  <c r="A497" i="4"/>
  <c r="A496" i="4"/>
  <c r="C496" i="4" s="1"/>
  <c r="A495" i="4"/>
  <c r="C495" i="4" s="1"/>
  <c r="A493" i="4"/>
  <c r="C493" i="4" s="1"/>
  <c r="A492" i="4"/>
  <c r="C492" i="4" s="1"/>
  <c r="A491" i="4"/>
  <c r="C491" i="4" s="1"/>
  <c r="A490" i="4"/>
  <c r="A489" i="4"/>
  <c r="C489" i="4" s="1"/>
  <c r="A488" i="4"/>
  <c r="C488" i="4" s="1"/>
  <c r="A487" i="4"/>
  <c r="A486" i="4"/>
  <c r="C486" i="4" s="1"/>
  <c r="A485" i="4"/>
  <c r="C485" i="4" s="1"/>
  <c r="A484" i="4"/>
  <c r="A483" i="4"/>
  <c r="C483" i="4" s="1"/>
  <c r="A482" i="4"/>
  <c r="C482" i="4" s="1"/>
  <c r="A481" i="4"/>
  <c r="C481" i="4" s="1"/>
  <c r="A479" i="4"/>
  <c r="C479" i="4" s="1"/>
  <c r="A478" i="4"/>
  <c r="A477" i="4"/>
  <c r="A476" i="4"/>
  <c r="C476" i="4" s="1"/>
  <c r="A475" i="4"/>
  <c r="C475" i="4" s="1"/>
  <c r="A474" i="4"/>
  <c r="C474" i="4" s="1"/>
  <c r="A473" i="4"/>
  <c r="C473" i="4" s="1"/>
  <c r="A472" i="4"/>
  <c r="C472" i="4" s="1"/>
  <c r="A471" i="4"/>
  <c r="A470" i="4"/>
  <c r="C470" i="4" s="1"/>
  <c r="A468" i="4"/>
  <c r="C468" i="4" s="1"/>
  <c r="A467" i="4"/>
  <c r="C467" i="4" s="1"/>
  <c r="A466" i="4"/>
  <c r="C466" i="4" s="1"/>
  <c r="A465" i="4"/>
  <c r="C465" i="4" s="1"/>
  <c r="A464" i="4"/>
  <c r="A463" i="4"/>
  <c r="A462" i="4"/>
  <c r="C462" i="4" s="1"/>
  <c r="A461" i="4"/>
  <c r="C461" i="4" s="1"/>
  <c r="A460" i="4"/>
  <c r="A459" i="4"/>
  <c r="C459" i="4" s="1"/>
  <c r="A457" i="4"/>
  <c r="A456" i="4"/>
  <c r="C456" i="4" s="1"/>
  <c r="A455" i="4"/>
  <c r="C455" i="4" s="1"/>
  <c r="A454" i="4"/>
  <c r="C454" i="4" s="1"/>
  <c r="A453" i="4"/>
  <c r="C453" i="4" s="1"/>
  <c r="A452" i="4"/>
  <c r="C452" i="4" s="1"/>
  <c r="A451" i="4"/>
  <c r="A449" i="4"/>
  <c r="C449" i="4" s="1"/>
  <c r="A448" i="4"/>
  <c r="C448" i="4" s="1"/>
  <c r="A447" i="4"/>
  <c r="A446" i="4"/>
  <c r="C446" i="4" s="1"/>
  <c r="A445" i="4"/>
  <c r="C445" i="4" s="1"/>
  <c r="A444" i="4"/>
  <c r="A443" i="4"/>
  <c r="C443" i="4" s="1"/>
  <c r="A442" i="4"/>
  <c r="C442" i="4" s="1"/>
  <c r="A440" i="4"/>
  <c r="C440" i="4" s="1"/>
  <c r="A439" i="4"/>
  <c r="A438" i="4"/>
  <c r="C438" i="4" s="1"/>
  <c r="A437" i="4"/>
  <c r="A436" i="4"/>
  <c r="C436" i="4" s="1"/>
  <c r="A435" i="4"/>
  <c r="C435" i="4" s="1"/>
  <c r="A434" i="4"/>
  <c r="C434" i="4" s="1"/>
  <c r="A433" i="4"/>
  <c r="C433" i="4" s="1"/>
  <c r="A432" i="4"/>
  <c r="C432" i="4" s="1"/>
  <c r="A431" i="4"/>
  <c r="A430" i="4"/>
  <c r="C430" i="4" s="1"/>
  <c r="A429" i="4"/>
  <c r="C429" i="4" s="1"/>
  <c r="A428" i="4"/>
  <c r="C428" i="4" s="1"/>
  <c r="A427" i="4"/>
  <c r="C427" i="4" s="1"/>
  <c r="A426" i="4"/>
  <c r="C426" i="4" s="1"/>
  <c r="A424" i="4"/>
  <c r="A423" i="4"/>
  <c r="D423" i="4" s="1"/>
  <c r="A422" i="4"/>
  <c r="C422" i="4" s="1"/>
  <c r="A421" i="4"/>
  <c r="A420" i="4"/>
  <c r="C420" i="4" s="1"/>
  <c r="A419" i="4"/>
  <c r="C419" i="4" s="1"/>
  <c r="A418" i="4"/>
  <c r="A417" i="4"/>
  <c r="C417" i="4" s="1"/>
  <c r="A416" i="4"/>
  <c r="C416" i="4" s="1"/>
  <c r="A415" i="4"/>
  <c r="C415" i="4" s="1"/>
  <c r="A414" i="4"/>
  <c r="C414" i="4" s="1"/>
  <c r="A413" i="4"/>
  <c r="C413" i="4" s="1"/>
  <c r="A412" i="4"/>
  <c r="A411" i="4"/>
  <c r="C411" i="4" s="1"/>
  <c r="A409" i="4"/>
  <c r="C409" i="4" s="1"/>
  <c r="A408" i="4"/>
  <c r="C408" i="4" s="1"/>
  <c r="A407" i="4"/>
  <c r="C407" i="4" s="1"/>
  <c r="A406" i="4"/>
  <c r="C406" i="4" s="1"/>
  <c r="A405" i="4"/>
  <c r="A404" i="4"/>
  <c r="C404" i="4" s="1"/>
  <c r="A403" i="4"/>
  <c r="C403" i="4" s="1"/>
  <c r="A402" i="4"/>
  <c r="C402" i="4" s="1"/>
  <c r="A401" i="4"/>
  <c r="C401" i="4" s="1"/>
  <c r="A400" i="4"/>
  <c r="C400" i="4" s="1"/>
  <c r="A399" i="4"/>
  <c r="A398" i="4"/>
  <c r="C398" i="4" s="1"/>
  <c r="A397" i="4"/>
  <c r="C397" i="4" s="1"/>
  <c r="A396" i="4"/>
  <c r="C396" i="4" s="1"/>
  <c r="A395" i="4"/>
  <c r="C395" i="4" s="1"/>
  <c r="A394" i="4"/>
  <c r="C394" i="4" s="1"/>
  <c r="A393" i="4"/>
  <c r="C393" i="4" s="1"/>
  <c r="A392" i="4"/>
  <c r="C392" i="4" s="1"/>
  <c r="A391" i="4"/>
  <c r="C391" i="4" s="1"/>
  <c r="D615" i="4"/>
  <c r="D614" i="4"/>
  <c r="D613" i="4"/>
  <c r="D611" i="4"/>
  <c r="D609" i="4"/>
  <c r="D608" i="4"/>
  <c r="D607" i="4"/>
  <c r="D599" i="4"/>
  <c r="D597" i="4"/>
  <c r="D595" i="4"/>
  <c r="D589" i="4"/>
  <c r="D588" i="4"/>
  <c r="D587" i="4"/>
  <c r="D586" i="4"/>
  <c r="D585" i="4"/>
  <c r="D582" i="4"/>
  <c r="D579" i="4"/>
  <c r="D573" i="4"/>
  <c r="D569" i="4"/>
  <c r="D568" i="4"/>
  <c r="D561" i="4"/>
  <c r="D555" i="4"/>
  <c r="D554" i="4"/>
  <c r="D553" i="4"/>
  <c r="D552" i="4"/>
  <c r="D549" i="4"/>
  <c r="D548" i="4"/>
  <c r="D547" i="4"/>
  <c r="D541" i="4"/>
  <c r="D540" i="4"/>
  <c r="D533" i="4"/>
  <c r="D528" i="4"/>
  <c r="D527" i="4"/>
  <c r="D522" i="4"/>
  <c r="D521" i="4"/>
  <c r="D520" i="4"/>
  <c r="D514" i="4"/>
  <c r="D513" i="4"/>
  <c r="D508" i="4"/>
  <c r="D507" i="4"/>
  <c r="D505" i="4"/>
  <c r="D504" i="4"/>
  <c r="D501" i="4"/>
  <c r="D500" i="4"/>
  <c r="D496" i="4"/>
  <c r="D495" i="4"/>
  <c r="D493" i="4"/>
  <c r="D492" i="4"/>
  <c r="D489" i="4"/>
  <c r="D488" i="4"/>
  <c r="D483" i="4"/>
  <c r="D482" i="4"/>
  <c r="D481" i="4"/>
  <c r="D476" i="4"/>
  <c r="D475" i="4"/>
  <c r="D474" i="4"/>
  <c r="D470" i="4"/>
  <c r="D468" i="4"/>
  <c r="D467" i="4"/>
  <c r="D466" i="4"/>
  <c r="D465" i="4"/>
  <c r="D462" i="4"/>
  <c r="D461" i="4"/>
  <c r="D456" i="4"/>
  <c r="D455" i="4"/>
  <c r="D454" i="4"/>
  <c r="D453" i="4"/>
  <c r="D452" i="4"/>
  <c r="D449" i="4"/>
  <c r="D448" i="4"/>
  <c r="D443" i="4"/>
  <c r="D442" i="4"/>
  <c r="D440" i="4"/>
  <c r="D438" i="4"/>
  <c r="D436" i="4"/>
  <c r="D435" i="4"/>
  <c r="D430" i="4"/>
  <c r="D429" i="4"/>
  <c r="D427" i="4"/>
  <c r="D422" i="4"/>
  <c r="D420" i="4"/>
  <c r="D417" i="4"/>
  <c r="D416" i="4"/>
  <c r="D411" i="4"/>
  <c r="D409" i="4"/>
  <c r="D404" i="4"/>
  <c r="D402" i="4"/>
  <c r="D401" i="4"/>
  <c r="D400" i="4"/>
  <c r="D398" i="4"/>
  <c r="D397" i="4"/>
  <c r="D392" i="4"/>
  <c r="D391" i="4"/>
  <c r="D389" i="4"/>
  <c r="D387" i="4"/>
  <c r="A603" i="4"/>
  <c r="C603" i="4" s="1"/>
  <c r="A594" i="4"/>
  <c r="C594" i="4" s="1"/>
  <c r="A580" i="4"/>
  <c r="C580" i="4" s="1"/>
  <c r="A574" i="4"/>
  <c r="C574" i="4" s="1"/>
  <c r="A567" i="4"/>
  <c r="C567" i="4" s="1"/>
  <c r="A558" i="4"/>
  <c r="C558" i="4" s="1"/>
  <c r="A546" i="4"/>
  <c r="C546" i="4" s="1"/>
  <c r="A538" i="4"/>
  <c r="C538" i="4" s="1"/>
  <c r="A530" i="4"/>
  <c r="C530" i="4" s="1"/>
  <c r="A518" i="4"/>
  <c r="C518" i="4" s="1"/>
  <c r="A511" i="4"/>
  <c r="C511" i="4" s="1"/>
  <c r="A494" i="4"/>
  <c r="C494" i="4" s="1"/>
  <c r="A480" i="4"/>
  <c r="C480" i="4" s="1"/>
  <c r="A469" i="4"/>
  <c r="C469" i="4" s="1"/>
  <c r="A458" i="4"/>
  <c r="C458" i="4" s="1"/>
  <c r="A450" i="4"/>
  <c r="C450" i="4" s="1"/>
  <c r="A441" i="4"/>
  <c r="C441" i="4" s="1"/>
  <c r="A425" i="4"/>
  <c r="C425" i="4" s="1"/>
  <c r="A410" i="4"/>
  <c r="C410" i="4" s="1"/>
  <c r="A390" i="4"/>
  <c r="C390" i="4" s="1"/>
  <c r="A624" i="4"/>
  <c r="C624" i="4" s="1"/>
  <c r="A623" i="4"/>
  <c r="C623" i="4" s="1"/>
  <c r="A622" i="4"/>
  <c r="C622" i="4" s="1"/>
  <c r="A621" i="4"/>
  <c r="C621" i="4" s="1"/>
  <c r="A388" i="4"/>
  <c r="A376" i="4"/>
  <c r="C376" i="4" s="1"/>
  <c r="A375" i="4"/>
  <c r="A374" i="4"/>
  <c r="A373" i="4"/>
  <c r="C373" i="4" s="1"/>
  <c r="A372" i="4"/>
  <c r="A371" i="4"/>
  <c r="A369" i="4"/>
  <c r="A368" i="4"/>
  <c r="C368" i="4" s="1"/>
  <c r="A367" i="4"/>
  <c r="C367" i="4" s="1"/>
  <c r="A366" i="4"/>
  <c r="C366" i="4" s="1"/>
  <c r="A365" i="4"/>
  <c r="D365" i="4" s="1"/>
  <c r="A364" i="4"/>
  <c r="C364" i="4" s="1"/>
  <c r="A363" i="4"/>
  <c r="C363" i="4" s="1"/>
  <c r="A362" i="4"/>
  <c r="C362" i="4" s="1"/>
  <c r="A361" i="4"/>
  <c r="A360" i="4"/>
  <c r="C360" i="4" s="1"/>
  <c r="A359" i="4"/>
  <c r="C359" i="4" s="1"/>
  <c r="A358" i="4"/>
  <c r="C358" i="4" s="1"/>
  <c r="A357" i="4"/>
  <c r="C357" i="4" s="1"/>
  <c r="A370" i="4"/>
  <c r="C370" i="4" s="1"/>
  <c r="A355" i="4"/>
  <c r="A354" i="4"/>
  <c r="C354" i="4" s="1"/>
  <c r="A353" i="4"/>
  <c r="C353" i="4" s="1"/>
  <c r="A352" i="4"/>
  <c r="C352" i="4" s="1"/>
  <c r="A351" i="4"/>
  <c r="C351" i="4" s="1"/>
  <c r="A356" i="4"/>
  <c r="C356" i="4" s="1"/>
  <c r="A349" i="4"/>
  <c r="C349" i="4" s="1"/>
  <c r="A348" i="4"/>
  <c r="C348" i="4" s="1"/>
  <c r="A347" i="4"/>
  <c r="C347" i="4" s="1"/>
  <c r="A346" i="4"/>
  <c r="C346" i="4" s="1"/>
  <c r="A345" i="4"/>
  <c r="A344" i="4"/>
  <c r="C344" i="4" s="1"/>
  <c r="A350" i="4"/>
  <c r="C350" i="4" s="1"/>
  <c r="A342" i="4"/>
  <c r="C342" i="4" s="1"/>
  <c r="A341" i="4"/>
  <c r="C341" i="4" s="1"/>
  <c r="A340" i="4"/>
  <c r="C340" i="4" s="1"/>
  <c r="A339" i="4"/>
  <c r="C339" i="4" s="1"/>
  <c r="A338" i="4"/>
  <c r="A337" i="4"/>
  <c r="C337" i="4" s="1"/>
  <c r="A336" i="4"/>
  <c r="C336" i="4" s="1"/>
  <c r="A335" i="4"/>
  <c r="C335" i="4" s="1"/>
  <c r="A334" i="4"/>
  <c r="C334" i="4" s="1"/>
  <c r="A343" i="4"/>
  <c r="C343" i="4" s="1"/>
  <c r="A332" i="4"/>
  <c r="C332" i="4" s="1"/>
  <c r="A331" i="4"/>
  <c r="A330" i="4"/>
  <c r="C330" i="4" s="1"/>
  <c r="A329" i="4"/>
  <c r="C329" i="4" s="1"/>
  <c r="A328" i="4"/>
  <c r="C328" i="4" s="1"/>
  <c r="A327" i="4"/>
  <c r="A326" i="4"/>
  <c r="C326" i="4" s="1"/>
  <c r="A325" i="4"/>
  <c r="C325" i="4" s="1"/>
  <c r="A324" i="4"/>
  <c r="C324" i="4" s="1"/>
  <c r="A323" i="4"/>
  <c r="C323" i="4" s="1"/>
  <c r="A322" i="4"/>
  <c r="C322" i="4" s="1"/>
  <c r="A333" i="4"/>
  <c r="C333" i="4" s="1"/>
  <c r="A320" i="4"/>
  <c r="C320" i="4" s="1"/>
  <c r="A319" i="4"/>
  <c r="C319" i="4" s="1"/>
  <c r="A318" i="4"/>
  <c r="C318" i="4" s="1"/>
  <c r="A317" i="4"/>
  <c r="C317" i="4" s="1"/>
  <c r="A321" i="4"/>
  <c r="C321" i="4" s="1"/>
  <c r="A315" i="4"/>
  <c r="C315" i="4" s="1"/>
  <c r="A314" i="4"/>
  <c r="C314" i="4" s="1"/>
  <c r="A313" i="4"/>
  <c r="C313" i="4" s="1"/>
  <c r="A312" i="4"/>
  <c r="C312" i="4" s="1"/>
  <c r="A311" i="4"/>
  <c r="C311" i="4" s="1"/>
  <c r="A310" i="4"/>
  <c r="C310" i="4" s="1"/>
  <c r="A316" i="4"/>
  <c r="C316" i="4" s="1"/>
  <c r="A308" i="4"/>
  <c r="C308" i="4" s="1"/>
  <c r="A302" i="4"/>
  <c r="C302" i="4" s="1"/>
  <c r="A307" i="4"/>
  <c r="C307" i="4" s="1"/>
  <c r="A306" i="4"/>
  <c r="C306" i="4" s="1"/>
  <c r="A305" i="4"/>
  <c r="A304" i="4"/>
  <c r="C304" i="4" s="1"/>
  <c r="A303" i="4"/>
  <c r="C303" i="4" s="1"/>
  <c r="A309" i="4"/>
  <c r="C309" i="4" s="1"/>
  <c r="A300" i="4"/>
  <c r="C300" i="4" s="1"/>
  <c r="A299" i="4"/>
  <c r="C299" i="4" s="1"/>
  <c r="A298" i="4"/>
  <c r="C298" i="4" s="1"/>
  <c r="A297" i="4"/>
  <c r="C297" i="4" s="1"/>
  <c r="A296" i="4"/>
  <c r="C296" i="4" s="1"/>
  <c r="A301" i="4"/>
  <c r="C301" i="4" s="1"/>
  <c r="A294" i="4"/>
  <c r="C294" i="4" s="1"/>
  <c r="A293" i="4"/>
  <c r="C293" i="4" s="1"/>
  <c r="A292" i="4"/>
  <c r="C292" i="4" s="1"/>
  <c r="A291" i="4"/>
  <c r="C291" i="4" s="1"/>
  <c r="A295" i="4"/>
  <c r="C295" i="4" s="1"/>
  <c r="A290" i="4"/>
  <c r="C290" i="4" s="1"/>
  <c r="A289" i="4"/>
  <c r="C289" i="4" s="1"/>
  <c r="A288" i="4"/>
  <c r="C288" i="4" s="1"/>
  <c r="A287" i="4"/>
  <c r="C287" i="4" s="1"/>
  <c r="A286" i="4"/>
  <c r="A285" i="4"/>
  <c r="C285" i="4" s="1"/>
  <c r="A284" i="4"/>
  <c r="C284" i="4" s="1"/>
  <c r="A283" i="4"/>
  <c r="D283" i="4" s="1"/>
  <c r="A282" i="4"/>
  <c r="A281" i="4"/>
  <c r="C281" i="4" s="1"/>
  <c r="A279" i="4"/>
  <c r="A278" i="4"/>
  <c r="C278" i="4" s="1"/>
  <c r="A277" i="4"/>
  <c r="C277" i="4" s="1"/>
  <c r="A276" i="4"/>
  <c r="C276" i="4" s="1"/>
  <c r="A275" i="4"/>
  <c r="C275" i="4" s="1"/>
  <c r="A274" i="4"/>
  <c r="C274" i="4" s="1"/>
  <c r="A273" i="4"/>
  <c r="A272" i="4"/>
  <c r="C272" i="4" s="1"/>
  <c r="A271" i="4"/>
  <c r="C271" i="4" s="1"/>
  <c r="A280" i="4"/>
  <c r="C280" i="4" s="1"/>
  <c r="A269" i="4"/>
  <c r="C269" i="4" s="1"/>
  <c r="A268" i="4"/>
  <c r="A267" i="4"/>
  <c r="C267" i="4" s="1"/>
  <c r="A266" i="4"/>
  <c r="C266" i="4" s="1"/>
  <c r="A265" i="4"/>
  <c r="C265" i="4" s="1"/>
  <c r="A264" i="4"/>
  <c r="C264" i="4" s="1"/>
  <c r="A270" i="4"/>
  <c r="C270" i="4" s="1"/>
  <c r="A262" i="4"/>
  <c r="C262" i="4" s="1"/>
  <c r="A261" i="4"/>
  <c r="C261" i="4" s="1"/>
  <c r="A260" i="4"/>
  <c r="C260" i="4" s="1"/>
  <c r="A259" i="4"/>
  <c r="C259" i="4" s="1"/>
  <c r="A258" i="4"/>
  <c r="C258" i="4" s="1"/>
  <c r="A257" i="4"/>
  <c r="A263" i="4"/>
  <c r="C263" i="4" s="1"/>
  <c r="A255" i="4"/>
  <c r="C255" i="4" s="1"/>
  <c r="A254" i="4"/>
  <c r="C254" i="4" s="1"/>
  <c r="A253" i="4"/>
  <c r="C253" i="4" s="1"/>
  <c r="A252" i="4"/>
  <c r="C252" i="4" s="1"/>
  <c r="A251" i="4"/>
  <c r="C251" i="4" s="1"/>
  <c r="A250" i="4"/>
  <c r="C250" i="4" s="1"/>
  <c r="A249" i="4"/>
  <c r="A256" i="4"/>
  <c r="C256" i="4" s="1"/>
  <c r="D253" i="4"/>
  <c r="A247" i="4"/>
  <c r="C247" i="4" s="1"/>
  <c r="A246" i="4"/>
  <c r="C246" i="4" s="1"/>
  <c r="A245" i="4"/>
  <c r="C245" i="4" s="1"/>
  <c r="A244" i="4"/>
  <c r="A243" i="4"/>
  <c r="C243" i="4" s="1"/>
  <c r="A242" i="4"/>
  <c r="C242" i="4" s="1"/>
  <c r="A241" i="4"/>
  <c r="C241" i="4" s="1"/>
  <c r="A240" i="4"/>
  <c r="A248" i="4"/>
  <c r="C248" i="4" s="1"/>
  <c r="A238" i="4"/>
  <c r="A237" i="4"/>
  <c r="A236" i="4"/>
  <c r="C236" i="4" s="1"/>
  <c r="A235" i="4"/>
  <c r="C235" i="4" s="1"/>
  <c r="A234" i="4"/>
  <c r="C234" i="4" s="1"/>
  <c r="A233" i="4"/>
  <c r="A232" i="4"/>
  <c r="C232" i="4" s="1"/>
  <c r="A231" i="4"/>
  <c r="C231" i="4" s="1"/>
  <c r="A230" i="4"/>
  <c r="C230" i="4" s="1"/>
  <c r="A229" i="4"/>
  <c r="C229" i="4" s="1"/>
  <c r="A239" i="4"/>
  <c r="C239" i="4" s="1"/>
  <c r="A227" i="4"/>
  <c r="C227" i="4" s="1"/>
  <c r="A226" i="4"/>
  <c r="A225" i="4"/>
  <c r="C225" i="4" s="1"/>
  <c r="A224" i="4"/>
  <c r="C224" i="4" s="1"/>
  <c r="A223" i="4"/>
  <c r="C223" i="4" s="1"/>
  <c r="A222" i="4"/>
  <c r="C222" i="4" s="1"/>
  <c r="A221" i="4"/>
  <c r="C221" i="4" s="1"/>
  <c r="A220" i="4"/>
  <c r="A219" i="4"/>
  <c r="C219" i="4" s="1"/>
  <c r="A228" i="4"/>
  <c r="C228" i="4" s="1"/>
  <c r="A218" i="4"/>
  <c r="C218" i="4" s="1"/>
  <c r="A383" i="4"/>
  <c r="A382" i="4"/>
  <c r="A381" i="4"/>
  <c r="A380" i="4"/>
  <c r="A216" i="4"/>
  <c r="D377" i="4"/>
  <c r="D368" i="4"/>
  <c r="D367" i="4"/>
  <c r="D360" i="4"/>
  <c r="D359" i="4"/>
  <c r="D353" i="4"/>
  <c r="D348" i="4"/>
  <c r="D347" i="4"/>
  <c r="D337" i="4"/>
  <c r="D332" i="4"/>
  <c r="D329" i="4"/>
  <c r="D325" i="4"/>
  <c r="D324" i="4"/>
  <c r="D318" i="4"/>
  <c r="D317" i="4"/>
  <c r="D313" i="4"/>
  <c r="D312" i="4"/>
  <c r="D308" i="4"/>
  <c r="D289" i="4"/>
  <c r="D285" i="4"/>
  <c r="D284" i="4"/>
  <c r="D278" i="4"/>
  <c r="D277" i="4"/>
  <c r="D276" i="4"/>
  <c r="D266" i="4"/>
  <c r="D265" i="4"/>
  <c r="D252" i="4"/>
  <c r="D242" i="4"/>
  <c r="D230" i="4"/>
  <c r="D229" i="4"/>
  <c r="D225" i="4"/>
  <c r="D224" i="4"/>
  <c r="D223" i="4"/>
  <c r="D219" i="4"/>
  <c r="D217" i="4"/>
  <c r="D215" i="4"/>
  <c r="D210" i="4"/>
  <c r="D209" i="4"/>
  <c r="D208" i="4"/>
  <c r="D207" i="4"/>
  <c r="D202" i="4"/>
  <c r="D201" i="4"/>
  <c r="D163" i="4"/>
  <c r="D8" i="4"/>
  <c r="D6" i="4"/>
  <c r="J38" i="2" l="1"/>
  <c r="M59" i="2"/>
  <c r="D590" i="4"/>
  <c r="C590" i="4"/>
  <c r="D604" i="4"/>
  <c r="C604" i="4"/>
  <c r="D220" i="4"/>
  <c r="C220" i="4"/>
  <c r="D375" i="4"/>
  <c r="C375" i="4"/>
  <c r="D484" i="4"/>
  <c r="C484" i="4"/>
  <c r="D327" i="4"/>
  <c r="C327" i="4"/>
  <c r="D564" i="4"/>
  <c r="C564" i="4"/>
  <c r="D578" i="4"/>
  <c r="C578" i="4"/>
  <c r="C605" i="4"/>
  <c r="D605" i="4"/>
  <c r="D671" i="4"/>
  <c r="C671" i="4"/>
  <c r="D713" i="4"/>
  <c r="C713" i="4"/>
  <c r="C932" i="4"/>
  <c r="D932" i="4"/>
  <c r="C1140" i="4"/>
  <c r="D1140" i="4"/>
  <c r="C1498" i="4"/>
  <c r="D1498" i="4"/>
  <c r="C2259" i="4"/>
  <c r="D2259" i="4"/>
  <c r="C2271" i="4"/>
  <c r="D2271" i="4"/>
  <c r="C2282" i="4"/>
  <c r="A16" i="3"/>
  <c r="C606" i="4"/>
  <c r="D606" i="4"/>
  <c r="D650" i="4"/>
  <c r="C672" i="4"/>
  <c r="D672" i="4"/>
  <c r="C686" i="4"/>
  <c r="D686" i="4"/>
  <c r="D933" i="4"/>
  <c r="C933" i="4"/>
  <c r="C1141" i="4"/>
  <c r="D1141" i="4"/>
  <c r="C1499" i="4"/>
  <c r="D1499" i="4"/>
  <c r="C2260" i="4"/>
  <c r="D2260" i="4"/>
  <c r="C2272" i="4"/>
  <c r="D2272" i="4"/>
  <c r="C2400" i="4"/>
  <c r="D2400" i="4"/>
  <c r="A18" i="3"/>
  <c r="C2549" i="4"/>
  <c r="D405" i="4"/>
  <c r="C405" i="4"/>
  <c r="D444" i="4"/>
  <c r="C444" i="4"/>
  <c r="D536" i="4"/>
  <c r="C536" i="4"/>
  <c r="D305" i="4"/>
  <c r="C305" i="4"/>
  <c r="D328" i="4"/>
  <c r="D426" i="4"/>
  <c r="D486" i="4"/>
  <c r="C421" i="4"/>
  <c r="D421" i="4"/>
  <c r="D447" i="4"/>
  <c r="C447" i="4"/>
  <c r="D487" i="4"/>
  <c r="C487" i="4"/>
  <c r="D526" i="4"/>
  <c r="C526" i="4"/>
  <c r="D566" i="4"/>
  <c r="C566" i="4"/>
  <c r="A7" i="3"/>
  <c r="C629" i="4"/>
  <c r="D632" i="4"/>
  <c r="C632" i="4"/>
  <c r="D645" i="4"/>
  <c r="C645" i="4"/>
  <c r="D659" i="4"/>
  <c r="C659" i="4"/>
  <c r="D673" i="4"/>
  <c r="C673" i="4"/>
  <c r="D687" i="4"/>
  <c r="C687" i="4"/>
  <c r="D701" i="4"/>
  <c r="C701" i="4"/>
  <c r="D715" i="4"/>
  <c r="C715" i="4"/>
  <c r="C1142" i="4"/>
  <c r="D1142" i="4"/>
  <c r="C1500" i="4"/>
  <c r="D1500" i="4"/>
  <c r="A14" i="3"/>
  <c r="C1942" i="4"/>
  <c r="C2261" i="4"/>
  <c r="D2261" i="4"/>
  <c r="C2273" i="4"/>
  <c r="D2273" i="4"/>
  <c r="D338" i="4"/>
  <c r="C338" i="4"/>
  <c r="D699" i="4"/>
  <c r="D509" i="4"/>
  <c r="C509" i="4"/>
  <c r="D268" i="4"/>
  <c r="C268" i="4"/>
  <c r="D577" i="4"/>
  <c r="D376" i="4"/>
  <c r="A6" i="3"/>
  <c r="C388" i="4"/>
  <c r="D407" i="4"/>
  <c r="D531" i="4"/>
  <c r="D237" i="4"/>
  <c r="C237" i="4"/>
  <c r="D331" i="4"/>
  <c r="C331" i="4"/>
  <c r="D355" i="4"/>
  <c r="C355" i="4"/>
  <c r="D408" i="4"/>
  <c r="D428" i="4"/>
  <c r="D532" i="4"/>
  <c r="D657" i="4"/>
  <c r="D678" i="4"/>
  <c r="D700" i="4"/>
  <c r="D282" i="4"/>
  <c r="C282" i="4"/>
  <c r="D227" i="4"/>
  <c r="D352" i="4"/>
  <c r="A5" i="3"/>
  <c r="C216" i="4"/>
  <c r="D446" i="4"/>
  <c r="D287" i="4"/>
  <c r="D330" i="4"/>
  <c r="D354" i="4"/>
  <c r="C380" i="4"/>
  <c r="D380" i="4"/>
  <c r="D234" i="4"/>
  <c r="D288" i="4"/>
  <c r="D358" i="4"/>
  <c r="D381" i="4"/>
  <c r="C381" i="4"/>
  <c r="D226" i="4"/>
  <c r="C226" i="4"/>
  <c r="D238" i="4"/>
  <c r="C238" i="4"/>
  <c r="D249" i="4"/>
  <c r="C249" i="4"/>
  <c r="D273" i="4"/>
  <c r="C273" i="4"/>
  <c r="C286" i="4"/>
  <c r="D286" i="4"/>
  <c r="D491" i="4"/>
  <c r="D512" i="4"/>
  <c r="D559" i="4"/>
  <c r="D399" i="4"/>
  <c r="C399" i="4"/>
  <c r="D412" i="4"/>
  <c r="C412" i="4"/>
  <c r="D424" i="4"/>
  <c r="C424" i="4"/>
  <c r="D437" i="4"/>
  <c r="C437" i="4"/>
  <c r="D451" i="4"/>
  <c r="C451" i="4"/>
  <c r="D464" i="4"/>
  <c r="C464" i="4"/>
  <c r="D477" i="4"/>
  <c r="C477" i="4"/>
  <c r="D490" i="4"/>
  <c r="C490" i="4"/>
  <c r="D503" i="4"/>
  <c r="C503" i="4"/>
  <c r="D516" i="4"/>
  <c r="C516" i="4"/>
  <c r="D529" i="4"/>
  <c r="C529" i="4"/>
  <c r="D543" i="4"/>
  <c r="C543" i="4"/>
  <c r="D556" i="4"/>
  <c r="C556" i="4"/>
  <c r="D570" i="4"/>
  <c r="C570" i="4"/>
  <c r="D658" i="4"/>
  <c r="D244" i="4"/>
  <c r="C244" i="4"/>
  <c r="D418" i="4"/>
  <c r="C418" i="4"/>
  <c r="D431" i="4"/>
  <c r="C431" i="4"/>
  <c r="D471" i="4"/>
  <c r="C471" i="4"/>
  <c r="D497" i="4"/>
  <c r="C497" i="4"/>
  <c r="D550" i="4"/>
  <c r="C550" i="4"/>
  <c r="C233" i="4"/>
  <c r="D233" i="4"/>
  <c r="D351" i="4"/>
  <c r="D369" i="4"/>
  <c r="C369" i="4"/>
  <c r="C478" i="4"/>
  <c r="D478" i="4"/>
  <c r="D557" i="4"/>
  <c r="C557" i="4"/>
  <c r="D598" i="4"/>
  <c r="C598" i="4"/>
  <c r="C636" i="4"/>
  <c r="D636" i="4"/>
  <c r="D664" i="4"/>
  <c r="C664" i="4"/>
  <c r="D706" i="4"/>
  <c r="C706" i="4"/>
  <c r="D719" i="4"/>
  <c r="C719" i="4"/>
  <c r="C1609" i="4"/>
  <c r="D1609" i="4"/>
  <c r="C1614" i="4"/>
  <c r="A12" i="3"/>
  <c r="C2084" i="4"/>
  <c r="D2084" i="4"/>
  <c r="C2265" i="4"/>
  <c r="D2265" i="4"/>
  <c r="C2277" i="4"/>
  <c r="D2277" i="4"/>
  <c r="C460" i="4"/>
  <c r="D460" i="4"/>
  <c r="D382" i="4"/>
  <c r="C382" i="4"/>
  <c r="D383" i="4"/>
  <c r="C383" i="4"/>
  <c r="C439" i="4"/>
  <c r="D439" i="4"/>
  <c r="D612" i="4"/>
  <c r="C612" i="4"/>
  <c r="D685" i="4"/>
  <c r="C637" i="4"/>
  <c r="D637" i="4"/>
  <c r="C679" i="4"/>
  <c r="D679" i="4"/>
  <c r="D707" i="4"/>
  <c r="C707" i="4"/>
  <c r="C1795" i="4"/>
  <c r="D1795" i="4"/>
  <c r="C2266" i="4"/>
  <c r="D2266" i="4"/>
  <c r="D457" i="4"/>
  <c r="C457" i="4"/>
  <c r="D345" i="4"/>
  <c r="C345" i="4"/>
  <c r="D539" i="4"/>
  <c r="D340" i="4"/>
  <c r="D362" i="4"/>
  <c r="D372" i="4"/>
  <c r="C372" i="4"/>
  <c r="D396" i="4"/>
  <c r="D414" i="4"/>
  <c r="D434" i="4"/>
  <c r="D517" i="4"/>
  <c r="D591" i="4"/>
  <c r="D617" i="4"/>
  <c r="D714" i="4"/>
  <c r="D638" i="4"/>
  <c r="C638" i="4"/>
  <c r="D652" i="4"/>
  <c r="C652" i="4"/>
  <c r="D666" i="4"/>
  <c r="C666" i="4"/>
  <c r="D680" i="4"/>
  <c r="C680" i="4"/>
  <c r="D695" i="4"/>
  <c r="C695" i="4"/>
  <c r="D708" i="4"/>
  <c r="C708" i="4"/>
  <c r="D721" i="4"/>
  <c r="C721" i="4"/>
  <c r="C1796" i="4"/>
  <c r="D1796" i="4"/>
  <c r="A13" i="3"/>
  <c r="C1802" i="4"/>
  <c r="D257" i="4"/>
  <c r="C257" i="4"/>
  <c r="D525" i="4"/>
  <c r="C525" i="4"/>
  <c r="D394" i="4"/>
  <c r="D245" i="4"/>
  <c r="D339" i="4"/>
  <c r="D371" i="4"/>
  <c r="C371" i="4"/>
  <c r="D395" i="4"/>
  <c r="D563" i="4"/>
  <c r="D616" i="4"/>
  <c r="D221" i="4"/>
  <c r="D342" i="4"/>
  <c r="D363" i="4"/>
  <c r="D302" i="4"/>
  <c r="D415" i="4"/>
  <c r="D519" i="4"/>
  <c r="D545" i="4"/>
  <c r="D665" i="4"/>
  <c r="C640" i="4"/>
  <c r="D640" i="4"/>
  <c r="C653" i="4"/>
  <c r="D653" i="4"/>
  <c r="D682" i="4"/>
  <c r="C682" i="4"/>
  <c r="D709" i="4"/>
  <c r="C709" i="4"/>
  <c r="D722" i="4"/>
  <c r="C722" i="4"/>
  <c r="D279" i="4"/>
  <c r="C279" i="4"/>
  <c r="D523" i="4"/>
  <c r="C523" i="4"/>
  <c r="D473" i="4"/>
  <c r="D240" i="4"/>
  <c r="C240" i="4"/>
  <c r="D413" i="4"/>
  <c r="D433" i="4"/>
  <c r="D222" i="4"/>
  <c r="D346" i="4"/>
  <c r="D366" i="4"/>
  <c r="D361" i="4"/>
  <c r="C361" i="4"/>
  <c r="D374" i="4"/>
  <c r="C374" i="4"/>
  <c r="D479" i="4"/>
  <c r="D499" i="4"/>
  <c r="D572" i="4"/>
  <c r="D643" i="4"/>
  <c r="D693" i="4"/>
  <c r="D720" i="4"/>
  <c r="D2270" i="4"/>
  <c r="A19" i="3"/>
  <c r="C2819" i="4"/>
  <c r="D1497" i="4"/>
  <c r="D2081" i="4"/>
  <c r="C506" i="4"/>
  <c r="D2082" i="4"/>
  <c r="C560" i="4"/>
  <c r="C656" i="4"/>
  <c r="A17" i="3"/>
  <c r="C2405" i="4"/>
  <c r="D2083" i="4"/>
  <c r="C534" i="4"/>
  <c r="C561" i="4"/>
  <c r="C600" i="4"/>
  <c r="C710" i="4"/>
  <c r="D2262" i="4"/>
  <c r="D2274" i="4"/>
  <c r="C562" i="4"/>
  <c r="C726" i="4"/>
  <c r="D403" i="4"/>
  <c r="D515" i="4"/>
  <c r="D583" i="4"/>
  <c r="D535" i="4"/>
  <c r="C535" i="4"/>
  <c r="D690" i="4"/>
  <c r="C1524" i="4"/>
  <c r="A11" i="3"/>
  <c r="D1501" i="4"/>
  <c r="D2263" i="4"/>
  <c r="D2275" i="4"/>
  <c r="D2543" i="4"/>
  <c r="D2806" i="4"/>
  <c r="C283" i="4"/>
  <c r="C576" i="4"/>
  <c r="C602" i="4"/>
  <c r="C646" i="4"/>
  <c r="C727" i="4"/>
  <c r="D2264" i="4"/>
  <c r="D2276" i="4"/>
  <c r="D2544" i="4"/>
  <c r="D2807" i="4"/>
  <c r="D1935" i="4"/>
  <c r="D2808" i="4"/>
  <c r="C732" i="4"/>
  <c r="C938" i="4"/>
  <c r="C1147" i="4"/>
  <c r="D1797" i="4"/>
  <c r="D1936" i="4"/>
  <c r="D2809" i="4"/>
  <c r="C365" i="4"/>
  <c r="C2268" i="4"/>
  <c r="A31" i="2"/>
  <c r="D1798" i="4"/>
  <c r="D1937" i="4"/>
  <c r="D2267" i="4"/>
  <c r="D2953" i="4"/>
  <c r="C423" i="4"/>
  <c r="C502" i="4"/>
  <c r="D2268" i="4"/>
  <c r="D2954" i="4"/>
  <c r="C542" i="4"/>
  <c r="C704" i="4"/>
  <c r="C717" i="4"/>
  <c r="D463" i="4"/>
  <c r="C463" i="4"/>
  <c r="D648" i="4"/>
  <c r="A15" i="3"/>
  <c r="C2090" i="4"/>
  <c r="D2269" i="4"/>
  <c r="D2955" i="4"/>
  <c r="C596" i="4"/>
  <c r="C718" i="4"/>
  <c r="D2945" i="4"/>
  <c r="C850" i="4"/>
  <c r="D2938" i="4"/>
  <c r="D2931" i="4"/>
  <c r="D2920" i="4"/>
  <c r="D2913" i="4"/>
  <c r="D2906" i="4"/>
  <c r="D2901" i="4"/>
  <c r="D2895" i="4"/>
  <c r="D2889" i="4"/>
  <c r="D2880" i="4"/>
  <c r="D2872" i="4"/>
  <c r="D2865" i="4"/>
  <c r="D2855" i="4"/>
  <c r="D2848" i="4"/>
  <c r="D2834" i="4"/>
  <c r="D2841" i="4"/>
  <c r="D2827" i="4"/>
  <c r="D2822" i="4"/>
  <c r="D2795" i="4"/>
  <c r="D2785" i="4"/>
  <c r="D2789" i="4"/>
  <c r="D2767" i="4"/>
  <c r="D2777" i="4"/>
  <c r="D2762" i="4"/>
  <c r="D2756" i="4"/>
  <c r="D2747" i="4"/>
  <c r="D2738" i="4"/>
  <c r="D2732" i="4"/>
  <c r="D2707" i="4"/>
  <c r="D2714" i="4"/>
  <c r="D2697" i="4"/>
  <c r="D2689" i="4"/>
  <c r="D2676" i="4"/>
  <c r="D2680" i="4"/>
  <c r="D2669" i="4"/>
  <c r="D2664" i="4"/>
  <c r="D2656" i="4"/>
  <c r="D2649" i="4"/>
  <c r="D2643" i="4"/>
  <c r="D2628" i="4"/>
  <c r="D2616" i="4"/>
  <c r="D2591" i="4"/>
  <c r="D2608" i="4"/>
  <c r="D2596" i="4"/>
  <c r="D2585" i="4"/>
  <c r="D2577" i="4"/>
  <c r="D2566" i="4"/>
  <c r="D2557" i="4"/>
  <c r="D2551" i="4"/>
  <c r="D2537" i="4"/>
  <c r="D2528" i="4"/>
  <c r="D2513" i="4"/>
  <c r="D2523" i="4"/>
  <c r="D2500" i="4"/>
  <c r="D2489" i="4"/>
  <c r="D2495" i="4"/>
  <c r="D2484" i="4"/>
  <c r="D2478" i="4"/>
  <c r="D2465" i="4"/>
  <c r="D2472" i="4"/>
  <c r="D2457" i="4"/>
  <c r="D2446" i="4"/>
  <c r="D2453" i="4"/>
  <c r="D2440" i="4"/>
  <c r="D2430" i="4"/>
  <c r="D2423" i="4"/>
  <c r="D2408" i="4"/>
  <c r="D2415" i="4"/>
  <c r="D2391" i="4"/>
  <c r="D2382" i="4"/>
  <c r="D2376" i="4"/>
  <c r="D2370" i="4"/>
  <c r="D2360" i="4"/>
  <c r="D2354" i="4"/>
  <c r="D2347" i="4"/>
  <c r="D2338" i="4"/>
  <c r="D2329" i="4"/>
  <c r="D2309" i="4"/>
  <c r="D2293" i="4"/>
  <c r="D2303" i="4"/>
  <c r="D2284" i="4"/>
  <c r="D2241" i="4"/>
  <c r="D2230" i="4"/>
  <c r="D2220" i="4"/>
  <c r="D2210" i="4"/>
  <c r="D2204" i="4"/>
  <c r="D2195" i="4"/>
  <c r="D2188" i="4"/>
  <c r="D2182" i="4"/>
  <c r="D2176" i="4"/>
  <c r="D2157" i="4"/>
  <c r="D2167" i="4"/>
  <c r="D2148" i="4"/>
  <c r="D2131" i="4"/>
  <c r="D2118" i="4"/>
  <c r="D2112" i="4"/>
  <c r="D2101" i="4"/>
  <c r="D2092" i="4"/>
  <c r="D2068" i="4"/>
  <c r="D2061" i="4"/>
  <c r="D2055" i="4"/>
  <c r="D2041" i="4"/>
  <c r="D2030" i="4"/>
  <c r="D2022" i="4"/>
  <c r="D2016" i="4"/>
  <c r="D2009" i="4"/>
  <c r="D1996" i="4"/>
  <c r="D2003" i="4"/>
  <c r="D1987" i="4"/>
  <c r="D1961" i="4"/>
  <c r="D1978" i="4"/>
  <c r="D1969" i="4"/>
  <c r="D1955" i="4"/>
  <c r="D1944" i="4"/>
  <c r="D1927" i="4"/>
  <c r="D1916" i="4"/>
  <c r="D1906" i="4"/>
  <c r="D1895" i="4"/>
  <c r="D1885" i="4"/>
  <c r="D1879" i="4"/>
  <c r="D1871" i="4"/>
  <c r="D1861" i="4"/>
  <c r="D1854" i="4"/>
  <c r="D1844" i="4"/>
  <c r="D1837" i="4"/>
  <c r="D1812" i="4"/>
  <c r="D1828" i="4"/>
  <c r="D1804" i="4"/>
  <c r="D1788" i="4"/>
  <c r="D1782" i="4"/>
  <c r="D1775" i="4"/>
  <c r="D1766" i="4"/>
  <c r="D1751" i="4"/>
  <c r="D1724" i="4"/>
  <c r="D1745" i="4"/>
  <c r="D1735" i="4"/>
  <c r="D1716" i="4"/>
  <c r="D1705" i="4"/>
  <c r="D1682" i="4"/>
  <c r="D1697" i="4"/>
  <c r="D1688" i="4"/>
  <c r="D1676" i="4"/>
  <c r="D1665" i="4"/>
  <c r="D1658" i="4"/>
  <c r="D1647" i="4"/>
  <c r="D1635" i="4"/>
  <c r="D1627" i="4"/>
  <c r="D1620" i="4"/>
  <c r="D1594" i="4"/>
  <c r="D1616" i="4"/>
  <c r="D1599" i="4"/>
  <c r="D1580" i="4"/>
  <c r="D1572" i="4"/>
  <c r="D1562" i="4"/>
  <c r="D1556" i="4"/>
  <c r="D1550" i="4"/>
  <c r="D1545" i="4"/>
  <c r="D1533" i="4"/>
  <c r="D1538" i="4"/>
  <c r="D1489" i="4"/>
  <c r="D1526" i="4"/>
  <c r="D1482" i="4"/>
  <c r="D1476" i="4"/>
  <c r="D1469" i="4"/>
  <c r="D1456" i="4"/>
  <c r="D1446" i="4"/>
  <c r="D1438" i="4"/>
  <c r="D1432" i="4"/>
  <c r="D1422" i="4"/>
  <c r="D1413" i="4"/>
  <c r="D1405" i="4"/>
  <c r="D1391" i="4"/>
  <c r="D1377" i="4"/>
  <c r="D1369" i="4"/>
  <c r="D1360" i="4"/>
  <c r="D1332" i="4"/>
  <c r="D1352" i="4"/>
  <c r="D1345" i="4"/>
  <c r="D1316" i="4"/>
  <c r="D1309" i="4"/>
  <c r="D1300" i="4"/>
  <c r="D1288" i="4"/>
  <c r="D1276" i="4"/>
  <c r="D1269" i="4"/>
  <c r="D1258" i="4"/>
  <c r="D1244" i="4"/>
  <c r="D1233" i="4"/>
  <c r="D1226" i="4"/>
  <c r="D1219" i="4"/>
  <c r="D1213" i="4"/>
  <c r="D1205" i="4"/>
  <c r="D1194" i="4"/>
  <c r="D1187" i="4"/>
  <c r="D1181" i="4"/>
  <c r="D1166" i="4"/>
  <c r="D1156" i="4"/>
  <c r="D1149" i="4"/>
  <c r="D1132" i="4"/>
  <c r="D1121" i="4"/>
  <c r="D1098" i="4"/>
  <c r="D1115" i="4"/>
  <c r="D1088" i="4"/>
  <c r="D1081" i="4"/>
  <c r="D1071" i="4"/>
  <c r="D1064" i="4"/>
  <c r="D1049" i="4"/>
  <c r="D1032" i="4"/>
  <c r="D1014" i="4"/>
  <c r="D1022" i="4"/>
  <c r="D1001" i="4"/>
  <c r="D983" i="4"/>
  <c r="D972" i="4"/>
  <c r="D964" i="4"/>
  <c r="D958" i="4"/>
  <c r="D950" i="4"/>
  <c r="D940" i="4"/>
  <c r="D919" i="4"/>
  <c r="D914" i="4"/>
  <c r="D906" i="4"/>
  <c r="D895" i="4"/>
  <c r="D883" i="4"/>
  <c r="D873" i="4"/>
  <c r="D854" i="4"/>
  <c r="D861" i="4"/>
  <c r="D839" i="4"/>
  <c r="D832" i="4"/>
  <c r="D820" i="4"/>
  <c r="D811" i="4"/>
  <c r="D803" i="4"/>
  <c r="D794" i="4"/>
  <c r="D787" i="4"/>
  <c r="D776" i="4"/>
  <c r="D767" i="4"/>
  <c r="D761" i="4"/>
  <c r="D743" i="4"/>
  <c r="D749" i="4"/>
  <c r="D734" i="4"/>
  <c r="D2819" i="4"/>
  <c r="D432" i="4"/>
  <c r="D425" i="4" s="1"/>
  <c r="D472" i="4"/>
  <c r="D469" i="4" s="1"/>
  <c r="D510" i="4"/>
  <c r="D551" i="4"/>
  <c r="D546" i="4" s="1"/>
  <c r="D581" i="4"/>
  <c r="D565" i="4"/>
  <c r="D558" i="4" s="1"/>
  <c r="D592" i="4"/>
  <c r="D618" i="4"/>
  <c r="D281" i="4"/>
  <c r="D280" i="4" s="1"/>
  <c r="D272" i="4"/>
  <c r="D341" i="4"/>
  <c r="D364" i="4"/>
  <c r="D544" i="4"/>
  <c r="D538" i="4" s="1"/>
  <c r="D571" i="4"/>
  <c r="D567" i="4" s="1"/>
  <c r="D593" i="4"/>
  <c r="D349" i="4"/>
  <c r="D269" i="4"/>
  <c r="D419" i="4"/>
  <c r="D410" i="4" s="1"/>
  <c r="D459" i="4"/>
  <c r="D458" i="4" s="1"/>
  <c r="D498" i="4"/>
  <c r="D537" i="4"/>
  <c r="D530" i="4" s="1"/>
  <c r="D584" i="4"/>
  <c r="D610" i="4"/>
  <c r="D357" i="4"/>
  <c r="D406" i="4"/>
  <c r="D445" i="4"/>
  <c r="D441" i="4" s="1"/>
  <c r="D485" i="4"/>
  <c r="D480" i="4" s="1"/>
  <c r="D524" i="4"/>
  <c r="D518" i="4" s="1"/>
  <c r="D575" i="4"/>
  <c r="D574" i="4" s="1"/>
  <c r="D601" i="4"/>
  <c r="D594" i="4" s="1"/>
  <c r="D373" i="4"/>
  <c r="D370" i="4" s="1"/>
  <c r="D393" i="4"/>
  <c r="D669" i="4"/>
  <c r="D681" i="4"/>
  <c r="D688" i="4"/>
  <c r="D663" i="4"/>
  <c r="D675" i="4"/>
  <c r="D702" i="4"/>
  <c r="D622" i="4"/>
  <c r="D624" i="4"/>
  <c r="D692" i="4"/>
  <c r="D511" i="4"/>
  <c r="D621" i="4"/>
  <c r="D623" i="4"/>
  <c r="D639" i="4"/>
  <c r="D647" i="4"/>
  <c r="D654" i="4"/>
  <c r="D712" i="4"/>
  <c r="D631" i="4"/>
  <c r="D450" i="4"/>
  <c r="D350" i="4"/>
  <c r="D344" i="4"/>
  <c r="D334" i="4"/>
  <c r="D336" i="4"/>
  <c r="D322" i="4"/>
  <c r="D323" i="4"/>
  <c r="D326" i="4"/>
  <c r="D335" i="4"/>
  <c r="D319" i="4"/>
  <c r="D320" i="4"/>
  <c r="D310" i="4"/>
  <c r="D311" i="4"/>
  <c r="D314" i="4"/>
  <c r="D315" i="4"/>
  <c r="D306" i="4"/>
  <c r="D307" i="4"/>
  <c r="D304" i="4"/>
  <c r="D300" i="4"/>
  <c r="D298" i="4"/>
  <c r="D296" i="4"/>
  <c r="D291" i="4"/>
  <c r="D292" i="4"/>
  <c r="D293" i="4"/>
  <c r="D294" i="4"/>
  <c r="D297" i="4"/>
  <c r="D299" i="4"/>
  <c r="D303" i="4"/>
  <c r="D271" i="4"/>
  <c r="D274" i="4"/>
  <c r="D275" i="4"/>
  <c r="D264" i="4"/>
  <c r="D267" i="4"/>
  <c r="D261" i="4"/>
  <c r="D259" i="4"/>
  <c r="D255" i="4"/>
  <c r="D251" i="4"/>
  <c r="D241" i="4"/>
  <c r="D246" i="4"/>
  <c r="D247" i="4"/>
  <c r="D250" i="4"/>
  <c r="D254" i="4"/>
  <c r="D258" i="4"/>
  <c r="D260" i="4"/>
  <c r="D262" i="4"/>
  <c r="D218" i="4"/>
  <c r="D231" i="4"/>
  <c r="D232" i="4"/>
  <c r="D235" i="4"/>
  <c r="D236" i="4"/>
  <c r="D243" i="4"/>
  <c r="A200" i="4"/>
  <c r="A199" i="4"/>
  <c r="A198" i="4"/>
  <c r="A197" i="4"/>
  <c r="A196" i="4"/>
  <c r="A195" i="4"/>
  <c r="A206" i="4"/>
  <c r="A205" i="4"/>
  <c r="A193" i="4"/>
  <c r="A192" i="4"/>
  <c r="A191" i="4"/>
  <c r="A190" i="4"/>
  <c r="A189" i="4"/>
  <c r="A188" i="4"/>
  <c r="C188" i="4" s="1"/>
  <c r="A187" i="4"/>
  <c r="A185" i="4"/>
  <c r="A184" i="4"/>
  <c r="A183" i="4"/>
  <c r="A182" i="4"/>
  <c r="A181" i="4"/>
  <c r="A180" i="4"/>
  <c r="A179" i="4"/>
  <c r="A177" i="4"/>
  <c r="A176" i="4"/>
  <c r="A175" i="4"/>
  <c r="A174" i="4"/>
  <c r="A173" i="4"/>
  <c r="A172" i="4"/>
  <c r="A171" i="4"/>
  <c r="A170" i="4"/>
  <c r="A169" i="4"/>
  <c r="A167" i="4"/>
  <c r="A166" i="4"/>
  <c r="A165" i="4"/>
  <c r="A162" i="4"/>
  <c r="A161" i="4"/>
  <c r="A160" i="4"/>
  <c r="A159" i="4"/>
  <c r="A158" i="4"/>
  <c r="A157" i="4"/>
  <c r="A156" i="4"/>
  <c r="A155" i="4"/>
  <c r="A153" i="4"/>
  <c r="A152" i="4"/>
  <c r="A151" i="4"/>
  <c r="A150" i="4"/>
  <c r="A149" i="4"/>
  <c r="A148" i="4"/>
  <c r="A146" i="4"/>
  <c r="A145" i="4"/>
  <c r="A144" i="4"/>
  <c r="A143" i="4"/>
  <c r="A142" i="4"/>
  <c r="A141" i="4"/>
  <c r="A140" i="4"/>
  <c r="A139" i="4"/>
  <c r="A137" i="4"/>
  <c r="A136" i="4"/>
  <c r="A135" i="4"/>
  <c r="A134" i="4"/>
  <c r="A133" i="4"/>
  <c r="A131" i="4"/>
  <c r="C131" i="4" s="1"/>
  <c r="A130" i="4"/>
  <c r="A129" i="4"/>
  <c r="A128" i="4"/>
  <c r="A127" i="4"/>
  <c r="A125" i="4"/>
  <c r="A124" i="4"/>
  <c r="A123" i="4"/>
  <c r="A122" i="4"/>
  <c r="A121" i="4"/>
  <c r="A120" i="4"/>
  <c r="A118" i="4"/>
  <c r="A117" i="4"/>
  <c r="A116" i="4"/>
  <c r="A115" i="4"/>
  <c r="A113" i="4"/>
  <c r="A112" i="4"/>
  <c r="A111" i="4"/>
  <c r="A110" i="4"/>
  <c r="A109" i="4"/>
  <c r="C109" i="4" s="1"/>
  <c r="A108" i="4"/>
  <c r="A107" i="4"/>
  <c r="A106" i="4"/>
  <c r="A104" i="4"/>
  <c r="C104" i="4" s="1"/>
  <c r="A103" i="4"/>
  <c r="A102" i="4"/>
  <c r="A100" i="4"/>
  <c r="A99" i="4"/>
  <c r="A98" i="4"/>
  <c r="A97" i="4"/>
  <c r="A96" i="4"/>
  <c r="A94" i="4"/>
  <c r="A93" i="4"/>
  <c r="A92" i="4"/>
  <c r="A91" i="4"/>
  <c r="A89" i="4"/>
  <c r="A88" i="4"/>
  <c r="A87" i="4"/>
  <c r="A86" i="4"/>
  <c r="A85" i="4"/>
  <c r="C85" i="4" s="1"/>
  <c r="A84" i="4"/>
  <c r="A83" i="4"/>
  <c r="A81" i="4"/>
  <c r="A80" i="4"/>
  <c r="A79" i="4"/>
  <c r="A78" i="4"/>
  <c r="A77" i="4"/>
  <c r="A76" i="4"/>
  <c r="A75" i="4"/>
  <c r="A74" i="4"/>
  <c r="A72" i="4"/>
  <c r="A71" i="4"/>
  <c r="A70" i="4"/>
  <c r="A69" i="4"/>
  <c r="A68" i="4"/>
  <c r="A67" i="4"/>
  <c r="A66" i="4"/>
  <c r="A65" i="4"/>
  <c r="A64" i="4"/>
  <c r="A63" i="4"/>
  <c r="A62" i="4"/>
  <c r="A61" i="4"/>
  <c r="C61" i="4" s="1"/>
  <c r="A60" i="4"/>
  <c r="A59" i="4"/>
  <c r="A57" i="4"/>
  <c r="A56" i="4"/>
  <c r="A55" i="4"/>
  <c r="A54" i="4"/>
  <c r="A204" i="4"/>
  <c r="A203" i="4"/>
  <c r="A194" i="4"/>
  <c r="C194" i="4" s="1"/>
  <c r="A186" i="4"/>
  <c r="C186" i="4" s="1"/>
  <c r="A178" i="4"/>
  <c r="C178" i="4" s="1"/>
  <c r="A168" i="4"/>
  <c r="C168" i="4" s="1"/>
  <c r="A164" i="4"/>
  <c r="C164" i="4" s="1"/>
  <c r="A154" i="4"/>
  <c r="C154" i="4" s="1"/>
  <c r="A147" i="4"/>
  <c r="C147" i="4" s="1"/>
  <c r="A138" i="4"/>
  <c r="C138" i="4" s="1"/>
  <c r="A132" i="4"/>
  <c r="C132" i="4" s="1"/>
  <c r="A126" i="4"/>
  <c r="C126" i="4" s="1"/>
  <c r="A119" i="4"/>
  <c r="C119" i="4" s="1"/>
  <c r="A114" i="4"/>
  <c r="C114" i="4" s="1"/>
  <c r="A105" i="4"/>
  <c r="C105" i="4" s="1"/>
  <c r="A101" i="4"/>
  <c r="C101" i="4" s="1"/>
  <c r="A95" i="4"/>
  <c r="C95" i="4" s="1"/>
  <c r="A90" i="4"/>
  <c r="C90" i="4" s="1"/>
  <c r="A82" i="4"/>
  <c r="C82" i="4" s="1"/>
  <c r="A73" i="4"/>
  <c r="C73" i="4" s="1"/>
  <c r="A58" i="4"/>
  <c r="C58" i="4" s="1"/>
  <c r="A53" i="4"/>
  <c r="C53" i="4" s="1"/>
  <c r="A52" i="4"/>
  <c r="C52" i="4" s="1"/>
  <c r="A51" i="4"/>
  <c r="A50" i="4"/>
  <c r="A49" i="4"/>
  <c r="A48" i="4"/>
  <c r="A47" i="4"/>
  <c r="A46" i="4"/>
  <c r="C46" i="4" s="1"/>
  <c r="A45" i="4"/>
  <c r="C45" i="4" s="1"/>
  <c r="A44" i="4"/>
  <c r="C44" i="4" s="1"/>
  <c r="A42" i="4"/>
  <c r="A41" i="4"/>
  <c r="C41" i="4" s="1"/>
  <c r="A40" i="4"/>
  <c r="A39" i="4"/>
  <c r="A38" i="4"/>
  <c r="A37" i="4"/>
  <c r="A35" i="4"/>
  <c r="A34" i="4"/>
  <c r="A33" i="4"/>
  <c r="A32" i="4"/>
  <c r="A30" i="4"/>
  <c r="A29" i="4"/>
  <c r="A28" i="4"/>
  <c r="A27" i="4"/>
  <c r="A26" i="4"/>
  <c r="A25" i="4"/>
  <c r="A43" i="4"/>
  <c r="C43" i="4" s="1"/>
  <c r="A23" i="4"/>
  <c r="A22" i="4"/>
  <c r="A21" i="4"/>
  <c r="A20" i="4"/>
  <c r="A19" i="4"/>
  <c r="A18" i="4"/>
  <c r="A17" i="4"/>
  <c r="A36" i="4"/>
  <c r="C36" i="4" s="1"/>
  <c r="A31" i="4"/>
  <c r="C31" i="4" s="1"/>
  <c r="A15" i="4"/>
  <c r="A14" i="4"/>
  <c r="A13" i="4"/>
  <c r="A12" i="4"/>
  <c r="A11" i="4"/>
  <c r="A10" i="4"/>
  <c r="K38" i="2" l="1"/>
  <c r="M65" i="2"/>
  <c r="D12" i="4"/>
  <c r="C12" i="4"/>
  <c r="D23" i="4"/>
  <c r="C23" i="4"/>
  <c r="D37" i="4"/>
  <c r="C37" i="4"/>
  <c r="D50" i="4"/>
  <c r="C50" i="4"/>
  <c r="D204" i="4"/>
  <c r="C204" i="4"/>
  <c r="D79" i="4"/>
  <c r="C79" i="4"/>
  <c r="D108" i="4"/>
  <c r="C108" i="4"/>
  <c r="D136" i="4"/>
  <c r="C136" i="4"/>
  <c r="D150" i="4"/>
  <c r="C150" i="4"/>
  <c r="D165" i="4"/>
  <c r="C165" i="4"/>
  <c r="D179" i="4"/>
  <c r="C179" i="4"/>
  <c r="D192" i="4"/>
  <c r="C192" i="4"/>
  <c r="D38" i="4"/>
  <c r="C38" i="4"/>
  <c r="D51" i="4"/>
  <c r="C51" i="4"/>
  <c r="D54" i="4"/>
  <c r="C54" i="4"/>
  <c r="D67" i="4"/>
  <c r="C67" i="4"/>
  <c r="D80" i="4"/>
  <c r="C80" i="4"/>
  <c r="D94" i="4"/>
  <c r="C94" i="4"/>
  <c r="D123" i="4"/>
  <c r="C123" i="4"/>
  <c r="D137" i="4"/>
  <c r="C137" i="4"/>
  <c r="D151" i="4"/>
  <c r="C151" i="4"/>
  <c r="D166" i="4"/>
  <c r="C166" i="4"/>
  <c r="D180" i="4"/>
  <c r="C180" i="4"/>
  <c r="D193" i="4"/>
  <c r="C193" i="4"/>
  <c r="D14" i="4"/>
  <c r="C14" i="4"/>
  <c r="D25" i="4"/>
  <c r="C25" i="4"/>
  <c r="D39" i="4"/>
  <c r="C39" i="4"/>
  <c r="D55" i="4"/>
  <c r="C55" i="4"/>
  <c r="D68" i="4"/>
  <c r="C68" i="4"/>
  <c r="D81" i="4"/>
  <c r="C81" i="4"/>
  <c r="D96" i="4"/>
  <c r="C96" i="4"/>
  <c r="D110" i="4"/>
  <c r="C110" i="4"/>
  <c r="D124" i="4"/>
  <c r="C124" i="4"/>
  <c r="D139" i="4"/>
  <c r="C139" i="4"/>
  <c r="D152" i="4"/>
  <c r="C152" i="4"/>
  <c r="D167" i="4"/>
  <c r="C167" i="4"/>
  <c r="D181" i="4"/>
  <c r="C181" i="4"/>
  <c r="D205" i="4"/>
  <c r="C205" i="4"/>
  <c r="D15" i="4"/>
  <c r="C15" i="4"/>
  <c r="D40" i="4"/>
  <c r="C40" i="4"/>
  <c r="D70" i="4"/>
  <c r="C70" i="4"/>
  <c r="D112" i="4"/>
  <c r="C112" i="4"/>
  <c r="D170" i="4"/>
  <c r="C170" i="4"/>
  <c r="D128" i="4"/>
  <c r="C128" i="4"/>
  <c r="D17" i="4"/>
  <c r="C17" i="4"/>
  <c r="D29" i="4"/>
  <c r="C29" i="4"/>
  <c r="D60" i="4"/>
  <c r="C60" i="4"/>
  <c r="D72" i="4"/>
  <c r="C72" i="4"/>
  <c r="D86" i="4"/>
  <c r="C86" i="4"/>
  <c r="D100" i="4"/>
  <c r="C100" i="4"/>
  <c r="D115" i="4"/>
  <c r="C115" i="4"/>
  <c r="D129" i="4"/>
  <c r="C129" i="4"/>
  <c r="D143" i="4"/>
  <c r="C143" i="4"/>
  <c r="D157" i="4"/>
  <c r="C157" i="4"/>
  <c r="D172" i="4"/>
  <c r="C172" i="4"/>
  <c r="D185" i="4"/>
  <c r="C185" i="4"/>
  <c r="D197" i="4"/>
  <c r="C197" i="4"/>
  <c r="D57" i="4"/>
  <c r="C57" i="4"/>
  <c r="D98" i="4"/>
  <c r="C98" i="4"/>
  <c r="D127" i="4"/>
  <c r="C127" i="4"/>
  <c r="D141" i="4"/>
  <c r="C141" i="4"/>
  <c r="D155" i="4"/>
  <c r="C155" i="4"/>
  <c r="D183" i="4"/>
  <c r="C183" i="4"/>
  <c r="D195" i="4"/>
  <c r="C195" i="4"/>
  <c r="D28" i="4"/>
  <c r="C28" i="4"/>
  <c r="D42" i="4"/>
  <c r="C42" i="4"/>
  <c r="D59" i="4"/>
  <c r="C59" i="4"/>
  <c r="D71" i="4"/>
  <c r="C71" i="4"/>
  <c r="D99" i="4"/>
  <c r="C99" i="4"/>
  <c r="D113" i="4"/>
  <c r="C113" i="4"/>
  <c r="D142" i="4"/>
  <c r="C142" i="4"/>
  <c r="D18" i="4"/>
  <c r="C18" i="4"/>
  <c r="D30" i="4"/>
  <c r="C30" i="4"/>
  <c r="D74" i="4"/>
  <c r="C74" i="4"/>
  <c r="D102" i="4"/>
  <c r="C102" i="4"/>
  <c r="D116" i="4"/>
  <c r="C116" i="4"/>
  <c r="D130" i="4"/>
  <c r="C130" i="4"/>
  <c r="D158" i="4"/>
  <c r="C158" i="4"/>
  <c r="D187" i="4"/>
  <c r="C187" i="4"/>
  <c r="D198" i="4"/>
  <c r="C198" i="4"/>
  <c r="D19" i="4"/>
  <c r="C19" i="4"/>
  <c r="D32" i="4"/>
  <c r="C32" i="4"/>
  <c r="D66" i="4"/>
  <c r="C66" i="4"/>
  <c r="D93" i="4"/>
  <c r="C93" i="4"/>
  <c r="D122" i="4"/>
  <c r="C122" i="4"/>
  <c r="D13" i="4"/>
  <c r="C13" i="4"/>
  <c r="D26" i="4"/>
  <c r="C26" i="4"/>
  <c r="D56" i="4"/>
  <c r="C56" i="4"/>
  <c r="D27" i="4"/>
  <c r="C27" i="4"/>
  <c r="D84" i="4"/>
  <c r="C84" i="4"/>
  <c r="D156" i="4"/>
  <c r="C156" i="4"/>
  <c r="D171" i="4"/>
  <c r="C171" i="4"/>
  <c r="D184" i="4"/>
  <c r="C184" i="4"/>
  <c r="D196" i="4"/>
  <c r="C196" i="4"/>
  <c r="D20" i="4"/>
  <c r="C20" i="4"/>
  <c r="D33" i="4"/>
  <c r="C33" i="4"/>
  <c r="D47" i="4"/>
  <c r="C47" i="4"/>
  <c r="D63" i="4"/>
  <c r="C63" i="4"/>
  <c r="D76" i="4"/>
  <c r="C76" i="4"/>
  <c r="D89" i="4"/>
  <c r="C89" i="4"/>
  <c r="D118" i="4"/>
  <c r="C118" i="4"/>
  <c r="D133" i="4"/>
  <c r="C133" i="4"/>
  <c r="D146" i="4"/>
  <c r="C146" i="4"/>
  <c r="D160" i="4"/>
  <c r="C160" i="4"/>
  <c r="D175" i="4"/>
  <c r="C175" i="4"/>
  <c r="D189" i="4"/>
  <c r="C189" i="4"/>
  <c r="D200" i="4"/>
  <c r="C200" i="4"/>
  <c r="D69" i="4"/>
  <c r="C69" i="4"/>
  <c r="D83" i="4"/>
  <c r="C83" i="4"/>
  <c r="D97" i="4"/>
  <c r="C97" i="4"/>
  <c r="D111" i="4"/>
  <c r="C111" i="4"/>
  <c r="D125" i="4"/>
  <c r="C125" i="4"/>
  <c r="D140" i="4"/>
  <c r="C140" i="4"/>
  <c r="D153" i="4"/>
  <c r="C153" i="4"/>
  <c r="D169" i="4"/>
  <c r="C169" i="4"/>
  <c r="D182" i="4"/>
  <c r="C182" i="4"/>
  <c r="D206" i="4"/>
  <c r="C206" i="4"/>
  <c r="D10" i="4"/>
  <c r="C10" i="4"/>
  <c r="D21" i="4"/>
  <c r="C21" i="4"/>
  <c r="D34" i="4"/>
  <c r="C34" i="4"/>
  <c r="D48" i="4"/>
  <c r="C48" i="4"/>
  <c r="D64" i="4"/>
  <c r="C64" i="4"/>
  <c r="D77" i="4"/>
  <c r="C77" i="4"/>
  <c r="D91" i="4"/>
  <c r="C91" i="4"/>
  <c r="D106" i="4"/>
  <c r="C106" i="4"/>
  <c r="D120" i="4"/>
  <c r="C120" i="4"/>
  <c r="D134" i="4"/>
  <c r="C134" i="4"/>
  <c r="D148" i="4"/>
  <c r="C148" i="4"/>
  <c r="D161" i="4"/>
  <c r="C161" i="4"/>
  <c r="D176" i="4"/>
  <c r="C176" i="4"/>
  <c r="D190" i="4"/>
  <c r="C190" i="4"/>
  <c r="D87" i="4"/>
  <c r="C87" i="4"/>
  <c r="D144" i="4"/>
  <c r="C144" i="4"/>
  <c r="D173" i="4"/>
  <c r="C173" i="4"/>
  <c r="D62" i="4"/>
  <c r="C62" i="4"/>
  <c r="D75" i="4"/>
  <c r="C75" i="4"/>
  <c r="D88" i="4"/>
  <c r="C88" i="4"/>
  <c r="D103" i="4"/>
  <c r="C103" i="4"/>
  <c r="D117" i="4"/>
  <c r="C117" i="4"/>
  <c r="D145" i="4"/>
  <c r="C145" i="4"/>
  <c r="D159" i="4"/>
  <c r="C159" i="4"/>
  <c r="D174" i="4"/>
  <c r="C174" i="4"/>
  <c r="D199" i="4"/>
  <c r="C199" i="4"/>
  <c r="D11" i="4"/>
  <c r="C11" i="4"/>
  <c r="D22" i="4"/>
  <c r="C22" i="4"/>
  <c r="D35" i="4"/>
  <c r="C35" i="4"/>
  <c r="D49" i="4"/>
  <c r="C49" i="4"/>
  <c r="D203" i="4"/>
  <c r="C203" i="4"/>
  <c r="D65" i="4"/>
  <c r="C65" i="4"/>
  <c r="D78" i="4"/>
  <c r="C78" i="4"/>
  <c r="D92" i="4"/>
  <c r="C92" i="4"/>
  <c r="D107" i="4"/>
  <c r="C107" i="4"/>
  <c r="D121" i="4"/>
  <c r="C121" i="4"/>
  <c r="D135" i="4"/>
  <c r="C135" i="4"/>
  <c r="D149" i="4"/>
  <c r="C149" i="4"/>
  <c r="D162" i="4"/>
  <c r="C162" i="4"/>
  <c r="D177" i="4"/>
  <c r="C177" i="4"/>
  <c r="D191" i="4"/>
  <c r="C191" i="4"/>
  <c r="D2549" i="4"/>
  <c r="D2405" i="4"/>
  <c r="D2282" i="4"/>
  <c r="D2090" i="4"/>
  <c r="D1942" i="4"/>
  <c r="D1802" i="4"/>
  <c r="D1614" i="4"/>
  <c r="D1524" i="4"/>
  <c r="D1147" i="4"/>
  <c r="D938" i="4"/>
  <c r="D732" i="4"/>
  <c r="D343" i="4"/>
  <c r="D603" i="4"/>
  <c r="D494" i="4"/>
  <c r="D356" i="4"/>
  <c r="D390" i="4"/>
  <c r="D580" i="4"/>
  <c r="D31" i="4"/>
  <c r="D53" i="4"/>
  <c r="D73" i="4"/>
  <c r="D90" i="4"/>
  <c r="D114" i="4"/>
  <c r="D138" i="4"/>
  <c r="D154" i="4"/>
  <c r="D629" i="4"/>
  <c r="D119" i="4"/>
  <c r="D132" i="4"/>
  <c r="D147" i="4"/>
  <c r="D164" i="4"/>
  <c r="D178" i="4"/>
  <c r="D41" i="4"/>
  <c r="D36" i="4" s="1"/>
  <c r="D44" i="4"/>
  <c r="D46" i="4"/>
  <c r="D52" i="4"/>
  <c r="D131" i="4"/>
  <c r="D126" i="4" s="1"/>
  <c r="D188" i="4"/>
  <c r="D186" i="4" s="1"/>
  <c r="D168" i="4"/>
  <c r="D45" i="4"/>
  <c r="D61" i="4"/>
  <c r="D58" i="4" s="1"/>
  <c r="D85" i="4"/>
  <c r="D82" i="4" s="1"/>
  <c r="D104" i="4"/>
  <c r="D101" i="4" s="1"/>
  <c r="D109" i="4"/>
  <c r="D105" i="4" s="1"/>
  <c r="D95" i="4"/>
  <c r="D194" i="4"/>
  <c r="D333" i="4"/>
  <c r="D321" i="4"/>
  <c r="D316" i="4"/>
  <c r="D301" i="4"/>
  <c r="D309" i="4"/>
  <c r="D295" i="4"/>
  <c r="D290" i="4"/>
  <c r="D270" i="4"/>
  <c r="D263" i="4"/>
  <c r="D248" i="4"/>
  <c r="D256" i="4"/>
  <c r="D239" i="4"/>
  <c r="D228" i="4"/>
  <c r="A7" i="4"/>
  <c r="B31" i="2" s="1"/>
  <c r="A24" i="4"/>
  <c r="C24" i="4" s="1"/>
  <c r="A16" i="4"/>
  <c r="C16" i="4" s="1"/>
  <c r="A9" i="4"/>
  <c r="C9" i="4" s="1"/>
  <c r="G7" i="3"/>
  <c r="H9" i="3"/>
  <c r="G15" i="3"/>
  <c r="H17" i="3"/>
  <c r="F18" i="3"/>
  <c r="H18" i="3"/>
  <c r="K19" i="3"/>
  <c r="H19" i="3" s="1"/>
  <c r="J19" i="3"/>
  <c r="G19" i="3" s="1"/>
  <c r="I19" i="3"/>
  <c r="F19" i="3" s="1"/>
  <c r="K18" i="3"/>
  <c r="J18" i="3"/>
  <c r="G18" i="3" s="1"/>
  <c r="I18" i="3"/>
  <c r="K17" i="3"/>
  <c r="J17" i="3"/>
  <c r="G17" i="3" s="1"/>
  <c r="I17" i="3"/>
  <c r="F17" i="3" s="1"/>
  <c r="K16" i="3"/>
  <c r="H16" i="3" s="1"/>
  <c r="J16" i="3"/>
  <c r="G16" i="3" s="1"/>
  <c r="I16" i="3"/>
  <c r="F16" i="3" s="1"/>
  <c r="K15" i="3"/>
  <c r="H15" i="3" s="1"/>
  <c r="J15" i="3"/>
  <c r="I15" i="3"/>
  <c r="F15" i="3" s="1"/>
  <c r="K14" i="3"/>
  <c r="H14" i="3" s="1"/>
  <c r="J14" i="3"/>
  <c r="G14" i="3" s="1"/>
  <c r="I14" i="3"/>
  <c r="F14" i="3" s="1"/>
  <c r="K13" i="3"/>
  <c r="H13" i="3" s="1"/>
  <c r="J13" i="3"/>
  <c r="G13" i="3" s="1"/>
  <c r="I13" i="3"/>
  <c r="F13" i="3" s="1"/>
  <c r="K12" i="3"/>
  <c r="H12" i="3" s="1"/>
  <c r="J12" i="3"/>
  <c r="G12" i="3" s="1"/>
  <c r="I12" i="3"/>
  <c r="F12" i="3" s="1"/>
  <c r="K11" i="3"/>
  <c r="H11" i="3" s="1"/>
  <c r="J11" i="3"/>
  <c r="G11" i="3" s="1"/>
  <c r="I11" i="3"/>
  <c r="F11" i="3" s="1"/>
  <c r="K10" i="3"/>
  <c r="H10" i="3" s="1"/>
  <c r="J10" i="3"/>
  <c r="G10" i="3" s="1"/>
  <c r="I10" i="3"/>
  <c r="F10" i="3" s="1"/>
  <c r="K9" i="3"/>
  <c r="J9" i="3"/>
  <c r="G9" i="3" s="1"/>
  <c r="I9" i="3"/>
  <c r="F9" i="3" s="1"/>
  <c r="K8" i="3"/>
  <c r="H8" i="3" s="1"/>
  <c r="J8" i="3"/>
  <c r="G8" i="3" s="1"/>
  <c r="I8" i="3"/>
  <c r="F8" i="3" s="1"/>
  <c r="K7" i="3"/>
  <c r="H7" i="3" s="1"/>
  <c r="J7" i="3"/>
  <c r="I7" i="3"/>
  <c r="F7" i="3" s="1"/>
  <c r="K6" i="3"/>
  <c r="H6" i="3" s="1"/>
  <c r="J6" i="3"/>
  <c r="G6" i="3" s="1"/>
  <c r="I6" i="3"/>
  <c r="F6" i="3" s="1"/>
  <c r="K5" i="3"/>
  <c r="H5" i="3" s="1"/>
  <c r="J5" i="3"/>
  <c r="G5" i="3" s="1"/>
  <c r="I5" i="3"/>
  <c r="F5" i="3" s="1"/>
  <c r="K4" i="3"/>
  <c r="H4" i="3" s="1"/>
  <c r="J4" i="3"/>
  <c r="G4" i="3" s="1"/>
  <c r="I4" i="3"/>
  <c r="F4" i="3" s="1"/>
  <c r="L38" i="2" l="1"/>
  <c r="M71" i="2"/>
  <c r="B24" i="2"/>
  <c r="A4" i="3"/>
  <c r="B23" i="2"/>
  <c r="B35" i="2"/>
  <c r="C7" i="4"/>
  <c r="B16" i="2"/>
  <c r="D17" i="2"/>
  <c r="E17" i="2" s="1"/>
  <c r="D14" i="2"/>
  <c r="E14" i="2" s="1"/>
  <c r="B19" i="2"/>
  <c r="B25" i="2"/>
  <c r="B34" i="2"/>
  <c r="B33" i="2"/>
  <c r="C19" i="2"/>
  <c r="C28" i="2"/>
  <c r="D25" i="2"/>
  <c r="E25" i="2" s="1"/>
  <c r="C29" i="2"/>
  <c r="D34" i="2"/>
  <c r="E34" i="2" s="1"/>
  <c r="D33" i="2"/>
  <c r="E33" i="2" s="1"/>
  <c r="C15" i="2"/>
  <c r="D30" i="2"/>
  <c r="E30" i="2" s="1"/>
  <c r="B28" i="2"/>
  <c r="D21" i="2"/>
  <c r="E21" i="2" s="1"/>
  <c r="D32" i="2"/>
  <c r="E32" i="2" s="1"/>
  <c r="D15" i="2"/>
  <c r="E15" i="2" s="1"/>
  <c r="B36" i="2"/>
  <c r="C21" i="2"/>
  <c r="D37" i="2"/>
  <c r="E37" i="2" s="1"/>
  <c r="C13" i="2"/>
  <c r="C25" i="2"/>
  <c r="D36" i="2"/>
  <c r="E36" i="2" s="1"/>
  <c r="D18" i="2"/>
  <c r="E18" i="2" s="1"/>
  <c r="C37" i="2"/>
  <c r="D13" i="2"/>
  <c r="E13" i="2" s="1"/>
  <c r="D24" i="2"/>
  <c r="E24" i="2" s="1"/>
  <c r="B21" i="2"/>
  <c r="D23" i="2"/>
  <c r="E23" i="2" s="1"/>
  <c r="D27" i="2"/>
  <c r="E27" i="2" s="1"/>
  <c r="C33" i="2"/>
  <c r="C24" i="2"/>
  <c r="B18" i="2"/>
  <c r="C23" i="2"/>
  <c r="B29" i="2"/>
  <c r="C34" i="2"/>
  <c r="D22" i="2"/>
  <c r="E22" i="2" s="1"/>
  <c r="C18" i="2"/>
  <c r="D20" i="2"/>
  <c r="E20" i="2" s="1"/>
  <c r="D29" i="2"/>
  <c r="E29" i="2" s="1"/>
  <c r="C30" i="2"/>
  <c r="C36" i="2"/>
  <c r="D26" i="2"/>
  <c r="E26" i="2" s="1"/>
  <c r="C16" i="2"/>
  <c r="D19" i="2"/>
  <c r="E19" i="2" s="1"/>
  <c r="D35" i="2"/>
  <c r="E35" i="2" s="1"/>
  <c r="B30" i="2"/>
  <c r="C14" i="2"/>
  <c r="B26" i="2"/>
  <c r="D16" i="2"/>
  <c r="E16" i="2" s="1"/>
  <c r="C20" i="2"/>
  <c r="C35" i="2"/>
  <c r="D28" i="2"/>
  <c r="E28" i="2" s="1"/>
  <c r="B15" i="2"/>
  <c r="C26" i="2"/>
  <c r="B14" i="2"/>
  <c r="B20" i="2"/>
  <c r="B13" i="2"/>
  <c r="C31" i="2"/>
  <c r="D31" i="2"/>
  <c r="E31" i="2" s="1"/>
  <c r="D388" i="4"/>
  <c r="D43" i="4"/>
  <c r="D9" i="4"/>
  <c r="D24" i="4"/>
  <c r="D16" i="4"/>
  <c r="D216" i="4"/>
  <c r="M38" i="2" l="1"/>
  <c r="M77" i="2"/>
  <c r="D7" i="4"/>
  <c r="N38" i="2" l="1"/>
  <c r="M83" i="2"/>
  <c r="H101" i="2"/>
  <c r="H95" i="2"/>
  <c r="H89" i="2"/>
  <c r="H83" i="2"/>
  <c r="H77" i="2"/>
  <c r="H71" i="2"/>
  <c r="H65" i="2"/>
  <c r="H59" i="2"/>
  <c r="C59" i="2"/>
  <c r="C65" i="2" s="1"/>
  <c r="C71" i="2" s="1"/>
  <c r="C77" i="2" s="1"/>
  <c r="C83" i="2" s="1"/>
  <c r="C89" i="2" s="1"/>
  <c r="C95" i="2" s="1"/>
  <c r="C101" i="2" s="1"/>
  <c r="I3" i="2"/>
  <c r="J3" i="2" s="1"/>
  <c r="K3" i="2" s="1"/>
  <c r="L3" i="2" s="1"/>
  <c r="M3" i="2" s="1"/>
  <c r="N3" i="2" s="1"/>
  <c r="O3" i="2" s="1"/>
  <c r="E95" i="2"/>
  <c r="F95" i="2" s="1"/>
  <c r="J95" i="2" s="1"/>
  <c r="V52" i="2"/>
  <c r="G83" i="2" s="1"/>
  <c r="R52" i="2"/>
  <c r="G77" i="2" s="1"/>
  <c r="E71" i="2"/>
  <c r="F71" i="2" s="1"/>
  <c r="E65" i="2"/>
  <c r="F65" i="2" s="1"/>
  <c r="E59" i="2"/>
  <c r="F59" i="2" s="1"/>
  <c r="L48" i="2"/>
  <c r="P48" i="2" s="1"/>
  <c r="D74" i="2" s="1"/>
  <c r="H49" i="2"/>
  <c r="L49" i="2" s="1"/>
  <c r="P49" i="2" s="1"/>
  <c r="T49" i="2" s="1"/>
  <c r="X49" i="2" s="1"/>
  <c r="AB49" i="2" s="1"/>
  <c r="AF49" i="2" s="1"/>
  <c r="I49" i="2"/>
  <c r="M49" i="2" s="1"/>
  <c r="Q49" i="2" s="1"/>
  <c r="U49" i="2" s="1"/>
  <c r="Y49" i="2" s="1"/>
  <c r="AC49" i="2" s="1"/>
  <c r="AG49" i="2" s="1"/>
  <c r="J49" i="2"/>
  <c r="N49" i="2" s="1"/>
  <c r="R49" i="2" s="1"/>
  <c r="V49" i="2" s="1"/>
  <c r="Z49" i="2" s="1"/>
  <c r="AD49" i="2" s="1"/>
  <c r="AH49" i="2" s="1"/>
  <c r="K49" i="2"/>
  <c r="O49" i="2" s="1"/>
  <c r="S49" i="2" s="1"/>
  <c r="W49" i="2" s="1"/>
  <c r="AA49" i="2" s="1"/>
  <c r="AE49" i="2" s="1"/>
  <c r="AI49" i="2" s="1"/>
  <c r="AD52" i="2"/>
  <c r="G95" i="2" s="1"/>
  <c r="D63" i="2"/>
  <c r="D69" i="2" s="1"/>
  <c r="D75" i="2" s="1"/>
  <c r="D81" i="2" s="1"/>
  <c r="D87" i="2" s="1"/>
  <c r="D93" i="2" s="1"/>
  <c r="D99" i="2" s="1"/>
  <c r="E63" i="2"/>
  <c r="E69" i="2" s="1"/>
  <c r="E75" i="2" s="1"/>
  <c r="E81" i="2" s="1"/>
  <c r="E87" i="2" s="1"/>
  <c r="E93" i="2" s="1"/>
  <c r="E99" i="2" s="1"/>
  <c r="F63" i="2"/>
  <c r="F69" i="2" s="1"/>
  <c r="F75" i="2" s="1"/>
  <c r="F81" i="2" s="1"/>
  <c r="F87" i="2" s="1"/>
  <c r="F93" i="2" s="1"/>
  <c r="F99" i="2" s="1"/>
  <c r="G63" i="2"/>
  <c r="G69" i="2" s="1"/>
  <c r="G75" i="2" s="1"/>
  <c r="G81" i="2" s="1"/>
  <c r="G87" i="2" s="1"/>
  <c r="G93" i="2" s="1"/>
  <c r="G99" i="2" s="1"/>
  <c r="H63" i="2"/>
  <c r="H69" i="2" s="1"/>
  <c r="H75" i="2" s="1"/>
  <c r="H81" i="2" s="1"/>
  <c r="H87" i="2" s="1"/>
  <c r="H93" i="2" s="1"/>
  <c r="H99" i="2" s="1"/>
  <c r="I63" i="2"/>
  <c r="I69" i="2" s="1"/>
  <c r="I75" i="2" s="1"/>
  <c r="I81" i="2" s="1"/>
  <c r="I87" i="2" s="1"/>
  <c r="I93" i="2" s="1"/>
  <c r="I99" i="2" s="1"/>
  <c r="J63" i="2"/>
  <c r="J69" i="2" s="1"/>
  <c r="J75" i="2" s="1"/>
  <c r="J81" i="2" s="1"/>
  <c r="J87" i="2" s="1"/>
  <c r="J93" i="2" s="1"/>
  <c r="J99" i="2" s="1"/>
  <c r="K63" i="2"/>
  <c r="K69" i="2" s="1"/>
  <c r="K75" i="2" s="1"/>
  <c r="K81" i="2" s="1"/>
  <c r="K87" i="2" s="1"/>
  <c r="K93" i="2" s="1"/>
  <c r="K99" i="2" s="1"/>
  <c r="L63" i="2"/>
  <c r="L69" i="2" s="1"/>
  <c r="L75" i="2" s="1"/>
  <c r="L81" i="2" s="1"/>
  <c r="L87" i="2" s="1"/>
  <c r="L93" i="2" s="1"/>
  <c r="L99" i="2" s="1"/>
  <c r="M63" i="2"/>
  <c r="M69" i="2" s="1"/>
  <c r="M75" i="2" s="1"/>
  <c r="M81" i="2" s="1"/>
  <c r="M87" i="2" s="1"/>
  <c r="M93" i="2" s="1"/>
  <c r="M99" i="2" s="1"/>
  <c r="N63" i="2"/>
  <c r="N69" i="2"/>
  <c r="N75" i="2" s="1"/>
  <c r="N81" i="2" s="1"/>
  <c r="N87" i="2" s="1"/>
  <c r="N93" i="2" s="1"/>
  <c r="N99" i="2" s="1"/>
  <c r="O63" i="2"/>
  <c r="O69" i="2" s="1"/>
  <c r="O75" i="2" s="1"/>
  <c r="O81" i="2" s="1"/>
  <c r="O87" i="2" s="1"/>
  <c r="O93" i="2" s="1"/>
  <c r="O99" i="2" s="1"/>
  <c r="P63" i="2"/>
  <c r="P69" i="2" s="1"/>
  <c r="P75" i="2" s="1"/>
  <c r="P81" i="2" s="1"/>
  <c r="P87" i="2" s="1"/>
  <c r="P93" i="2" s="1"/>
  <c r="P99" i="2" s="1"/>
  <c r="E83" i="2"/>
  <c r="F83" i="2" s="1"/>
  <c r="J83" i="2" s="1"/>
  <c r="L83" i="2" s="1"/>
  <c r="E77" i="2"/>
  <c r="F77" i="2" s="1"/>
  <c r="J77" i="2" s="1"/>
  <c r="F52" i="2"/>
  <c r="G59" i="2" s="1"/>
  <c r="J52" i="2"/>
  <c r="G65" i="2" s="1"/>
  <c r="N52" i="2"/>
  <c r="G71" i="2" s="1"/>
  <c r="E89" i="2"/>
  <c r="F89" i="2" s="1"/>
  <c r="Z52" i="2"/>
  <c r="G89" i="2" s="1"/>
  <c r="O38" i="2" l="1"/>
  <c r="M89" i="2"/>
  <c r="J71" i="2"/>
  <c r="I59" i="2"/>
  <c r="J89" i="2"/>
  <c r="K59" i="2"/>
  <c r="J65" i="2"/>
  <c r="L65" i="2" s="1"/>
  <c r="D68" i="2"/>
  <c r="H48" i="2"/>
  <c r="I95" i="2"/>
  <c r="K95" i="2" s="1"/>
  <c r="I65" i="2"/>
  <c r="K65" i="2" s="1"/>
  <c r="I89" i="2"/>
  <c r="K89" i="2" s="1"/>
  <c r="I83" i="2"/>
  <c r="K83" i="2" s="1"/>
  <c r="I77" i="2"/>
  <c r="AH52" i="2"/>
  <c r="G101" i="2" s="1"/>
  <c r="E101" i="2"/>
  <c r="F101" i="2" s="1"/>
  <c r="J101" i="2" s="1"/>
  <c r="L89" i="2"/>
  <c r="L95" i="2"/>
  <c r="T48" i="2"/>
  <c r="J59" i="2"/>
  <c r="L59" i="2" s="1"/>
  <c r="I71" i="2"/>
  <c r="D38" i="2"/>
  <c r="F29" i="2" s="1"/>
  <c r="P38" i="2" l="1"/>
  <c r="M95" i="2"/>
  <c r="D48" i="2"/>
  <c r="D56" i="2" s="1"/>
  <c r="D62" i="2"/>
  <c r="L71" i="2"/>
  <c r="K71" i="2"/>
  <c r="G29" i="2"/>
  <c r="D80" i="2"/>
  <c r="X48" i="2"/>
  <c r="L101" i="2"/>
  <c r="I101" i="2"/>
  <c r="K101" i="2" s="1"/>
  <c r="F28" i="2"/>
  <c r="G28" i="2" s="1"/>
  <c r="F36" i="2"/>
  <c r="G36" i="2" s="1"/>
  <c r="F21" i="2"/>
  <c r="G21" i="2" s="1"/>
  <c r="F16" i="2"/>
  <c r="G16" i="2" s="1"/>
  <c r="F24" i="2"/>
  <c r="G24" i="2" s="1"/>
  <c r="F32" i="2"/>
  <c r="G32" i="2" s="1"/>
  <c r="F33" i="2"/>
  <c r="G33" i="2" s="1"/>
  <c r="F17" i="2"/>
  <c r="G17" i="2" s="1"/>
  <c r="F25" i="2"/>
  <c r="G25" i="2" s="1"/>
  <c r="F13" i="2"/>
  <c r="F18" i="2"/>
  <c r="G18" i="2" s="1"/>
  <c r="F26" i="2"/>
  <c r="G26" i="2" s="1"/>
  <c r="F34" i="2"/>
  <c r="G34" i="2" s="1"/>
  <c r="F35" i="2"/>
  <c r="G35" i="2" s="1"/>
  <c r="F19" i="2"/>
  <c r="G19" i="2" s="1"/>
  <c r="F27" i="2"/>
  <c r="G27" i="2" s="1"/>
  <c r="F14" i="2"/>
  <c r="G14" i="2" s="1"/>
  <c r="F22" i="2"/>
  <c r="G22" i="2" s="1"/>
  <c r="F30" i="2"/>
  <c r="G30" i="2" s="1"/>
  <c r="F31" i="2"/>
  <c r="G31" i="2" s="1"/>
  <c r="F15" i="2"/>
  <c r="G15" i="2" s="1"/>
  <c r="F23" i="2"/>
  <c r="G23" i="2" s="1"/>
  <c r="F20" i="2"/>
  <c r="G20" i="2" s="1"/>
  <c r="F37" i="2"/>
  <c r="G37" i="2" s="1"/>
  <c r="M101" i="2" l="1"/>
  <c r="Q38" i="2"/>
  <c r="AB48" i="2"/>
  <c r="D86" i="2"/>
  <c r="L77" i="2"/>
  <c r="K77" i="2"/>
  <c r="G13" i="2"/>
  <c r="G38" i="2" s="1"/>
  <c r="F38" i="2"/>
  <c r="D92" i="2" l="1"/>
  <c r="AF48" i="2"/>
  <c r="D98" i="2" s="1"/>
  <c r="N59" i="2" l="1"/>
  <c r="P59" i="2"/>
  <c r="O59" i="2"/>
  <c r="P65" i="2" l="1"/>
  <c r="N65" i="2"/>
  <c r="O65" i="2"/>
  <c r="P71" i="2" l="1"/>
  <c r="O71" i="2"/>
  <c r="N71" i="2"/>
  <c r="P77" i="2" l="1"/>
  <c r="N77" i="2"/>
  <c r="O77" i="2"/>
  <c r="O83" i="2" l="1"/>
  <c r="P83" i="2"/>
  <c r="N83" i="2"/>
  <c r="P89" i="2" l="1"/>
  <c r="O89" i="2"/>
  <c r="N89" i="2"/>
  <c r="P101" i="2" l="1"/>
  <c r="O101" i="2"/>
  <c r="N101" i="2"/>
  <c r="P95" i="2"/>
  <c r="O95" i="2"/>
  <c r="N95" i="2"/>
</calcChain>
</file>

<file path=xl/sharedStrings.xml><?xml version="1.0" encoding="utf-8"?>
<sst xmlns="http://schemas.openxmlformats.org/spreadsheetml/2006/main" count="23936" uniqueCount="7315">
  <si>
    <t>Miasta na prawach powiatu:</t>
  </si>
  <si>
    <t>Cities with powiat status:</t>
  </si>
  <si>
    <t>WOJ. LUBELSKIE</t>
  </si>
  <si>
    <r>
      <t xml:space="preserve">Przychody ze sprzedaży </t>
    </r>
    <r>
      <rPr>
        <b/>
        <sz val="10"/>
        <rFont val="Cambria"/>
        <family val="1"/>
        <charset val="238"/>
      </rPr>
      <t>usług dystrybucyjnych</t>
    </r>
    <r>
      <rPr>
        <sz val="10"/>
        <rFont val="Cambria"/>
        <family val="1"/>
        <charset val="238"/>
      </rPr>
      <t xml:space="preserve"> </t>
    </r>
  </si>
  <si>
    <r>
      <t xml:space="preserve">Średnia stawka opłat za </t>
    </r>
    <r>
      <rPr>
        <b/>
        <sz val="10"/>
        <rFont val="Cambria"/>
        <family val="1"/>
        <charset val="238"/>
      </rPr>
      <t>usługę dystrybucji netto</t>
    </r>
  </si>
  <si>
    <r>
      <t xml:space="preserve">% udział opłat za </t>
    </r>
    <r>
      <rPr>
        <b/>
        <sz val="10"/>
        <rFont val="Cambria"/>
        <family val="1"/>
        <charset val="238"/>
      </rPr>
      <t>usługę dystrybucj</t>
    </r>
    <r>
      <rPr>
        <sz val="10"/>
        <rFont val="Cambria"/>
        <family val="1"/>
        <charset val="238"/>
      </rPr>
      <t>i w dochodzie do dyspozycji gospodarstw domowych na osobę w skali roku</t>
    </r>
  </si>
  <si>
    <r>
      <t xml:space="preserve">Ogółem 
</t>
    </r>
    <r>
      <rPr>
        <i/>
        <sz val="9"/>
        <rFont val="Cambria"/>
        <family val="1"/>
        <charset val="238"/>
      </rPr>
      <t>Total</t>
    </r>
  </si>
  <si>
    <r>
      <t xml:space="preserve">Ogółem 
</t>
    </r>
    <r>
      <rPr>
        <b/>
        <i/>
        <sz val="9"/>
        <rFont val="Cambria"/>
        <family val="1"/>
        <charset val="238"/>
      </rPr>
      <t>Total</t>
    </r>
  </si>
  <si>
    <t>WOJ. ŁÓDZKIE</t>
  </si>
  <si>
    <t>Średnia stawka opłat za usługę dystrybucji brutto</t>
  </si>
  <si>
    <t>WOJ. MAŁOPOLSKIE</t>
  </si>
  <si>
    <t>WOJ. MAZOWIECKIE</t>
  </si>
  <si>
    <t>Liczba osób w gospodarstwie domowym</t>
  </si>
  <si>
    <t>WOJ. OPOLSKIE</t>
  </si>
  <si>
    <t>Miasto na prawach powiatu:</t>
  </si>
  <si>
    <t>City with powiat status:</t>
  </si>
  <si>
    <t>WOJ. PODKARPACKIE</t>
  </si>
  <si>
    <t>WOJ. LUBUSKIE</t>
  </si>
  <si>
    <t>Odbiorcy</t>
  </si>
  <si>
    <t>lubus</t>
  </si>
  <si>
    <t>WOJ. PODLASKIE</t>
  </si>
  <si>
    <t>WOJ. POMORSKIE</t>
  </si>
  <si>
    <t>WOJ. ŚLĄSKIE</t>
  </si>
  <si>
    <t>WOJ. ŚWIĘTOKRZYSKIE</t>
  </si>
  <si>
    <t>WOJ. WIELKOPOLSKIE</t>
  </si>
  <si>
    <t>Wskaźniki makroekonomiczne</t>
  </si>
  <si>
    <t>Stopa inflacji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</si>
  <si>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</si>
  <si>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</si>
  <si>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</si>
  <si>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</si>
  <si>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</si>
  <si>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war-maz</t>
  </si>
  <si>
    <t>pom</t>
  </si>
  <si>
    <t>wielk</t>
  </si>
  <si>
    <t>Wolumen dystrybuowanych paliw gazowych</t>
  </si>
  <si>
    <t>Łączne roczne zużycie paliw gazowych</t>
  </si>
  <si>
    <t xml:space="preserve">Łączne roczne zużycie paliw gazowych na odbiorcę </t>
  </si>
  <si>
    <t>OSD przykład</t>
  </si>
  <si>
    <t>lodz</t>
  </si>
  <si>
    <t>dol</t>
  </si>
  <si>
    <t>zach</t>
  </si>
  <si>
    <t>1.</t>
  </si>
  <si>
    <t>2.</t>
  </si>
  <si>
    <t>Obliczenia:</t>
  </si>
  <si>
    <t>maz</t>
  </si>
  <si>
    <t>kuj-pom</t>
  </si>
  <si>
    <t>Szacowanie udziału wydatków na paliwa gazowe i usługę dystrybucji w dochodzie do dyspozycji gospodarstw domowych</t>
  </si>
  <si>
    <t>Średnia cena sprzedanych paliw gazowych i usługi ich dystrybucji  netto</t>
  </si>
  <si>
    <t>Średnia cena sprzedanych paliw gazowych i usługi ich dystrybucji brutto</t>
  </si>
  <si>
    <t>SUMA</t>
  </si>
  <si>
    <t>Lp.</t>
  </si>
  <si>
    <t>Rodzaj odbiorcy</t>
  </si>
  <si>
    <t>Duże gospodarstwa domowe</t>
  </si>
  <si>
    <t>Średnie gospodarstwa domowe</t>
  </si>
  <si>
    <t>podl</t>
  </si>
  <si>
    <t>m. Ełk</t>
  </si>
  <si>
    <t>lubel</t>
  </si>
  <si>
    <t>swiet</t>
  </si>
  <si>
    <t>Waga oparta na liczbie mieszkańców</t>
  </si>
  <si>
    <t>Skrót</t>
  </si>
  <si>
    <t xml:space="preserve">Województwo </t>
  </si>
  <si>
    <t xml:space="preserve">POLSKA </t>
  </si>
  <si>
    <t>Miasta i wsie poniżej 20 000 mieszkańców</t>
  </si>
  <si>
    <t xml:space="preserve">Miasta liczbie ludności pomiędzy 20 000 a 100 000 </t>
  </si>
  <si>
    <t>Miasta o liczbie ludności powyżej 100 000 mieszkańców</t>
  </si>
  <si>
    <t>Dolnośląskie</t>
  </si>
  <si>
    <t>Kujawsko-pomorskie</t>
  </si>
  <si>
    <t xml:space="preserve">Lubelskie 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</si>
  <si>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</si>
  <si>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</si>
  <si>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</si>
  <si>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</si>
  <si>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</si>
  <si>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</si>
  <si>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</si>
  <si>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</si>
  <si>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</si>
  <si>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</si>
  <si>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</si>
  <si>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</si>
  <si>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</si>
  <si>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</si>
  <si>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</si>
  <si>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</si>
  <si>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Zachodniopomorskie</t>
  </si>
  <si>
    <t>WOJ. DOLNOŚLĄSKIE</t>
  </si>
  <si>
    <r>
      <t xml:space="preserve">Opłata roczna za </t>
    </r>
    <r>
      <rPr>
        <b/>
        <sz val="10"/>
        <rFont val="Cambria"/>
        <family val="1"/>
        <charset val="238"/>
      </rPr>
      <t>usługę dystrybucji na odbiorcę</t>
    </r>
  </si>
  <si>
    <r>
      <t>Opłata roczna za</t>
    </r>
    <r>
      <rPr>
        <b/>
        <sz val="10"/>
        <rFont val="Cambria"/>
        <family val="1"/>
        <charset val="238"/>
      </rPr>
      <t xml:space="preserve"> dostawę paliwa gazowego  na odbiorcę</t>
    </r>
  </si>
  <si>
    <r>
      <t xml:space="preserve">Opłata roczna za </t>
    </r>
    <r>
      <rPr>
        <b/>
        <sz val="10"/>
        <rFont val="Cambria"/>
        <family val="1"/>
        <charset val="238"/>
      </rPr>
      <t>usługę dystrybucji na osobę</t>
    </r>
  </si>
  <si>
    <t>Opłata roczna za dostawe paliwa gazowego na osobę</t>
  </si>
  <si>
    <t>Średni ważony dochód roczny na osobę na terenie działania OSD</t>
  </si>
  <si>
    <t>% udział opłaty za dostawę paliwa gazowego  w dochodzie do dyspozycji gospodarstw domowych na osobę w skali roku</t>
  </si>
  <si>
    <t>% udział opłaty za paliwo gazowe w dochodzie do dyspozycji gospodarstw domowych na osobę w skali roku</t>
  </si>
  <si>
    <t>UDZIAŁ
MIW</t>
  </si>
  <si>
    <t>UDZIAŁ
MM</t>
  </si>
  <si>
    <t>UDZIAŁ
MD</t>
  </si>
  <si>
    <t>ID TERYT</t>
  </si>
  <si>
    <t>020101 1</t>
  </si>
  <si>
    <t>020102 2</t>
  </si>
  <si>
    <t>020103 2</t>
  </si>
  <si>
    <t>020105 2</t>
  </si>
  <si>
    <t>020106 2</t>
  </si>
  <si>
    <t>020104 3</t>
  </si>
  <si>
    <t>0201</t>
  </si>
  <si>
    <t>0202</t>
  </si>
  <si>
    <t>0203</t>
  </si>
  <si>
    <t>02</t>
  </si>
  <si>
    <r>
      <t xml:space="preserve">TABL. 1. POWIERZCHNIA, LUDNOŚĆ ORAZ LOKATY WEDŁUG WOJEWÓDZTW
</t>
    </r>
    <r>
      <rPr>
        <sz val="8"/>
        <color rgb="FF000000"/>
        <rFont val="Arial"/>
        <family val="2"/>
        <charset val="238"/>
      </rPr>
      <t xml:space="preserve">             </t>
    </r>
    <r>
      <rPr>
        <sz val="8"/>
        <color rgb="FF808080"/>
        <rFont val="Arial"/>
        <family val="2"/>
        <charset val="238"/>
      </rPr>
      <t xml:space="preserve">   </t>
    </r>
    <r>
      <rPr>
        <b/>
        <sz val="8"/>
        <color theme="1" tint="0.499984740745262"/>
        <rFont val="Arial"/>
        <family val="2"/>
        <charset val="238"/>
      </rPr>
      <t>AREA, POPULATION AND RANKING POSITIONS BY VOIVODSHIPS</t>
    </r>
  </si>
  <si>
    <r>
      <t xml:space="preserve">Identyfikator
terytorialny
</t>
    </r>
    <r>
      <rPr>
        <sz val="8"/>
        <color rgb="FF808080"/>
        <rFont val="Arial"/>
        <family val="2"/>
        <charset val="238"/>
      </rPr>
      <t>Territorial
identifier</t>
    </r>
  </si>
  <si>
    <r>
      <t xml:space="preserve">Województwa
</t>
    </r>
    <r>
      <rPr>
        <sz val="8"/>
        <color rgb="FF808080"/>
        <rFont val="Arial"/>
        <family val="2"/>
        <charset val="238"/>
      </rPr>
      <t>Voivodships</t>
    </r>
  </si>
  <si>
    <r>
      <t xml:space="preserve">Powierzchnia
</t>
    </r>
    <r>
      <rPr>
        <sz val="8"/>
        <color rgb="FF808080"/>
        <rFont val="Arial"/>
        <family val="2"/>
        <charset val="238"/>
      </rPr>
      <t>Area</t>
    </r>
  </si>
  <si>
    <r>
      <t xml:space="preserve">Ludność
</t>
    </r>
    <r>
      <rPr>
        <i/>
        <sz val="8"/>
        <color rgb="FF808080"/>
        <rFont val="Arial"/>
        <family val="2"/>
        <charset val="238"/>
      </rPr>
      <t xml:space="preserve"> </t>
    </r>
    <r>
      <rPr>
        <sz val="8"/>
        <color rgb="FF808080"/>
        <rFont val="Arial"/>
        <family val="2"/>
        <charset val="238"/>
      </rPr>
      <t>Population</t>
    </r>
  </si>
  <si>
    <r>
      <t xml:space="preserve">Lokata według
</t>
    </r>
    <r>
      <rPr>
        <sz val="8"/>
        <color rgb="FF808080"/>
        <rFont val="Arial"/>
        <family val="2"/>
        <charset val="238"/>
      </rPr>
      <t>Ranking position by</t>
    </r>
  </si>
  <si>
    <r>
      <t xml:space="preserve">w ha
</t>
    </r>
    <r>
      <rPr>
        <sz val="8"/>
        <color rgb="FF808080"/>
        <rFont val="Arial"/>
        <family val="2"/>
        <charset val="238"/>
      </rPr>
      <t>in ha</t>
    </r>
  </si>
  <si>
    <r>
      <t xml:space="preserve">w km ²
</t>
    </r>
    <r>
      <rPr>
        <sz val="8"/>
        <color rgb="FF808080"/>
        <rFont val="Arial"/>
        <family val="2"/>
        <charset val="238"/>
      </rPr>
      <t>in km ²</t>
    </r>
  </si>
  <si>
    <r>
      <t xml:space="preserve">ogółem
</t>
    </r>
    <r>
      <rPr>
        <sz val="8"/>
        <color rgb="FF808080"/>
        <rFont val="Arial"/>
        <family val="2"/>
        <charset val="238"/>
      </rPr>
      <t>total</t>
    </r>
  </si>
  <si>
    <r>
      <t xml:space="preserve">na 1 km ²
</t>
    </r>
    <r>
      <rPr>
        <sz val="8"/>
        <color rgb="FF808080"/>
        <rFont val="Arial"/>
        <family val="2"/>
        <charset val="238"/>
      </rPr>
      <t>per 1 km ²</t>
    </r>
  </si>
  <si>
    <r>
      <t xml:space="preserve">powierzchni
w ha
</t>
    </r>
    <r>
      <rPr>
        <sz val="8"/>
        <color rgb="FF808080"/>
        <rFont val="Arial"/>
        <family val="2"/>
        <charset val="238"/>
      </rPr>
      <t>area in ha</t>
    </r>
  </si>
  <si>
    <r>
      <t xml:space="preserve">liczby
ludności
</t>
    </r>
    <r>
      <rPr>
        <sz val="8"/>
        <color rgb="FF808080"/>
        <rFont val="Arial"/>
        <family val="2"/>
        <charset val="238"/>
      </rPr>
      <t>population</t>
    </r>
  </si>
  <si>
    <t/>
  </si>
  <si>
    <t>P O L S K A</t>
  </si>
  <si>
    <t>x</t>
  </si>
  <si>
    <t>P O L A N D</t>
  </si>
  <si>
    <t>04</t>
  </si>
  <si>
    <t>06</t>
  </si>
  <si>
    <t>Lubelskie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</si>
  <si>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</si>
  <si>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</si>
  <si>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</si>
  <si>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</si>
  <si>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</si>
  <si>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</si>
  <si>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</si>
  <si>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</si>
  <si>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</si>
  <si>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</si>
  <si>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</si>
  <si>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</si>
  <si>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</si>
  <si>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TABL. 2. POWIERZCHNIA, LUDNOŚĆ ORAZ LOKATY WEDŁUG POWIATÓW I MIAST NA PRAWACH POWIATU
</t>
    </r>
    <r>
      <rPr>
        <sz val="8"/>
        <color rgb="FF000000"/>
        <rFont val="Arial"/>
        <family val="2"/>
        <charset val="238"/>
      </rPr>
      <t xml:space="preserve">        </t>
    </r>
    <r>
      <rPr>
        <sz val="8"/>
        <color theme="0" tint="-0.499984740745262"/>
        <rFont val="Arial"/>
        <family val="2"/>
        <charset val="238"/>
      </rPr>
      <t xml:space="preserve">        </t>
    </r>
    <r>
      <rPr>
        <b/>
        <sz val="8"/>
        <color theme="0" tint="-0.499984740745262"/>
        <rFont val="Arial"/>
        <family val="2"/>
        <charset val="238"/>
      </rPr>
      <t>AREA, POPULATION AND RANKING POSITIONS BY POWIATS AND CITIES WITH POWIAT STATUS</t>
    </r>
  </si>
  <si>
    <r>
      <t xml:space="preserve">Identyfikator
terytorialny
</t>
    </r>
    <r>
      <rPr>
        <sz val="8"/>
        <color theme="0" tint="-0.499984740745262"/>
        <rFont val="Arial"/>
        <family val="2"/>
        <charset val="238"/>
      </rPr>
      <t>Territorial
identifier</t>
    </r>
  </si>
  <si>
    <r>
      <t xml:space="preserve">Powiaty / miasta na 
prawach powiatu
</t>
    </r>
    <r>
      <rPr>
        <sz val="8"/>
        <color theme="0" tint="-0.499984740745262"/>
        <rFont val="Arial"/>
        <family val="2"/>
        <charset val="238"/>
      </rPr>
      <t>Powiats / cities with 
powiat status</t>
    </r>
  </si>
  <si>
    <r>
      <t xml:space="preserve">Powierzchnia
</t>
    </r>
    <r>
      <rPr>
        <sz val="8"/>
        <color theme="0" tint="-0.499984740745262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</si>
  <si>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Ludność
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Population</t>
    </r>
  </si>
  <si>
    <r>
      <rPr>
        <sz val="8"/>
        <color rgb="FF000000"/>
        <rFont val="Arial"/>
        <family val="2"/>
        <charset val="238"/>
      </rPr>
      <t xml:space="preserve">Lokata według
</t>
    </r>
    <r>
      <rPr>
        <sz val="8"/>
        <color rgb="FF696969"/>
        <rFont val="Arial"/>
        <family val="2"/>
        <charset val="238"/>
      </rPr>
      <t>Ranking position by</t>
    </r>
  </si>
  <si>
    <r>
      <t xml:space="preserve">w ha
</t>
    </r>
    <r>
      <rPr>
        <sz val="8"/>
        <color theme="0" tint="-0.499984740745262"/>
        <rFont val="Arial"/>
        <family val="2"/>
        <charset val="238"/>
      </rPr>
      <t>in ha</t>
    </r>
  </si>
  <si>
    <r>
      <t xml:space="preserve">w km ²
</t>
    </r>
    <r>
      <rPr>
        <sz val="8"/>
        <color theme="0" tint="-0.499984740745262"/>
        <rFont val="Arial"/>
        <family val="2"/>
        <charset val="238"/>
      </rPr>
      <t>in km ²</t>
    </r>
  </si>
  <si>
    <r>
      <t xml:space="preserve">ogółem
</t>
    </r>
    <r>
      <rPr>
        <sz val="8"/>
        <color theme="0" tint="-0.499984740745262"/>
        <rFont val="Arial"/>
        <family val="2"/>
        <charset val="238"/>
      </rPr>
      <t>total</t>
    </r>
  </si>
  <si>
    <r>
      <t xml:space="preserve">na 1 km ²
</t>
    </r>
    <r>
      <rPr>
        <sz val="8"/>
        <color theme="0" tint="-0.499984740745262"/>
        <rFont val="Arial"/>
        <family val="2"/>
        <charset val="238"/>
      </rPr>
      <t>per 1 km ²</t>
    </r>
  </si>
  <si>
    <r>
      <t xml:space="preserve">powierzchni
w ha
</t>
    </r>
    <r>
      <rPr>
        <sz val="8"/>
        <color theme="0" tint="-0.499984740745262"/>
        <rFont val="Arial"/>
        <family val="2"/>
        <charset val="238"/>
      </rPr>
      <t>area in ha</t>
    </r>
  </si>
  <si>
    <r>
      <t xml:space="preserve">liczby
ludności
</t>
    </r>
    <r>
      <rPr>
        <sz val="8"/>
        <color theme="0" tint="-0.499984740745262"/>
        <rFont val="Arial"/>
        <family val="2"/>
        <charset val="238"/>
      </rPr>
      <t>population</t>
    </r>
  </si>
  <si>
    <t>Powiaty:</t>
  </si>
  <si>
    <t>Powiats:</t>
  </si>
  <si>
    <t xml:space="preserve">   bolesławiecki</t>
  </si>
  <si>
    <t xml:space="preserve">   dzierżoniowski</t>
  </si>
  <si>
    <t xml:space="preserve">   głogowski</t>
  </si>
  <si>
    <t>0204</t>
  </si>
  <si>
    <t xml:space="preserve">   górowski</t>
  </si>
  <si>
    <t>0205</t>
  </si>
  <si>
    <t xml:space="preserve">   jaworski</t>
  </si>
  <si>
    <t>0206</t>
  </si>
  <si>
    <t xml:space="preserve">   jeleniogórski</t>
  </si>
  <si>
    <t>0207</t>
  </si>
  <si>
    <t xml:space="preserve">   kamiennogórski</t>
  </si>
  <si>
    <t>0208</t>
  </si>
  <si>
    <t xml:space="preserve">   kłodzki</t>
  </si>
  <si>
    <t>0209</t>
  </si>
  <si>
    <t xml:space="preserve">   legnicki</t>
  </si>
  <si>
    <t>0210</t>
  </si>
  <si>
    <t xml:space="preserve">   lubański</t>
  </si>
  <si>
    <t>0211</t>
  </si>
  <si>
    <t xml:space="preserve">   lubiński</t>
  </si>
  <si>
    <t>0212</t>
  </si>
  <si>
    <t xml:space="preserve">   lwówecki</t>
  </si>
  <si>
    <t>0213</t>
  </si>
  <si>
    <t xml:space="preserve">   milicki</t>
  </si>
  <si>
    <t>0214</t>
  </si>
  <si>
    <t xml:space="preserve">   oleśnicki</t>
  </si>
  <si>
    <t>0215</t>
  </si>
  <si>
    <t xml:space="preserve">   oławski</t>
  </si>
  <si>
    <t>0216</t>
  </si>
  <si>
    <t xml:space="preserve">   polkowicki</t>
  </si>
  <si>
    <t>0217</t>
  </si>
  <si>
    <t xml:space="preserve">   strzeliński</t>
  </si>
  <si>
    <t>0218</t>
  </si>
  <si>
    <t xml:space="preserve">   średzki</t>
  </si>
  <si>
    <t>0219</t>
  </si>
  <si>
    <t xml:space="preserve">   świdnicki</t>
  </si>
  <si>
    <t>0220</t>
  </si>
  <si>
    <t xml:space="preserve">   trzebnicki</t>
  </si>
  <si>
    <t>0221</t>
  </si>
  <si>
    <t xml:space="preserve">   wałbrzyski</t>
  </si>
  <si>
    <t>0222</t>
  </si>
  <si>
    <t xml:space="preserve">   wołowski</t>
  </si>
  <si>
    <t>0223</t>
  </si>
  <si>
    <t xml:space="preserve">   wrocławski</t>
  </si>
  <si>
    <t>0224</t>
  </si>
  <si>
    <t xml:space="preserve">   ząbkowicki</t>
  </si>
  <si>
    <t>0225</t>
  </si>
  <si>
    <t xml:space="preserve">   zgorzelecki</t>
  </si>
  <si>
    <t>0226</t>
  </si>
  <si>
    <t xml:space="preserve">   złotoryjski</t>
  </si>
  <si>
    <t xml:space="preserve"> Miasta na prawach powiatu:</t>
  </si>
  <si>
    <t xml:space="preserve"> Cities with powiat status:</t>
  </si>
  <si>
    <t>0261</t>
  </si>
  <si>
    <t xml:space="preserve">   Jelenia Góra</t>
  </si>
  <si>
    <t>0262</t>
  </si>
  <si>
    <t xml:space="preserve">   Legnica</t>
  </si>
  <si>
    <t>0265</t>
  </si>
  <si>
    <t xml:space="preserve">   Wałbrzych</t>
  </si>
  <si>
    <t>0264</t>
  </si>
  <si>
    <t xml:space="preserve">   Wrocław</t>
  </si>
  <si>
    <t>WOJ. KUJAWSKO-POMORSKIE</t>
  </si>
  <si>
    <t xml:space="preserve"> Powiaty:</t>
  </si>
  <si>
    <t xml:space="preserve"> Powiats:</t>
  </si>
  <si>
    <t>0401</t>
  </si>
  <si>
    <t xml:space="preserve">   aleksandrowski</t>
  </si>
  <si>
    <t>0402</t>
  </si>
  <si>
    <t xml:space="preserve">   brodnicki</t>
  </si>
  <si>
    <t>0403</t>
  </si>
  <si>
    <t xml:space="preserve">   bydgoski</t>
  </si>
  <si>
    <t>0404</t>
  </si>
  <si>
    <t xml:space="preserve">   chełmiński</t>
  </si>
  <si>
    <t>0405</t>
  </si>
  <si>
    <t xml:space="preserve">   golubsko-dobrzyński</t>
  </si>
  <si>
    <t>0406</t>
  </si>
  <si>
    <t xml:space="preserve">   grudziądzki</t>
  </si>
  <si>
    <t>0407</t>
  </si>
  <si>
    <t xml:space="preserve">   inowrocławski</t>
  </si>
  <si>
    <t>0408</t>
  </si>
  <si>
    <t xml:space="preserve">   lipnowski</t>
  </si>
  <si>
    <t>0409</t>
  </si>
  <si>
    <t xml:space="preserve">   mogileński</t>
  </si>
  <si>
    <t>0410</t>
  </si>
  <si>
    <t xml:space="preserve">   nakielski</t>
  </si>
  <si>
    <t>0411</t>
  </si>
  <si>
    <t xml:space="preserve">   radziejowski</t>
  </si>
  <si>
    <t>0412</t>
  </si>
  <si>
    <t xml:space="preserve">   rypiński</t>
  </si>
  <si>
    <t>0413</t>
  </si>
  <si>
    <t xml:space="preserve">   sępoleński</t>
  </si>
  <si>
    <t>0414</t>
  </si>
  <si>
    <t xml:space="preserve">   świecki</t>
  </si>
  <si>
    <t>0415</t>
  </si>
  <si>
    <t xml:space="preserve">   toruński</t>
  </si>
  <si>
    <t>0416</t>
  </si>
  <si>
    <t xml:space="preserve">   tucholski</t>
  </si>
  <si>
    <t>0417</t>
  </si>
  <si>
    <t xml:space="preserve">   wąbrzeski</t>
  </si>
  <si>
    <t>0418</t>
  </si>
  <si>
    <t xml:space="preserve">   włocławski</t>
  </si>
  <si>
    <t>0419</t>
  </si>
  <si>
    <t xml:space="preserve">   żniński</t>
  </si>
  <si>
    <t>0461</t>
  </si>
  <si>
    <t xml:space="preserve">   Bydgoszcz</t>
  </si>
  <si>
    <t>0462</t>
  </si>
  <si>
    <t xml:space="preserve">   Grudziądz</t>
  </si>
  <si>
    <t>0463</t>
  </si>
  <si>
    <t xml:space="preserve">   Toruń</t>
  </si>
  <si>
    <t>0464</t>
  </si>
  <si>
    <t xml:space="preserve">   Włocławek</t>
  </si>
  <si>
    <t>0601</t>
  </si>
  <si>
    <t xml:space="preserve">   bialski</t>
  </si>
  <si>
    <t>0602</t>
  </si>
  <si>
    <t xml:space="preserve">   biłgorajski</t>
  </si>
  <si>
    <t>0603</t>
  </si>
  <si>
    <t xml:space="preserve">   chełmski</t>
  </si>
  <si>
    <t>0604</t>
  </si>
  <si>
    <t xml:space="preserve">   hrubieszowski</t>
  </si>
  <si>
    <t>0605</t>
  </si>
  <si>
    <t xml:space="preserve">   janowski</t>
  </si>
  <si>
    <t>0606</t>
  </si>
  <si>
    <t xml:space="preserve">   krasnostawski</t>
  </si>
  <si>
    <t>0607</t>
  </si>
  <si>
    <t xml:space="preserve">   kraśnicki</t>
  </si>
  <si>
    <t>0608</t>
  </si>
  <si>
    <t xml:space="preserve">   lubartowski</t>
  </si>
  <si>
    <t>0609</t>
  </si>
  <si>
    <t xml:space="preserve">   lubelski</t>
  </si>
  <si>
    <t>0610</t>
  </si>
  <si>
    <t xml:space="preserve">   łęczyński</t>
  </si>
  <si>
    <t>0611</t>
  </si>
  <si>
    <t xml:space="preserve">   łukowski</t>
  </si>
  <si>
    <t>0612</t>
  </si>
  <si>
    <t xml:space="preserve">   opolski</t>
  </si>
  <si>
    <t>0613</t>
  </si>
  <si>
    <t xml:space="preserve">   parczewski</t>
  </si>
  <si>
    <t>0614</t>
  </si>
  <si>
    <t xml:space="preserve">   puławski</t>
  </si>
  <si>
    <t>0615</t>
  </si>
  <si>
    <t xml:space="preserve">   radzyński</t>
  </si>
  <si>
    <t>0616</t>
  </si>
  <si>
    <t xml:space="preserve">   rycki</t>
  </si>
  <si>
    <t>0617</t>
  </si>
  <si>
    <t>0618</t>
  </si>
  <si>
    <t xml:space="preserve">   tomaszowski</t>
  </si>
  <si>
    <t>0619</t>
  </si>
  <si>
    <t xml:space="preserve">   włodawski</t>
  </si>
  <si>
    <t>0620</t>
  </si>
  <si>
    <t xml:space="preserve">   zamojski</t>
  </si>
  <si>
    <t>0661</t>
  </si>
  <si>
    <t xml:space="preserve">   Biała Podlaska</t>
  </si>
  <si>
    <t>0662</t>
  </si>
  <si>
    <t xml:space="preserve">   Chełm</t>
  </si>
  <si>
    <t>0663</t>
  </si>
  <si>
    <t xml:space="preserve">   Lublin</t>
  </si>
  <si>
    <t>0664</t>
  </si>
  <si>
    <t xml:space="preserve">   Zamość</t>
  </si>
  <si>
    <t>0801</t>
  </si>
  <si>
    <t xml:space="preserve">   gorzowski</t>
  </si>
  <si>
    <t>0802</t>
  </si>
  <si>
    <t xml:space="preserve">   krośnieński</t>
  </si>
  <si>
    <t>0803</t>
  </si>
  <si>
    <t xml:space="preserve">   międzyrzecki</t>
  </si>
  <si>
    <t>0804</t>
  </si>
  <si>
    <t xml:space="preserve">   nowosolski</t>
  </si>
  <si>
    <t>0805</t>
  </si>
  <si>
    <t xml:space="preserve">   słubicki</t>
  </si>
  <si>
    <t>0806</t>
  </si>
  <si>
    <t xml:space="preserve">   strzelecko-drezdenecki</t>
  </si>
  <si>
    <t>0807</t>
  </si>
  <si>
    <t xml:space="preserve">   sulęciński</t>
  </si>
  <si>
    <t>0808</t>
  </si>
  <si>
    <t xml:space="preserve">   świebodziński</t>
  </si>
  <si>
    <t>0812</t>
  </si>
  <si>
    <t xml:space="preserve">   wschowski</t>
  </si>
  <si>
    <t>0809</t>
  </si>
  <si>
    <t xml:space="preserve">   zielonogórski</t>
  </si>
  <si>
    <t>0810</t>
  </si>
  <si>
    <t xml:space="preserve">   żagański</t>
  </si>
  <si>
    <t>0811</t>
  </si>
  <si>
    <t xml:space="preserve">   żarski</t>
  </si>
  <si>
    <t>0861</t>
  </si>
  <si>
    <t xml:space="preserve">   Gorzów Wielkopolski</t>
  </si>
  <si>
    <t>0862</t>
  </si>
  <si>
    <t xml:space="preserve">   Zielona Góra</t>
  </si>
  <si>
    <t>1001</t>
  </si>
  <si>
    <t xml:space="preserve">   bełchatowski</t>
  </si>
  <si>
    <t>1021</t>
  </si>
  <si>
    <t xml:space="preserve">   brzeziński</t>
  </si>
  <si>
    <t>1002</t>
  </si>
  <si>
    <t xml:space="preserve">   kutnowski</t>
  </si>
  <si>
    <t>1003</t>
  </si>
  <si>
    <t xml:space="preserve">   łaski</t>
  </si>
  <si>
    <t>1004</t>
  </si>
  <si>
    <t xml:space="preserve">   łęczycki</t>
  </si>
  <si>
    <t>1005</t>
  </si>
  <si>
    <t xml:space="preserve">   łowicki</t>
  </si>
  <si>
    <t>1006</t>
  </si>
  <si>
    <t xml:space="preserve">   łódzki wschodni</t>
  </si>
  <si>
    <t>1007</t>
  </si>
  <si>
    <t xml:space="preserve">   opoczyński</t>
  </si>
  <si>
    <t>1008</t>
  </si>
  <si>
    <t xml:space="preserve">   pabianicki</t>
  </si>
  <si>
    <t>1009</t>
  </si>
  <si>
    <t xml:space="preserve">   pajęczański</t>
  </si>
  <si>
    <t>1010</t>
  </si>
  <si>
    <t xml:space="preserve">   piotrkowski</t>
  </si>
  <si>
    <t>1011</t>
  </si>
  <si>
    <t xml:space="preserve">   poddębicki</t>
  </si>
  <si>
    <t>1012</t>
  </si>
  <si>
    <t xml:space="preserve">   radomszczański</t>
  </si>
  <si>
    <t>1013</t>
  </si>
  <si>
    <t xml:space="preserve">   rawski</t>
  </si>
  <si>
    <t>1014</t>
  </si>
  <si>
    <t xml:space="preserve">   sieradzki</t>
  </si>
  <si>
    <t>1015</t>
  </si>
  <si>
    <t xml:space="preserve">   skierniewicki</t>
  </si>
  <si>
    <t>1016</t>
  </si>
  <si>
    <t>1017</t>
  </si>
  <si>
    <t xml:space="preserve">   wieluński</t>
  </si>
  <si>
    <t>1018</t>
  </si>
  <si>
    <t xml:space="preserve">   wieruszowski</t>
  </si>
  <si>
    <t>1019</t>
  </si>
  <si>
    <t xml:space="preserve">   zduńskowolski</t>
  </si>
  <si>
    <t>1020</t>
  </si>
  <si>
    <t xml:space="preserve">   zgierski</t>
  </si>
  <si>
    <t>1061</t>
  </si>
  <si>
    <t xml:space="preserve">   Łódź</t>
  </si>
  <si>
    <t>1062</t>
  </si>
  <si>
    <t xml:space="preserve">   Piotrków Trybunalski</t>
  </si>
  <si>
    <t>1063</t>
  </si>
  <si>
    <t xml:space="preserve">   Skierniewice</t>
  </si>
  <si>
    <t xml:space="preserve"> Powiaty: </t>
  </si>
  <si>
    <t>1201</t>
  </si>
  <si>
    <t xml:space="preserve">   bocheński</t>
  </si>
  <si>
    <t>1202</t>
  </si>
  <si>
    <t xml:space="preserve">   brzeski</t>
  </si>
  <si>
    <t>1203</t>
  </si>
  <si>
    <t xml:space="preserve">   chrzanowski</t>
  </si>
  <si>
    <t>1204</t>
  </si>
  <si>
    <t xml:space="preserve">   dąbrowski</t>
  </si>
  <si>
    <t>1205</t>
  </si>
  <si>
    <t xml:space="preserve">   gorlicki</t>
  </si>
  <si>
    <t>1206</t>
  </si>
  <si>
    <t xml:space="preserve">   krakowski</t>
  </si>
  <si>
    <t>1207</t>
  </si>
  <si>
    <t xml:space="preserve">   limanowski</t>
  </si>
  <si>
    <t>1208</t>
  </si>
  <si>
    <t xml:space="preserve">   miechowski</t>
  </si>
  <si>
    <t>1209</t>
  </si>
  <si>
    <t xml:space="preserve">   myślenicki</t>
  </si>
  <si>
    <t>1210</t>
  </si>
  <si>
    <t xml:space="preserve">   nowosądecki</t>
  </si>
  <si>
    <t>1211</t>
  </si>
  <si>
    <t xml:space="preserve">   nowotarski</t>
  </si>
  <si>
    <t>1212</t>
  </si>
  <si>
    <t xml:space="preserve">   olkuski</t>
  </si>
  <si>
    <t>1213</t>
  </si>
  <si>
    <t xml:space="preserve">   oświęcimski</t>
  </si>
  <si>
    <t>1214</t>
  </si>
  <si>
    <t xml:space="preserve">   proszowicki</t>
  </si>
  <si>
    <t>1215</t>
  </si>
  <si>
    <t xml:space="preserve">   suski</t>
  </si>
  <si>
    <t>1216</t>
  </si>
  <si>
    <t xml:space="preserve">   tarnowski</t>
  </si>
  <si>
    <t>1217</t>
  </si>
  <si>
    <t xml:space="preserve">   tatrzański</t>
  </si>
  <si>
    <t>1218</t>
  </si>
  <si>
    <t xml:space="preserve">   wadowicki</t>
  </si>
  <si>
    <t>1219</t>
  </si>
  <si>
    <t xml:space="preserve">   wielicki</t>
  </si>
  <si>
    <t>1261</t>
  </si>
  <si>
    <t xml:space="preserve">   Kraków</t>
  </si>
  <si>
    <t>1262</t>
  </si>
  <si>
    <t xml:space="preserve">   Nowy Sącz</t>
  </si>
  <si>
    <t>1263</t>
  </si>
  <si>
    <t xml:space="preserve">   Tarnów</t>
  </si>
  <si>
    <t>1401</t>
  </si>
  <si>
    <t xml:space="preserve">   białobrzeski</t>
  </si>
  <si>
    <t>1402</t>
  </si>
  <si>
    <t xml:space="preserve">   ciechanowski</t>
  </si>
  <si>
    <t>1403</t>
  </si>
  <si>
    <t xml:space="preserve">   garwoliński</t>
  </si>
  <si>
    <t>1404</t>
  </si>
  <si>
    <t xml:space="preserve">   gostyniński</t>
  </si>
  <si>
    <t>1405</t>
  </si>
  <si>
    <t xml:space="preserve">   grodziski</t>
  </si>
  <si>
    <t>1406</t>
  </si>
  <si>
    <t xml:space="preserve">   grójecki</t>
  </si>
  <si>
    <t>1407</t>
  </si>
  <si>
    <t xml:space="preserve">   kozienicki</t>
  </si>
  <si>
    <t>1408</t>
  </si>
  <si>
    <t xml:space="preserve">   legionowski</t>
  </si>
  <si>
    <t>1409</t>
  </si>
  <si>
    <t xml:space="preserve">   lipski</t>
  </si>
  <si>
    <t>1410</t>
  </si>
  <si>
    <t xml:space="preserve">   łosicki</t>
  </si>
  <si>
    <t>1411</t>
  </si>
  <si>
    <t xml:space="preserve">   makowski</t>
  </si>
  <si>
    <t>1412</t>
  </si>
  <si>
    <t xml:space="preserve">   miński</t>
  </si>
  <si>
    <t>1413</t>
  </si>
  <si>
    <t xml:space="preserve">   mławski</t>
  </si>
  <si>
    <t>1414</t>
  </si>
  <si>
    <t xml:space="preserve">   nowodworski</t>
  </si>
  <si>
    <t>1415</t>
  </si>
  <si>
    <t xml:space="preserve">   ostrołęcki</t>
  </si>
  <si>
    <t>1416</t>
  </si>
  <si>
    <t xml:space="preserve">   ostrowski</t>
  </si>
  <si>
    <t>1417</t>
  </si>
  <si>
    <t xml:space="preserve">   otwocki</t>
  </si>
  <si>
    <t>1418</t>
  </si>
  <si>
    <t xml:space="preserve">   piaseczyński</t>
  </si>
  <si>
    <t>1419</t>
  </si>
  <si>
    <t xml:space="preserve">   płocki</t>
  </si>
  <si>
    <t>1420</t>
  </si>
  <si>
    <t xml:space="preserve">   płoński</t>
  </si>
  <si>
    <t>1421</t>
  </si>
  <si>
    <t xml:space="preserve">   pruszkowski</t>
  </si>
  <si>
    <t>1422</t>
  </si>
  <si>
    <t xml:space="preserve">   przasnyski</t>
  </si>
  <si>
    <t>1423</t>
  </si>
  <si>
    <t xml:space="preserve">   przysuski</t>
  </si>
  <si>
    <t>1424</t>
  </si>
  <si>
    <t xml:space="preserve">   pułtuski</t>
  </si>
  <si>
    <t>1425</t>
  </si>
  <si>
    <t xml:space="preserve">   radomski</t>
  </si>
  <si>
    <t>1426</t>
  </si>
  <si>
    <t xml:space="preserve">   siedlecki</t>
  </si>
  <si>
    <t>1427</t>
  </si>
  <si>
    <t xml:space="preserve">   sierpecki</t>
  </si>
  <si>
    <t>1428</t>
  </si>
  <si>
    <t xml:space="preserve">   sochaczewski</t>
  </si>
  <si>
    <t>1429</t>
  </si>
  <si>
    <t xml:space="preserve">   sokołowski</t>
  </si>
  <si>
    <t>1430</t>
  </si>
  <si>
    <t xml:space="preserve">   szydłowiecki</t>
  </si>
  <si>
    <t>1432</t>
  </si>
  <si>
    <t xml:space="preserve">   warszawski zachodni</t>
  </si>
  <si>
    <t>1433</t>
  </si>
  <si>
    <t xml:space="preserve">   węgrowski</t>
  </si>
  <si>
    <t>1434</t>
  </si>
  <si>
    <t xml:space="preserve">   wołomiński</t>
  </si>
  <si>
    <t>1435</t>
  </si>
  <si>
    <t xml:space="preserve">   wyszkowski</t>
  </si>
  <si>
    <t>1436</t>
  </si>
  <si>
    <t xml:space="preserve">   zwoleński</t>
  </si>
  <si>
    <t>1437</t>
  </si>
  <si>
    <t xml:space="preserve">   żuromiński</t>
  </si>
  <si>
    <t>1438</t>
  </si>
  <si>
    <t xml:space="preserve">   żyrardowski</t>
  </si>
  <si>
    <t>1461</t>
  </si>
  <si>
    <t xml:space="preserve">   Ostrołęka</t>
  </si>
  <si>
    <t>1462</t>
  </si>
  <si>
    <t xml:space="preserve">   Płock</t>
  </si>
  <si>
    <t>1463</t>
  </si>
  <si>
    <t xml:space="preserve">   Radom</t>
  </si>
  <si>
    <t>1464</t>
  </si>
  <si>
    <t xml:space="preserve">   Siedlce</t>
  </si>
  <si>
    <t>1465</t>
  </si>
  <si>
    <t xml:space="preserve">   m. st. Warszawa</t>
  </si>
  <si>
    <t>1601</t>
  </si>
  <si>
    <t>1602</t>
  </si>
  <si>
    <t xml:space="preserve">   głubczycki</t>
  </si>
  <si>
    <t>1603</t>
  </si>
  <si>
    <t xml:space="preserve">   kędzierzyńsko-kozielski</t>
  </si>
  <si>
    <t>1604</t>
  </si>
  <si>
    <t xml:space="preserve">   kluczborski</t>
  </si>
  <si>
    <t>1605</t>
  </si>
  <si>
    <t xml:space="preserve">   krapkowicki</t>
  </si>
  <si>
    <t>1606</t>
  </si>
  <si>
    <t xml:space="preserve">   namysłowski</t>
  </si>
  <si>
    <t>1607</t>
  </si>
  <si>
    <t xml:space="preserve">   nyski</t>
  </si>
  <si>
    <t>1608</t>
  </si>
  <si>
    <t xml:space="preserve">   oleski</t>
  </si>
  <si>
    <t>1609</t>
  </si>
  <si>
    <t>1610</t>
  </si>
  <si>
    <t xml:space="preserve">   prudnicki</t>
  </si>
  <si>
    <t>1611</t>
  </si>
  <si>
    <t xml:space="preserve">   strzelecki</t>
  </si>
  <si>
    <t xml:space="preserve"> Miasto na prawach powiatu</t>
  </si>
  <si>
    <t xml:space="preserve"> City with powiat status</t>
  </si>
  <si>
    <t>1661</t>
  </si>
  <si>
    <t xml:space="preserve">   Opole</t>
  </si>
  <si>
    <t>1801</t>
  </si>
  <si>
    <t xml:space="preserve">   bieszczadzki</t>
  </si>
  <si>
    <t>1802</t>
  </si>
  <si>
    <t xml:space="preserve">   brzozowski</t>
  </si>
  <si>
    <t>1803</t>
  </si>
  <si>
    <t xml:space="preserve">   dębicki</t>
  </si>
  <si>
    <t>1804</t>
  </si>
  <si>
    <t xml:space="preserve">   jarosławski</t>
  </si>
  <si>
    <t>1805</t>
  </si>
  <si>
    <t xml:space="preserve">   jasielski</t>
  </si>
  <si>
    <t>1806</t>
  </si>
  <si>
    <t xml:space="preserve">   kolbuszowski</t>
  </si>
  <si>
    <t>1807</t>
  </si>
  <si>
    <t>1821</t>
  </si>
  <si>
    <t xml:space="preserve">   leski</t>
  </si>
  <si>
    <t>1808</t>
  </si>
  <si>
    <t xml:space="preserve">   leżajski</t>
  </si>
  <si>
    <t>1809</t>
  </si>
  <si>
    <t xml:space="preserve">   lubaczowski</t>
  </si>
  <si>
    <t>1810</t>
  </si>
  <si>
    <t xml:space="preserve">   łańcucki</t>
  </si>
  <si>
    <t>1811</t>
  </si>
  <si>
    <t xml:space="preserve">   mielecki</t>
  </si>
  <si>
    <t>1812</t>
  </si>
  <si>
    <t xml:space="preserve">   niżański</t>
  </si>
  <si>
    <t>1813</t>
  </si>
  <si>
    <t xml:space="preserve">   przemyski</t>
  </si>
  <si>
    <t>1814</t>
  </si>
  <si>
    <t xml:space="preserve">   przeworski</t>
  </si>
  <si>
    <t>1815</t>
  </si>
  <si>
    <t xml:space="preserve">   ropczycko-sędziszowski</t>
  </si>
  <si>
    <t>1816</t>
  </si>
  <si>
    <t xml:space="preserve">   rzeszowski</t>
  </si>
  <si>
    <t>1817</t>
  </si>
  <si>
    <t xml:space="preserve">   sanocki</t>
  </si>
  <si>
    <t>1818</t>
  </si>
  <si>
    <t xml:space="preserve">   stalowowolski</t>
  </si>
  <si>
    <t>1819</t>
  </si>
  <si>
    <t xml:space="preserve">   strzyżowski</t>
  </si>
  <si>
    <t>1820</t>
  </si>
  <si>
    <t xml:space="preserve">   tarnobrzeski</t>
  </si>
  <si>
    <t>1861</t>
  </si>
  <si>
    <t xml:space="preserve">   Krosno</t>
  </si>
  <si>
    <t>1862</t>
  </si>
  <si>
    <t xml:space="preserve">   Przemyśl</t>
  </si>
  <si>
    <t>1863</t>
  </si>
  <si>
    <t xml:space="preserve">   Rzeszów</t>
  </si>
  <si>
    <t>1864</t>
  </si>
  <si>
    <t xml:space="preserve">   Tarnobrzeg</t>
  </si>
  <si>
    <t>2001</t>
  </si>
  <si>
    <t xml:space="preserve">   augustowski</t>
  </si>
  <si>
    <t>2002</t>
  </si>
  <si>
    <t xml:space="preserve">   białostocki</t>
  </si>
  <si>
    <t>2003</t>
  </si>
  <si>
    <t xml:space="preserve">   bielski</t>
  </si>
  <si>
    <t>2004</t>
  </si>
  <si>
    <t xml:space="preserve">   grajewski</t>
  </si>
  <si>
    <t>2005</t>
  </si>
  <si>
    <t xml:space="preserve">   hajnowski</t>
  </si>
  <si>
    <t>2006</t>
  </si>
  <si>
    <t xml:space="preserve">   kolneński</t>
  </si>
  <si>
    <t>2007</t>
  </si>
  <si>
    <t xml:space="preserve">   łomżyński</t>
  </si>
  <si>
    <t>2008</t>
  </si>
  <si>
    <t xml:space="preserve">   moniecki</t>
  </si>
  <si>
    <t>2009</t>
  </si>
  <si>
    <t xml:space="preserve">   sejneński</t>
  </si>
  <si>
    <t>2010</t>
  </si>
  <si>
    <t xml:space="preserve">   siemiatycki</t>
  </si>
  <si>
    <t>2011</t>
  </si>
  <si>
    <t xml:space="preserve">   sokólski</t>
  </si>
  <si>
    <t>2012</t>
  </si>
  <si>
    <t xml:space="preserve">   suwalski</t>
  </si>
  <si>
    <t>2013</t>
  </si>
  <si>
    <t xml:space="preserve">   wysokomazowiecki</t>
  </si>
  <si>
    <t>2014</t>
  </si>
  <si>
    <t xml:space="preserve">   zambrowski</t>
  </si>
  <si>
    <t>2061</t>
  </si>
  <si>
    <t xml:space="preserve">   Białystok</t>
  </si>
  <si>
    <t>2062</t>
  </si>
  <si>
    <t xml:space="preserve">   Łomża</t>
  </si>
  <si>
    <t>2063</t>
  </si>
  <si>
    <t xml:space="preserve">   Suwałki</t>
  </si>
  <si>
    <t>2201</t>
  </si>
  <si>
    <t xml:space="preserve">   bytowski</t>
  </si>
  <si>
    <t>2202</t>
  </si>
  <si>
    <t xml:space="preserve">   chojnicki</t>
  </si>
  <si>
    <t>2203</t>
  </si>
  <si>
    <t xml:space="preserve">   człuchowski</t>
  </si>
  <si>
    <t>2204</t>
  </si>
  <si>
    <t xml:space="preserve">   gdański</t>
  </si>
  <si>
    <t>2205</t>
  </si>
  <si>
    <t xml:space="preserve">   kartuski</t>
  </si>
  <si>
    <t>2206</t>
  </si>
  <si>
    <t xml:space="preserve">   kościerski</t>
  </si>
  <si>
    <t>2207</t>
  </si>
  <si>
    <t xml:space="preserve">   kwidzyński</t>
  </si>
  <si>
    <t>2208</t>
  </si>
  <si>
    <t xml:space="preserve">   lęborski</t>
  </si>
  <si>
    <t>2209</t>
  </si>
  <si>
    <t xml:space="preserve">   malborski</t>
  </si>
  <si>
    <t>2210</t>
  </si>
  <si>
    <t>2211</t>
  </si>
  <si>
    <t xml:space="preserve">   pucki</t>
  </si>
  <si>
    <t>2212</t>
  </si>
  <si>
    <t xml:space="preserve">   słupski</t>
  </si>
  <si>
    <t>2213</t>
  </si>
  <si>
    <t xml:space="preserve">   starogardzki</t>
  </si>
  <si>
    <t>2216</t>
  </si>
  <si>
    <t xml:space="preserve">   sztumski</t>
  </si>
  <si>
    <t>2214</t>
  </si>
  <si>
    <t xml:space="preserve">   tczewski</t>
  </si>
  <si>
    <t>2215</t>
  </si>
  <si>
    <t xml:space="preserve">   wejherowski</t>
  </si>
  <si>
    <t>2261</t>
  </si>
  <si>
    <t xml:space="preserve">   Gdańsk</t>
  </si>
  <si>
    <t>2262</t>
  </si>
  <si>
    <t xml:space="preserve">   Gdynia</t>
  </si>
  <si>
    <t>2263</t>
  </si>
  <si>
    <t xml:space="preserve">   Słupsk</t>
  </si>
  <si>
    <t>2264</t>
  </si>
  <si>
    <t xml:space="preserve">   Sopot</t>
  </si>
  <si>
    <t>2401</t>
  </si>
  <si>
    <t xml:space="preserve">   będziński</t>
  </si>
  <si>
    <t>2402</t>
  </si>
  <si>
    <t>2414</t>
  </si>
  <si>
    <t xml:space="preserve">   bieruńsko-lędziński</t>
  </si>
  <si>
    <t>2403</t>
  </si>
  <si>
    <t xml:space="preserve">   cieszyński</t>
  </si>
  <si>
    <t>2404</t>
  </si>
  <si>
    <t xml:space="preserve">   częstochowski</t>
  </si>
  <si>
    <t>2405</t>
  </si>
  <si>
    <t xml:space="preserve">   gliwicki</t>
  </si>
  <si>
    <t>2406</t>
  </si>
  <si>
    <t xml:space="preserve">   kłobucki</t>
  </si>
  <si>
    <t>2407</t>
  </si>
  <si>
    <t xml:space="preserve">   lubliniecki</t>
  </si>
  <si>
    <t>2408</t>
  </si>
  <si>
    <t xml:space="preserve">   mikołowski</t>
  </si>
  <si>
    <t>2409</t>
  </si>
  <si>
    <t xml:space="preserve">   myszkowski</t>
  </si>
  <si>
    <t>2410</t>
  </si>
  <si>
    <t xml:space="preserve">   pszczyński</t>
  </si>
  <si>
    <t>2411</t>
  </si>
  <si>
    <t xml:space="preserve">   raciborski</t>
  </si>
  <si>
    <t>2412</t>
  </si>
  <si>
    <t xml:space="preserve">   rybnicki</t>
  </si>
  <si>
    <t>2413</t>
  </si>
  <si>
    <t xml:space="preserve">   tarnogórski</t>
  </si>
  <si>
    <t>2415</t>
  </si>
  <si>
    <t xml:space="preserve">   wodzisławski</t>
  </si>
  <si>
    <t>2416</t>
  </si>
  <si>
    <t xml:space="preserve">   zawierciański</t>
  </si>
  <si>
    <t>2417</t>
  </si>
  <si>
    <t xml:space="preserve">   żywiecki</t>
  </si>
  <si>
    <t>2461</t>
  </si>
  <si>
    <t xml:space="preserve">   Bielsko-Biała</t>
  </si>
  <si>
    <t>2462</t>
  </si>
  <si>
    <t xml:space="preserve">   Bytom</t>
  </si>
  <si>
    <t>2463</t>
  </si>
  <si>
    <t xml:space="preserve">   Chorzów</t>
  </si>
  <si>
    <t>2464</t>
  </si>
  <si>
    <t xml:space="preserve">   Częstochowa</t>
  </si>
  <si>
    <t>2465</t>
  </si>
  <si>
    <t xml:space="preserve">   Dąbrowa Górnicza</t>
  </si>
  <si>
    <t>2466</t>
  </si>
  <si>
    <t xml:space="preserve">   Gliwice</t>
  </si>
  <si>
    <t>2467</t>
  </si>
  <si>
    <t xml:space="preserve">   Jastrzębie-Zdrój</t>
  </si>
  <si>
    <t>2468</t>
  </si>
  <si>
    <t xml:space="preserve">   Jaworzno</t>
  </si>
  <si>
    <t>2469</t>
  </si>
  <si>
    <t xml:space="preserve">   Katowice</t>
  </si>
  <si>
    <t>2470</t>
  </si>
  <si>
    <t xml:space="preserve">   Mysłowice</t>
  </si>
  <si>
    <t>2471</t>
  </si>
  <si>
    <t xml:space="preserve">   Piekary Śląskie</t>
  </si>
  <si>
    <t>2472</t>
  </si>
  <si>
    <t xml:space="preserve">   Ruda Śląska</t>
  </si>
  <si>
    <t>2473</t>
  </si>
  <si>
    <t xml:space="preserve">   Rybnik</t>
  </si>
  <si>
    <t>2474</t>
  </si>
  <si>
    <t xml:space="preserve">   Siemianowice Śląskie</t>
  </si>
  <si>
    <t>2475</t>
  </si>
  <si>
    <t xml:space="preserve">   Sosnowiec</t>
  </si>
  <si>
    <t>2476</t>
  </si>
  <si>
    <t xml:space="preserve">   Świętochłowice</t>
  </si>
  <si>
    <t>2477</t>
  </si>
  <si>
    <t xml:space="preserve">   Tychy</t>
  </si>
  <si>
    <t>2478</t>
  </si>
  <si>
    <t xml:space="preserve">   Zabrze</t>
  </si>
  <si>
    <t>2479</t>
  </si>
  <si>
    <t xml:space="preserve">   Żory</t>
  </si>
  <si>
    <t>2601</t>
  </si>
  <si>
    <t xml:space="preserve">   buski</t>
  </si>
  <si>
    <t>2602</t>
  </si>
  <si>
    <t xml:space="preserve">   jędrzejowski</t>
  </si>
  <si>
    <t>2603</t>
  </si>
  <si>
    <t xml:space="preserve">   kazimierski</t>
  </si>
  <si>
    <t>2604</t>
  </si>
  <si>
    <t xml:space="preserve">   kielecki</t>
  </si>
  <si>
    <t>2605</t>
  </si>
  <si>
    <t xml:space="preserve">   konecki</t>
  </si>
  <si>
    <t>2606</t>
  </si>
  <si>
    <t xml:space="preserve">   opatowski</t>
  </si>
  <si>
    <t>2607</t>
  </si>
  <si>
    <t xml:space="preserve">   ostrowiecki</t>
  </si>
  <si>
    <t>2608</t>
  </si>
  <si>
    <t xml:space="preserve">   pińczowski</t>
  </si>
  <si>
    <t>2609</t>
  </si>
  <si>
    <t xml:space="preserve">   sandomierski</t>
  </si>
  <si>
    <t>2610</t>
  </si>
  <si>
    <t xml:space="preserve">   skarżyski</t>
  </si>
  <si>
    <t>2611</t>
  </si>
  <si>
    <t xml:space="preserve">   starachowicki</t>
  </si>
  <si>
    <t>2612</t>
  </si>
  <si>
    <t xml:space="preserve">   staszowski</t>
  </si>
  <si>
    <t>2613</t>
  </si>
  <si>
    <t xml:space="preserve">   włoszczowski</t>
  </si>
  <si>
    <t>2661</t>
  </si>
  <si>
    <t xml:space="preserve">   Kielce</t>
  </si>
  <si>
    <t>WOJ. WARMIŃSKO-MAZURSKIE</t>
  </si>
  <si>
    <t>2801</t>
  </si>
  <si>
    <t xml:space="preserve">   bartoszycki</t>
  </si>
  <si>
    <t>2802</t>
  </si>
  <si>
    <t xml:space="preserve">   braniewski</t>
  </si>
  <si>
    <t>2803</t>
  </si>
  <si>
    <t xml:space="preserve">   działdowski</t>
  </si>
  <si>
    <t>2804</t>
  </si>
  <si>
    <t xml:space="preserve">   elbląski</t>
  </si>
  <si>
    <t>2805</t>
  </si>
  <si>
    <t xml:space="preserve">   ełcki</t>
  </si>
  <si>
    <t>2806</t>
  </si>
  <si>
    <t xml:space="preserve">   giżycki</t>
  </si>
  <si>
    <t>2818</t>
  </si>
  <si>
    <t xml:space="preserve">   gołdapski</t>
  </si>
  <si>
    <t>2807</t>
  </si>
  <si>
    <t xml:space="preserve">   iławski</t>
  </si>
  <si>
    <t>2808</t>
  </si>
  <si>
    <t xml:space="preserve">   kętrzyński</t>
  </si>
  <si>
    <t>2809</t>
  </si>
  <si>
    <t xml:space="preserve">   lidzbarski</t>
  </si>
  <si>
    <t>2810</t>
  </si>
  <si>
    <t xml:space="preserve">   mrągowski</t>
  </si>
  <si>
    <t>2811</t>
  </si>
  <si>
    <t xml:space="preserve">   nidzicki</t>
  </si>
  <si>
    <t>2812</t>
  </si>
  <si>
    <t xml:space="preserve">   nowomiejski</t>
  </si>
  <si>
    <t>2813</t>
  </si>
  <si>
    <t xml:space="preserve">   olecki</t>
  </si>
  <si>
    <t>2814</t>
  </si>
  <si>
    <t xml:space="preserve">   olsztyński</t>
  </si>
  <si>
    <t>2815</t>
  </si>
  <si>
    <t xml:space="preserve">   ostródzki</t>
  </si>
  <si>
    <t>2816</t>
  </si>
  <si>
    <t xml:space="preserve">   piski</t>
  </si>
  <si>
    <t>2817</t>
  </si>
  <si>
    <t xml:space="preserve">   szczycieński</t>
  </si>
  <si>
    <t>2819</t>
  </si>
  <si>
    <t xml:space="preserve">   węgorzewski</t>
  </si>
  <si>
    <t>2861</t>
  </si>
  <si>
    <t xml:space="preserve">   Elbląg</t>
  </si>
  <si>
    <t>2862</t>
  </si>
  <si>
    <t xml:space="preserve">   Olsztyn</t>
  </si>
  <si>
    <t>3001</t>
  </si>
  <si>
    <t xml:space="preserve">   chodzieski</t>
  </si>
  <si>
    <t>3002</t>
  </si>
  <si>
    <t xml:space="preserve">   czarnkowsko-trzcianecki</t>
  </si>
  <si>
    <t>3003</t>
  </si>
  <si>
    <t xml:space="preserve">   gnieźnieński</t>
  </si>
  <si>
    <t>3004</t>
  </si>
  <si>
    <t xml:space="preserve">   gostyński</t>
  </si>
  <si>
    <t>3005</t>
  </si>
  <si>
    <t>3006</t>
  </si>
  <si>
    <t xml:space="preserve">   jarociński</t>
  </si>
  <si>
    <t>3007</t>
  </si>
  <si>
    <t xml:space="preserve">   kaliski</t>
  </si>
  <si>
    <t>3008</t>
  </si>
  <si>
    <t xml:space="preserve">   kępiński</t>
  </si>
  <si>
    <t>3009</t>
  </si>
  <si>
    <t xml:space="preserve">   kolski</t>
  </si>
  <si>
    <t>3010</t>
  </si>
  <si>
    <t xml:space="preserve">   koniński</t>
  </si>
  <si>
    <t>3011</t>
  </si>
  <si>
    <t xml:space="preserve">   kościański</t>
  </si>
  <si>
    <t>3012</t>
  </si>
  <si>
    <t xml:space="preserve">   krotoszyński</t>
  </si>
  <si>
    <t>3013</t>
  </si>
  <si>
    <t xml:space="preserve">   leszczyński</t>
  </si>
  <si>
    <t>3014</t>
  </si>
  <si>
    <t xml:space="preserve">   międzychodzki</t>
  </si>
  <si>
    <t>3015</t>
  </si>
  <si>
    <t xml:space="preserve">   nowotomyski</t>
  </si>
  <si>
    <t>3016</t>
  </si>
  <si>
    <t xml:space="preserve">   obornicki</t>
  </si>
  <si>
    <t>3017</t>
  </si>
  <si>
    <t>3018</t>
  </si>
  <si>
    <t xml:space="preserve">   ostrzeszowski</t>
  </si>
  <si>
    <t>3019</t>
  </si>
  <si>
    <t xml:space="preserve">   pilski</t>
  </si>
  <si>
    <t>3020</t>
  </si>
  <si>
    <t xml:space="preserve">   pleszewski</t>
  </si>
  <si>
    <t>3021</t>
  </si>
  <si>
    <t xml:space="preserve">   poznański</t>
  </si>
  <si>
    <t>3022</t>
  </si>
  <si>
    <t xml:space="preserve">   rawicki</t>
  </si>
  <si>
    <t>3023</t>
  </si>
  <si>
    <t xml:space="preserve">   słupecki</t>
  </si>
  <si>
    <t>3024</t>
  </si>
  <si>
    <t xml:space="preserve">   szamotulski</t>
  </si>
  <si>
    <t>3025</t>
  </si>
  <si>
    <t>3026</t>
  </si>
  <si>
    <t xml:space="preserve">   śremski</t>
  </si>
  <si>
    <t>3027</t>
  </si>
  <si>
    <t xml:space="preserve">   turecki</t>
  </si>
  <si>
    <t>3028</t>
  </si>
  <si>
    <t xml:space="preserve">   wągrowiecki</t>
  </si>
  <si>
    <t>3029</t>
  </si>
  <si>
    <t xml:space="preserve">   wolsztyński</t>
  </si>
  <si>
    <t>3030</t>
  </si>
  <si>
    <t xml:space="preserve">   wrzesiński</t>
  </si>
  <si>
    <t>3031</t>
  </si>
  <si>
    <t xml:space="preserve">   złotowski</t>
  </si>
  <si>
    <t>3061</t>
  </si>
  <si>
    <t xml:space="preserve">   Kalisz</t>
  </si>
  <si>
    <t>3062</t>
  </si>
  <si>
    <t xml:space="preserve">   Konin</t>
  </si>
  <si>
    <t>3063</t>
  </si>
  <si>
    <t xml:space="preserve">   Leszno</t>
  </si>
  <si>
    <t>3064</t>
  </si>
  <si>
    <t xml:space="preserve">   Poznań</t>
  </si>
  <si>
    <t>WOJ. ZACHODNIOPOMORSKIE</t>
  </si>
  <si>
    <t>3201</t>
  </si>
  <si>
    <t xml:space="preserve">   białogardzki</t>
  </si>
  <si>
    <t>3202</t>
  </si>
  <si>
    <t xml:space="preserve">   choszczeński</t>
  </si>
  <si>
    <t>3203</t>
  </si>
  <si>
    <t xml:space="preserve">   drawski</t>
  </si>
  <si>
    <t>3204</t>
  </si>
  <si>
    <t xml:space="preserve">   goleniowski</t>
  </si>
  <si>
    <t>3205</t>
  </si>
  <si>
    <t xml:space="preserve">   gryficki</t>
  </si>
  <si>
    <t>3206</t>
  </si>
  <si>
    <t xml:space="preserve">   gryfiński</t>
  </si>
  <si>
    <t>3207</t>
  </si>
  <si>
    <t xml:space="preserve">   kamieński</t>
  </si>
  <si>
    <t>3208</t>
  </si>
  <si>
    <t xml:space="preserve">   kołobrzeski</t>
  </si>
  <si>
    <t>3209</t>
  </si>
  <si>
    <t xml:space="preserve">   koszaliński</t>
  </si>
  <si>
    <t>3218</t>
  </si>
  <si>
    <t xml:space="preserve">   łobeski</t>
  </si>
  <si>
    <t>3210</t>
  </si>
  <si>
    <t xml:space="preserve">   myśliborski</t>
  </si>
  <si>
    <t>3211</t>
  </si>
  <si>
    <t xml:space="preserve">   policki</t>
  </si>
  <si>
    <t>3212</t>
  </si>
  <si>
    <t xml:space="preserve">   pyrzycki</t>
  </si>
  <si>
    <t>3213</t>
  </si>
  <si>
    <t xml:space="preserve">   sławieński</t>
  </si>
  <si>
    <t>3214</t>
  </si>
  <si>
    <t xml:space="preserve">   stargardzki</t>
  </si>
  <si>
    <t>3215</t>
  </si>
  <si>
    <t xml:space="preserve">   szczecinecki</t>
  </si>
  <si>
    <t>3216</t>
  </si>
  <si>
    <t xml:space="preserve">   świdwiński</t>
  </si>
  <si>
    <t>3217</t>
  </si>
  <si>
    <t xml:space="preserve">   wałecki</t>
  </si>
  <si>
    <t>3261</t>
  </si>
  <si>
    <t xml:space="preserve">   Koszalin</t>
  </si>
  <si>
    <t>3262</t>
  </si>
  <si>
    <t xml:space="preserve">   Szczecin</t>
  </si>
  <si>
    <t>3263</t>
  </si>
  <si>
    <t xml:space="preserve">   Świnoujście</t>
  </si>
  <si>
    <r>
      <rPr>
        <b/>
        <sz val="8"/>
        <color rgb="FF000000"/>
        <rFont val="Arial"/>
        <family val="2"/>
        <charset val="238"/>
      </rPr>
      <t xml:space="preserve">TABL. 21. POWIERZCHNIA, LUDNOŚĆ ORAZ LOKATY WEDŁUG GMIN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AREA, POPULATION AND RANKING POSITIONS BY GMINAS</t>
    </r>
  </si>
  <si>
    <r>
      <rPr>
        <sz val="8"/>
        <color rgb="FF000000"/>
        <rFont val="Arial"/>
        <family val="2"/>
        <charset val="238"/>
      </rPr>
      <t xml:space="preserve">Identyfikator
</t>
    </r>
    <r>
      <rPr>
        <sz val="8"/>
        <color rgb="FF000000"/>
        <rFont val="Arial"/>
        <family val="2"/>
        <charset val="238"/>
      </rPr>
      <t xml:space="preserve">terytorialny
</t>
    </r>
    <r>
      <rPr>
        <sz val="8"/>
        <color rgb="FF696969"/>
        <rFont val="Arial"/>
        <family val="2"/>
        <charset val="238"/>
      </rPr>
      <t xml:space="preserve">Territorial
</t>
    </r>
    <r>
      <rPr>
        <sz val="8"/>
        <color rgb="FF696969"/>
        <rFont val="Arial"/>
        <family val="2"/>
        <charset val="238"/>
      </rPr>
      <t>identifier</t>
    </r>
  </si>
  <si>
    <r>
      <t xml:space="preserve">Wyszczególnienie  </t>
    </r>
    <r>
      <rPr>
        <sz val="8"/>
        <color rgb="FF696969"/>
        <rFont val="Arial"/>
        <family val="2"/>
        <charset val="238"/>
      </rPr>
      <t xml:space="preserve">Specification
</t>
    </r>
    <r>
      <rPr>
        <sz val="8"/>
        <color rgb="FF000000"/>
        <rFont val="Arial"/>
        <family val="2"/>
        <charset val="238"/>
      </rPr>
      <t>a Port lotniczy.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Airport.
</t>
    </r>
    <r>
      <rPr>
        <sz val="8"/>
        <color rgb="FF000000"/>
        <rFont val="Arial"/>
        <family val="2"/>
        <charset val="238"/>
      </rPr>
      <t>b Port morski.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Seaport.
</t>
    </r>
    <r>
      <rPr>
        <sz val="8"/>
        <color rgb="FF000000"/>
        <rFont val="Arial"/>
        <family val="2"/>
        <charset val="238"/>
      </rPr>
      <t>c Przejście graniczne.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Border crossing.</t>
    </r>
  </si>
  <si>
    <r>
      <rPr>
        <sz val="8"/>
        <color rgb="FF000000"/>
        <rFont val="Arial"/>
        <family val="2"/>
        <charset val="238"/>
      </rPr>
      <t xml:space="preserve">Powierzchnia
</t>
    </r>
    <r>
      <rPr>
        <sz val="8"/>
        <color rgb="FF696969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</si>
  <si>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in ha</t>
    </r>
  </si>
  <si>
    <r>
      <rPr>
        <sz val="8"/>
        <color rgb="FF000000"/>
        <rFont val="Arial"/>
        <family val="2"/>
        <charset val="238"/>
      </rPr>
      <t xml:space="preserve">w km ²
</t>
    </r>
    <r>
      <rPr>
        <sz val="8"/>
        <color rgb="FF696969"/>
        <rFont val="Arial"/>
        <family val="2"/>
        <charset val="238"/>
      </rPr>
      <t>in km ²</t>
    </r>
  </si>
  <si>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</si>
  <si>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na 1 km ²
</t>
    </r>
    <r>
      <rPr>
        <sz val="8"/>
        <color rgb="FF696969"/>
        <rFont val="Arial"/>
        <family val="2"/>
        <charset val="238"/>
      </rPr>
      <t>per 1 km ²</t>
    </r>
  </si>
  <si>
    <r>
      <rPr>
        <sz val="8"/>
        <color rgb="FF000000"/>
        <rFont val="Arial"/>
        <family val="2"/>
        <charset val="238"/>
      </rPr>
      <t xml:space="preserve">powierzchni
</t>
    </r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area in ha</t>
    </r>
  </si>
  <si>
    <r>
      <rPr>
        <sz val="8"/>
        <color rgb="FF000000"/>
        <rFont val="Arial"/>
        <family val="2"/>
        <charset val="238"/>
      </rPr>
      <t xml:space="preserve">liczby
</t>
    </r>
    <r>
      <rPr>
        <sz val="8"/>
        <color rgb="FF000000"/>
        <rFont val="Arial"/>
        <family val="2"/>
        <charset val="238"/>
      </rPr>
      <t xml:space="preserve">ludności
</t>
    </r>
    <r>
      <rPr>
        <sz val="8"/>
        <color rgb="FF696969"/>
        <rFont val="Arial"/>
        <family val="2"/>
        <charset val="238"/>
      </rPr>
      <t>population</t>
    </r>
  </si>
  <si>
    <t>Powiat bolesławiecki  (6 gmin)</t>
  </si>
  <si>
    <r>
      <t xml:space="preserve">gmina miejska   </t>
    </r>
    <r>
      <rPr>
        <sz val="8"/>
        <color rgb="FF808080"/>
        <rFont val="Arial"/>
        <family val="2"/>
        <charset val="238"/>
      </rPr>
      <t>urban gmina</t>
    </r>
  </si>
  <si>
    <t xml:space="preserve">  Bolesławiec..........................................................................................................................................................................................................................................................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</si>
  <si>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  </t>
    </r>
    <r>
      <rPr>
        <sz val="8"/>
        <color rgb="FF808080"/>
        <rFont val="Arial"/>
        <family val="2"/>
        <charset val="238"/>
      </rPr>
      <t>rural gminas</t>
    </r>
  </si>
  <si>
    <t xml:space="preserve">  Gromadka..........................................................................................................................................................................................................................................................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</si>
  <si>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Osiecznica..........................................................................................................................................................................................................................................................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</si>
  <si>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↑</t>
  </si>
  <si>
    <t xml:space="preserve">  Warta Bolesławiecka..........................................................................................................................................................................................................................................................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</si>
  <si>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 </t>
    </r>
    <r>
      <rPr>
        <sz val="8"/>
        <color rgb="FF808080"/>
        <rFont val="Arial"/>
        <family val="2"/>
        <charset val="238"/>
      </rPr>
      <t xml:space="preserve"> urban-rural gmina</t>
    </r>
  </si>
  <si>
    <t xml:space="preserve">  Nowogrodziec..........................................................................................................................................................................................................................................................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</si>
  <si>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020104 4</t>
  </si>
  <si>
    <t xml:space="preserve">     miasto   town..........................................................................................................................................................................................................................................................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</si>
  <si>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020104 5</t>
  </si>
  <si>
    <t xml:space="preserve">     obszar wiejski   rural area..........................................................................................................................................................................................................................................................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</si>
  <si>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dzierżoniowski  (7 gmin)</t>
  </si>
  <si>
    <r>
      <t xml:space="preserve">gminy miejskie   </t>
    </r>
    <r>
      <rPr>
        <sz val="8"/>
        <color rgb="FF808080"/>
        <rFont val="Arial"/>
        <family val="2"/>
        <charset val="238"/>
      </rPr>
      <t>urban gminas</t>
    </r>
  </si>
  <si>
    <t>020201 1</t>
  </si>
  <si>
    <t xml:space="preserve">  Bielawa..........................................................................................................................................................................................................................................................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</si>
  <si>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020202 1</t>
  </si>
  <si>
    <t xml:space="preserve">  Dzierżoniów..........................................................................................................................................................................................................................................................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</si>
  <si>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020204 1</t>
  </si>
  <si>
    <t xml:space="preserve">  Piława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</si>
  <si>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 </t>
    </r>
    <r>
      <rPr>
        <sz val="8"/>
        <color rgb="FF808080"/>
        <rFont val="Arial"/>
        <family val="2"/>
        <charset val="238"/>
      </rPr>
      <t xml:space="preserve"> rural gminas</t>
    </r>
  </si>
  <si>
    <t>020205 2</t>
  </si>
  <si>
    <t>020206 2</t>
  </si>
  <si>
    <t xml:space="preserve">  Łagiewniki..........................................................................................................................................................................................................................................................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</si>
  <si>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miejsko-wiejskie   </t>
    </r>
    <r>
      <rPr>
        <sz val="8"/>
        <color rgb="FF808080"/>
        <rFont val="Arial"/>
        <family val="2"/>
        <charset val="238"/>
      </rPr>
      <t>urban-rural gminas</t>
    </r>
  </si>
  <si>
    <t>020207 3</t>
  </si>
  <si>
    <t xml:space="preserve">  Niemcza..........................................................................................................................................................................................................................................................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</si>
  <si>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020207 4</t>
  </si>
  <si>
    <t>020207 5</t>
  </si>
  <si>
    <t>020203 3</t>
  </si>
  <si>
    <t xml:space="preserve">  Pieszyce..........................................................................................................................................................................................................................................................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</si>
  <si>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020203 4</t>
  </si>
  <si>
    <t>020203 5</t>
  </si>
  <si>
    <t>Powiat głogowski  (6 gmin)</t>
  </si>
  <si>
    <r>
      <t xml:space="preserve">gmina miejska </t>
    </r>
    <r>
      <rPr>
        <sz val="8"/>
        <color rgb="FF808080"/>
        <rFont val="Arial"/>
        <family val="2"/>
        <charset val="238"/>
      </rPr>
      <t xml:space="preserve">  urban gmina</t>
    </r>
  </si>
  <si>
    <t>020301 1</t>
  </si>
  <si>
    <t xml:space="preserve">  Głogów..........................................................................................................................................................................................................................................................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</si>
  <si>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020302 2</t>
  </si>
  <si>
    <t>020303 2</t>
  </si>
  <si>
    <t xml:space="preserve">  Jerzmanowa..........................................................................................................................................................................................................................................................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</si>
  <si>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020304 2</t>
  </si>
  <si>
    <t xml:space="preserve">  Kotla..........................................................................................................................................................................................................................................................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</si>
  <si>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020305 2</t>
  </si>
  <si>
    <t xml:space="preserve">  Pęcław..........................................................................................................................................................................................................................................................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</si>
  <si>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020306 2</t>
  </si>
  <si>
    <t xml:space="preserve">  Żukowice..........................................................................................................................................................................................................................................................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</si>
  <si>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górowski  (4 gminy)</t>
  </si>
  <si>
    <t>020402 2</t>
  </si>
  <si>
    <t xml:space="preserve">  Jemielno..........................................................................................................................................................................................................................................................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</si>
  <si>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020403 2</t>
  </si>
  <si>
    <t xml:space="preserve">  Niechlów..........................................................................................................................................................................................................................................................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</si>
  <si>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020401 3</t>
  </si>
  <si>
    <t xml:space="preserve"> 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</si>
  <si>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020401 4</t>
  </si>
  <si>
    <t>020401 5</t>
  </si>
  <si>
    <t>020404 3</t>
  </si>
  <si>
    <t xml:space="preserve">  Wąsosz..........................................................................................................................................................................................................................................................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</si>
  <si>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020404 4</t>
  </si>
  <si>
    <t>020404 5</t>
  </si>
  <si>
    <t>Powiat jaworski  (6 gmin)</t>
  </si>
  <si>
    <r>
      <t>gmina miejska</t>
    </r>
    <r>
      <rPr>
        <sz val="8"/>
        <color rgb="FF808080"/>
        <rFont val="Arial"/>
        <family val="2"/>
        <charset val="238"/>
      </rPr>
      <t xml:space="preserve">   urban gmina</t>
    </r>
  </si>
  <si>
    <t>020501 1</t>
  </si>
  <si>
    <t xml:space="preserve">  Jawor..........................................................................................................................................................................................................................................................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</si>
  <si>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gminy wiejskie</t>
    </r>
    <r>
      <rPr>
        <sz val="8"/>
        <color rgb="FF808080"/>
        <rFont val="Arial"/>
        <family val="2"/>
        <charset val="238"/>
      </rPr>
      <t xml:space="preserve">   rural gminas</t>
    </r>
  </si>
  <si>
    <t>020503 2</t>
  </si>
  <si>
    <t xml:space="preserve">  Męcinka..........................................................................................................................................................................................................................................................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</si>
  <si>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020504 2</t>
  </si>
  <si>
    <t xml:space="preserve">  Mściwojów..........................................................................................................................................................................................................................................................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</si>
  <si>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020505 2</t>
  </si>
  <si>
    <t xml:space="preserve">  Paszowice..........................................................................................................................................................................................................................................................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</si>
  <si>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020506 2</t>
  </si>
  <si>
    <t xml:space="preserve">  Wądroże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</si>
  <si>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020502 3</t>
  </si>
  <si>
    <t xml:space="preserve">  Bolków..........................................................................................................................................................................................................................................................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</si>
  <si>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020502 4</t>
  </si>
  <si>
    <t>020502 5</t>
  </si>
  <si>
    <t>Powiat jeleniogórski  (9 gmin)</t>
  </si>
  <si>
    <t>020601 1</t>
  </si>
  <si>
    <t xml:space="preserve">  Karpacz..........................................................................................................................................................................................................................................................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</si>
  <si>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020602 1</t>
  </si>
  <si>
    <t xml:space="preserve">  Kowary..........................................................................................................................................................................................................................................................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</si>
  <si>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020603 1</t>
  </si>
  <si>
    <t xml:space="preserve">  Piechowice..........................................................................................................................................................................................................................................................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</si>
  <si>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020604 1</t>
  </si>
  <si>
    <t xml:space="preserve">  Szklarska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</si>
  <si>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020605 2</t>
  </si>
  <si>
    <t xml:space="preserve">  Janowice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</si>
  <si>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020606 2</t>
  </si>
  <si>
    <t xml:space="preserve">  Jeżów Sudecki..........................................................................................................................................................................................................................................................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</si>
  <si>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020607 2</t>
  </si>
  <si>
    <t xml:space="preserve">  Mysłakowice..........................................................................................................................................................................................................................................................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</si>
  <si>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020608 2</t>
  </si>
  <si>
    <t xml:space="preserve">  Podgórzyn..........................................................................................................................................................................................................................................................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</si>
  <si>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020609 2</t>
  </si>
  <si>
    <t xml:space="preserve">  Stara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</si>
  <si>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kamiennogórski  (4 gminy)</t>
  </si>
  <si>
    <r>
      <t xml:space="preserve">gmina miejska  </t>
    </r>
    <r>
      <rPr>
        <sz val="8"/>
        <color rgb="FF808080"/>
        <rFont val="Arial"/>
        <family val="2"/>
        <charset val="238"/>
      </rPr>
      <t xml:space="preserve"> urban gmina</t>
    </r>
  </si>
  <si>
    <t>020701 1</t>
  </si>
  <si>
    <t xml:space="preserve">  Kamienna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</si>
  <si>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</t>
    </r>
    <r>
      <rPr>
        <sz val="8"/>
        <color rgb="FF808080"/>
        <rFont val="Arial"/>
        <family val="2"/>
        <charset val="238"/>
      </rPr>
      <t xml:space="preserve">  rural gminas</t>
    </r>
  </si>
  <si>
    <t>020702 2</t>
  </si>
  <si>
    <t>020704 2</t>
  </si>
  <si>
    <t xml:space="preserve">  Marciszów..........................................................................................................................................................................................................................................................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</si>
  <si>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  </t>
    </r>
    <r>
      <rPr>
        <sz val="8"/>
        <color rgb="FF808080"/>
        <rFont val="Arial"/>
        <family val="2"/>
        <charset val="238"/>
      </rPr>
      <t>urban-rural gmina</t>
    </r>
  </si>
  <si>
    <t>020703 3</t>
  </si>
  <si>
    <t xml:space="preserve">  Lubawka..........................................................................................................................................................................................................................................................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</si>
  <si>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020703 4</t>
  </si>
  <si>
    <t>020703 5</t>
  </si>
  <si>
    <t>Powiat kłodzki  (14 gmin)</t>
  </si>
  <si>
    <r>
      <t xml:space="preserve">gminy miejskie  </t>
    </r>
    <r>
      <rPr>
        <sz val="8"/>
        <color rgb="FF808080"/>
        <rFont val="Arial"/>
        <family val="2"/>
        <charset val="238"/>
      </rPr>
      <t xml:space="preserve"> urban gminas</t>
    </r>
  </si>
  <si>
    <t>020801 1</t>
  </si>
  <si>
    <t xml:space="preserve">  Duszniki-Zdrój..........................................................................................................................................................................................................................................................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</si>
  <si>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020802 1</t>
  </si>
  <si>
    <t xml:space="preserve">  Kłodzko..........................................................................................................................................................................................................................................................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</si>
  <si>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020803 1</t>
  </si>
  <si>
    <t xml:space="preserve">  Kudowa-Zdrój..........................................................................................................................................................................................................................................................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</si>
  <si>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020804 1</t>
  </si>
  <si>
    <t xml:space="preserve">  Nowa Ruda..........................................................................................................................................................................................................................................................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</si>
  <si>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020805 1</t>
  </si>
  <si>
    <t xml:space="preserve">  Polanica-Zdrój..........................................................................................................................................................................................................................................................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</si>
  <si>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020807 2</t>
  </si>
  <si>
    <t>020809 2</t>
  </si>
  <si>
    <t xml:space="preserve">  Lewin Kłodzki..........................................................................................................................................................................................................................................................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</si>
  <si>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020811 2</t>
  </si>
  <si>
    <r>
      <t xml:space="preserve">gminy miejsko-wiejskie </t>
    </r>
    <r>
      <rPr>
        <sz val="8"/>
        <color rgb="FF808080"/>
        <rFont val="Arial"/>
        <family val="2"/>
        <charset val="238"/>
      </rPr>
      <t xml:space="preserve">  urban-rural gminas</t>
    </r>
  </si>
  <si>
    <t>020806 3</t>
  </si>
  <si>
    <t xml:space="preserve">  Bystrzyca Kłodzka..........................................................................................................................................................................................................................................................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</si>
  <si>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020806 4</t>
  </si>
  <si>
    <t>020806 5</t>
  </si>
  <si>
    <t>020808 3</t>
  </si>
  <si>
    <t xml:space="preserve">  Lądek-Zdrój..........................................................................................................................................................................................................................................................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</si>
  <si>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020808 4</t>
  </si>
  <si>
    <t>020808 5</t>
  </si>
  <si>
    <t>020810 3</t>
  </si>
  <si>
    <t xml:space="preserve">  Międzylesie..........................................................................................................................................................................................................................................................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</si>
  <si>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020810 4</t>
  </si>
  <si>
    <t>020810 5</t>
  </si>
  <si>
    <t>020812 3</t>
  </si>
  <si>
    <t xml:space="preserve">  Radków..........................................................................................................................................................................................................................................................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</si>
  <si>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020812 4</t>
  </si>
  <si>
    <t>020812 5</t>
  </si>
  <si>
    <t>020813 3</t>
  </si>
  <si>
    <t xml:space="preserve">  Stronie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</si>
  <si>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020813 4</t>
  </si>
  <si>
    <t>020813 5</t>
  </si>
  <si>
    <t>020814 3</t>
  </si>
  <si>
    <t xml:space="preserve">  Szczytna..........................................................................................................................................................................................................................................................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</si>
  <si>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020814 4</t>
  </si>
  <si>
    <t>020814 5</t>
  </si>
  <si>
    <t>Powiat legnicki  (8 gmin)</t>
  </si>
  <si>
    <t>020901 1</t>
  </si>
  <si>
    <t xml:space="preserve">  Chojnów..........................................................................................................................................................................................................................................................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</si>
  <si>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↓</t>
  </si>
  <si>
    <t>020902 2</t>
  </si>
  <si>
    <t>020903 2</t>
  </si>
  <si>
    <t xml:space="preserve">  Krotoszyce..........................................................................................................................................................................................................................................................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</si>
  <si>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020904 2</t>
  </si>
  <si>
    <t xml:space="preserve">  Kunice..........................................................................................................................................................................................................................................................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</si>
  <si>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020905 2</t>
  </si>
  <si>
    <t xml:space="preserve">  Legnickie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</si>
  <si>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020906 2</t>
  </si>
  <si>
    <t xml:space="preserve">  Miłkowice..........................................................................................................................................................................................................................................................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</si>
  <si>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020908 2</t>
  </si>
  <si>
    <t xml:space="preserve">  Ruja..........................................................................................................................................................................................................................................................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</si>
  <si>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020907 3</t>
  </si>
  <si>
    <t xml:space="preserve">  Prochowice..........................................................................................................................................................................................................................................................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</si>
  <si>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020907 4</t>
  </si>
  <si>
    <t>020907 5</t>
  </si>
  <si>
    <t>Powiat lubański  (7 gmin)</t>
  </si>
  <si>
    <t>021001 1</t>
  </si>
  <si>
    <t xml:space="preserve">  Lubań..........................................................................................................................................................................................................................................................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</si>
  <si>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021002 1</t>
  </si>
  <si>
    <t xml:space="preserve">  Świeradów-Zdrój..........................................................................................................................................................................................................................................................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</si>
  <si>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021004 2</t>
  </si>
  <si>
    <t>021006 2</t>
  </si>
  <si>
    <t xml:space="preserve">  Platerówka..........................................................................................................................................................................................................................................................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</si>
  <si>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021007 2</t>
  </si>
  <si>
    <t xml:space="preserve">  Siekierczyn..........................................................................................................................................................................................................................................................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</si>
  <si>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miejsko-wiejskie  </t>
    </r>
    <r>
      <rPr>
        <sz val="8"/>
        <color rgb="FF808080"/>
        <rFont val="Arial"/>
        <family val="2"/>
        <charset val="238"/>
      </rPr>
      <t xml:space="preserve"> urban-rural gminas</t>
    </r>
  </si>
  <si>
    <t>021003 3</t>
  </si>
  <si>
    <t xml:space="preserve"> 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</si>
  <si>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021003 4</t>
  </si>
  <si>
    <t>021003 5</t>
  </si>
  <si>
    <t>021005 3</t>
  </si>
  <si>
    <t xml:space="preserve">  Olszyna..........................................................................................................................................................................................................................................................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</si>
  <si>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021005 4</t>
  </si>
  <si>
    <t>021005 5</t>
  </si>
  <si>
    <t>Powiat lubiński  (4 gminy)</t>
  </si>
  <si>
    <t>021101 1</t>
  </si>
  <si>
    <t xml:space="preserve">  Lubin..........................................................................................................................................................................................................................................................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</si>
  <si>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021102 2</t>
  </si>
  <si>
    <t>021103 2</t>
  </si>
  <si>
    <t xml:space="preserve">  Rudna..........................................................................................................................................................................................................................................................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</si>
  <si>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021104 3</t>
  </si>
  <si>
    <t xml:space="preserve">  Ścinawa..........................................................................................................................................................................................................................................................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</si>
  <si>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021104 4</t>
  </si>
  <si>
    <t>021104 5</t>
  </si>
  <si>
    <t>Powiat lwówecki  (5 gmin)</t>
  </si>
  <si>
    <t>021201 3</t>
  </si>
  <si>
    <t xml:space="preserve">  Gryfów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</si>
  <si>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021201 4</t>
  </si>
  <si>
    <t>021201 5</t>
  </si>
  <si>
    <t>021202 3</t>
  </si>
  <si>
    <t xml:space="preserve">  Lubomierz..........................................................................................................................................................................................................................................................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</si>
  <si>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021202 4</t>
  </si>
  <si>
    <t>021202 5</t>
  </si>
  <si>
    <t>021203 3</t>
  </si>
  <si>
    <t xml:space="preserve">  Lwówek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</si>
  <si>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021203 4</t>
  </si>
  <si>
    <t>021203 5</t>
  </si>
  <si>
    <t>021204 3</t>
  </si>
  <si>
    <t xml:space="preserve">  Mirsk..........................................................................................................................................................................................................................................................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</si>
  <si>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021204 4</t>
  </si>
  <si>
    <t>021204 5</t>
  </si>
  <si>
    <t>021205 3</t>
  </si>
  <si>
    <t xml:space="preserve">  Wleń..........................................................................................................................................................................................................................................................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</si>
  <si>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021205 4</t>
  </si>
  <si>
    <t>021205 5</t>
  </si>
  <si>
    <t>Powiat milicki  (3 gminy)</t>
  </si>
  <si>
    <t>021301 2</t>
  </si>
  <si>
    <t xml:space="preserve">  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</si>
  <si>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021302 2</t>
  </si>
  <si>
    <t xml:space="preserve">  Krośnice..........................................................................................................................................................................................................................................................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</si>
  <si>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021303 3</t>
  </si>
  <si>
    <t xml:space="preserve">  Milicz..........................................................................................................................................................................................................................................................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</si>
  <si>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021303 4</t>
  </si>
  <si>
    <t>021303 5</t>
  </si>
  <si>
    <t>Powiat oleśnicki  (8 gmin)</t>
  </si>
  <si>
    <t>021401 1</t>
  </si>
  <si>
    <t xml:space="preserve">  Oleśnica..........................................................................................................................................................................................................................................................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</si>
  <si>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021403 2</t>
  </si>
  <si>
    <t xml:space="preserve">  Dobroszyce..........................................................................................................................................................................................................................................................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</si>
  <si>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021404 2</t>
  </si>
  <si>
    <t xml:space="preserve">  Dziadowa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</si>
  <si>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021406 2</t>
  </si>
  <si>
    <t>021402 3</t>
  </si>
  <si>
    <t xml:space="preserve">  Bierutów..........................................................................................................................................................................................................................................................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</si>
  <si>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021402 4</t>
  </si>
  <si>
    <t>021402 5</t>
  </si>
  <si>
    <t>021405 3</t>
  </si>
  <si>
    <t xml:space="preserve">  Międzybórz..........................................................................................................................................................................................................................................................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</si>
  <si>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021405 4</t>
  </si>
  <si>
    <t>021405 5</t>
  </si>
  <si>
    <t>021407 3</t>
  </si>
  <si>
    <t xml:space="preserve">  Syców..........................................................................................................................................................................................................................................................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</si>
  <si>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021407 4</t>
  </si>
  <si>
    <t>021407 5</t>
  </si>
  <si>
    <t>021408 3</t>
  </si>
  <si>
    <t xml:space="preserve">  Twardogóra..........................................................................................................................................................................................................................................................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</si>
  <si>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021408 4</t>
  </si>
  <si>
    <t>021408 5</t>
  </si>
  <si>
    <t>Powiat oławski  (4 gminy)</t>
  </si>
  <si>
    <t>021501 1</t>
  </si>
  <si>
    <t xml:space="preserve">  Oława..........................................................................................................................................................................................................................................................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</si>
  <si>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021502 2</t>
  </si>
  <si>
    <t xml:space="preserve">  Domaniów..........................................................................................................................................................................................................................................................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</si>
  <si>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021504 2</t>
  </si>
  <si>
    <t>021503 3</t>
  </si>
  <si>
    <t xml:space="preserve">  Jelcz-Laskowice..........................................................................................................................................................................................................................................................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</si>
  <si>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021503 4</t>
  </si>
  <si>
    <t>021503 5</t>
  </si>
  <si>
    <t>Powiat polkowicki  (6 gmin)</t>
  </si>
  <si>
    <t>021602 2</t>
  </si>
  <si>
    <t xml:space="preserve">  Gaworzyce..........................................................................................................................................................................................................................................................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</si>
  <si>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021603 2</t>
  </si>
  <si>
    <t xml:space="preserve">  Grębocice..........................................................................................................................................................................................................................................................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</si>
  <si>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021606 2</t>
  </si>
  <si>
    <t xml:space="preserve">  Radwanice..........................................................................................................................................................................................................................................................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</si>
  <si>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021601 3</t>
  </si>
  <si>
    <t xml:space="preserve">  Chocianów..........................................................................................................................................................................................................................................................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</si>
  <si>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021601 4</t>
  </si>
  <si>
    <t>021601 5</t>
  </si>
  <si>
    <t>021604 3</t>
  </si>
  <si>
    <t xml:space="preserve">  Polkowice..........................................................................................................................................................................................................................................................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</si>
  <si>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021604 4</t>
  </si>
  <si>
    <t>021604 5</t>
  </si>
  <si>
    <t>021605 3</t>
  </si>
  <si>
    <t xml:space="preserve">  Przemków..........................................................................................................................................................................................................................................................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</si>
  <si>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021605 4</t>
  </si>
  <si>
    <t>021605 5</t>
  </si>
  <si>
    <t>Powiat strzeliński  (5 gmin)</t>
  </si>
  <si>
    <t>021701 2</t>
  </si>
  <si>
    <t xml:space="preserve">  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</si>
  <si>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021702 2</t>
  </si>
  <si>
    <t xml:space="preserve">  Kondratowice..........................................................................................................................................................................................................................................................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</si>
  <si>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021703 2</t>
  </si>
  <si>
    <t xml:space="preserve">  Przeworno..........................................................................................................................................................................................................................................................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</si>
  <si>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021704 3</t>
  </si>
  <si>
    <t xml:space="preserve">  Strzelin..........................................................................................................................................................................................................................................................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</si>
  <si>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021704 4</t>
  </si>
  <si>
    <t>021704 5</t>
  </si>
  <si>
    <t>021705 3</t>
  </si>
  <si>
    <t xml:space="preserve">  Wiązów..........................................................................................................................................................................................................................................................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</si>
  <si>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021705 4</t>
  </si>
  <si>
    <t>021705 5</t>
  </si>
  <si>
    <t>Powiat średzki  (5 gmin)</t>
  </si>
  <si>
    <t>021801 2</t>
  </si>
  <si>
    <t xml:space="preserve">  Kostomłoty..........................................................................................................................................................................................................................................................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</si>
  <si>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021802 2</t>
  </si>
  <si>
    <t xml:space="preserve">  Malczyce..........................................................................................................................................................................................................................................................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</si>
  <si>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021803 2</t>
  </si>
  <si>
    <t xml:space="preserve">  Miękinia..........................................................................................................................................................................................................................................................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</si>
  <si>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021805 2</t>
  </si>
  <si>
    <t xml:space="preserve">  Udanin..........................................................................................................................................................................................................................................................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</si>
  <si>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021804 3</t>
  </si>
  <si>
    <t xml:space="preserve">  Środa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</si>
  <si>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021804 4</t>
  </si>
  <si>
    <t>021804 5</t>
  </si>
  <si>
    <t>Powiat świdnicki  (8 gmin)</t>
  </si>
  <si>
    <t>021901 1</t>
  </si>
  <si>
    <t xml:space="preserve">  Świdnica..........................................................................................................................................................................................................................................................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</si>
  <si>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021902 1</t>
  </si>
  <si>
    <t xml:space="preserve">  Świebodzice..........................................................................................................................................................................................................................................................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</si>
  <si>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021903 2</t>
  </si>
  <si>
    <t xml:space="preserve">  Dobromierz..........................................................................................................................................................................................................................................................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</si>
  <si>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021905 2</t>
  </si>
  <si>
    <t xml:space="preserve">  Marcinowice..........................................................................................................................................................................................................................................................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</si>
  <si>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021907 2</t>
  </si>
  <si>
    <t>021904 3</t>
  </si>
  <si>
    <t xml:space="preserve">  Jaworzyna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</si>
  <si>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021904 4</t>
  </si>
  <si>
    <t>021904 5</t>
  </si>
  <si>
    <t>021906 3</t>
  </si>
  <si>
    <t xml:space="preserve">  Strzegom..........................................................................................................................................................................................................................................................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</si>
  <si>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021906 4</t>
  </si>
  <si>
    <t>021906 5</t>
  </si>
  <si>
    <t>021908 3</t>
  </si>
  <si>
    <t xml:space="preserve">  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</si>
  <si>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021908 4</t>
  </si>
  <si>
    <t>021908 5</t>
  </si>
  <si>
    <t>Powiat trzebnicki  (6 gmin)</t>
  </si>
  <si>
    <t>022004 2</t>
  </si>
  <si>
    <t xml:space="preserve">  Wisznia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</si>
  <si>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022005 2</t>
  </si>
  <si>
    <t xml:space="preserve">  Zawonia..........................................................................................................................................................................................................................................................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</si>
  <si>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022001 3</t>
  </si>
  <si>
    <t xml:space="preserve">  Oborniki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</si>
  <si>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022001 4</t>
  </si>
  <si>
    <t>022001 5</t>
  </si>
  <si>
    <t>022002 3</t>
  </si>
  <si>
    <t xml:space="preserve">  Prusice..........................................................................................................................................................................................................................................................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</si>
  <si>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022002 4</t>
  </si>
  <si>
    <t>022002 5</t>
  </si>
  <si>
    <t>022003 3</t>
  </si>
  <si>
    <t xml:space="preserve">  Trzebnica..........................................................................................................................................................................................................................................................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</si>
  <si>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022003 4</t>
  </si>
  <si>
    <t>022003 5</t>
  </si>
  <si>
    <t>022006 3</t>
  </si>
  <si>
    <t xml:space="preserve"> 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</si>
  <si>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022006 4</t>
  </si>
  <si>
    <t>022006 5</t>
  </si>
  <si>
    <t>Powiat wałbrzyski  (8 gmin)</t>
  </si>
  <si>
    <t>022101 1</t>
  </si>
  <si>
    <t xml:space="preserve">  Boguszów-Gorce..........................................................................................................................................................................................................................................................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</si>
  <si>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022102 1</t>
  </si>
  <si>
    <t xml:space="preserve">  Jedlina-Zdrój..........................................................................................................................................................................................................................................................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</si>
  <si>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022103 1</t>
  </si>
  <si>
    <t xml:space="preserve">  Szczawno-Zdrój..........................................................................................................................................................................................................................................................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</si>
  <si>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022104 2</t>
  </si>
  <si>
    <t xml:space="preserve">  Czarny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</si>
  <si>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022107 2</t>
  </si>
  <si>
    <t xml:space="preserve">  Stare Bogaczowice..........................................................................................................................................................................................................................................................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</si>
  <si>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022108 2</t>
  </si>
  <si>
    <t xml:space="preserve">  Walim..........................................................................................................................................................................................................................................................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</si>
  <si>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022105 3</t>
  </si>
  <si>
    <t xml:space="preserve">  Głuszyca..........................................................................................................................................................................................................................................................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</si>
  <si>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022105 4</t>
  </si>
  <si>
    <t>022105 5</t>
  </si>
  <si>
    <t>022106 3</t>
  </si>
  <si>
    <t xml:space="preserve">  Mieroszów..........................................................................................................................................................................................................................................................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</si>
  <si>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022106 4</t>
  </si>
  <si>
    <t>022106 5</t>
  </si>
  <si>
    <t>Powiat wołowski  (3 gminy)</t>
  </si>
  <si>
    <r>
      <t xml:space="preserve">gmina wiejska  </t>
    </r>
    <r>
      <rPr>
        <sz val="8"/>
        <color rgb="FF808080"/>
        <rFont val="Arial"/>
        <family val="2"/>
        <charset val="238"/>
      </rPr>
      <t xml:space="preserve"> rural gmina</t>
    </r>
  </si>
  <si>
    <t>022202 2</t>
  </si>
  <si>
    <t xml:space="preserve">  Wińsko..........................................................................................................................................................................................................................................................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</si>
  <si>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022201 3</t>
  </si>
  <si>
    <t xml:space="preserve">  Brzeg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</si>
  <si>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022201 4</t>
  </si>
  <si>
    <t>022201 5</t>
  </si>
  <si>
    <t>022203 3</t>
  </si>
  <si>
    <t xml:space="preserve">  Wołów..........................................................................................................................................................................................................................................................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</si>
  <si>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022203 4</t>
  </si>
  <si>
    <t>022203 5</t>
  </si>
  <si>
    <t>Powiat wrocławski  (9 gmin)</t>
  </si>
  <si>
    <t>022301 2</t>
  </si>
  <si>
    <t xml:space="preserve">  Czernica..........................................................................................................................................................................................................................................................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</si>
  <si>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022302 2</t>
  </si>
  <si>
    <t xml:space="preserve">  Długołęka..........................................................................................................................................................................................................................................................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</si>
  <si>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022303 2</t>
  </si>
  <si>
    <t xml:space="preserve">  Jordanów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</si>
  <si>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022305 2</t>
  </si>
  <si>
    <t xml:space="preserve">  Kobierzyce..........................................................................................................................................................................................................................................................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</si>
  <si>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022306 2</t>
  </si>
  <si>
    <t xml:space="preserve">  Mietków..........................................................................................................................................................................................................................................................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</si>
  <si>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022309 2</t>
  </si>
  <si>
    <t xml:space="preserve">  Żórawina..........................................................................................................................................................................................................................................................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</si>
  <si>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022304 3</t>
  </si>
  <si>
    <t xml:space="preserve">  Kąty Wrocławskie..........................................................................................................................................................................................................................................................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</si>
  <si>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022304 4</t>
  </si>
  <si>
    <t>022304 5</t>
  </si>
  <si>
    <t>022308 3</t>
  </si>
  <si>
    <t xml:space="preserve">  Siechnice..........................................................................................................................................................................................................................................................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</si>
  <si>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022308 4</t>
  </si>
  <si>
    <t>022308 5</t>
  </si>
  <si>
    <t>022307 3</t>
  </si>
  <si>
    <t xml:space="preserve">  Sobótka..........................................................................................................................................................................................................................................................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</si>
  <si>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022307 4</t>
  </si>
  <si>
    <t>022307 5</t>
  </si>
  <si>
    <t>Powiat ząbkowicki  (7 gmin)</t>
  </si>
  <si>
    <t>022402 2</t>
  </si>
  <si>
    <t xml:space="preserve">  Ciepłowody..........................................................................................................................................................................................................................................................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</si>
  <si>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022403 2</t>
  </si>
  <si>
    <t xml:space="preserve">  Kamieniec Ząbkowicki..........................................................................................................................................................................................................................................................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</si>
  <si>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022404 2</t>
  </si>
  <si>
    <t xml:space="preserve">  Stoszowice..........................................................................................................................................................................................................................................................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</si>
  <si>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022401 3</t>
  </si>
  <si>
    <t xml:space="preserve">  Bardo..........................................................................................................................................................................................................................................................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</si>
  <si>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022401 4</t>
  </si>
  <si>
    <t>022401 5</t>
  </si>
  <si>
    <t>022405 3</t>
  </si>
  <si>
    <t xml:space="preserve">  Ząbkowice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</si>
  <si>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022405 4</t>
  </si>
  <si>
    <t>022405 5</t>
  </si>
  <si>
    <t>022406 3</t>
  </si>
  <si>
    <t xml:space="preserve">  Ziębice..........................................................................................................................................................................................................................................................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</si>
  <si>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022406 4</t>
  </si>
  <si>
    <t>022406 5</t>
  </si>
  <si>
    <t>022407 3</t>
  </si>
  <si>
    <t xml:space="preserve">  Złoty 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</si>
  <si>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022407 4</t>
  </si>
  <si>
    <t>022407 5</t>
  </si>
  <si>
    <t>Powiat zgorzelecki  (7 gmin)</t>
  </si>
  <si>
    <t>022501 1</t>
  </si>
  <si>
    <t xml:space="preserve">  Zawidów..........................................................................................................................................................................................................................................................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</si>
  <si>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022502 1</t>
  </si>
  <si>
    <t xml:space="preserve">  Zgorzelec..........................................................................................................................................................................................................................................................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</si>
  <si>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022505 2</t>
  </si>
  <si>
    <t xml:space="preserve">  Sulików..........................................................................................................................................................................................................................................................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</si>
  <si>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022507 2</t>
  </si>
  <si>
    <t>022503 3</t>
  </si>
  <si>
    <t xml:space="preserve">  Bogatynia..........................................................................................................................................................................................................................................................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</si>
  <si>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022503 4</t>
  </si>
  <si>
    <t>022503 5</t>
  </si>
  <si>
    <t>022504 3</t>
  </si>
  <si>
    <t xml:space="preserve">  Pieńsk..........................................................................................................................................................................................................................................................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</si>
  <si>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022504 4</t>
  </si>
  <si>
    <t>022504 5</t>
  </si>
  <si>
    <t>022506 3</t>
  </si>
  <si>
    <t xml:space="preserve">  Węgliniec..........................................................................................................................................................................................................................................................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</si>
  <si>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022506 4</t>
  </si>
  <si>
    <t>022506 5</t>
  </si>
  <si>
    <t>Powiat złotoryjski  (6 gmin)</t>
  </si>
  <si>
    <t>022601 1</t>
  </si>
  <si>
    <t xml:space="preserve">  Wojcieszów..........................................................................................................................................................................................................................................................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</si>
  <si>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022602 1</t>
  </si>
  <si>
    <t xml:space="preserve">  Złotoryja..........................................................................................................................................................................................................................................................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</si>
  <si>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022603 2</t>
  </si>
  <si>
    <t xml:space="preserve">  Pielgrzymka..........................................................................................................................................................................................................................................................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</si>
  <si>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022605 2</t>
  </si>
  <si>
    <t xml:space="preserve">  Zagrodno..........................................................................................................................................................................................................................................................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</si>
  <si>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022606 2</t>
  </si>
  <si>
    <t>022604 3</t>
  </si>
  <si>
    <t xml:space="preserve">  Świerzawa..........................................................................................................................................................................................................................................................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</si>
  <si>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022604 4</t>
  </si>
  <si>
    <t>022604 5</t>
  </si>
  <si>
    <r>
      <t xml:space="preserve">Miasta na prawach powiatu (4)   </t>
    </r>
    <r>
      <rPr>
        <b/>
        <sz val="8"/>
        <color rgb="FF808080"/>
        <rFont val="Arial"/>
        <family val="2"/>
        <charset val="238"/>
      </rPr>
      <t>Cities with powiat status (4)</t>
    </r>
  </si>
  <si>
    <t>026101 1</t>
  </si>
  <si>
    <t xml:space="preserve">  Jelenia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</si>
  <si>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026201 1</t>
  </si>
  <si>
    <t xml:space="preserve">  Legnica..........................................................................................................................................................................................................................................................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</si>
  <si>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026501 1</t>
  </si>
  <si>
    <t xml:space="preserve">  Wałbrzych..........................................................................................................................................................................................................................................................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</si>
  <si>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026401 1</t>
  </si>
  <si>
    <t xml:space="preserve">  Wrocław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</si>
  <si>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aleksandrowski  (9 gmin)</t>
  </si>
  <si>
    <t>040101 1</t>
  </si>
  <si>
    <t xml:space="preserve">  Aleksandrów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</si>
  <si>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040102 1</t>
  </si>
  <si>
    <t xml:space="preserve">  Ciechocinek..........................................................................................................................................................................................................................................................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</si>
  <si>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040103 1</t>
  </si>
  <si>
    <t xml:space="preserve">  Nieszawa..........................................................................................................................................................................................................................................................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</si>
  <si>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040104 2</t>
  </si>
  <si>
    <t>040105 2</t>
  </si>
  <si>
    <t xml:space="preserve">  Bądkowo..........................................................................................................................................................................................................................................................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</si>
  <si>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040106 2</t>
  </si>
  <si>
    <t xml:space="preserve">  Koneck..........................................................................................................................................................................................................................................................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</si>
  <si>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040107 2</t>
  </si>
  <si>
    <t xml:space="preserve">  Raciążek..........................................................................................................................................................................................................................................................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</si>
  <si>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040108 2</t>
  </si>
  <si>
    <t xml:space="preserve">  Waganiec..........................................................................................................................................................................................................................................................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</si>
  <si>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040109 2</t>
  </si>
  <si>
    <t xml:space="preserve">  Zakrzewo..........................................................................................................................................................................................................................................................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</si>
  <si>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brodnicki  (10 gmin)</t>
  </si>
  <si>
    <t>040201 1</t>
  </si>
  <si>
    <t xml:space="preserve">  Brodnica..........................................................................................................................................................................................................................................................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</si>
  <si>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040206 2</t>
  </si>
  <si>
    <t xml:space="preserve">  Bartniczka..........................................................................................................................................................................................................................................................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</si>
  <si>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040202 2</t>
  </si>
  <si>
    <t xml:space="preserve">  Bobrowo..........................................................................................................................................................................................................................................................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</si>
  <si>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040203 2</t>
  </si>
  <si>
    <t>040204 2</t>
  </si>
  <si>
    <t xml:space="preserve">  Brzozie..........................................................................................................................................................................................................................................................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</si>
  <si>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040208 2</t>
  </si>
  <si>
    <t xml:space="preserve">  Osiek..........................................................................................................................................................................................................................................................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</si>
  <si>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040209 2</t>
  </si>
  <si>
    <t xml:space="preserve">  Świedziebnia..........................................................................................................................................................................................................................................................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</si>
  <si>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040210 2</t>
  </si>
  <si>
    <t xml:space="preserve">  Zbiczno..........................................................................................................................................................................................................................................................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</si>
  <si>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040205 3</t>
  </si>
  <si>
    <t xml:space="preserve">  Górzno..........................................................................................................................................................................................................................................................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</si>
  <si>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040205 4</t>
  </si>
  <si>
    <t>040205 5</t>
  </si>
  <si>
    <t>040207 3</t>
  </si>
  <si>
    <t xml:space="preserve">  Jabłonowo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</si>
  <si>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040207 4</t>
  </si>
  <si>
    <t>040207 5</t>
  </si>
  <si>
    <t>Powiat bydgoski  (8 gmin)</t>
  </si>
  <si>
    <t>040301 2</t>
  </si>
  <si>
    <t xml:space="preserve">  Białe Błota..........................................................................................................................................................................................................................................................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</si>
  <si>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040302 2</t>
  </si>
  <si>
    <t xml:space="preserve">  Dąbrowa Chełmińska..........................................................................................................................................................................................................................................................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</si>
  <si>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040303 2</t>
  </si>
  <si>
    <t xml:space="preserve">  Dobrcz..........................................................................................................................................................................................................................................................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</si>
  <si>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040305 2</t>
  </si>
  <si>
    <t xml:space="preserve">  Nowa 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</si>
  <si>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040306 2</t>
  </si>
  <si>
    <t xml:space="preserve">  Osielsko..........................................................................................................................................................................................................................................................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</si>
  <si>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040307 2</t>
  </si>
  <si>
    <t xml:space="preserve">  Sicienko..........................................................................................................................................................................................................................................................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</si>
  <si>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040304 3</t>
  </si>
  <si>
    <t xml:space="preserve">  Koronowo..........................................................................................................................................................................................................................................................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</si>
  <si>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040304 4</t>
  </si>
  <si>
    <t>040304 5</t>
  </si>
  <si>
    <t>040308 3</t>
  </si>
  <si>
    <t xml:space="preserve">  Solec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</si>
  <si>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040308 4</t>
  </si>
  <si>
    <t>040308 5</t>
  </si>
  <si>
    <t>Powiat chełmiński  (7 gmin)</t>
  </si>
  <si>
    <t>040401 1</t>
  </si>
  <si>
    <t xml:space="preserve">  Chełmno..........................................................................................................................................................................................................................................................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</si>
  <si>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040402 2</t>
  </si>
  <si>
    <t>040403 2</t>
  </si>
  <si>
    <t xml:space="preserve">  Kijewo Królewskie..........................................................................................................................................................................................................................................................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</si>
  <si>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040404 2</t>
  </si>
  <si>
    <t xml:space="preserve">  Lisewo..........................................................................................................................................................................................................................................................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</si>
  <si>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040405 2</t>
  </si>
  <si>
    <t xml:space="preserve">  Papowo Biskupie..........................................................................................................................................................................................................................................................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</si>
  <si>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040406 2</t>
  </si>
  <si>
    <t xml:space="preserve">  Stolno..........................................................................................................................................................................................................................................................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</si>
  <si>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040407 2</t>
  </si>
  <si>
    <t xml:space="preserve">  Unisław..........................................................................................................................................................................................................................................................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</si>
  <si>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golubsko-dobrzyński  (6 gmin)</t>
  </si>
  <si>
    <t>040501 1</t>
  </si>
  <si>
    <t xml:space="preserve">  Golub-Dobrzyń..........................................................................................................................................................................................................................................................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</si>
  <si>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040502 2</t>
  </si>
  <si>
    <t xml:space="preserve">  Ciechocin..........................................................................................................................................................................................................................................................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</si>
  <si>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040503 2</t>
  </si>
  <si>
    <t>040505 2</t>
  </si>
  <si>
    <t xml:space="preserve">  Radomin..........................................................................................................................................................................................................................................................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</si>
  <si>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040506 2</t>
  </si>
  <si>
    <t xml:space="preserve">  Zbójno..........................................................................................................................................................................................................................................................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</si>
  <si>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040504 3</t>
  </si>
  <si>
    <t xml:space="preserve">  Kowalewo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</si>
  <si>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040504 4</t>
  </si>
  <si>
    <t>040504 5</t>
  </si>
  <si>
    <t>Powiat grudziądzki  (6 gmin)</t>
  </si>
  <si>
    <t>040601 2</t>
  </si>
  <si>
    <t xml:space="preserve">  Grudziądz..........................................................................................................................................................................................................................................................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</si>
  <si>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040602 2</t>
  </si>
  <si>
    <t xml:space="preserve">  Gruta..........................................................................................................................................................................................................................................................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</si>
  <si>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040605 2</t>
  </si>
  <si>
    <t xml:space="preserve">  Rogóźno..........................................................................................................................................................................................................................................................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</si>
  <si>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040606 2</t>
  </si>
  <si>
    <t xml:space="preserve">  Świecie nad Osą..........................................................................................................................................................................................................................................................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</si>
  <si>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040603 3</t>
  </si>
  <si>
    <t xml:space="preserve">  Łasin..........................................................................................................................................................................................................................................................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</si>
  <si>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040603 4</t>
  </si>
  <si>
    <t>040603 5</t>
  </si>
  <si>
    <t>040604 3</t>
  </si>
  <si>
    <t xml:space="preserve">  Radzyń Chełmiński..........................................................................................................................................................................................................................................................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</si>
  <si>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040604 4</t>
  </si>
  <si>
    <t>040604 5</t>
  </si>
  <si>
    <t>Powiat inowrocławski  (9 gmin)</t>
  </si>
  <si>
    <t>040701 1</t>
  </si>
  <si>
    <t xml:space="preserve">  Inowrocław..........................................................................................................................................................................................................................................................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</si>
  <si>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040702 2</t>
  </si>
  <si>
    <t xml:space="preserve">  Dąbrowa Biskupia..........................................................................................................................................................................................................................................................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</si>
  <si>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040704 2</t>
  </si>
  <si>
    <t>040708 2</t>
  </si>
  <si>
    <t xml:space="preserve">  Rojewo..........................................................................................................................................................................................................................................................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</si>
  <si>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040709 2</t>
  </si>
  <si>
    <t xml:space="preserve">  Złotniki Kujawskie..........................................................................................................................................................................................................................................................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</si>
  <si>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040703 3</t>
  </si>
  <si>
    <t xml:space="preserve">  Gniewkowo..........................................................................................................................................................................................................................................................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</si>
  <si>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040703 4</t>
  </si>
  <si>
    <t>040703 5</t>
  </si>
  <si>
    <t>040705 3</t>
  </si>
  <si>
    <t xml:space="preserve">  Janikowo..........................................................................................................................................................................................................................................................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</si>
  <si>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040705 4</t>
  </si>
  <si>
    <t>040705 5</t>
  </si>
  <si>
    <t>040706 3</t>
  </si>
  <si>
    <t xml:space="preserve">  Kruszwica..........................................................................................................................................................................................................................................................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</si>
  <si>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040706 4</t>
  </si>
  <si>
    <t>040706 5</t>
  </si>
  <si>
    <t>040707 3</t>
  </si>
  <si>
    <t xml:space="preserve">  Pakość..........................................................................................................................................................................................................................................................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</si>
  <si>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040707 4</t>
  </si>
  <si>
    <t>040707 5</t>
  </si>
  <si>
    <t>Powiat lipnowski  (9 gmin)</t>
  </si>
  <si>
    <t>040801 1</t>
  </si>
  <si>
    <t xml:space="preserve">  Lipno..........................................................................................................................................................................................................................................................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</si>
  <si>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040802 2</t>
  </si>
  <si>
    <t xml:space="preserve">  Bobrowniki..........................................................................................................................................................................................................................................................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</si>
  <si>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040803 2</t>
  </si>
  <si>
    <t xml:space="preserve">  Chrostkowo..........................................................................................................................................................................................................................................................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</si>
  <si>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040805 2</t>
  </si>
  <si>
    <t xml:space="preserve">  Kikół..........................................................................................................................................................................................................................................................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</si>
  <si>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040806 2</t>
  </si>
  <si>
    <t>040808 2</t>
  </si>
  <si>
    <t xml:space="preserve">  Tłuchowo..........................................................................................................................................................................................................................................................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</si>
  <si>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040809 2</t>
  </si>
  <si>
    <t xml:space="preserve">  Wielgie..........................................................................................................................................................................................................................................................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</si>
  <si>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040804 3</t>
  </si>
  <si>
    <t xml:space="preserve">  Dobrzyń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</si>
  <si>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040804 4</t>
  </si>
  <si>
    <t>040804 5</t>
  </si>
  <si>
    <t>040807 3</t>
  </si>
  <si>
    <t xml:space="preserve">  Skępe..........................................................................................................................................................................................................................................................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</si>
  <si>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040807 4</t>
  </si>
  <si>
    <t>040807 5</t>
  </si>
  <si>
    <t>Powiat mogileński  (4 gminy)</t>
  </si>
  <si>
    <t>040901 2</t>
  </si>
  <si>
    <t xml:space="preserve"> 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</si>
  <si>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040902 2</t>
  </si>
  <si>
    <t xml:space="preserve">  Jeziora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</si>
  <si>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040903 3</t>
  </si>
  <si>
    <t xml:space="preserve">  Mogilno..........................................................................................................................................................................................................................................................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</si>
  <si>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040903 4</t>
  </si>
  <si>
    <t>040903 5</t>
  </si>
  <si>
    <t>040904 3</t>
  </si>
  <si>
    <t xml:space="preserve">  Strzelno..........................................................................................................................................................................................................................................................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</si>
  <si>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040904 4</t>
  </si>
  <si>
    <t>040904 5</t>
  </si>
  <si>
    <t>Powiat nakielski  (5 gmin)</t>
  </si>
  <si>
    <r>
      <t xml:space="preserve">gmina wiejska   </t>
    </r>
    <r>
      <rPr>
        <sz val="8"/>
        <color rgb="FF808080"/>
        <rFont val="Arial"/>
        <family val="2"/>
        <charset val="238"/>
      </rPr>
      <t>rural gmina</t>
    </r>
  </si>
  <si>
    <t>041004 2</t>
  </si>
  <si>
    <t xml:space="preserve">  Sadki..........................................................................................................................................................................................................................................................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</si>
  <si>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041001 3</t>
  </si>
  <si>
    <t xml:space="preserve">  Kcynia..........................................................................................................................................................................................................................................................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</si>
  <si>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041001 4</t>
  </si>
  <si>
    <t>041001 5</t>
  </si>
  <si>
    <t>041002 3</t>
  </si>
  <si>
    <t xml:space="preserve">  Mrocza..........................................................................................................................................................................................................................................................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</si>
  <si>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041002 4</t>
  </si>
  <si>
    <t>041002 5</t>
  </si>
  <si>
    <t>041003 3</t>
  </si>
  <si>
    <t xml:space="preserve">  Nakło nad Notecią..........................................................................................................................................................................................................................................................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</si>
  <si>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041003 4</t>
  </si>
  <si>
    <t>041003 5</t>
  </si>
  <si>
    <t>041005 3</t>
  </si>
  <si>
    <t xml:space="preserve">  Szubin..........................................................................................................................................................................................................................................................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</si>
  <si>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041005 4</t>
  </si>
  <si>
    <t>041005 5</t>
  </si>
  <si>
    <t>Powiat radziejowski  (7 gmin)</t>
  </si>
  <si>
    <t>041101 1</t>
  </si>
  <si>
    <t xml:space="preserve">  Radziejów..........................................................................................................................................................................................................................................................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</si>
  <si>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041102 2</t>
  </si>
  <si>
    <t xml:space="preserve">  Bytoń..........................................................................................................................................................................................................................................................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</si>
  <si>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041103 2</t>
  </si>
  <si>
    <t xml:space="preserve">  Dobre..........................................................................................................................................................................................................................................................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</si>
  <si>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041104 2</t>
  </si>
  <si>
    <t xml:space="preserve">  Osięciny..........................................................................................................................................................................................................................................................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</si>
  <si>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041106 2</t>
  </si>
  <si>
    <t>041107 2</t>
  </si>
  <si>
    <t xml:space="preserve">  Topólka..........................................................................................................................................................................................................................................................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</si>
  <si>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041105 3</t>
  </si>
  <si>
    <t xml:space="preserve">  Piotrków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</si>
  <si>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041105 4</t>
  </si>
  <si>
    <t>041105 5</t>
  </si>
  <si>
    <t>Powiat rypiński  (6 gmin)</t>
  </si>
  <si>
    <t>041201 1</t>
  </si>
  <si>
    <t xml:space="preserve">  Rypin..........................................................................................................................................................................................................................................................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</si>
  <si>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041202 2</t>
  </si>
  <si>
    <t xml:space="preserve">  Brzuze..........................................................................................................................................................................................................................................................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</si>
  <si>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041203 2</t>
  </si>
  <si>
    <t xml:space="preserve">  Rogowo..........................................................................................................................................................................................................................................................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</si>
  <si>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041204 2</t>
  </si>
  <si>
    <t>041205 2</t>
  </si>
  <si>
    <t xml:space="preserve">  Skrwilno..........................................................................................................................................................................................................................................................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</si>
  <si>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041206 2</t>
  </si>
  <si>
    <t xml:space="preserve">  Wąpielsk..........................................................................................................................................................................................................................................................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</si>
  <si>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sępoleński  (4 gminy)</t>
  </si>
  <si>
    <t>041303 2</t>
  </si>
  <si>
    <t xml:space="preserve">  Sośno..........................................................................................................................................................................................................................................................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</si>
  <si>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041301 3</t>
  </si>
  <si>
    <t xml:space="preserve">  Kamień Krajeński..........................................................................................................................................................................................................................................................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</si>
  <si>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041301 4</t>
  </si>
  <si>
    <t>041301 5</t>
  </si>
  <si>
    <t>041302 3</t>
  </si>
  <si>
    <t xml:space="preserve">  Sępólno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</si>
  <si>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041302 4</t>
  </si>
  <si>
    <t>041302 5</t>
  </si>
  <si>
    <t>041304 3</t>
  </si>
  <si>
    <t xml:space="preserve">  Więcbork..........................................................................................................................................................................................................................................................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</si>
  <si>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041304 4</t>
  </si>
  <si>
    <t>041304 5</t>
  </si>
  <si>
    <t>Powiat świecki  (11 gmin)</t>
  </si>
  <si>
    <t>041401 2</t>
  </si>
  <si>
    <t xml:space="preserve">  Bukowiec..........................................................................................................................................................................................................................................................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</si>
  <si>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041402 2</t>
  </si>
  <si>
    <t xml:space="preserve">  Dragacz..........................................................................................................................................................................................................................................................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</si>
  <si>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041403 2</t>
  </si>
  <si>
    <t xml:space="preserve">  Drzycim..........................................................................................................................................................................................................................................................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</si>
  <si>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041404 2</t>
  </si>
  <si>
    <t xml:space="preserve">  Jeżewo..........................................................................................................................................................................................................................................................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</si>
  <si>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041405 2</t>
  </si>
  <si>
    <t xml:space="preserve">  Lniano..........................................................................................................................................................................................................................................................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</si>
  <si>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041407 2</t>
  </si>
  <si>
    <t xml:space="preserve">  Osie..........................................................................................................................................................................................................................................................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</si>
  <si>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041408 2</t>
  </si>
  <si>
    <t xml:space="preserve">  Pruszcz..........................................................................................................................................................................................................................................................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</si>
  <si>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041410 2</t>
  </si>
  <si>
    <t xml:space="preserve">  Świekatowo..........................................................................................................................................................................................................................................................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</si>
  <si>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041411 2</t>
  </si>
  <si>
    <t xml:space="preserve">  Warlubie..........................................................................................................................................................................................................................................................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</si>
  <si>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041406 3</t>
  </si>
  <si>
    <t xml:space="preserve">  Nowe..........................................................................................................................................................................................................................................................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</si>
  <si>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041406 4</t>
  </si>
  <si>
    <t>041406 5</t>
  </si>
  <si>
    <t>041409 3</t>
  </si>
  <si>
    <t xml:space="preserve">  Świecie..........................................................................................................................................................................................................................................................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</si>
  <si>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041409 4</t>
  </si>
  <si>
    <t>041409 5</t>
  </si>
  <si>
    <t>Powiat toruński  (9 gmin)</t>
  </si>
  <si>
    <t>041501 1</t>
  </si>
  <si>
    <t xml:space="preserve">  Chełmża..........................................................................................................................................................................................................................................................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</si>
  <si>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041502 2</t>
  </si>
  <si>
    <t>041503 2</t>
  </si>
  <si>
    <t xml:space="preserve">  Czernikowo..........................................................................................................................................................................................................................................................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</si>
  <si>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041504 2</t>
  </si>
  <si>
    <t xml:space="preserve">  Lubicz..........................................................................................................................................................................................................................................................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</si>
  <si>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041505 2</t>
  </si>
  <si>
    <t xml:space="preserve">  Łubianka..........................................................................................................................................................................................................................................................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</si>
  <si>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041506 2</t>
  </si>
  <si>
    <t xml:space="preserve">  Łysomice..........................................................................................................................................................................................................................................................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</si>
  <si>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041507 2</t>
  </si>
  <si>
    <t xml:space="preserve">  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</si>
  <si>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041508 2</t>
  </si>
  <si>
    <t xml:space="preserve">  Wielka Nieszawka..........................................................................................................................................................................................................................................................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</si>
  <si>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041509 2</t>
  </si>
  <si>
    <t xml:space="preserve">  Zławieś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</si>
  <si>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tucholski  (6 gmin)</t>
  </si>
  <si>
    <t>041601 2</t>
  </si>
  <si>
    <t xml:space="preserve">  Cekcyn..........................................................................................................................................................................................................................................................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</si>
  <si>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041602 2</t>
  </si>
  <si>
    <t xml:space="preserve">  Gostycyn..........................................................................................................................................................................................................................................................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</si>
  <si>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041603 2</t>
  </si>
  <si>
    <t xml:space="preserve">  Kęsowo..........................................................................................................................................................................................................................................................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</si>
  <si>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041604 2</t>
  </si>
  <si>
    <t xml:space="preserve">  Lubiewo..........................................................................................................................................................................................................................................................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</si>
  <si>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041605 2</t>
  </si>
  <si>
    <t xml:space="preserve">  Śliwice..........................................................................................................................................................................................................................................................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</si>
  <si>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041606 3</t>
  </si>
  <si>
    <t xml:space="preserve">  Tuchola..........................................................................................................................................................................................................................................................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</si>
  <si>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041606 4</t>
  </si>
  <si>
    <t>041606 5</t>
  </si>
  <si>
    <t>Powiat wąbrzeski  (5 gmin)</t>
  </si>
  <si>
    <t>041701 1</t>
  </si>
  <si>
    <t xml:space="preserve">  Wąbrzeźno..........................................................................................................................................................................................................................................................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</si>
  <si>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041702 2</t>
  </si>
  <si>
    <t xml:space="preserve">  Dębowa Łąka..........................................................................................................................................................................................................................................................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</si>
  <si>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041703 2</t>
  </si>
  <si>
    <t xml:space="preserve">  Książki..........................................................................................................................................................................................................................................................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</si>
  <si>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041704 2</t>
  </si>
  <si>
    <t xml:space="preserve">  Płużnica..........................................................................................................................................................................................................................................................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</si>
  <si>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041705 2</t>
  </si>
  <si>
    <t xml:space="preserve">  Ryńsk..........................................................................................................................................................................................................................................................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</si>
  <si>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włocławski  (13 gmin)</t>
  </si>
  <si>
    <t>041801 1</t>
  </si>
  <si>
    <t xml:space="preserve">  Kowal..........................................................................................................................................................................................................................................................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</si>
  <si>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041802 2</t>
  </si>
  <si>
    <t xml:space="preserve">  Baruchowo..........................................................................................................................................................................................................................................................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</si>
  <si>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041803 2</t>
  </si>
  <si>
    <t xml:space="preserve">  Boniewo..........................................................................................................................................................................................................................................................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</si>
  <si>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041805 2</t>
  </si>
  <si>
    <t xml:space="preserve">  Choceń..........................................................................................................................................................................................................................................................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</si>
  <si>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041807 2</t>
  </si>
  <si>
    <t xml:space="preserve">  Fabianki..........................................................................................................................................................................................................................................................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</si>
  <si>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041809 2</t>
  </si>
  <si>
    <t>041810 2</t>
  </si>
  <si>
    <t xml:space="preserve">  Lubanie..........................................................................................................................................................................................................................................................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</si>
  <si>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041813 2</t>
  </si>
  <si>
    <t xml:space="preserve">  Włocławek..........................................................................................................................................................................................................................................................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</si>
  <si>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041804 3</t>
  </si>
  <si>
    <t xml:space="preserve">  Brześć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</si>
  <si>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041804 4</t>
  </si>
  <si>
    <t>041804 5</t>
  </si>
  <si>
    <t>041806 3</t>
  </si>
  <si>
    <t xml:space="preserve">  Chodecz..........................................................................................................................................................................................................................................................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</si>
  <si>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041806 4</t>
  </si>
  <si>
    <t>041806 5</t>
  </si>
  <si>
    <t>041808 3</t>
  </si>
  <si>
    <t xml:space="preserve">  Izbica Kujawska..........................................................................................................................................................................................................................................................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</si>
  <si>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041808 4</t>
  </si>
  <si>
    <t>041808 5</t>
  </si>
  <si>
    <t>041811 3</t>
  </si>
  <si>
    <t xml:space="preserve">  Lubień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</si>
  <si>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041811 4</t>
  </si>
  <si>
    <t>041811 5</t>
  </si>
  <si>
    <t>041812 3</t>
  </si>
  <si>
    <t xml:space="preserve">  Lubraniec..........................................................................................................................................................................................................................................................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</si>
  <si>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041812 4</t>
  </si>
  <si>
    <t>041812 5</t>
  </si>
  <si>
    <t>Powiat żniński  (6 gmin)</t>
  </si>
  <si>
    <t>041902 2</t>
  </si>
  <si>
    <t xml:space="preserve">  Gąsawa..........................................................................................................................................................................................................................................................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</si>
  <si>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041905 2</t>
  </si>
  <si>
    <t>041901 3</t>
  </si>
  <si>
    <t xml:space="preserve">  Barcin..........................................................................................................................................................................................................................................................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</si>
  <si>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041901 4</t>
  </si>
  <si>
    <t>041901 5</t>
  </si>
  <si>
    <t>041903 3</t>
  </si>
  <si>
    <t xml:space="preserve">  Janowiec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</si>
  <si>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041903 4</t>
  </si>
  <si>
    <t>041903 5</t>
  </si>
  <si>
    <t>041904 3</t>
  </si>
  <si>
    <t xml:space="preserve">  Łabiszyn..........................................................................................................................................................................................................................................................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</si>
  <si>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041904 4</t>
  </si>
  <si>
    <t>041904 5</t>
  </si>
  <si>
    <t>041906 3</t>
  </si>
  <si>
    <t xml:space="preserve">  Żnin..........................................................................................................................................................................................................................................................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</si>
  <si>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041906 4</t>
  </si>
  <si>
    <t>041906 5</t>
  </si>
  <si>
    <r>
      <t xml:space="preserve">Miasta na prawach powiatu (4)  </t>
    </r>
    <r>
      <rPr>
        <b/>
        <sz val="8"/>
        <color rgb="FF808080"/>
        <rFont val="Arial"/>
        <family val="2"/>
        <charset val="238"/>
      </rPr>
      <t xml:space="preserve"> Cities with powiat status (4)</t>
    </r>
  </si>
  <si>
    <t>046101 1</t>
  </si>
  <si>
    <t xml:space="preserve">  Bydgoszcz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</si>
  <si>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046201 1</t>
  </si>
  <si>
    <t>046301 1</t>
  </si>
  <si>
    <t xml:space="preserve">  Toruń..........................................................................................................................................................................................................................................................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</si>
  <si>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046401 1</t>
  </si>
  <si>
    <t>Powiat bialski  (19 gmin)</t>
  </si>
  <si>
    <t>060101 1</t>
  </si>
  <si>
    <t xml:space="preserve">  Międzyrzec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</si>
  <si>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060102 1</t>
  </si>
  <si>
    <t xml:space="preserve">  Terespol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</si>
  <si>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060103 2</t>
  </si>
  <si>
    <t xml:space="preserve">  Biała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</si>
  <si>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060104 2</t>
  </si>
  <si>
    <t xml:space="preserve">  Drelów..........................................................................................................................................................................................................................................................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</si>
  <si>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060105 2</t>
  </si>
  <si>
    <t xml:space="preserve">  Janów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</si>
  <si>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060106 2</t>
  </si>
  <si>
    <t xml:space="preserve">  Kodeń..........................................................................................................................................................................................................................................................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</si>
  <si>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060107 2</t>
  </si>
  <si>
    <t xml:space="preserve">  Konstantynów..........................................................................................................................................................................................................................................................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</si>
  <si>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060108 2</t>
  </si>
  <si>
    <t xml:space="preserve">  Leśna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</si>
  <si>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060109 2</t>
  </si>
  <si>
    <t xml:space="preserve">  Łomazy..........................................................................................................................................................................................................................................................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</si>
  <si>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060110 2</t>
  </si>
  <si>
    <t>060111 2</t>
  </si>
  <si>
    <t xml:space="preserve">  Piszczac..........................................................................................................................................................................................................................................................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</si>
  <si>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060112 2</t>
  </si>
  <si>
    <t xml:space="preserve">  Rokitno..........................................................................................................................................................................................................................................................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</si>
  <si>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060113 2</t>
  </si>
  <si>
    <t xml:space="preserve">  Rossosz..........................................................................................................................................................................................................................................................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</si>
  <si>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060114 2</t>
  </si>
  <si>
    <t xml:space="preserve">  Sławatycze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</si>
  <si>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060115 2</t>
  </si>
  <si>
    <t xml:space="preserve">  Sosnówka..........................................................................................................................................................................................................................................................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</si>
  <si>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060116 2</t>
  </si>
  <si>
    <t>060117 2</t>
  </si>
  <si>
    <t xml:space="preserve">  Tuczna..........................................................................................................................................................................................................................................................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</si>
  <si>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060118 2</t>
  </si>
  <si>
    <t xml:space="preserve">  Wisznice..........................................................................................................................................................................................................................................................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</si>
  <si>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060119 2</t>
  </si>
  <si>
    <t xml:space="preserve">  Zalesie..........................................................................................................................................................................................................................................................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</si>
  <si>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biłgorajski  (14 gmin)</t>
  </si>
  <si>
    <t>060201 1</t>
  </si>
  <si>
    <t xml:space="preserve">  Biłgoraj..........................................................................................................................................................................................................................................................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</si>
  <si>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060202 2</t>
  </si>
  <si>
    <t xml:space="preserve">  Aleksandrów..........................................................................................................................................................................................................................................................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</si>
  <si>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060203 2</t>
  </si>
  <si>
    <t>060204 2</t>
  </si>
  <si>
    <t xml:space="preserve">  Biszcza..........................................................................................................................................................................................................................................................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</si>
  <si>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060206 2</t>
  </si>
  <si>
    <t xml:space="preserve">  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</si>
  <si>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060208 2</t>
  </si>
  <si>
    <t xml:space="preserve">  Księżpol..........................................................................................................................................................................................................................................................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</si>
  <si>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060209 2</t>
  </si>
  <si>
    <t xml:space="preserve">  Łukowa..........................................................................................................................................................................................................................................................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</si>
  <si>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060210 2</t>
  </si>
  <si>
    <t xml:space="preserve">  Obsza..........................................................................................................................................................................................................................................................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</si>
  <si>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060211 2</t>
  </si>
  <si>
    <t xml:space="preserve">  Potok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</si>
  <si>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060213 2</t>
  </si>
  <si>
    <t xml:space="preserve">  Tereszpol..........................................................................................................................................................................................................................................................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</si>
  <si>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060214 2</t>
  </si>
  <si>
    <t xml:space="preserve">  Turobin..........................................................................................................................................................................................................................................................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</si>
  <si>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060205 3</t>
  </si>
  <si>
    <t xml:space="preserve">  Frampol..........................................................................................................................................................................................................................................................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</si>
  <si>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060205 4</t>
  </si>
  <si>
    <t>060205 5</t>
  </si>
  <si>
    <t>060207 3</t>
  </si>
  <si>
    <t xml:space="preserve">  Józefów..........................................................................................................................................................................................................................................................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</si>
  <si>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060207 4</t>
  </si>
  <si>
    <t>060207 5</t>
  </si>
  <si>
    <t>060212 3</t>
  </si>
  <si>
    <t xml:space="preserve">  Tarnogród..........................................................................................................................................................................................................................................................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</si>
  <si>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060212 4</t>
  </si>
  <si>
    <t>060212 5</t>
  </si>
  <si>
    <t>Powiat chełmski  (15 gmin)</t>
  </si>
  <si>
    <t>060301 1</t>
  </si>
  <si>
    <t xml:space="preserve">  Rejowiec Fabryczny..........................................................................................................................................................................................................................................................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</si>
  <si>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060302 2</t>
  </si>
  <si>
    <t xml:space="preserve">  Białopole..........................................................................................................................................................................................................................................................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</si>
  <si>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060303 2</t>
  </si>
  <si>
    <t xml:space="preserve">  Chełm..........................................................................................................................................................................................................................................................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</si>
  <si>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060304 2</t>
  </si>
  <si>
    <t xml:space="preserve">  Dorohusk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</si>
  <si>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060305 2</t>
  </si>
  <si>
    <t xml:space="preserve">  Dubienka..........................................................................................................................................................................................................................................................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</si>
  <si>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060306 2</t>
  </si>
  <si>
    <t xml:space="preserve">  Kamień..........................................................................................................................................................................................................................................................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</si>
  <si>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060307 2</t>
  </si>
  <si>
    <t xml:space="preserve">  Leśniowice..........................................................................................................................................................................................................................................................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</si>
  <si>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060308 2</t>
  </si>
  <si>
    <t>060309 2</t>
  </si>
  <si>
    <t xml:space="preserve">  Ruda-Huta..........................................................................................................................................................................................................................................................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</si>
  <si>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060310 2</t>
  </si>
  <si>
    <t xml:space="preserve">  Sawin..........................................................................................................................................................................................................................................................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</si>
  <si>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060312 2</t>
  </si>
  <si>
    <t xml:space="preserve">  Wierzbica..........................................................................................................................................................................................................................................................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</si>
  <si>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060313 2</t>
  </si>
  <si>
    <t xml:space="preserve">  Wojsławice..........................................................................................................................................................................................................................................................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</si>
  <si>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060314 2</t>
  </si>
  <si>
    <t xml:space="preserve">  Żmudź..........................................................................................................................................................................................................................................................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</si>
  <si>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060315 3</t>
  </si>
  <si>
    <t xml:space="preserve">  Rejowiec..........................................................................................................................................................................................................................................................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</si>
  <si>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060315 4</t>
  </si>
  <si>
    <t>060315 5</t>
  </si>
  <si>
    <t>060311 3</t>
  </si>
  <si>
    <t xml:space="preserve">  Siedliszcze..........................................................................................................................................................................................................................................................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</si>
  <si>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060311 4</t>
  </si>
  <si>
    <t>060311 5</t>
  </si>
  <si>
    <t>Powiat hrubieszowski  (8 gmin)</t>
  </si>
  <si>
    <t>060401 1</t>
  </si>
  <si>
    <t xml:space="preserve">  Hrubieszów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</si>
  <si>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060402 2</t>
  </si>
  <si>
    <t xml:space="preserve">  Dołhobyczów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</si>
  <si>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060403 2</t>
  </si>
  <si>
    <t xml:space="preserve">  Horodło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</si>
  <si>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060404 2</t>
  </si>
  <si>
    <t xml:space="preserve">  Hrubieszów..........................................................................................................................................................................................................................................................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</si>
  <si>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060405 2</t>
  </si>
  <si>
    <t xml:space="preserve">  Mircze..........................................................................................................................................................................................................................................................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</si>
  <si>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060406 2</t>
  </si>
  <si>
    <t xml:space="preserve">  Trzeszczany..........................................................................................................................................................................................................................................................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</si>
  <si>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060407 2</t>
  </si>
  <si>
    <t xml:space="preserve">  Uchanie..........................................................................................................................................................................................................................................................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</si>
  <si>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060408 2</t>
  </si>
  <si>
    <t xml:space="preserve">  Werbkowice..........................................................................................................................................................................................................................................................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</si>
  <si>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janowski  (7 gmin)</t>
  </si>
  <si>
    <t>060501 2</t>
  </si>
  <si>
    <t xml:space="preserve">  Batorz..........................................................................................................................................................................................................................................................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</si>
  <si>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060502 2</t>
  </si>
  <si>
    <t xml:space="preserve">  Chrzanów..........................................................................................................................................................................................................................................................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</si>
  <si>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060503 2</t>
  </si>
  <si>
    <t xml:space="preserve">  Dzwola..........................................................................................................................................................................................................................................................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</si>
  <si>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060504 2</t>
  </si>
  <si>
    <t xml:space="preserve">  Godziszów..........................................................................................................................................................................................................................................................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</si>
  <si>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060507 2</t>
  </si>
  <si>
    <t xml:space="preserve">  Potok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</si>
  <si>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060505 3</t>
  </si>
  <si>
    <t xml:space="preserve">  Janów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</si>
  <si>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060505 4</t>
  </si>
  <si>
    <t>060505 5</t>
  </si>
  <si>
    <t>060506 3</t>
  </si>
  <si>
    <t xml:space="preserve">  Modliborzyce..........................................................................................................................................................................................................................................................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</si>
  <si>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060506 4</t>
  </si>
  <si>
    <t>060506 5</t>
  </si>
  <si>
    <t>Powiat krasnostawski  (10 gmin)</t>
  </si>
  <si>
    <t>060601 1</t>
  </si>
  <si>
    <t xml:space="preserve">  Krasnystaw..........................................................................................................................................................................................................................................................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</si>
  <si>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060602 2</t>
  </si>
  <si>
    <t xml:space="preserve">  Fajsławice..........................................................................................................................................................................................................................................................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</si>
  <si>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060603 2</t>
  </si>
  <si>
    <t xml:space="preserve">  Gorzków..........................................................................................................................................................................................................................................................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</si>
  <si>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060604 2</t>
  </si>
  <si>
    <t xml:space="preserve">  Izbica..........................................................................................................................................................................................................................................................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</si>
  <si>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060605 2</t>
  </si>
  <si>
    <t>060606 2</t>
  </si>
  <si>
    <t xml:space="preserve">  Kraśniczyn..........................................................................................................................................................................................................................................................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</si>
  <si>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060607 2</t>
  </si>
  <si>
    <t xml:space="preserve">  Łopiennik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</si>
  <si>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060609 2</t>
  </si>
  <si>
    <t xml:space="preserve">  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</si>
  <si>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060610 2</t>
  </si>
  <si>
    <t xml:space="preserve">  Siennica Różana..........................................................................................................................................................................................................................................................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</si>
  <si>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060611 2</t>
  </si>
  <si>
    <t xml:space="preserve">  Żółkiewka..........................................................................................................................................................................................................................................................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</si>
  <si>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kraśnicki  (10 gmin)</t>
  </si>
  <si>
    <t>060701 1</t>
  </si>
  <si>
    <t xml:space="preserve">  Kraśnik..........................................................................................................................................................................................................................................................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</si>
  <si>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060703 2</t>
  </si>
  <si>
    <t xml:space="preserve">  Dzierzkowice..........................................................................................................................................................................................................................................................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</si>
  <si>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060704 2</t>
  </si>
  <si>
    <t xml:space="preserve">  Gościeradów..........................................................................................................................................................................................................................................................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</si>
  <si>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060705 2</t>
  </si>
  <si>
    <t>060706 2</t>
  </si>
  <si>
    <t xml:space="preserve">  Szastarka..........................................................................................................................................................................................................................................................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</si>
  <si>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060707 2</t>
  </si>
  <si>
    <t xml:space="preserve">  Trzydnik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</si>
  <si>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060709 2</t>
  </si>
  <si>
    <t xml:space="preserve">  Wilkołaz..........................................................................................................................................................................................................................................................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</si>
  <si>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060710 2</t>
  </si>
  <si>
    <t xml:space="preserve">  Zakrzówek..........................................................................................................................................................................................................................................................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</si>
  <si>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060702 3</t>
  </si>
  <si>
    <t xml:space="preserve">  Annopol..........................................................................................................................................................................................................................................................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</si>
  <si>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060702 4</t>
  </si>
  <si>
    <t>060702 5</t>
  </si>
  <si>
    <t>060708 3</t>
  </si>
  <si>
    <t xml:space="preserve">  Urzędów..........................................................................................................................................................................................................................................................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</si>
  <si>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060708 4</t>
  </si>
  <si>
    <t>060708 5</t>
  </si>
  <si>
    <t>Powiat lubartowski  (13 gmin)</t>
  </si>
  <si>
    <t>060801 1</t>
  </si>
  <si>
    <t xml:space="preserve">  Lubartów..........................................................................................................................................................................................................................................................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</si>
  <si>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060802 2</t>
  </si>
  <si>
    <t xml:space="preserve">  Abramów..........................................................................................................................................................................................................................................................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</si>
  <si>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060803 2</t>
  </si>
  <si>
    <t xml:space="preserve">  Firlej..........................................................................................................................................................................................................................................................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</si>
  <si>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060804 2</t>
  </si>
  <si>
    <t xml:space="preserve">  Jeziorzany..........................................................................................................................................................................................................................................................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</si>
  <si>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060805 2</t>
  </si>
  <si>
    <t xml:space="preserve">  Kamionka..........................................................................................................................................................................................................................................................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</si>
  <si>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060807 2</t>
  </si>
  <si>
    <t>060808 2</t>
  </si>
  <si>
    <t xml:space="preserve">  Michów..........................................................................................................................................................................................................................................................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</si>
  <si>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060809 2</t>
  </si>
  <si>
    <t xml:space="preserve">  Niedźwiada..........................................................................................................................................................................................................................................................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</si>
  <si>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060811 2</t>
  </si>
  <si>
    <t xml:space="preserve">  Ostrówek..........................................................................................................................................................................................................................................................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</si>
  <si>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060812 2</t>
  </si>
  <si>
    <t xml:space="preserve">  Serniki..........................................................................................................................................................................................................................................................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</si>
  <si>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060813 2</t>
  </si>
  <si>
    <t xml:space="preserve">  Uścimów..........................................................................................................................................................................................................................................................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</si>
  <si>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060806 3</t>
  </si>
  <si>
    <t xml:space="preserve">  Kock..........................................................................................................................................................................................................................................................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</si>
  <si>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060806 4</t>
  </si>
  <si>
    <t>060806 5</t>
  </si>
  <si>
    <t>060810 3</t>
  </si>
  <si>
    <t xml:space="preserve">  Ostrów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</si>
  <si>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060810 4</t>
  </si>
  <si>
    <t>060810 5</t>
  </si>
  <si>
    <t>Powiat lubelski  (16 gmin)</t>
  </si>
  <si>
    <t>060902 2</t>
  </si>
  <si>
    <t xml:space="preserve">  Borzechów..........................................................................................................................................................................................................................................................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</si>
  <si>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060904 2</t>
  </si>
  <si>
    <t xml:space="preserve">  Garbów..........................................................................................................................................................................................................................................................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</si>
  <si>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060905 2</t>
  </si>
  <si>
    <t xml:space="preserve">  Głusk..........................................................................................................................................................................................................................................................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</si>
  <si>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060906 2</t>
  </si>
  <si>
    <t xml:space="preserve">  Jabłonna..........................................................................................................................................................................................................................................................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</si>
  <si>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060907 2</t>
  </si>
  <si>
    <t xml:space="preserve">  Jastków..........................................................................................................................................................................................................................................................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</si>
  <si>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060908 2</t>
  </si>
  <si>
    <t xml:space="preserve">  Konopnica..........................................................................................................................................................................................................................................................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</si>
  <si>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060909 2</t>
  </si>
  <si>
    <t xml:space="preserve">  Krzczonów..........................................................................................................................................................................................................................................................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</si>
  <si>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060910 2</t>
  </si>
  <si>
    <t xml:space="preserve">  Niedrzwica Duża..........................................................................................................................................................................................................................................................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</si>
  <si>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060911 2</t>
  </si>
  <si>
    <t xml:space="preserve">  Niemce..........................................................................................................................................................................................................................................................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</si>
  <si>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060912 2</t>
  </si>
  <si>
    <t xml:space="preserve">  Strzyżewice..........................................................................................................................................................................................................................................................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</si>
  <si>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060913 2</t>
  </si>
  <si>
    <t xml:space="preserve">  Wojciechów..........................................................................................................................................................................................................................................................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</si>
  <si>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060914 2</t>
  </si>
  <si>
    <t xml:space="preserve">  Wólka..........................................................................................................................................................................................................................................................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</si>
  <si>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060915 2</t>
  </si>
  <si>
    <t xml:space="preserve">  Wysokie..........................................................................................................................................................................................................................................................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</si>
  <si>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060916 2</t>
  </si>
  <si>
    <t xml:space="preserve">  Zakrzew..........................................................................................................................................................................................................................................................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</si>
  <si>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060901 3</t>
  </si>
  <si>
    <t xml:space="preserve">  Bełżyce..........................................................................................................................................................................................................................................................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</si>
  <si>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060901 4</t>
  </si>
  <si>
    <t>060901 5</t>
  </si>
  <si>
    <t>060903 3</t>
  </si>
  <si>
    <t xml:space="preserve">  Bychawa..........................................................................................................................................................................................................................................................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</si>
  <si>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060903 4</t>
  </si>
  <si>
    <t>060903 5</t>
  </si>
  <si>
    <t>Powiat łęczyński  (6 gmin)</t>
  </si>
  <si>
    <t>061001 2</t>
  </si>
  <si>
    <t xml:space="preserve">  Cyców..........................................................................................................................................................................................................................................................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</si>
  <si>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061002 2</t>
  </si>
  <si>
    <t xml:space="preserve">  Ludwin..........................................................................................................................................................................................................................................................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</si>
  <si>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061004 2</t>
  </si>
  <si>
    <t xml:space="preserve">  Milejów..........................................................................................................................................................................................................................................................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</si>
  <si>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061005 2</t>
  </si>
  <si>
    <t xml:space="preserve">  Puchaczów..........................................................................................................................................................................................................................................................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</si>
  <si>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061006 2</t>
  </si>
  <si>
    <t xml:space="preserve">  Spiczyn..........................................................................................................................................................................................................................................................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</si>
  <si>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061003 3</t>
  </si>
  <si>
    <t xml:space="preserve">  Łęczna..........................................................................................................................................................................................................................................................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</si>
  <si>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061003 4</t>
  </si>
  <si>
    <t>061003 5</t>
  </si>
  <si>
    <t>Powiat łukowski  (11 gmin)</t>
  </si>
  <si>
    <t>061101 1</t>
  </si>
  <si>
    <t xml:space="preserve">  Łuków..........................................................................................................................................................................................................................................................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</si>
  <si>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061102 1</t>
  </si>
  <si>
    <t xml:space="preserve">  Stoczek Łukowski..........................................................................................................................................................................................................................................................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</si>
  <si>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061103 2</t>
  </si>
  <si>
    <t xml:space="preserve">  Adamów..........................................................................................................................................................................................................................................................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</si>
  <si>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061104 2</t>
  </si>
  <si>
    <t xml:space="preserve">  Krzywda..........................................................................................................................................................................................................................................................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</si>
  <si>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061105 2</t>
  </si>
  <si>
    <t>061106 2</t>
  </si>
  <si>
    <t xml:space="preserve">  Serokomla..........................................................................................................................................................................................................................................................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</si>
  <si>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061107 2</t>
  </si>
  <si>
    <t xml:space="preserve">  Stanin..........................................................................................................................................................................................................................................................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</si>
  <si>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061108 2</t>
  </si>
  <si>
    <t>061109 2</t>
  </si>
  <si>
    <t xml:space="preserve">  Trzebieszów..........................................................................................................................................................................................................................................................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</si>
  <si>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061110 2</t>
  </si>
  <si>
    <t xml:space="preserve">  Wojcieszków..........................................................................................................................................................................................................................................................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</si>
  <si>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061111 2</t>
  </si>
  <si>
    <t xml:space="preserve">  Wola Mysłowska..........................................................................................................................................................................................................................................................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</si>
  <si>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opolski  (7 gmin)</t>
  </si>
  <si>
    <t>061201 2</t>
  </si>
  <si>
    <t xml:space="preserve">  Chodel..........................................................................................................................................................................................................................................................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</si>
  <si>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061203 2</t>
  </si>
  <si>
    <t xml:space="preserve">  Karczmiska..........................................................................................................................................................................................................................................................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</si>
  <si>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061204 2</t>
  </si>
  <si>
    <t xml:space="preserve">  Łaziska..........................................................................................................................................................................................................................................................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</si>
  <si>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061207 2</t>
  </si>
  <si>
    <t xml:space="preserve">  Wilków..........................................................................................................................................................................................................................................................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</si>
  <si>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061202 3</t>
  </si>
  <si>
    <t xml:space="preserve">  Józefów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</si>
  <si>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061202 4</t>
  </si>
  <si>
    <t>061202 5</t>
  </si>
  <si>
    <t>061205 3</t>
  </si>
  <si>
    <t xml:space="preserve">  Opole Lubelskie..........................................................................................................................................................................................................................................................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</si>
  <si>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061205 4</t>
  </si>
  <si>
    <t>061205 5</t>
  </si>
  <si>
    <t>061206 3</t>
  </si>
  <si>
    <t xml:space="preserve">  Poniatowa..........................................................................................................................................................................................................................................................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</si>
  <si>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061206 4</t>
  </si>
  <si>
    <t>061206 5</t>
  </si>
  <si>
    <t>Powiat parczewski  (7 gmin)</t>
  </si>
  <si>
    <t>061301 2</t>
  </si>
  <si>
    <t xml:space="preserve">  Dębowa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</si>
  <si>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061302 2</t>
  </si>
  <si>
    <t xml:space="preserve">  Jabłoń..........................................................................................................................................................................................................................................................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</si>
  <si>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061303 2</t>
  </si>
  <si>
    <t xml:space="preserve">  Milanów..........................................................................................................................................................................................................................................................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</si>
  <si>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061305 2</t>
  </si>
  <si>
    <t xml:space="preserve">  Podedwórze..........................................................................................................................................................................................................................................................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</si>
  <si>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061306 2</t>
  </si>
  <si>
    <t xml:space="preserve">  Siemień..........................................................................................................................................................................................................................................................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</si>
  <si>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061307 2</t>
  </si>
  <si>
    <t xml:space="preserve">  Sosnowica..........................................................................................................................................................................................................................................................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</si>
  <si>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061304 3</t>
  </si>
  <si>
    <t xml:space="preserve">  Parczew..........................................................................................................................................................................................................................................................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</si>
  <si>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061304 4</t>
  </si>
  <si>
    <t>061304 5</t>
  </si>
  <si>
    <t>Powiat puławski  (11 gmin)</t>
  </si>
  <si>
    <t>061401 1</t>
  </si>
  <si>
    <t xml:space="preserve">  Puławy..........................................................................................................................................................................................................................................................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</si>
  <si>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061402 2</t>
  </si>
  <si>
    <t xml:space="preserve">  Baranów..........................................................................................................................................................................................................................................................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</si>
  <si>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061403 2</t>
  </si>
  <si>
    <t xml:space="preserve">  Janowiec..........................................................................................................................................................................................................................................................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</si>
  <si>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061405 2</t>
  </si>
  <si>
    <t xml:space="preserve">  Końskowola..........................................................................................................................................................................................................................................................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</si>
  <si>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061406 2</t>
  </si>
  <si>
    <t xml:space="preserve">  Kurów..........................................................................................................................................................................................................................................................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</si>
  <si>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061407 2</t>
  </si>
  <si>
    <t xml:space="preserve">  Markuszów..........................................................................................................................................................................................................................................................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</si>
  <si>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061409 2</t>
  </si>
  <si>
    <t>061410 2</t>
  </si>
  <si>
    <t xml:space="preserve">  Wąwolnica..........................................................................................................................................................................................................................................................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</si>
  <si>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061411 2</t>
  </si>
  <si>
    <t xml:space="preserve">  Żyrzyn..........................................................................................................................................................................................................................................................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</si>
  <si>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061404 3</t>
  </si>
  <si>
    <t xml:space="preserve">  Kazimierz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</si>
  <si>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061404 4</t>
  </si>
  <si>
    <t>061404 5</t>
  </si>
  <si>
    <t>061408 3</t>
  </si>
  <si>
    <t xml:space="preserve">  Nałęczów..........................................................................................................................................................................................................................................................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</si>
  <si>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061408 4</t>
  </si>
  <si>
    <t>061408 5</t>
  </si>
  <si>
    <t>Powiat radzyński  (8 gmin)</t>
  </si>
  <si>
    <t>061501 1</t>
  </si>
  <si>
    <t xml:space="preserve">  Radzyń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</si>
  <si>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061502 2</t>
  </si>
  <si>
    <t xml:space="preserve">  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</si>
  <si>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061503 2</t>
  </si>
  <si>
    <t xml:space="preserve">  Czemierniki..........................................................................................................................................................................................................................................................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</si>
  <si>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061504 2</t>
  </si>
  <si>
    <t xml:space="preserve">  Kąkolewnica..........................................................................................................................................................................................................................................................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</si>
  <si>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061505 2</t>
  </si>
  <si>
    <t xml:space="preserve">  Komarówka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</si>
  <si>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061506 2</t>
  </si>
  <si>
    <t>061507 2</t>
  </si>
  <si>
    <t xml:space="preserve">  Ulan-Majorat..........................................................................................................................................................................................................................................................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</si>
  <si>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061508 2</t>
  </si>
  <si>
    <t xml:space="preserve">  Wohyń..........................................................................................................................................................................................................................................................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</si>
  <si>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rycki  (6 gmin)</t>
  </si>
  <si>
    <t>061601 1</t>
  </si>
  <si>
    <t xml:space="preserve">  Dęblin..........................................................................................................................................................................................................................................................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</si>
  <si>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061602 2</t>
  </si>
  <si>
    <t xml:space="preserve">  Kłoczew..........................................................................................................................................................................................................................................................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</si>
  <si>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061603 2</t>
  </si>
  <si>
    <t xml:space="preserve">  Nowodwór..........................................................................................................................................................................................................................................................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</si>
  <si>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061605 2</t>
  </si>
  <si>
    <t xml:space="preserve">  Stężyca..........................................................................................................................................................................................................................................................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</si>
  <si>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061606 2</t>
  </si>
  <si>
    <t xml:space="preserve">  Ułęż..........................................................................................................................................................................................................................................................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</si>
  <si>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061604 3</t>
  </si>
  <si>
    <t xml:space="preserve">  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</si>
  <si>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061604 4</t>
  </si>
  <si>
    <t>061604 5</t>
  </si>
  <si>
    <t>Powiat świdnicki  (5 gmin)</t>
  </si>
  <si>
    <t>061701 1</t>
  </si>
  <si>
    <t xml:space="preserve">  Świdnik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</si>
  <si>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061702 2</t>
  </si>
  <si>
    <t xml:space="preserve">  Mełgiew..........................................................................................................................................................................................................................................................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</si>
  <si>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061704 2</t>
  </si>
  <si>
    <t xml:space="preserve">  Rybczewice..........................................................................................................................................................................................................................................................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</si>
  <si>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061705 2</t>
  </si>
  <si>
    <t xml:space="preserve">  Trawniki..........................................................................................................................................................................................................................................................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</si>
  <si>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061703 3</t>
  </si>
  <si>
    <t xml:space="preserve">  Piaski..........................................................................................................................................................................................................................................................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</si>
  <si>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061703 4</t>
  </si>
  <si>
    <t>061703 5</t>
  </si>
  <si>
    <t>Powiat tomaszowski  (13 gmin)</t>
  </si>
  <si>
    <t>061801 1</t>
  </si>
  <si>
    <t xml:space="preserve">  Tomaszów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</si>
  <si>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061802 2</t>
  </si>
  <si>
    <t xml:space="preserve">  Bełżec..........................................................................................................................................................................................................................................................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</si>
  <si>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061803 2</t>
  </si>
  <si>
    <t xml:space="preserve">  Jarczów..........................................................................................................................................................................................................................................................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</si>
  <si>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061804 2</t>
  </si>
  <si>
    <t xml:space="preserve">  Krynice..........................................................................................................................................................................................................................................................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</si>
  <si>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061807 2</t>
  </si>
  <si>
    <t xml:space="preserve">  Rachanie..........................................................................................................................................................................................................................................................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</si>
  <si>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061808 2</t>
  </si>
  <si>
    <t xml:space="preserve">  Susiec..........................................................................................................................................................................................................................................................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</si>
  <si>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061809 2</t>
  </si>
  <si>
    <t xml:space="preserve">  Tarnawatka..........................................................................................................................................................................................................................................................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</si>
  <si>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061810 2</t>
  </si>
  <si>
    <t xml:space="preserve">  Telatyn..........................................................................................................................................................................................................................................................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</si>
  <si>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061811 2</t>
  </si>
  <si>
    <t>061813 2</t>
  </si>
  <si>
    <t xml:space="preserve">  Ulhówek..........................................................................................................................................................................................................................................................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</si>
  <si>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061805 3</t>
  </si>
  <si>
    <t xml:space="preserve">  Lubycza Królewska..........................................................................................................................................................................................................................................................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</si>
  <si>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061805 4</t>
  </si>
  <si>
    <t>061805 5</t>
  </si>
  <si>
    <t xml:space="preserve">     obszar wiejski   rural area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</si>
  <si>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061806 3</t>
  </si>
  <si>
    <t xml:space="preserve">  Łaszczów..........................................................................................................................................................................................................................................................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</si>
  <si>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061806 4</t>
  </si>
  <si>
    <t>061806 5</t>
  </si>
  <si>
    <t>061812 3</t>
  </si>
  <si>
    <t xml:space="preserve">  Tyszowce..........................................................................................................................................................................................................................................................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</si>
  <si>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061812 4</t>
  </si>
  <si>
    <t>061812 5</t>
  </si>
  <si>
    <t>Powiat włodawski  (8 gmin)</t>
  </si>
  <si>
    <t>061901 1</t>
  </si>
  <si>
    <t xml:space="preserve">  Włodawa..........................................................................................................................................................................................................................................................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</si>
  <si>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061902 2</t>
  </si>
  <si>
    <t xml:space="preserve">  Hanna..........................................................................................................................................................................................................................................................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</si>
  <si>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061903 2</t>
  </si>
  <si>
    <t xml:space="preserve">  Hańsk..........................................................................................................................................................................................................................................................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</si>
  <si>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061904 2</t>
  </si>
  <si>
    <t xml:space="preserve">  Stary Brus..........................................................................................................................................................................................................................................................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</si>
  <si>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061905 2</t>
  </si>
  <si>
    <t xml:space="preserve">  Urszulin..........................................................................................................................................................................................................................................................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</si>
  <si>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061906 2</t>
  </si>
  <si>
    <t>061907 2</t>
  </si>
  <si>
    <t xml:space="preserve">  Wola Uhruska..........................................................................................................................................................................................................................................................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</si>
  <si>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061908 2</t>
  </si>
  <si>
    <t xml:space="preserve">  Wyryki..........................................................................................................................................................................................................................................................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</si>
  <si>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zamojski  (15 gmin)</t>
  </si>
  <si>
    <t>062001 2</t>
  </si>
  <si>
    <t>062002 2</t>
  </si>
  <si>
    <t xml:space="preserve">  Grabowiec..........................................................................................................................................................................................................................................................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</si>
  <si>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062003 2</t>
  </si>
  <si>
    <t xml:space="preserve">  Komarów-Osada..........................................................................................................................................................................................................................................................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</si>
  <si>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062005 2</t>
  </si>
  <si>
    <t xml:space="preserve">  Łabunie..........................................................................................................................................................................................................................................................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</si>
  <si>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062006 2</t>
  </si>
  <si>
    <t xml:space="preserve">  Miączyn..........................................................................................................................................................................................................................................................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</si>
  <si>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062007 2</t>
  </si>
  <si>
    <t xml:space="preserve">  Nielisz..........................................................................................................................................................................................................................................................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</si>
  <si>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062008 2</t>
  </si>
  <si>
    <t xml:space="preserve">  Radecznica..........................................................................................................................................................................................................................................................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</si>
  <si>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062009 2</t>
  </si>
  <si>
    <t xml:space="preserve">  Sitno..........................................................................................................................................................................................................................................................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</si>
  <si>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062010 2</t>
  </si>
  <si>
    <t xml:space="preserve">  Skierbieszów..........................................................................................................................................................................................................................................................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</si>
  <si>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062011 2</t>
  </si>
  <si>
    <t xml:space="preserve">  Stary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</si>
  <si>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062012 2</t>
  </si>
  <si>
    <t xml:space="preserve">  Sułów..........................................................................................................................................................................................................................................................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</si>
  <si>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062014 2</t>
  </si>
  <si>
    <t xml:space="preserve"> 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</si>
  <si>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062004 3</t>
  </si>
  <si>
    <t xml:space="preserve">  Krasnobród..........................................................................................................................................................................................................................................................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</si>
  <si>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062004 4</t>
  </si>
  <si>
    <t>062004 5</t>
  </si>
  <si>
    <t>062013 3</t>
  </si>
  <si>
    <t xml:space="preserve">  Szczebrzeszyn..........................................................................................................................................................................................................................................................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</si>
  <si>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062013 4</t>
  </si>
  <si>
    <t>062013 5</t>
  </si>
  <si>
    <t>062015 3</t>
  </si>
  <si>
    <t xml:space="preserve">  Zwierzyniec..........................................................................................................................................................................................................................................................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</si>
  <si>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062015 4</t>
  </si>
  <si>
    <t>062015 5</t>
  </si>
  <si>
    <t>066101 1</t>
  </si>
  <si>
    <t>066201 1</t>
  </si>
  <si>
    <t>066301 1</t>
  </si>
  <si>
    <t xml:space="preserve">  Lublin..........................................................................................................................................................................................................................................................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</si>
  <si>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066401 1</t>
  </si>
  <si>
    <t>Powiat gorzowski  (7 gmin)</t>
  </si>
  <si>
    <t>080101 1</t>
  </si>
  <si>
    <t xml:space="preserve">  Kostrzyn nad Odrą..........................................................................................................................................................................................................................................................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</si>
  <si>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080102 2</t>
  </si>
  <si>
    <t xml:space="preserve">  Bogdaniec..........................................................................................................................................................................................................................................................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</si>
  <si>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080103 2</t>
  </si>
  <si>
    <t xml:space="preserve">  Deszczno..........................................................................................................................................................................................................................................................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</si>
  <si>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080104 2</t>
  </si>
  <si>
    <t xml:space="preserve">  Kłodawa..........................................................................................................................................................................................................................................................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</si>
  <si>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080105 2</t>
  </si>
  <si>
    <t xml:space="preserve">  Lubiszyn..........................................................................................................................................................................................................................................................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</si>
  <si>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080106 2</t>
  </si>
  <si>
    <t xml:space="preserve">  Santok..........................................................................................................................................................................................................................................................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</si>
  <si>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080107 3</t>
  </si>
  <si>
    <t xml:space="preserve">  Witnica..........................................................................................................................................................................................................................................................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</si>
  <si>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080107 4</t>
  </si>
  <si>
    <t>080107 5</t>
  </si>
  <si>
    <t>Powiat krośnieński  (7 gmin)</t>
  </si>
  <si>
    <t>080201 1</t>
  </si>
  <si>
    <t xml:space="preserve">  Gubin..........................................................................................................................................................................................................................................................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</si>
  <si>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080202 2</t>
  </si>
  <si>
    <t xml:space="preserve">  Bobrowice..........................................................................................................................................................................................................................................................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</si>
  <si>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080203 2</t>
  </si>
  <si>
    <t xml:space="preserve">  Bytnica..........................................................................................................................................................................................................................................................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</si>
  <si>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080204 2</t>
  </si>
  <si>
    <t xml:space="preserve">  Dąbie..........................................................................................................................................................................................................................................................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</si>
  <si>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080205 2</t>
  </si>
  <si>
    <t>080207 2</t>
  </si>
  <si>
    <t xml:space="preserve">  Maszewo..........................................................................................................................................................................................................................................................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</si>
  <si>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080206 3</t>
  </si>
  <si>
    <t xml:space="preserve">  Krosno Odrzańskie..........................................................................................................................................................................................................................................................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</si>
  <si>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080206 4</t>
  </si>
  <si>
    <t>080206 5</t>
  </si>
  <si>
    <t>Powiat międzyrzecki  (6 gmin)</t>
  </si>
  <si>
    <t>080301 2</t>
  </si>
  <si>
    <t xml:space="preserve">  Bledzew..........................................................................................................................................................................................................................................................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</si>
  <si>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080303 2</t>
  </si>
  <si>
    <t xml:space="preserve">  Przytoczna..........................................................................................................................................................................................................................................................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</si>
  <si>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080304 2</t>
  </si>
  <si>
    <t xml:space="preserve">  Pszczew..........................................................................................................................................................................................................................................................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</si>
  <si>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080302 3</t>
  </si>
  <si>
    <t xml:space="preserve">  Międzyrzecz..........................................................................................................................................................................................................................................................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</si>
  <si>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080302 4</t>
  </si>
  <si>
    <t>080302 5</t>
  </si>
  <si>
    <t>080305 3</t>
  </si>
  <si>
    <t xml:space="preserve">  Skwierzyna..........................................................................................................................................................................................................................................................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</si>
  <si>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080305 4</t>
  </si>
  <si>
    <t>080305 5</t>
  </si>
  <si>
    <t>080306 3</t>
  </si>
  <si>
    <t xml:space="preserve">  Trzciel..........................................................................................................................................................................................................................................................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</si>
  <si>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080306 4</t>
  </si>
  <si>
    <t>080306 5</t>
  </si>
  <si>
    <t>Powiat nowosolski  (8 gmin)</t>
  </si>
  <si>
    <t>080401 1</t>
  </si>
  <si>
    <t xml:space="preserve">  Nowa Sól..........................................................................................................................................................................................................................................................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</si>
  <si>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080403 2</t>
  </si>
  <si>
    <t xml:space="preserve">  Kolsko..........................................................................................................................................................................................................................................................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</si>
  <si>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080405 2</t>
  </si>
  <si>
    <t>080408 2</t>
  </si>
  <si>
    <t xml:space="preserve">  Siedlisko..........................................................................................................................................................................................................................................................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</si>
  <si>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080402 3</t>
  </si>
  <si>
    <t xml:space="preserve">  Bytom Odrzański..........................................................................................................................................................................................................................................................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</si>
  <si>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080402 4</t>
  </si>
  <si>
    <t>080402 5</t>
  </si>
  <si>
    <t>080404 3</t>
  </si>
  <si>
    <t xml:space="preserve">  Kożuchów..........................................................................................................................................................................................................................................................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</si>
  <si>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080404 4</t>
  </si>
  <si>
    <t>080404 5</t>
  </si>
  <si>
    <t>080406 3</t>
  </si>
  <si>
    <t xml:space="preserve">  Nowe Miasteczko..........................................................................................................................................................................................................................................................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</si>
  <si>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080406 4</t>
  </si>
  <si>
    <t>080406 5</t>
  </si>
  <si>
    <t>080407 3</t>
  </si>
  <si>
    <t xml:space="preserve">  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</si>
  <si>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080407 4</t>
  </si>
  <si>
    <t>080407 5</t>
  </si>
  <si>
    <t>Powiat słubicki  (5 gmin)</t>
  </si>
  <si>
    <t>080502 2</t>
  </si>
  <si>
    <t xml:space="preserve">  Górzyca..........................................................................................................................................................................................................................................................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</si>
  <si>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080501 3</t>
  </si>
  <si>
    <t xml:space="preserve">  Cybinka..........................................................................................................................................................................................................................................................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</si>
  <si>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080501 4</t>
  </si>
  <si>
    <t>080501 5</t>
  </si>
  <si>
    <t>080503 3</t>
  </si>
  <si>
    <t xml:space="preserve">  Ośno Lubuskie..........................................................................................................................................................................................................................................................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</si>
  <si>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080503 4</t>
  </si>
  <si>
    <t>080503 5</t>
  </si>
  <si>
    <t>080504 3</t>
  </si>
  <si>
    <t xml:space="preserve">  Rzepin..........................................................................................................................................................................................................................................................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</si>
  <si>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080504 4</t>
  </si>
  <si>
    <t>080504 5</t>
  </si>
  <si>
    <t>080505 3</t>
  </si>
  <si>
    <t xml:space="preserve">  Słubice..........................................................................................................................................................................................................................................................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</si>
  <si>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080505 4</t>
  </si>
  <si>
    <t>080505 5</t>
  </si>
  <si>
    <t>Powiat strzelecko-drezdenecki  (5 gmin)</t>
  </si>
  <si>
    <t>080603 2</t>
  </si>
  <si>
    <t xml:space="preserve">  Stare Kurowo..........................................................................................................................................................................................................................................................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</si>
  <si>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080605 2</t>
  </si>
  <si>
    <t xml:space="preserve">  Zwierzyn..........................................................................................................................................................................................................................................................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</si>
  <si>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080601 3</t>
  </si>
  <si>
    <t xml:space="preserve">  Dobiegniew..........................................................................................................................................................................................................................................................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</si>
  <si>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080601 4</t>
  </si>
  <si>
    <t>080601 5</t>
  </si>
  <si>
    <t>080602 3</t>
  </si>
  <si>
    <t xml:space="preserve">  Drezdenko..........................................................................................................................................................................................................................................................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</si>
  <si>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080602 4</t>
  </si>
  <si>
    <t>080602 5</t>
  </si>
  <si>
    <t>080604 3</t>
  </si>
  <si>
    <t xml:space="preserve">  Strzelce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</si>
  <si>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080604 4</t>
  </si>
  <si>
    <t>080604 5</t>
  </si>
  <si>
    <t>Powiat sulęciński  (5 gmin)</t>
  </si>
  <si>
    <t>080701 2</t>
  </si>
  <si>
    <t xml:space="preserve">  Krzeszyce..........................................................................................................................................................................................................................................................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</si>
  <si>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080703 2</t>
  </si>
  <si>
    <t xml:space="preserve">  Słońsk..........................................................................................................................................................................................................................................................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</si>
  <si>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gminy miejsko-wiejskie</t>
    </r>
    <r>
      <rPr>
        <sz val="8"/>
        <color rgb="FF808080"/>
        <rFont val="Arial"/>
        <family val="2"/>
        <charset val="238"/>
      </rPr>
      <t xml:space="preserve">   urban-rural gminas</t>
    </r>
  </si>
  <si>
    <t>080702 3</t>
  </si>
  <si>
    <t xml:space="preserve">  Lubniewice..........................................................................................................................................................................................................................................................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</si>
  <si>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080702 4</t>
  </si>
  <si>
    <t>080702 5</t>
  </si>
  <si>
    <t>080704 3</t>
  </si>
  <si>
    <t xml:space="preserve">  Sulęcin..........................................................................................................................................................................................................................................................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</si>
  <si>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080704 4</t>
  </si>
  <si>
    <t>080704 5</t>
  </si>
  <si>
    <t>080705 3</t>
  </si>
  <si>
    <t xml:space="preserve">  Torzym..........................................................................................................................................................................................................................................................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</si>
  <si>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080705 4</t>
  </si>
  <si>
    <t>080705 5</t>
  </si>
  <si>
    <t>Powiat świebodziński  (6 gmin)</t>
  </si>
  <si>
    <t>080801 2</t>
  </si>
  <si>
    <t xml:space="preserve">  Lubrza..........................................................................................................................................................................................................................................................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</si>
  <si>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080802 2</t>
  </si>
  <si>
    <t xml:space="preserve">  Łagów..........................................................................................................................................................................................................................................................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</si>
  <si>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080803 2</t>
  </si>
  <si>
    <t xml:space="preserve">  Skąpe..........................................................................................................................................................................................................................................................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</si>
  <si>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080804 2</t>
  </si>
  <si>
    <t xml:space="preserve">  Szczaniec..........................................................................................................................................................................................................................................................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</si>
  <si>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080805 3</t>
  </si>
  <si>
    <t xml:space="preserve">  Świebodzin..........................................................................................................................................................................................................................................................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</si>
  <si>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080805 4</t>
  </si>
  <si>
    <t>080805 5</t>
  </si>
  <si>
    <t>080806 3</t>
  </si>
  <si>
    <t xml:space="preserve">  Zbąszynek..........................................................................................................................................................................................................................................................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</si>
  <si>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080806 4</t>
  </si>
  <si>
    <t>080806 5</t>
  </si>
  <si>
    <t>Powiat wschowski  (3 gminy)</t>
  </si>
  <si>
    <t>081201 3</t>
  </si>
  <si>
    <t xml:space="preserve">  Sława..........................................................................................................................................................................................................................................................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</si>
  <si>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081201 4</t>
  </si>
  <si>
    <t>081201 5</t>
  </si>
  <si>
    <t>081202 3</t>
  </si>
  <si>
    <t xml:space="preserve">  Szlichtyngowa..........................................................................................................................................................................................................................................................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</si>
  <si>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081202 4</t>
  </si>
  <si>
    <t>081202 5</t>
  </si>
  <si>
    <t>081203 3</t>
  </si>
  <si>
    <t xml:space="preserve">  Wschowa..........................................................................................................................................................................................................................................................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</si>
  <si>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081203 4</t>
  </si>
  <si>
    <t>081203 5</t>
  </si>
  <si>
    <t>Powiat zielonogórski  (9 gmin)</t>
  </si>
  <si>
    <t>080902 2</t>
  </si>
  <si>
    <t xml:space="preserve">  Bojadła..........................................................................................................................................................................................................................................................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</si>
  <si>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080907 2</t>
  </si>
  <si>
    <t>080908 2</t>
  </si>
  <si>
    <t xml:space="preserve">  Trzebiechów..........................................................................................................................................................................................................................................................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</si>
  <si>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080909 2</t>
  </si>
  <si>
    <t xml:space="preserve">  Zabór..........................................................................................................................................................................................................................................................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</si>
  <si>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080901 3</t>
  </si>
  <si>
    <t xml:space="preserve">  Babimost..........................................................................................................................................................................................................................................................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</si>
  <si>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080901 4</t>
  </si>
  <si>
    <t>080901 5</t>
  </si>
  <si>
    <t>080903 3</t>
  </si>
  <si>
    <t xml:space="preserve">  Czerwieńsk..........................................................................................................................................................................................................................................................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</si>
  <si>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080903 4</t>
  </si>
  <si>
    <t>080903 5</t>
  </si>
  <si>
    <t>080904 3</t>
  </si>
  <si>
    <t xml:space="preserve">  Kargowa..........................................................................................................................................................................................................................................................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</si>
  <si>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080904 4</t>
  </si>
  <si>
    <t>080904 5</t>
  </si>
  <si>
    <t>080905 3</t>
  </si>
  <si>
    <t xml:space="preserve">  Nowogród Bobrzański..........................................................................................................................................................................................................................................................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</si>
  <si>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080905 4</t>
  </si>
  <si>
    <t>080905 5</t>
  </si>
  <si>
    <t>080906 3</t>
  </si>
  <si>
    <t xml:space="preserve">  Sulechów..........................................................................................................................................................................................................................................................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</si>
  <si>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080906 4</t>
  </si>
  <si>
    <t>080906 5</t>
  </si>
  <si>
    <t>Powiat żagański  (9 gmin)</t>
  </si>
  <si>
    <t>081001 1</t>
  </si>
  <si>
    <t xml:space="preserve">  Gozdnica..........................................................................................................................................................................................................................................................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</si>
  <si>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081002 1</t>
  </si>
  <si>
    <t xml:space="preserve">  Żagań..........................................................................................................................................................................................................................................................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</si>
  <si>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081003 2</t>
  </si>
  <si>
    <t xml:space="preserve"> 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</si>
  <si>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081006 2</t>
  </si>
  <si>
    <t xml:space="preserve">  Niegosławice..........................................................................................................................................................................................................................................................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</si>
  <si>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081008 2</t>
  </si>
  <si>
    <t xml:space="preserve">  Wymiarki..........................................................................................................................................................................................................................................................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</si>
  <si>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081009 2</t>
  </si>
  <si>
    <t>081004 3</t>
  </si>
  <si>
    <t xml:space="preserve">  Iłowa..........................................................................................................................................................................................................................................................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</si>
  <si>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081004 4</t>
  </si>
  <si>
    <t>081004 5</t>
  </si>
  <si>
    <t>081005 3</t>
  </si>
  <si>
    <t xml:space="preserve">  Małomice..........................................................................................................................................................................................................................................................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</si>
  <si>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081005 4</t>
  </si>
  <si>
    <t>081005 5</t>
  </si>
  <si>
    <t>081007 3</t>
  </si>
  <si>
    <t xml:space="preserve">  Szprotawa..........................................................................................................................................................................................................................................................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</si>
  <si>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081007 4</t>
  </si>
  <si>
    <t>081007 5</t>
  </si>
  <si>
    <t>Powiat żarski  (10 gmin)</t>
  </si>
  <si>
    <t>081101 1</t>
  </si>
  <si>
    <t xml:space="preserve">  Łęknica..........................................................................................................................................................................................................................................................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</si>
  <si>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081102 1</t>
  </si>
  <si>
    <t xml:space="preserve">  Żary..........................................................................................................................................................................................................................................................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</si>
  <si>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081103 2</t>
  </si>
  <si>
    <t xml:space="preserve">  Brody..........................................................................................................................................................................................................................................................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</si>
  <si>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081105 2</t>
  </si>
  <si>
    <t xml:space="preserve">  Lipinki Łużyckie..........................................................................................................................................................................................................................................................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</si>
  <si>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081107 2</t>
  </si>
  <si>
    <t xml:space="preserve">  Przewóz..........................................................................................................................................................................................................................................................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</si>
  <si>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081108 2</t>
  </si>
  <si>
    <t xml:space="preserve">  Trzebiel..........................................................................................................................................................................................................................................................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</si>
  <si>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081109 2</t>
  </si>
  <si>
    <t xml:space="preserve">  Tuplice..........................................................................................................................................................................................................................................................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</si>
  <si>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081110 2</t>
  </si>
  <si>
    <t>081104 3</t>
  </si>
  <si>
    <t xml:space="preserve">  Jasień..........................................................................................................................................................................................................................................................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</si>
  <si>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081104 4</t>
  </si>
  <si>
    <t>081104 5</t>
  </si>
  <si>
    <t>081106 3</t>
  </si>
  <si>
    <t xml:space="preserve">  Lubsko..........................................................................................................................................................................................................................................................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</si>
  <si>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081106 4</t>
  </si>
  <si>
    <t>081106 5</t>
  </si>
  <si>
    <r>
      <t xml:space="preserve">Miasta na prawach powiatu (2)  </t>
    </r>
    <r>
      <rPr>
        <b/>
        <sz val="8"/>
        <color rgb="FF808080"/>
        <rFont val="Arial"/>
        <family val="2"/>
        <charset val="238"/>
      </rPr>
      <t xml:space="preserve"> Cities with powiat status (2)</t>
    </r>
  </si>
  <si>
    <t>086101 1</t>
  </si>
  <si>
    <t xml:space="preserve">  Gorzów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</si>
  <si>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086201 1</t>
  </si>
  <si>
    <t xml:space="preserve">  Zielona Góra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</si>
  <si>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bełchatowski  (8 gmin)</t>
  </si>
  <si>
    <t>100101 1</t>
  </si>
  <si>
    <t xml:space="preserve">  Bełchatów..........................................................................................................................................................................................................................................................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</si>
  <si>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100102 2</t>
  </si>
  <si>
    <t>100103 2</t>
  </si>
  <si>
    <t xml:space="preserve">  Drużbice..........................................................................................................................................................................................................................................................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</si>
  <si>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100104 2</t>
  </si>
  <si>
    <t xml:space="preserve">  Kleszczów..........................................................................................................................................................................................................................................................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</si>
  <si>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100105 2</t>
  </si>
  <si>
    <t xml:space="preserve">  Kluki..........................................................................................................................................................................................................................................................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</si>
  <si>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100106 2</t>
  </si>
  <si>
    <t xml:space="preserve">  Rusiec..........................................................................................................................................................................................................................................................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</si>
  <si>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100107 2</t>
  </si>
  <si>
    <t xml:space="preserve">  Szczerców..........................................................................................................................................................................................................................................................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</si>
  <si>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100108 3</t>
  </si>
  <si>
    <t xml:space="preserve">  Zelów..........................................................................................................................................................................................................................................................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</si>
  <si>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100108 4</t>
  </si>
  <si>
    <t>100108 5</t>
  </si>
  <si>
    <t>Powiat brzeziński  (5 gmin)</t>
  </si>
  <si>
    <t>102101 1</t>
  </si>
  <si>
    <t xml:space="preserve">  Brzeziny..........................................................................................................................................................................................................................................................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</si>
  <si>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102102 2</t>
  </si>
  <si>
    <t>102103 2</t>
  </si>
  <si>
    <t xml:space="preserve">  Dmosin..........................................................................................................................................................................................................................................................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</si>
  <si>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102104 2</t>
  </si>
  <si>
    <t xml:space="preserve">  Jeżów..........................................................................................................................................................................................................................................................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</si>
  <si>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102105 2</t>
  </si>
  <si>
    <t xml:space="preserve">  Rogów..........................................................................................................................................................................................................................................................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</si>
  <si>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kutnowski  (11 gmin)</t>
  </si>
  <si>
    <t>100201 1</t>
  </si>
  <si>
    <t xml:space="preserve">  Kutno..........................................................................................................................................................................................................................................................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</si>
  <si>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100202 2</t>
  </si>
  <si>
    <t xml:space="preserve">  Bedlno..........................................................................................................................................................................................................................................................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</si>
  <si>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100203 2</t>
  </si>
  <si>
    <t xml:space="preserve">  Dąbrowice..........................................................................................................................................................................................................................................................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</si>
  <si>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100205 2</t>
  </si>
  <si>
    <t xml:space="preserve">  Krzyżanów..........................................................................................................................................................................................................................................................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</si>
  <si>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100206 2</t>
  </si>
  <si>
    <t>100207 2</t>
  </si>
  <si>
    <t xml:space="preserve">  Łanięta..........................................................................................................................................................................................................................................................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</si>
  <si>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100208 2</t>
  </si>
  <si>
    <t xml:space="preserve">  Nowe Ostrowy..........................................................................................................................................................................................................................................................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</si>
  <si>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100209 2</t>
  </si>
  <si>
    <t xml:space="preserve">  Oporów..........................................................................................................................................................................................................................................................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</si>
  <si>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100210 2</t>
  </si>
  <si>
    <t xml:space="preserve">  Strzelce..........................................................................................................................................................................................................................................................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</si>
  <si>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100204 3</t>
  </si>
  <si>
    <t xml:space="preserve">  Krośniewice..........................................................................................................................................................................................................................................................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</si>
  <si>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100204 4</t>
  </si>
  <si>
    <t>100204 5</t>
  </si>
  <si>
    <t>100211 3</t>
  </si>
  <si>
    <t xml:space="preserve">  Żychlin..........................................................................................................................................................................................................................................................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</si>
  <si>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100211 4</t>
  </si>
  <si>
    <t>100211 5</t>
  </si>
  <si>
    <t>Powiat łaski  (5 gmin)</t>
  </si>
  <si>
    <t>100301 2</t>
  </si>
  <si>
    <t xml:space="preserve">  Buczek..........................................................................................................................................................................................................................................................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</si>
  <si>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100303 2</t>
  </si>
  <si>
    <t xml:space="preserve">  Sędziejowice..........................................................................................................................................................................................................................................................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</si>
  <si>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100304 2</t>
  </si>
  <si>
    <t xml:space="preserve">  Widawa..........................................................................................................................................................................................................................................................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</si>
  <si>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100305 2</t>
  </si>
  <si>
    <t xml:space="preserve">  Wodzierady..........................................................................................................................................................................................................................................................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</si>
  <si>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100302 3</t>
  </si>
  <si>
    <t xml:space="preserve">  Łask..........................................................................................................................................................................................................................................................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</si>
  <si>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100302 4</t>
  </si>
  <si>
    <t>100302 5</t>
  </si>
  <si>
    <t>Powiat łęczycki  (8 gmin)</t>
  </si>
  <si>
    <t>100401 1</t>
  </si>
  <si>
    <t xml:space="preserve">  Łęczyca..........................................................................................................................................................................................................................................................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</si>
  <si>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100402 2</t>
  </si>
  <si>
    <t xml:space="preserve">  Daszyna..........................................................................................................................................................................................................................................................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</si>
  <si>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100403 2</t>
  </si>
  <si>
    <t xml:space="preserve">  Góra Świętej Małgorzaty..........................................................................................................................................................................................................................................................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</si>
  <si>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100404 2</t>
  </si>
  <si>
    <t xml:space="preserve">  Grabów..........................................................................................................................................................................................................................................................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</si>
  <si>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100405 2</t>
  </si>
  <si>
    <t>100407 2</t>
  </si>
  <si>
    <t xml:space="preserve">  Świnice Warckie..........................................................................................................................................................................................................................................................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</si>
  <si>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100408 2</t>
  </si>
  <si>
    <t xml:space="preserve">  Witonia..........................................................................................................................................................................................................................................................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</si>
  <si>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</t>
    </r>
    <r>
      <rPr>
        <sz val="8"/>
        <color rgb="FF808080"/>
        <rFont val="Arial"/>
        <family val="2"/>
        <charset val="238"/>
      </rPr>
      <t xml:space="preserve">  urban-rural gmina</t>
    </r>
  </si>
  <si>
    <t>100406 3</t>
  </si>
  <si>
    <t xml:space="preserve">  Piątek..........................................................................................................................................................................................................................................................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</si>
  <si>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100406 4</t>
  </si>
  <si>
    <t>100406 5</t>
  </si>
  <si>
    <t>Powiat łowicki  (10 gmin)</t>
  </si>
  <si>
    <t>100501 1</t>
  </si>
  <si>
    <t xml:space="preserve">  Łowicz..........................................................................................................................................................................................................................................................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</si>
  <si>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100502 2</t>
  </si>
  <si>
    <t xml:space="preserve">  Bielawy..........................................................................................................................................................................................................................................................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</si>
  <si>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100503 2</t>
  </si>
  <si>
    <t xml:space="preserve">  Chąśno..........................................................................................................................................................................................................................................................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</si>
  <si>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100504 2</t>
  </si>
  <si>
    <t xml:space="preserve">  Domaniewice..........................................................................................................................................................................................................................................................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</si>
  <si>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100505 2</t>
  </si>
  <si>
    <t xml:space="preserve">  Kiernozia..........................................................................................................................................................................................................................................................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</si>
  <si>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100506 2</t>
  </si>
  <si>
    <t xml:space="preserve">  Kocierzew Południowy..........................................................................................................................................................................................................................................................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</si>
  <si>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100507 2</t>
  </si>
  <si>
    <t>100508 2</t>
  </si>
  <si>
    <t xml:space="preserve">  Łyszkowice..........................................................................................................................................................................................................................................................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</si>
  <si>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100509 2</t>
  </si>
  <si>
    <t xml:space="preserve">  Nieborów..........................................................................................................................................................................................................................................................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</si>
  <si>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100510 2</t>
  </si>
  <si>
    <t xml:space="preserve">  Zduny..........................................................................................................................................................................................................................................................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</si>
  <si>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łódzki wschodni  (6 gmin)</t>
  </si>
  <si>
    <t>100602 2</t>
  </si>
  <si>
    <t xml:space="preserve">  Andrespol..........................................................................................................................................................................................................................................................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</si>
  <si>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100603 2</t>
  </si>
  <si>
    <t xml:space="preserve">  Brójce..........................................................................................................................................................................................................................................................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</si>
  <si>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100608 2</t>
  </si>
  <si>
    <t xml:space="preserve">  Nowosolna..........................................................................................................................................................................................................................................................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</si>
  <si>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100607 3</t>
  </si>
  <si>
    <t xml:space="preserve">  Koluszki..........................................................................................................................................................................................................................................................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</si>
  <si>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100607 4</t>
  </si>
  <si>
    <t>100607 5</t>
  </si>
  <si>
    <t>100610 3</t>
  </si>
  <si>
    <t xml:space="preserve">  Rzgów..........................................................................................................................................................................................................................................................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</si>
  <si>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100610 4</t>
  </si>
  <si>
    <t>100610 5</t>
  </si>
  <si>
    <t>100611 3</t>
  </si>
  <si>
    <t xml:space="preserve">  Tuszyn..........................................................................................................................................................................................................................................................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</si>
  <si>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100611 4</t>
  </si>
  <si>
    <t>100611 5</t>
  </si>
  <si>
    <t>Powiat opoczyński  (8 gmin)</t>
  </si>
  <si>
    <t>100701 2</t>
  </si>
  <si>
    <t xml:space="preserve">  Białaczów..........................................................................................................................................................................................................................................................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</si>
  <si>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100703 2</t>
  </si>
  <si>
    <t xml:space="preserve">  Mniszków..........................................................................................................................................................................................................................................................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</si>
  <si>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100705 2</t>
  </si>
  <si>
    <t xml:space="preserve">  Paradyż..........................................................................................................................................................................................................................................................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</si>
  <si>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100706 2</t>
  </si>
  <si>
    <t xml:space="preserve">  Poświętne..........................................................................................................................................................................................................................................................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</si>
  <si>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100707 2</t>
  </si>
  <si>
    <t xml:space="preserve">  Sławno..........................................................................................................................................................................................................................................................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</si>
  <si>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100708 2</t>
  </si>
  <si>
    <t xml:space="preserve">  Żarnów..........................................................................................................................................................................................................................................................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</si>
  <si>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100702 3</t>
  </si>
  <si>
    <t xml:space="preserve">  Drzewica..........................................................................................................................................................................................................................................................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</si>
  <si>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100702 4</t>
  </si>
  <si>
    <t>100702 5</t>
  </si>
  <si>
    <t>100704 3</t>
  </si>
  <si>
    <t xml:space="preserve">  Opoczno..........................................................................................................................................................................................................................................................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</si>
  <si>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100704 4</t>
  </si>
  <si>
    <t>100704 5</t>
  </si>
  <si>
    <t>Powiat pabianicki  (7 gmin)</t>
  </si>
  <si>
    <t>100801 1</t>
  </si>
  <si>
    <t xml:space="preserve">  Konstantynów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</si>
  <si>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100802 1</t>
  </si>
  <si>
    <t xml:space="preserve">  Pabianice..........................................................................................................................................................................................................................................................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</si>
  <si>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100803 2</t>
  </si>
  <si>
    <t xml:space="preserve">  Dłutów..........................................................................................................................................................................................................................................................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</si>
  <si>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100804 2</t>
  </si>
  <si>
    <t xml:space="preserve">  Dobroń..........................................................................................................................................................................................................................................................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</si>
  <si>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100805 2</t>
  </si>
  <si>
    <t xml:space="preserve">  Ksawerów..........................................................................................................................................................................................................................................................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</si>
  <si>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100806 2</t>
  </si>
  <si>
    <t xml:space="preserve">  Lutomiersk..........................................................................................................................................................................................................................................................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</si>
  <si>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100807 2</t>
  </si>
  <si>
    <t>Powiat pajęczański  (8 gmin)</t>
  </si>
  <si>
    <t>100902 2</t>
  </si>
  <si>
    <t xml:space="preserve">  Kiełczygłów..........................................................................................................................................................................................................................................................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</si>
  <si>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100903 2</t>
  </si>
  <si>
    <t xml:space="preserve">  Nowa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</si>
  <si>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100905 2</t>
  </si>
  <si>
    <t xml:space="preserve">  Rząśnia..........................................................................................................................................................................................................................................................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</si>
  <si>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100906 2</t>
  </si>
  <si>
    <t xml:space="preserve">  Siemkowice..........................................................................................................................................................................................................................................................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</si>
  <si>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100907 2</t>
  </si>
  <si>
    <t xml:space="preserve">  Strzelce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</si>
  <si>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100908 2</t>
  </si>
  <si>
    <t xml:space="preserve">  Sulmierzyce..........................................................................................................................................................................................................................................................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</si>
  <si>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100901 3</t>
  </si>
  <si>
    <t xml:space="preserve">  Działoszyn..........................................................................................................................................................................................................................................................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</si>
  <si>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100901 4</t>
  </si>
  <si>
    <t>100901 5</t>
  </si>
  <si>
    <t>100904 3</t>
  </si>
  <si>
    <t xml:space="preserve">  Pajęczno..........................................................................................................................................................................................................................................................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</si>
  <si>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100904 4</t>
  </si>
  <si>
    <t>100904 5</t>
  </si>
  <si>
    <t>Powiat piotrkowski  (11 gmin)</t>
  </si>
  <si>
    <t>101001 2</t>
  </si>
  <si>
    <t>101002 2</t>
  </si>
  <si>
    <t xml:space="preserve">  Czarnocin..........................................................................................................................................................................................................................................................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</si>
  <si>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101003 2</t>
  </si>
  <si>
    <t xml:space="preserve">  Gorzkowice..........................................................................................................................................................................................................................................................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</si>
  <si>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101004 2</t>
  </si>
  <si>
    <t xml:space="preserve">  Grabica..........................................................................................................................................................................................................................................................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</si>
  <si>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101005 2</t>
  </si>
  <si>
    <t xml:space="preserve">  Łęki Szlacheckie..........................................................................................................................................................................................................................................................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</si>
  <si>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101006 2</t>
  </si>
  <si>
    <t xml:space="preserve">  Moszczenica..........................................................................................................................................................................................................................................................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</si>
  <si>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101007 2</t>
  </si>
  <si>
    <t xml:space="preserve">  Ręczno..........................................................................................................................................................................................................................................................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</si>
  <si>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101008 2</t>
  </si>
  <si>
    <t xml:space="preserve">  Rozprza..........................................................................................................................................................................................................................................................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</si>
  <si>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101010 2</t>
  </si>
  <si>
    <t xml:space="preserve">  Wola Krzysztoporska..........................................................................................................................................................................................................................................................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</si>
  <si>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101009 3</t>
  </si>
  <si>
    <t xml:space="preserve">  Sulejów..........................................................................................................................................................................................................................................................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</si>
  <si>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101009 4</t>
  </si>
  <si>
    <t>101009 5</t>
  </si>
  <si>
    <t>101011 3</t>
  </si>
  <si>
    <t xml:space="preserve">  Wolbórz..........................................................................................................................................................................................................................................................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</si>
  <si>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101011 4</t>
  </si>
  <si>
    <t>101011 5</t>
  </si>
  <si>
    <t>Powiat poddębicki  (6 gmin)</t>
  </si>
  <si>
    <t>101101 2</t>
  </si>
  <si>
    <t xml:space="preserve">  Dalików..........................................................................................................................................................................................................................................................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</si>
  <si>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101102 2</t>
  </si>
  <si>
    <t xml:space="preserve">  Pęczniew..........................................................................................................................................................................................................................................................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</si>
  <si>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101105 2</t>
  </si>
  <si>
    <t xml:space="preserve">  Wartkowice..........................................................................................................................................................................................................................................................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</si>
  <si>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101106 2</t>
  </si>
  <si>
    <t xml:space="preserve">  Zadzim..........................................................................................................................................................................................................................................................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</si>
  <si>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101103 3</t>
  </si>
  <si>
    <t xml:space="preserve">  Poddębice..........................................................................................................................................................................................................................................................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</si>
  <si>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101103 4</t>
  </si>
  <si>
    <t>101103 5</t>
  </si>
  <si>
    <t>101104 3</t>
  </si>
  <si>
    <t xml:space="preserve">  Uniejów..........................................................................................................................................................................................................................................................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</si>
  <si>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101104 4</t>
  </si>
  <si>
    <t>101104 5</t>
  </si>
  <si>
    <t>Powiat radomszczański  (14 gmin)</t>
  </si>
  <si>
    <t>101201 1</t>
  </si>
  <si>
    <t xml:space="preserve">  Radomsko..........................................................................................................................................................................................................................................................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</si>
  <si>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101202 2</t>
  </si>
  <si>
    <t xml:space="preserve">  Dobryszyce..........................................................................................................................................................................................................................................................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</si>
  <si>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101203 2</t>
  </si>
  <si>
    <t xml:space="preserve">  Gidle..........................................................................................................................................................................................................................................................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</si>
  <si>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101204 2</t>
  </si>
  <si>
    <t xml:space="preserve">  Gomunice..........................................................................................................................................................................................................................................................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</si>
  <si>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101206 2</t>
  </si>
  <si>
    <t xml:space="preserve">  Kobiele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</si>
  <si>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101207 2</t>
  </si>
  <si>
    <t xml:space="preserve">  Kodrąb..........................................................................................................................................................................................................................................................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</si>
  <si>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101208 2</t>
  </si>
  <si>
    <t xml:space="preserve">  Lgota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</si>
  <si>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101209 2</t>
  </si>
  <si>
    <t xml:space="preserve">  Ładzice..........................................................................................................................................................................................................................................................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</si>
  <si>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101210 2</t>
  </si>
  <si>
    <t xml:space="preserve">  Masłowice..........................................................................................................................................................................................................................................................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</si>
  <si>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101212 2</t>
  </si>
  <si>
    <t>101213 2</t>
  </si>
  <si>
    <t xml:space="preserve">  Wielgomłyny..........................................................................................................................................................................................................................................................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</si>
  <si>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101214 2</t>
  </si>
  <si>
    <t xml:space="preserve">  Żytno..........................................................................................................................................................................................................................................................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</si>
  <si>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101205 3</t>
  </si>
  <si>
    <t xml:space="preserve">  Kamieńsk..........................................................................................................................................................................................................................................................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</si>
  <si>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101205 4</t>
  </si>
  <si>
    <t>101205 5</t>
  </si>
  <si>
    <t>101211 3</t>
  </si>
  <si>
    <t xml:space="preserve">  Przedbórz..........................................................................................................................................................................................................................................................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</si>
  <si>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101211 4</t>
  </si>
  <si>
    <t>101211 5</t>
  </si>
  <si>
    <t>Powiat rawski  (6 gmin)</t>
  </si>
  <si>
    <t>101301 1</t>
  </si>
  <si>
    <t xml:space="preserve">  Rawa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</si>
  <si>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101303 2</t>
  </si>
  <si>
    <t xml:space="preserve">  Cielądz..........................................................................................................................................................................................................................................................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</si>
  <si>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101304 2</t>
  </si>
  <si>
    <t>101305 2</t>
  </si>
  <si>
    <t xml:space="preserve">  Regnów..........................................................................................................................................................................................................................................................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</si>
  <si>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101306 2</t>
  </si>
  <si>
    <t xml:space="preserve">  Sadkowice..........................................................................................................................................................................................................................................................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</si>
  <si>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101302 3</t>
  </si>
  <si>
    <t xml:space="preserve">  Biała Rawska..........................................................................................................................................................................................................................................................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</si>
  <si>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101302 4</t>
  </si>
  <si>
    <t>101302 5</t>
  </si>
  <si>
    <t>Powiat sieradzki  (11 gmin)</t>
  </si>
  <si>
    <t>101401 1</t>
  </si>
  <si>
    <t xml:space="preserve">  Sieradz..........................................................................................................................................................................................................................................................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</si>
  <si>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101403 2</t>
  </si>
  <si>
    <t xml:space="preserve">  Brąszewice..........................................................................................................................................................................................................................................................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</si>
  <si>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101404 2</t>
  </si>
  <si>
    <t xml:space="preserve">  Brzeźnio..........................................................................................................................................................................................................................................................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</si>
  <si>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101405 2</t>
  </si>
  <si>
    <t xml:space="preserve">  Burzenin..........................................................................................................................................................................................................................................................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</si>
  <si>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101406 2</t>
  </si>
  <si>
    <t xml:space="preserve">  Goszczanów..........................................................................................................................................................................................................................................................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</si>
  <si>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101407 2</t>
  </si>
  <si>
    <t xml:space="preserve">  Klonowa..........................................................................................................................................................................................................................................................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</si>
  <si>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101408 2</t>
  </si>
  <si>
    <t>101410 2</t>
  </si>
  <si>
    <t xml:space="preserve">  Wróblew..........................................................................................................................................................................................................................................................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</si>
  <si>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101402 3</t>
  </si>
  <si>
    <t xml:space="preserve">  Błaszki..........................................................................................................................................................................................................................................................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</si>
  <si>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101402 4</t>
  </si>
  <si>
    <t>101402 5</t>
  </si>
  <si>
    <t>101409 3</t>
  </si>
  <si>
    <t xml:space="preserve">  Warta..........................................................................................................................................................................................................................................................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</si>
  <si>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101409 4</t>
  </si>
  <si>
    <t>101409 5</t>
  </si>
  <si>
    <t>101411 3</t>
  </si>
  <si>
    <t xml:space="preserve">  Złoczew..........................................................................................................................................................................................................................................................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</si>
  <si>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101411 4</t>
  </si>
  <si>
    <t>101411 5</t>
  </si>
  <si>
    <t>Powiat skierniewicki  (9 gmin)</t>
  </si>
  <si>
    <t>101501 2</t>
  </si>
  <si>
    <t xml:space="preserve">  Bolimów..........................................................................................................................................................................................................................................................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</si>
  <si>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101502 2</t>
  </si>
  <si>
    <t xml:space="preserve">  Głuchów..........................................................................................................................................................................................................................................................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</si>
  <si>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101503 2</t>
  </si>
  <si>
    <t xml:space="preserve">  Godzianów..........................................................................................................................................................................................................................................................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</si>
  <si>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101504 2</t>
  </si>
  <si>
    <t xml:space="preserve">  Kowiesy..........................................................................................................................................................................................................................................................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</si>
  <si>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101505 2</t>
  </si>
  <si>
    <t xml:space="preserve">  Lipce Reymontowskie..........................................................................................................................................................................................................................................................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</si>
  <si>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101506 2</t>
  </si>
  <si>
    <t xml:space="preserve">  Maków..........................................................................................................................................................................................................................................................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</si>
  <si>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101507 2</t>
  </si>
  <si>
    <t xml:space="preserve">  Nowy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</si>
  <si>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101508 2</t>
  </si>
  <si>
    <t xml:space="preserve">  Skierniewice..........................................................................................................................................................................................................................................................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</si>
  <si>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101509 2</t>
  </si>
  <si>
    <t xml:space="preserve"> 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</si>
  <si>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tomaszowski  (11 gmin)</t>
  </si>
  <si>
    <t>101601 1</t>
  </si>
  <si>
    <t xml:space="preserve">  Tomaszów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</si>
  <si>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101602 2</t>
  </si>
  <si>
    <t xml:space="preserve">  Będków..........................................................................................................................................................................................................................................................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</si>
  <si>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101603 2</t>
  </si>
  <si>
    <t xml:space="preserve">  Budziszewice..........................................................................................................................................................................................................................................................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</si>
  <si>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101604 2</t>
  </si>
  <si>
    <t xml:space="preserve">  Czerniewice..........................................................................................................................................................................................................................................................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</si>
  <si>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101605 2</t>
  </si>
  <si>
    <t xml:space="preserve">  Inowłódz..........................................................................................................................................................................................................................................................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</si>
  <si>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101606 2</t>
  </si>
  <si>
    <t xml:space="preserve">  Lubochnia..........................................................................................................................................................................................................................................................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</si>
  <si>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101607 2</t>
  </si>
  <si>
    <t xml:space="preserve">  Rokiciny..........................................................................................................................................................................................................................................................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</si>
  <si>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101608 2</t>
  </si>
  <si>
    <t xml:space="preserve">  Rzeczyca..........................................................................................................................................................................................................................................................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</si>
  <si>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101609 2</t>
  </si>
  <si>
    <t>101610 2</t>
  </si>
  <si>
    <t xml:space="preserve">  Ujazd..........................................................................................................................................................................................................................................................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</si>
  <si>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101611 2</t>
  </si>
  <si>
    <t xml:space="preserve">  Żelechlinek..........................................................................................................................................................................................................................................................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</si>
  <si>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wieluński  (10 gmin)</t>
  </si>
  <si>
    <t>101701 2</t>
  </si>
  <si>
    <t xml:space="preserve"> 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</si>
  <si>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101702 2</t>
  </si>
  <si>
    <t xml:space="preserve">  Czarnożyły..........................................................................................................................................................................................................................................................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</si>
  <si>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101703 2</t>
  </si>
  <si>
    <t>101704 2</t>
  </si>
  <si>
    <t xml:space="preserve">  Mokrsko..........................................................................................................................................................................................................................................................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</si>
  <si>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101705 2</t>
  </si>
  <si>
    <t xml:space="preserve">  Osjaków..........................................................................................................................................................................................................................................................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</si>
  <si>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101706 2</t>
  </si>
  <si>
    <t>101707 2</t>
  </si>
  <si>
    <t xml:space="preserve">  Pątnów..........................................................................................................................................................................................................................................................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</si>
  <si>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101708 2</t>
  </si>
  <si>
    <t xml:space="preserve">  Skomlin..........................................................................................................................................................................................................................................................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</si>
  <si>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101710 2</t>
  </si>
  <si>
    <t xml:space="preserve">  Wierzchlas..........................................................................................................................................................................................................................................................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</si>
  <si>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101709 3</t>
  </si>
  <si>
    <t xml:space="preserve">  Wieluń..........................................................................................................................................................................................................................................................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</si>
  <si>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101709 4</t>
  </si>
  <si>
    <t>101709 5</t>
  </si>
  <si>
    <t>Powiat wieruszowski  (7 gmin)</t>
  </si>
  <si>
    <t>101801 2</t>
  </si>
  <si>
    <t>101802 2</t>
  </si>
  <si>
    <t xml:space="preserve">  Czastary..........................................................................................................................................................................................................................................................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</si>
  <si>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101803 2</t>
  </si>
  <si>
    <t xml:space="preserve">  Galewice..........................................................................................................................................................................................................................................................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</si>
  <si>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101805 2</t>
  </si>
  <si>
    <t xml:space="preserve">  Łubnice..........................................................................................................................................................................................................................................................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</si>
  <si>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101806 2</t>
  </si>
  <si>
    <t xml:space="preserve">  Sokolniki..........................................................................................................................................................................................................................................................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</si>
  <si>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101804 3</t>
  </si>
  <si>
    <t xml:space="preserve">  Lututów..........................................................................................................................................................................................................................................................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</si>
  <si>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101804 4</t>
  </si>
  <si>
    <t>101804 5</t>
  </si>
  <si>
    <t>101807 3</t>
  </si>
  <si>
    <t xml:space="preserve">  Wieruszów..........................................................................................................................................................................................................................................................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</si>
  <si>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101807 4</t>
  </si>
  <si>
    <t>101807 5</t>
  </si>
  <si>
    <t>Powiat zduńskowolski  (4 gminy)</t>
  </si>
  <si>
    <t>101901 1</t>
  </si>
  <si>
    <t xml:space="preserve">  Zduńska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</si>
  <si>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101903 2</t>
  </si>
  <si>
    <t xml:space="preserve">  Zapolice..........................................................................................................................................................................................................................................................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</si>
  <si>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101904 2</t>
  </si>
  <si>
    <t>101902 3</t>
  </si>
  <si>
    <t xml:space="preserve">  Szadek..........................................................................................................................................................................................................................................................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</si>
  <si>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101902 4</t>
  </si>
  <si>
    <t>101902 5</t>
  </si>
  <si>
    <t>Powiat zgierski  (9 gmin)</t>
  </si>
  <si>
    <r>
      <t xml:space="preserve">gminy miejskie </t>
    </r>
    <r>
      <rPr>
        <sz val="8"/>
        <color rgb="FF808080"/>
        <rFont val="Arial"/>
        <family val="2"/>
        <charset val="238"/>
      </rPr>
      <t xml:space="preserve">  urban gminas</t>
    </r>
  </si>
  <si>
    <t>102001 1</t>
  </si>
  <si>
    <t xml:space="preserve">  Głowno..........................................................................................................................................................................................................................................................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</si>
  <si>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102002 1</t>
  </si>
  <si>
    <t xml:space="preserve">  Ozorków..........................................................................................................................................................................................................................................................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</si>
  <si>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102003 1</t>
  </si>
  <si>
    <t xml:space="preserve">  Zgierz..........................................................................................................................................................................................................................................................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</si>
  <si>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102005 2</t>
  </si>
  <si>
    <t>102006 2</t>
  </si>
  <si>
    <t>102007 2</t>
  </si>
  <si>
    <t xml:space="preserve">  Parzęczew..........................................................................................................................................................................................................................................................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</si>
  <si>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102009 2</t>
  </si>
  <si>
    <t>102004 3</t>
  </si>
  <si>
    <t xml:space="preserve">  Aleksandrów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</si>
  <si>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102004 4</t>
  </si>
  <si>
    <t>102004 5</t>
  </si>
  <si>
    <t>102008 3</t>
  </si>
  <si>
    <t xml:space="preserve">  Stryków..........................................................................................................................................................................................................................................................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</si>
  <si>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102008 4</t>
  </si>
  <si>
    <t>102008 5</t>
  </si>
  <si>
    <r>
      <t xml:space="preserve">Miasta na prawach powiatu (3)   </t>
    </r>
    <r>
      <rPr>
        <b/>
        <sz val="8"/>
        <color rgb="FF808080"/>
        <rFont val="Arial"/>
        <family val="2"/>
        <charset val="238"/>
      </rPr>
      <t>Cities with powiat status (3)</t>
    </r>
  </si>
  <si>
    <t>106101 1</t>
  </si>
  <si>
    <t xml:space="preserve">  Łódź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</si>
  <si>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106201 1</t>
  </si>
  <si>
    <t xml:space="preserve">  Piotrków Trybunalski..........................................................................................................................................................................................................................................................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</si>
  <si>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106301 1</t>
  </si>
  <si>
    <t>Powiat bocheński  (9 gmin)</t>
  </si>
  <si>
    <t>120101 1</t>
  </si>
  <si>
    <t xml:space="preserve">  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</si>
  <si>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120102 2</t>
  </si>
  <si>
    <t>120103 2</t>
  </si>
  <si>
    <t xml:space="preserve">  Drwinia..........................................................................................................................................................................................................................................................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</si>
  <si>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120104 2</t>
  </si>
  <si>
    <t xml:space="preserve">  Lipnica Murowana..........................................................................................................................................................................................................................................................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</si>
  <si>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120105 2</t>
  </si>
  <si>
    <t xml:space="preserve">  Łapanów..........................................................................................................................................................................................................................................................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</si>
  <si>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120107 2</t>
  </si>
  <si>
    <t xml:space="preserve">  Rzezawa..........................................................................................................................................................................................................................................................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</si>
  <si>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120108 2</t>
  </si>
  <si>
    <t xml:space="preserve">  Trzciana..........................................................................................................................................................................................................................................................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</si>
  <si>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120109 2</t>
  </si>
  <si>
    <t xml:space="preserve">  Żegocina..........................................................................................................................................................................................................................................................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</si>
  <si>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120106 3</t>
  </si>
  <si>
    <t xml:space="preserve">  Nowy Wiśnicz..........................................................................................................................................................................................................................................................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</si>
  <si>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120106 4</t>
  </si>
  <si>
    <t>120106 5</t>
  </si>
  <si>
    <t>Powiat brzeski  (7 gmin)</t>
  </si>
  <si>
    <t>120201 2</t>
  </si>
  <si>
    <t xml:space="preserve">  Borzęcin..........................................................................................................................................................................................................................................................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</si>
  <si>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120204 2</t>
  </si>
  <si>
    <t xml:space="preserve">  Dębno..........................................................................................................................................................................................................................................................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</si>
  <si>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120205 2</t>
  </si>
  <si>
    <t xml:space="preserve">  Gnojnik..........................................................................................................................................................................................................................................................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</si>
  <si>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120206 2</t>
  </si>
  <si>
    <t xml:space="preserve">  Iwkowa..........................................................................................................................................................................................................................................................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</si>
  <si>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120207 2</t>
  </si>
  <si>
    <t xml:space="preserve">  Szczurowa..........................................................................................................................................................................................................................................................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</si>
  <si>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120202 3</t>
  </si>
  <si>
    <t xml:space="preserve"> 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</si>
  <si>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120202 4</t>
  </si>
  <si>
    <t>120202 5</t>
  </si>
  <si>
    <t>120203 3</t>
  </si>
  <si>
    <t xml:space="preserve">  Czchów..........................................................................................................................................................................................................................................................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</si>
  <si>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120203 4</t>
  </si>
  <si>
    <t>120203 5</t>
  </si>
  <si>
    <t>Powiat chrzanowski  (5 gmin)</t>
  </si>
  <si>
    <t>120302 2</t>
  </si>
  <si>
    <t xml:space="preserve"> 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</si>
  <si>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120301 3</t>
  </si>
  <si>
    <t xml:space="preserve">  Alwernia..........................................................................................................................................................................................................................................................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</si>
  <si>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120301 4</t>
  </si>
  <si>
    <t>120301 5</t>
  </si>
  <si>
    <t>120303 3</t>
  </si>
  <si>
    <t>120303 4</t>
  </si>
  <si>
    <t>120303 5</t>
  </si>
  <si>
    <t>120304 3</t>
  </si>
  <si>
    <t xml:space="preserve">  Libiąż..........................................................................................................................................................................................................................................................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</si>
  <si>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120304 4</t>
  </si>
  <si>
    <t>120304 5</t>
  </si>
  <si>
    <t>120305 3</t>
  </si>
  <si>
    <t xml:space="preserve">  Trzebinia..........................................................................................................................................................................................................................................................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</si>
  <si>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120305 4</t>
  </si>
  <si>
    <t>120305 5</t>
  </si>
  <si>
    <t>Powiat dąbrowski  (7 gmin)</t>
  </si>
  <si>
    <t>120401 2</t>
  </si>
  <si>
    <t xml:space="preserve">  Bolesław..........................................................................................................................................................................................................................................................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</si>
  <si>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120403 2</t>
  </si>
  <si>
    <t xml:space="preserve">  Gręboszów..........................................................................................................................................................................................................................................................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</si>
  <si>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120404 2</t>
  </si>
  <si>
    <t xml:space="preserve">  Mędrzechów..........................................................................................................................................................................................................................................................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</si>
  <si>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120405 2</t>
  </si>
  <si>
    <t xml:space="preserve">  Olesno..........................................................................................................................................................................................................................................................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</si>
  <si>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120406 2</t>
  </si>
  <si>
    <t xml:space="preserve">  Radgoszcz..........................................................................................................................................................................................................................................................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</si>
  <si>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120402 3</t>
  </si>
  <si>
    <t xml:space="preserve">  Dąbrowa Tarnowska..........................................................................................................................................................................................................................................................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</si>
  <si>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120402 4</t>
  </si>
  <si>
    <t>120402 5</t>
  </si>
  <si>
    <t>120407 3</t>
  </si>
  <si>
    <t xml:space="preserve">  Szczucin..........................................................................................................................................................................................................................................................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</si>
  <si>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120407 4</t>
  </si>
  <si>
    <t>120407 5</t>
  </si>
  <si>
    <t>Powiat gorlicki  (10 gmin)</t>
  </si>
  <si>
    <t>120501 1</t>
  </si>
  <si>
    <t xml:space="preserve">  Gorlice..........................................................................................................................................................................................................................................................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</si>
  <si>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120504 2</t>
  </si>
  <si>
    <t>120505 2</t>
  </si>
  <si>
    <t xml:space="preserve">  Lipinki..........................................................................................................................................................................................................................................................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</si>
  <si>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120506 2</t>
  </si>
  <si>
    <t xml:space="preserve">  Łużna..........................................................................................................................................................................................................................................................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</si>
  <si>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120507 2</t>
  </si>
  <si>
    <t>120508 2</t>
  </si>
  <si>
    <t xml:space="preserve">  Ropa..........................................................................................................................................................................................................................................................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</si>
  <si>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120509 2</t>
  </si>
  <si>
    <t xml:space="preserve">  Sękowa..........................................................................................................................................................................................................................................................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</si>
  <si>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120510 2</t>
  </si>
  <si>
    <t xml:space="preserve">  Uście Gorlickie..........................................................................................................................................................................................................................................................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</si>
  <si>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120502 3</t>
  </si>
  <si>
    <t xml:space="preserve">  Biecz..........................................................................................................................................................................................................................................................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</si>
  <si>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120502 4</t>
  </si>
  <si>
    <t>120502 5</t>
  </si>
  <si>
    <t>120503 3</t>
  </si>
  <si>
    <t xml:space="preserve">  Bobowa..........................................................................................................................................................................................................................................................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</si>
  <si>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120503 4</t>
  </si>
  <si>
    <t>120503 5</t>
  </si>
  <si>
    <t>Powiat krakowski  (17 gmin)</t>
  </si>
  <si>
    <t>120601 2</t>
  </si>
  <si>
    <t xml:space="preserve">  Czernichów..........................................................................................................................................................................................................................................................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</si>
  <si>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120602 2</t>
  </si>
  <si>
    <t xml:space="preserve">  Igołomia-Wawrzeńczyce..........................................................................................................................................................................................................................................................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</si>
  <si>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120603 2</t>
  </si>
  <si>
    <t xml:space="preserve">  Iwanowice..........................................................................................................................................................................................................................................................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</si>
  <si>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120604 2</t>
  </si>
  <si>
    <t xml:space="preserve">  Jerzmanowice-Przeginia..........................................................................................................................................................................................................................................................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</si>
  <si>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120605 2</t>
  </si>
  <si>
    <t xml:space="preserve">  Kocmyrzów-Luborzyca..........................................................................................................................................................................................................................................................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</si>
  <si>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120607 2</t>
  </si>
  <si>
    <t xml:space="preserve">  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</si>
  <si>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120608 2</t>
  </si>
  <si>
    <t xml:space="preserve">  Michałowice..........................................................................................................................................................................................................................................................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</si>
  <si>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120609 2</t>
  </si>
  <si>
    <t xml:space="preserve">  Mogilany..........................................................................................................................................................................................................................................................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</si>
  <si>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120613 2</t>
  </si>
  <si>
    <t xml:space="preserve">  Sułoszowa..........................................................................................................................................................................................................................................................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</si>
  <si>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120615 2</t>
  </si>
  <si>
    <t xml:space="preserve">  Wielka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</si>
  <si>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120616 2</t>
  </si>
  <si>
    <t xml:space="preserve">  Zabierzów..........................................................................................................................................................................................................................................................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</si>
  <si>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120617 2</t>
  </si>
  <si>
    <t xml:space="preserve">  Zielonki..........................................................................................................................................................................................................................................................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</si>
  <si>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120606 3</t>
  </si>
  <si>
    <t xml:space="preserve">  Krzeszowice..........................................................................................................................................................................................................................................................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</si>
  <si>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120606 4</t>
  </si>
  <si>
    <t>120606 5</t>
  </si>
  <si>
    <t>120610 3</t>
  </si>
  <si>
    <t xml:space="preserve">  Skała..........................................................................................................................................................................................................................................................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</si>
  <si>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120610 4</t>
  </si>
  <si>
    <t>120610 5</t>
  </si>
  <si>
    <t>120611 3</t>
  </si>
  <si>
    <t xml:space="preserve">  Skawina..........................................................................................................................................................................................................................................................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</si>
  <si>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120611 4</t>
  </si>
  <si>
    <t>120611 5</t>
  </si>
  <si>
    <t>120612 3</t>
  </si>
  <si>
    <t xml:space="preserve">  Słomniki..........................................................................................................................................................................................................................................................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</si>
  <si>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120612 4</t>
  </si>
  <si>
    <t>120612 5</t>
  </si>
  <si>
    <t>120614 3</t>
  </si>
  <si>
    <t xml:space="preserve">  Świątniki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</si>
  <si>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120614 4</t>
  </si>
  <si>
    <t>120614 5</t>
  </si>
  <si>
    <t>Powiat limanowski  (12 gmin)</t>
  </si>
  <si>
    <t>120701 1</t>
  </si>
  <si>
    <t xml:space="preserve">  Limanowa..........................................................................................................................................................................................................................................................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</si>
  <si>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120702 1</t>
  </si>
  <si>
    <t xml:space="preserve">  Mszana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</si>
  <si>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120703 2</t>
  </si>
  <si>
    <t xml:space="preserve">  Dobra..........................................................................................................................................................................................................................................................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</si>
  <si>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120704 2</t>
  </si>
  <si>
    <t xml:space="preserve">  Jodłownik..........................................................................................................................................................................................................................................................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</si>
  <si>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120705 2</t>
  </si>
  <si>
    <t xml:space="preserve"> 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</si>
  <si>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120706 2</t>
  </si>
  <si>
    <t xml:space="preserve">  Laskowa..........................................................................................................................................................................................................................................................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</si>
  <si>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120707 2</t>
  </si>
  <si>
    <t>120708 2</t>
  </si>
  <si>
    <t xml:space="preserve">  Łukowica..........................................................................................................................................................................................................................................................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</si>
  <si>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120709 2</t>
  </si>
  <si>
    <t>120710 2</t>
  </si>
  <si>
    <t xml:space="preserve">  Niedźwiedź..........................................................................................................................................................................................................................................................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</si>
  <si>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120711 2</t>
  </si>
  <si>
    <t xml:space="preserve">  Słopnice..........................................................................................................................................................................................................................................................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</si>
  <si>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120712 2</t>
  </si>
  <si>
    <t xml:space="preserve">  Tymbark..........................................................................................................................................................................................................................................................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</si>
  <si>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miechowski  (7 gmin)</t>
  </si>
  <si>
    <t>120801 2</t>
  </si>
  <si>
    <t xml:space="preserve">  Charsznica..........................................................................................................................................................................................................................................................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</si>
  <si>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120802 2</t>
  </si>
  <si>
    <t xml:space="preserve">  Gołcza..........................................................................................................................................................................................................................................................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</si>
  <si>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120803 2</t>
  </si>
  <si>
    <t xml:space="preserve">  Kozłów..........................................................................................................................................................................................................................................................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</si>
  <si>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120804 2</t>
  </si>
  <si>
    <t xml:space="preserve">  Książ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</si>
  <si>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120806 2</t>
  </si>
  <si>
    <t xml:space="preserve">  Racławice..........................................................................................................................................................................................................................................................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</si>
  <si>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120807 2</t>
  </si>
  <si>
    <t xml:space="preserve">  Słaboszów..........................................................................................................................................................................................................................................................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</si>
  <si>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120805 3</t>
  </si>
  <si>
    <t xml:space="preserve">  Miechów..........................................................................................................................................................................................................................................................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</si>
  <si>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120805 4</t>
  </si>
  <si>
    <t>120805 5</t>
  </si>
  <si>
    <t>Powiat myślenicki  (9 gmin)</t>
  </si>
  <si>
    <t>120902 2</t>
  </si>
  <si>
    <t xml:space="preserve">  Lubień..........................................................................................................................................................................................................................................................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</si>
  <si>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120904 2</t>
  </si>
  <si>
    <t xml:space="preserve">  Pcim..........................................................................................................................................................................................................................................................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</si>
  <si>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120905 2</t>
  </si>
  <si>
    <t xml:space="preserve">  Raciechowice..........................................................................................................................................................................................................................................................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</si>
  <si>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120906 2</t>
  </si>
  <si>
    <t xml:space="preserve">  Siepraw..........................................................................................................................................................................................................................................................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</si>
  <si>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120908 2</t>
  </si>
  <si>
    <t xml:space="preserve">  Tokarnia..........................................................................................................................................................................................................................................................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</si>
  <si>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120909 2</t>
  </si>
  <si>
    <t xml:space="preserve">  Wiśniowa..........................................................................................................................................................................................................................................................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</si>
  <si>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120901 3</t>
  </si>
  <si>
    <t xml:space="preserve">  Dobczyce..........................................................................................................................................................................................................................................................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</si>
  <si>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120901 4</t>
  </si>
  <si>
    <t>120901 5</t>
  </si>
  <si>
    <t>120903 3</t>
  </si>
  <si>
    <t xml:space="preserve">  Myślenice..........................................................................................................................................................................................................................................................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</si>
  <si>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120903 4</t>
  </si>
  <si>
    <t>120903 5</t>
  </si>
  <si>
    <t>120907 3</t>
  </si>
  <si>
    <t xml:space="preserve">  Sułkowice..........................................................................................................................................................................................................................................................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</si>
  <si>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120907 4</t>
  </si>
  <si>
    <t>120907 5</t>
  </si>
  <si>
    <t>Powiat nowosądecki  (16 gmin)</t>
  </si>
  <si>
    <t>121001 1</t>
  </si>
  <si>
    <t xml:space="preserve">  Grybów..........................................................................................................................................................................................................................................................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</si>
  <si>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121002 2</t>
  </si>
  <si>
    <t xml:space="preserve">  Chełmiec..........................................................................................................................................................................................................................................................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</si>
  <si>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121003 2</t>
  </si>
  <si>
    <t xml:space="preserve">  Gródek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</si>
  <si>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121004 2</t>
  </si>
  <si>
    <t>121005 2</t>
  </si>
  <si>
    <t xml:space="preserve">  Kamionka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</si>
  <si>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121006 2</t>
  </si>
  <si>
    <t xml:space="preserve">  Korzenna..........................................................................................................................................................................................................................................................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</si>
  <si>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121008 2</t>
  </si>
  <si>
    <t xml:space="preserve">  Łabowa..........................................................................................................................................................................................................................................................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</si>
  <si>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121009 2</t>
  </si>
  <si>
    <t xml:space="preserve">  Łącko..........................................................................................................................................................................................................................................................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</si>
  <si>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121010 2</t>
  </si>
  <si>
    <t xml:space="preserve">  Łososina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</si>
  <si>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121012 2</t>
  </si>
  <si>
    <t xml:space="preserve">  Nawojowa..........................................................................................................................................................................................................................................................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</si>
  <si>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121014 2</t>
  </si>
  <si>
    <t xml:space="preserve">  Podegrodzie..........................................................................................................................................................................................................................................................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</si>
  <si>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121015 2</t>
  </si>
  <si>
    <t xml:space="preserve">  Rytro..........................................................................................................................................................................................................................................................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</si>
  <si>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121007 3</t>
  </si>
  <si>
    <t xml:space="preserve">  Krynica-Zdrój..........................................................................................................................................................................................................................................................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</si>
  <si>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121007 4</t>
  </si>
  <si>
    <t>121007 5</t>
  </si>
  <si>
    <t>121011 3</t>
  </si>
  <si>
    <t xml:space="preserve">  Muszyna..........................................................................................................................................................................................................................................................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</si>
  <si>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121011 4</t>
  </si>
  <si>
    <t>121011 5</t>
  </si>
  <si>
    <t>121013 3</t>
  </si>
  <si>
    <t xml:space="preserve">  Piwniczna-Zdrój..........................................................................................................................................................................................................................................................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</si>
  <si>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121013 4</t>
  </si>
  <si>
    <t>121013 5</t>
  </si>
  <si>
    <t>121016 3</t>
  </si>
  <si>
    <t xml:space="preserve">  Stary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</si>
  <si>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121016 4</t>
  </si>
  <si>
    <t>121016 5</t>
  </si>
  <si>
    <t>Powiat nowotarski  (14 gmin)</t>
  </si>
  <si>
    <t>121101 1</t>
  </si>
  <si>
    <t xml:space="preserve">  Nowy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</si>
  <si>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121103 2</t>
  </si>
  <si>
    <t xml:space="preserve">  Czarny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</si>
  <si>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121104 2</t>
  </si>
  <si>
    <t xml:space="preserve">  Czorsztyn..........................................................................................................................................................................................................................................................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</si>
  <si>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121105 2</t>
  </si>
  <si>
    <t xml:space="preserve">  Jabłonka..........................................................................................................................................................................................................................................................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</si>
  <si>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121106 2</t>
  </si>
  <si>
    <t xml:space="preserve">  Krościenko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</si>
  <si>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121107 2</t>
  </si>
  <si>
    <t xml:space="preserve">  Lipnica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</si>
  <si>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121108 2</t>
  </si>
  <si>
    <t xml:space="preserve">  Łapsze Niżne..........................................................................................................................................................................................................................................................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</si>
  <si>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121109 2</t>
  </si>
  <si>
    <t>121110 2</t>
  </si>
  <si>
    <t xml:space="preserve">  Ochotnica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</si>
  <si>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121111 2</t>
  </si>
  <si>
    <t xml:space="preserve">  Raba Wyżna..........................................................................................................................................................................................................................................................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</si>
  <si>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121113 2</t>
  </si>
  <si>
    <t xml:space="preserve">  Spytkowice..........................................................................................................................................................................................................................................................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</si>
  <si>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121114 2</t>
  </si>
  <si>
    <t xml:space="preserve">  Szaflary..........................................................................................................................................................................................................................................................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</si>
  <si>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121112 3</t>
  </si>
  <si>
    <t xml:space="preserve">  Rabka-Zdrój..........................................................................................................................................................................................................................................................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</si>
  <si>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121112 4</t>
  </si>
  <si>
    <t>121112 5</t>
  </si>
  <si>
    <t>121102 3</t>
  </si>
  <si>
    <t xml:space="preserve">  Szczawnica..........................................................................................................................................................................................................................................................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</si>
  <si>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121102 4</t>
  </si>
  <si>
    <t>121102 5</t>
  </si>
  <si>
    <t>Powiat olkuski  (6 gmin)</t>
  </si>
  <si>
    <t>121201 1</t>
  </si>
  <si>
    <t xml:space="preserve">  Bukowno..........................................................................................................................................................................................................................................................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</si>
  <si>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121203 2</t>
  </si>
  <si>
    <t>121204 2</t>
  </si>
  <si>
    <t xml:space="preserve">  Klucze..........................................................................................................................................................................................................................................................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</si>
  <si>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121206 2</t>
  </si>
  <si>
    <t xml:space="preserve">  Trzyciąż..........................................................................................................................................................................................................................................................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</si>
  <si>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121205 3</t>
  </si>
  <si>
    <t xml:space="preserve">  Olkusz..........................................................................................................................................................................................................................................................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</si>
  <si>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121205 4</t>
  </si>
  <si>
    <t>121205 5</t>
  </si>
  <si>
    <t>121207 3</t>
  </si>
  <si>
    <t xml:space="preserve">  Wolbrom..........................................................................................................................................................................................................................................................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</si>
  <si>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121207 4</t>
  </si>
  <si>
    <t>121207 5</t>
  </si>
  <si>
    <t>Powiat oświęcimski  (9 gmin)</t>
  </si>
  <si>
    <t>121301 1</t>
  </si>
  <si>
    <t xml:space="preserve">  Oświęcim..........................................................................................................................................................................................................................................................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</si>
  <si>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121305 2</t>
  </si>
  <si>
    <t>121306 2</t>
  </si>
  <si>
    <t>121307 2</t>
  </si>
  <si>
    <t xml:space="preserve">  Polanka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</si>
  <si>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121308 2</t>
  </si>
  <si>
    <t xml:space="preserve">  Przeciszów..........................................................................................................................................................................................................................................................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</si>
  <si>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121302 3</t>
  </si>
  <si>
    <t xml:space="preserve">  Brzeszcze..........................................................................................................................................................................................................................................................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</si>
  <si>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121302 4</t>
  </si>
  <si>
    <t>121302 5</t>
  </si>
  <si>
    <t>121303 3</t>
  </si>
  <si>
    <t xml:space="preserve">  Chełmek..........................................................................................................................................................................................................................................................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</si>
  <si>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121303 4</t>
  </si>
  <si>
    <t>121303 5</t>
  </si>
  <si>
    <t>121304 3</t>
  </si>
  <si>
    <t xml:space="preserve">  Kęty..........................................................................................................................................................................................................................................................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</si>
  <si>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121304 4</t>
  </si>
  <si>
    <t>121304 5</t>
  </si>
  <si>
    <t>121309 3</t>
  </si>
  <si>
    <t xml:space="preserve">  Zator..........................................................................................................................................................................................................................................................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</si>
  <si>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121309 4</t>
  </si>
  <si>
    <t>121309 5</t>
  </si>
  <si>
    <t>Powiat proszowicki  (6 gmin)</t>
  </si>
  <si>
    <t>121401 2</t>
  </si>
  <si>
    <t xml:space="preserve">  Koniusza..........................................................................................................................................................................................................................................................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</si>
  <si>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121404 2</t>
  </si>
  <si>
    <t xml:space="preserve">  Pałecznica..........................................................................................................................................................................................................................................................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</si>
  <si>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121406 2</t>
  </si>
  <si>
    <t xml:space="preserve">  Radziemice..........................................................................................................................................................................................................................................................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</si>
  <si>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121402 3</t>
  </si>
  <si>
    <t xml:space="preserve">  Koszyce..........................................................................................................................................................................................................................................................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</si>
  <si>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121402 4</t>
  </si>
  <si>
    <t>121402 5</t>
  </si>
  <si>
    <t>121403 3</t>
  </si>
  <si>
    <t xml:space="preserve">  Nowe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</si>
  <si>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121403 4</t>
  </si>
  <si>
    <t>121403 5</t>
  </si>
  <si>
    <t>121405 3</t>
  </si>
  <si>
    <t xml:space="preserve">  Proszowice..........................................................................................................................................................................................................................................................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</si>
  <si>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121405 4</t>
  </si>
  <si>
    <t>121405 5</t>
  </si>
  <si>
    <t>Powiat suski  (9 gmin)</t>
  </si>
  <si>
    <t>121501 1</t>
  </si>
  <si>
    <t xml:space="preserve">  Jordanów..........................................................................................................................................................................................................................................................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</si>
  <si>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121502 1</t>
  </si>
  <si>
    <t xml:space="preserve">  Sucha Beskidzka..........................................................................................................................................................................................................................................................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</si>
  <si>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121503 2</t>
  </si>
  <si>
    <t xml:space="preserve">  Budzów..........................................................................................................................................................................................................................................................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</si>
  <si>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121504 2</t>
  </si>
  <si>
    <t xml:space="preserve">  Bystra-Sidzina..........................................................................................................................................................................................................................................................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</si>
  <si>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121505 2</t>
  </si>
  <si>
    <t>121507 2</t>
  </si>
  <si>
    <t xml:space="preserve">  Stryszawa..........................................................................................................................................................................................................................................................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</si>
  <si>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121508 2</t>
  </si>
  <si>
    <t xml:space="preserve">  Zawoja..........................................................................................................................................................................................................................................................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</si>
  <si>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121509 2</t>
  </si>
  <si>
    <t xml:space="preserve">  Zembrzyce..........................................................................................................................................................................................................................................................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</si>
  <si>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121506 3</t>
  </si>
  <si>
    <t xml:space="preserve">  Maków Podhalański..........................................................................................................................................................................................................................................................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</si>
  <si>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121506 4</t>
  </si>
  <si>
    <t>121506 5</t>
  </si>
  <si>
    <t>Powiat tarnowski  (16 gmin)</t>
  </si>
  <si>
    <t>121602 2</t>
  </si>
  <si>
    <t xml:space="preserve">  Gromnik..........................................................................................................................................................................................................................................................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</si>
  <si>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121603 2</t>
  </si>
  <si>
    <t xml:space="preserve">  Lisia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</si>
  <si>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121604 2</t>
  </si>
  <si>
    <t xml:space="preserve">  Pleśna..........................................................................................................................................................................................................................................................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</si>
  <si>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121607 2</t>
  </si>
  <si>
    <t xml:space="preserve">  Rzepiennik Strzyżewski..........................................................................................................................................................................................................................................................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</si>
  <si>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121608 2</t>
  </si>
  <si>
    <t xml:space="preserve">  Skrzyszów..........................................................................................................................................................................................................................................................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</si>
  <si>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121616 2</t>
  </si>
  <si>
    <t xml:space="preserve">  Szerzyny..........................................................................................................................................................................................................................................................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</si>
  <si>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121609 2</t>
  </si>
  <si>
    <t xml:space="preserve">  Tarnów..........................................................................................................................................................................................................................................................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</si>
  <si>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121611 2</t>
  </si>
  <si>
    <t xml:space="preserve">  Wierzchosławice..........................................................................................................................................................................................................................................................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</si>
  <si>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121612 2</t>
  </si>
  <si>
    <t xml:space="preserve">  Wietrzychowice..........................................................................................................................................................................................................................................................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</si>
  <si>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121601 3</t>
  </si>
  <si>
    <t xml:space="preserve">  Ciężkowice..........................................................................................................................................................................................................................................................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</si>
  <si>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121601 4</t>
  </si>
  <si>
    <t>121601 5</t>
  </si>
  <si>
    <t>121605 3</t>
  </si>
  <si>
    <t xml:space="preserve">  Radłów..........................................................................................................................................................................................................................................................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</si>
  <si>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121605 4</t>
  </si>
  <si>
    <t>121605 5</t>
  </si>
  <si>
    <t>121606 3</t>
  </si>
  <si>
    <t xml:space="preserve">  Ryglice..........................................................................................................................................................................................................................................................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</si>
  <si>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121606 4</t>
  </si>
  <si>
    <t>121606 5</t>
  </si>
  <si>
    <t>121610 3</t>
  </si>
  <si>
    <t xml:space="preserve">  Tuchów..........................................................................................................................................................................................................................................................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</si>
  <si>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121610 4</t>
  </si>
  <si>
    <t>121610 5</t>
  </si>
  <si>
    <t>121613 3</t>
  </si>
  <si>
    <t xml:space="preserve">  Wojnicz..........................................................................................................................................................................................................................................................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</si>
  <si>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121613 4</t>
  </si>
  <si>
    <t>121613 5</t>
  </si>
  <si>
    <t>121614 3</t>
  </si>
  <si>
    <t xml:space="preserve">  Zakliczyn..........................................................................................................................................................................................................................................................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</si>
  <si>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121614 4</t>
  </si>
  <si>
    <t>121614 5</t>
  </si>
  <si>
    <t>121615 3</t>
  </si>
  <si>
    <t xml:space="preserve">  Żabno..........................................................................................................................................................................................................................................................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</si>
  <si>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121615 4</t>
  </si>
  <si>
    <t>121615 5</t>
  </si>
  <si>
    <t>Powiat tatrzański  (5 gmin)</t>
  </si>
  <si>
    <t>121701 1</t>
  </si>
  <si>
    <t xml:space="preserve">  Zakopane..........................................................................................................................................................................................................................................................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</si>
  <si>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121702 2</t>
  </si>
  <si>
    <t xml:space="preserve">  Biały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</si>
  <si>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121703 2</t>
  </si>
  <si>
    <t xml:space="preserve">  Bukowina Tatrzańska..........................................................................................................................................................................................................................................................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</si>
  <si>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121704 2</t>
  </si>
  <si>
    <t xml:space="preserve">  Kościelisko..........................................................................................................................................................................................................................................................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</si>
  <si>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121705 2</t>
  </si>
  <si>
    <t xml:space="preserve">  Poronin..........................................................................................................................................................................................................................................................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</si>
  <si>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wadowicki  (10 gmin)</t>
  </si>
  <si>
    <t>121802 2</t>
  </si>
  <si>
    <t>121804 2</t>
  </si>
  <si>
    <t xml:space="preserve">  Lanckorona..........................................................................................................................................................................................................................................................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</si>
  <si>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121805 2</t>
  </si>
  <si>
    <t xml:space="preserve">  Mucharz..........................................................................................................................................................................................................................................................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</si>
  <si>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121806 2</t>
  </si>
  <si>
    <t>121807 2</t>
  </si>
  <si>
    <t xml:space="preserve">  Stryszów..........................................................................................................................................................................................................................................................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</si>
  <si>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121808 2</t>
  </si>
  <si>
    <t xml:space="preserve">  Tomice..........................................................................................................................................................................................................................................................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</si>
  <si>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121810 2</t>
  </si>
  <si>
    <t xml:space="preserve">  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</si>
  <si>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121801 3</t>
  </si>
  <si>
    <t xml:space="preserve">  Andrychów..........................................................................................................................................................................................................................................................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</si>
  <si>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121801 4</t>
  </si>
  <si>
    <t>121801 5</t>
  </si>
  <si>
    <t>121803 3</t>
  </si>
  <si>
    <t xml:space="preserve">  Kalwaria Zebrzydowska..........................................................................................................................................................................................................................................................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</si>
  <si>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121803 4</t>
  </si>
  <si>
    <t>121803 5</t>
  </si>
  <si>
    <t>121809 3</t>
  </si>
  <si>
    <t xml:space="preserve">  Wadowice..........................................................................................................................................................................................................................................................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</si>
  <si>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121809 4</t>
  </si>
  <si>
    <t>121809 5</t>
  </si>
  <si>
    <t>Powiat wielicki  (5 gmin)</t>
  </si>
  <si>
    <t>121901 2</t>
  </si>
  <si>
    <t xml:space="preserve">  Biskupice..........................................................................................................................................................................................................................................................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</si>
  <si>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121902 2</t>
  </si>
  <si>
    <t xml:space="preserve">  Gdów..........................................................................................................................................................................................................................................................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</si>
  <si>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121903 2</t>
  </si>
  <si>
    <t xml:space="preserve">  Kłaj..........................................................................................................................................................................................................................................................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</si>
  <si>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121904 3</t>
  </si>
  <si>
    <t xml:space="preserve">  Niepołomice..........................................................................................................................................................................................................................................................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</si>
  <si>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121904 4</t>
  </si>
  <si>
    <t>121904 5</t>
  </si>
  <si>
    <t>121905 3</t>
  </si>
  <si>
    <t xml:space="preserve">  Wieliczka..........................................................................................................................................................................................................................................................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</si>
  <si>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121905 4</t>
  </si>
  <si>
    <t>121905 5</t>
  </si>
  <si>
    <t>126101 1</t>
  </si>
  <si>
    <t xml:space="preserve">  Kraków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</si>
  <si>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126201 1</t>
  </si>
  <si>
    <t xml:space="preserve">  Nowy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</si>
  <si>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126301 1</t>
  </si>
  <si>
    <t>Powiat białobrzeski  (6 gmin)</t>
  </si>
  <si>
    <t>140102 2</t>
  </si>
  <si>
    <t xml:space="preserve">  Promna..........................................................................................................................................................................................................................................................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</si>
  <si>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140103 2</t>
  </si>
  <si>
    <t xml:space="preserve">  Radzanów..........................................................................................................................................................................................................................................................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</si>
  <si>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140104 2</t>
  </si>
  <si>
    <t xml:space="preserve">  Stara Błotnica..........................................................................................................................................................................................................................................................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</si>
  <si>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140105 2</t>
  </si>
  <si>
    <t xml:space="preserve">  Stromiec..........................................................................................................................................................................................................................................................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</si>
  <si>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140101 3</t>
  </si>
  <si>
    <t xml:space="preserve">  Białobrzegi..........................................................................................................................................................................................................................................................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</si>
  <si>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140101 4</t>
  </si>
  <si>
    <t>140101 5</t>
  </si>
  <si>
    <t>140106 3</t>
  </si>
  <si>
    <t xml:space="preserve">  Wyśmierzyce..........................................................................................................................................................................................................................................................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</si>
  <si>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140106 4</t>
  </si>
  <si>
    <t>140106 5</t>
  </si>
  <si>
    <t>Powiat ciechanowski  (9 gmin)</t>
  </si>
  <si>
    <t>140201 1</t>
  </si>
  <si>
    <t xml:space="preserve">  Ciechanów..........................................................................................................................................................................................................................................................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</si>
  <si>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140202 2</t>
  </si>
  <si>
    <t>140204 2</t>
  </si>
  <si>
    <t xml:space="preserve">  Gołymin-Ośrodek..........................................................................................................................................................................................................................................................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</si>
  <si>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140205 2</t>
  </si>
  <si>
    <t xml:space="preserve">  Grudusk..........................................................................................................................................................................................................................................................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</si>
  <si>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140206 2</t>
  </si>
  <si>
    <t xml:space="preserve">  Ojrzeń..........................................................................................................................................................................................................................................................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</si>
  <si>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140207 2</t>
  </si>
  <si>
    <t xml:space="preserve">  Opinogóra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</si>
  <si>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140208 2</t>
  </si>
  <si>
    <t xml:space="preserve">  Regimin..........................................................................................................................................................................................................................................................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</si>
  <si>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140209 2</t>
  </si>
  <si>
    <t xml:space="preserve">  Sońsk..........................................................................................................................................................................................................................................................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</si>
  <si>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miejsko-wiejska</t>
    </r>
    <r>
      <rPr>
        <sz val="8"/>
        <color rgb="FF808080"/>
        <rFont val="Arial"/>
        <family val="2"/>
        <charset val="238"/>
      </rPr>
      <t xml:space="preserve">   urban-rural gmina</t>
    </r>
  </si>
  <si>
    <t>140203 3</t>
  </si>
  <si>
    <t xml:space="preserve">  Glinojeck..........................................................................................................................................................................................................................................................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</si>
  <si>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140203 4</t>
  </si>
  <si>
    <t>140203 5</t>
  </si>
  <si>
    <t>Powiat garwoliński  (14 gmin)</t>
  </si>
  <si>
    <t>140301 1</t>
  </si>
  <si>
    <t xml:space="preserve">  Garwolin..........................................................................................................................................................................................................................................................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</si>
  <si>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140302 1</t>
  </si>
  <si>
    <t xml:space="preserve">  Łaskarzew..........................................................................................................................................................................................................................................................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</si>
  <si>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140303 2</t>
  </si>
  <si>
    <t xml:space="preserve">  Borowie..........................................................................................................................................................................................................................................................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</si>
  <si>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140304 2</t>
  </si>
  <si>
    <t>140305 2</t>
  </si>
  <si>
    <t>140306 2</t>
  </si>
  <si>
    <t>140307 2</t>
  </si>
  <si>
    <t xml:space="preserve">  Maciejowice..........................................................................................................................................................................................................................................................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</si>
  <si>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140308 2</t>
  </si>
  <si>
    <t xml:space="preserve">  Miastków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</si>
  <si>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140309 2</t>
  </si>
  <si>
    <t xml:space="preserve">  Parysów..........................................................................................................................................................................................................................................................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</si>
  <si>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140311 2</t>
  </si>
  <si>
    <t xml:space="preserve">  Sobolew..........................................................................................................................................................................................................................................................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</si>
  <si>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140312 2</t>
  </si>
  <si>
    <t xml:space="preserve">  Trojanów..........................................................................................................................................................................................................................................................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</si>
  <si>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140313 2</t>
  </si>
  <si>
    <t xml:space="preserve">  Wilga..........................................................................................................................................................................................................................................................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</si>
  <si>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140310 3</t>
  </si>
  <si>
    <t xml:space="preserve">  Pilawa..........................................................................................................................................................................................................................................................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</si>
  <si>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140310 4</t>
  </si>
  <si>
    <t>140310 5</t>
  </si>
  <si>
    <t>140314 3</t>
  </si>
  <si>
    <t xml:space="preserve">  Żelechów..........................................................................................................................................................................................................................................................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</si>
  <si>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140314 4</t>
  </si>
  <si>
    <t>140314 5</t>
  </si>
  <si>
    <t>Powiat gostyniński  (5 gmin)</t>
  </si>
  <si>
    <t>140401 1</t>
  </si>
  <si>
    <t xml:space="preserve">  Gostynin..........................................................................................................................................................................................................................................................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</si>
  <si>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140402 2</t>
  </si>
  <si>
    <t>140403 2</t>
  </si>
  <si>
    <t xml:space="preserve">  Pacyna..........................................................................................................................................................................................................................................................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</si>
  <si>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140405 2</t>
  </si>
  <si>
    <t xml:space="preserve">  Szczawin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</si>
  <si>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140404 3</t>
  </si>
  <si>
    <t xml:space="preserve">  Sanniki..........................................................................................................................................................................................................................................................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</si>
  <si>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140404 4</t>
  </si>
  <si>
    <t>140404 5</t>
  </si>
  <si>
    <t>Powiat grodziski  (6 gmin)</t>
  </si>
  <si>
    <t>140501 1</t>
  </si>
  <si>
    <t xml:space="preserve">  Milanówek..........................................................................................................................................................................................................................................................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</si>
  <si>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140502 1</t>
  </si>
  <si>
    <t xml:space="preserve">  Podkowa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</si>
  <si>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140503 2</t>
  </si>
  <si>
    <t>140505 2</t>
  </si>
  <si>
    <t xml:space="preserve">  Jaktorów..........................................................................................................................................................................................................................................................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</si>
  <si>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140506 2</t>
  </si>
  <si>
    <t xml:space="preserve">  Żabia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</si>
  <si>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140504 3</t>
  </si>
  <si>
    <t xml:space="preserve">  Grodzisk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</si>
  <si>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140504 4</t>
  </si>
  <si>
    <t>140504 5</t>
  </si>
  <si>
    <t>Powiat grójecki  (10 gmin)</t>
  </si>
  <si>
    <t>140601 2</t>
  </si>
  <si>
    <t xml:space="preserve">  Belsk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</si>
  <si>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140602 2</t>
  </si>
  <si>
    <t xml:space="preserve">  Błędów..........................................................................................................................................................................................................................................................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</si>
  <si>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140603 2</t>
  </si>
  <si>
    <t xml:space="preserve">  Chynów..........................................................................................................................................................................................................................................................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</si>
  <si>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140604 2</t>
  </si>
  <si>
    <t xml:space="preserve">  Goszczyn..........................................................................................................................................................................................................................................................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</si>
  <si>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140606 2</t>
  </si>
  <si>
    <t xml:space="preserve">  Jasieniec..........................................................................................................................................................................................................................................................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</si>
  <si>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140609 2</t>
  </si>
  <si>
    <t xml:space="preserve">  Pniewy..........................................................................................................................................................................................................................................................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</si>
  <si>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140605 3</t>
  </si>
  <si>
    <t xml:space="preserve">  Grójec..........................................................................................................................................................................................................................................................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</si>
  <si>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140605 4</t>
  </si>
  <si>
    <t>140605 5</t>
  </si>
  <si>
    <t>140607 3</t>
  </si>
  <si>
    <t xml:space="preserve">  Mogielnica..........................................................................................................................................................................................................................................................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</si>
  <si>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140607 4</t>
  </si>
  <si>
    <t>140607 5</t>
  </si>
  <si>
    <t>140608 3</t>
  </si>
  <si>
    <t xml:space="preserve">  Nowe Miasto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</si>
  <si>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140608 4</t>
  </si>
  <si>
    <t>140608 5</t>
  </si>
  <si>
    <t>140611 3</t>
  </si>
  <si>
    <t xml:space="preserve">  Warka..........................................................................................................................................................................................................................................................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</si>
  <si>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140611 4</t>
  </si>
  <si>
    <t>140611 5</t>
  </si>
  <si>
    <t>Powiat kozienicki  (7 gmin)</t>
  </si>
  <si>
    <t>140701 2</t>
  </si>
  <si>
    <t xml:space="preserve">  Garbatka-Letnisko..........................................................................................................................................................................................................................................................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</si>
  <si>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140702 2</t>
  </si>
  <si>
    <t xml:space="preserve">  Głowaczów..........................................................................................................................................................................................................................................................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</si>
  <si>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140703 2</t>
  </si>
  <si>
    <t xml:space="preserve">  Gniewoszów..........................................................................................................................................................................................................................................................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</si>
  <si>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140704 2</t>
  </si>
  <si>
    <t xml:space="preserve">  Grabów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</si>
  <si>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140706 2</t>
  </si>
  <si>
    <t xml:space="preserve">  Magnuszew..........................................................................................................................................................................................................................................................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</si>
  <si>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140707 2</t>
  </si>
  <si>
    <t xml:space="preserve">  Sieciechów..........................................................................................................................................................................................................................................................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</si>
  <si>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140705 3</t>
  </si>
  <si>
    <t xml:space="preserve">  Kozienice..........................................................................................................................................................................................................................................................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</si>
  <si>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140705 4</t>
  </si>
  <si>
    <t>140705 5</t>
  </si>
  <si>
    <t>Powiat legionowski  (5 gmin)</t>
  </si>
  <si>
    <t>140801 1</t>
  </si>
  <si>
    <t xml:space="preserve">  Legionowo..........................................................................................................................................................................................................................................................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</si>
  <si>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140802 2</t>
  </si>
  <si>
    <t>140803 2</t>
  </si>
  <si>
    <t xml:space="preserve">  Nieporęt..........................................................................................................................................................................................................................................................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</si>
  <si>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140805 2</t>
  </si>
  <si>
    <t xml:space="preserve">  Wieliszew..........................................................................................................................................................................................................................................................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</si>
  <si>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140804 3</t>
  </si>
  <si>
    <t xml:space="preserve">  Serock..........................................................................................................................................................................................................................................................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</si>
  <si>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140804 4</t>
  </si>
  <si>
    <t>140804 5</t>
  </si>
  <si>
    <t>Powiat lipski  (6 gmin)</t>
  </si>
  <si>
    <t>140901 2</t>
  </si>
  <si>
    <t xml:space="preserve">  Chotcza..........................................................................................................................................................................................................................................................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</si>
  <si>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140902 2</t>
  </si>
  <si>
    <t xml:space="preserve">  Ciepielów..........................................................................................................................................................................................................................................................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</si>
  <si>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140904 2</t>
  </si>
  <si>
    <t xml:space="preserve">  Rzeczniów..........................................................................................................................................................................................................................................................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</si>
  <si>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140905 2</t>
  </si>
  <si>
    <t xml:space="preserve">  Sienno..........................................................................................................................................................................................................................................................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</si>
  <si>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140906 2</t>
  </si>
  <si>
    <t xml:space="preserve">  Solec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</si>
  <si>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140903 3</t>
  </si>
  <si>
    <t xml:space="preserve">  Lipsko..........................................................................................................................................................................................................................................................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</si>
  <si>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140903 4</t>
  </si>
  <si>
    <t>140903 5</t>
  </si>
  <si>
    <t>Powiat łosicki  (6 gmin)</t>
  </si>
  <si>
    <t>141001 2</t>
  </si>
  <si>
    <t xml:space="preserve">  Huszlew..........................................................................................................................................................................................................................................................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</si>
  <si>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141003 2</t>
  </si>
  <si>
    <t xml:space="preserve">  Olszanka..........................................................................................................................................................................................................................................................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</si>
  <si>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141004 2</t>
  </si>
  <si>
    <t xml:space="preserve">  Platerów..........................................................................................................................................................................................................................................................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</si>
  <si>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141005 2</t>
  </si>
  <si>
    <t xml:space="preserve">  Sarnaki..........................................................................................................................................................................................................................................................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</si>
  <si>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141006 2</t>
  </si>
  <si>
    <t xml:space="preserve">  Stara Kornica..........................................................................................................................................................................................................................................................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</si>
  <si>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141002 3</t>
  </si>
  <si>
    <t xml:space="preserve">  Łosice..........................................................................................................................................................................................................................................................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</si>
  <si>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141002 4</t>
  </si>
  <si>
    <t>141002 5</t>
  </si>
  <si>
    <t>Powiat makowski  (10 gmin)</t>
  </si>
  <si>
    <t>141101 1</t>
  </si>
  <si>
    <t xml:space="preserve">  Maków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</si>
  <si>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141102 2</t>
  </si>
  <si>
    <t xml:space="preserve">  Czerwonka..........................................................................................................................................................................................................................................................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</si>
  <si>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141103 2</t>
  </si>
  <si>
    <t xml:space="preserve">  Karniewo..........................................................................................................................................................................................................................................................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</si>
  <si>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141104 2</t>
  </si>
  <si>
    <t xml:space="preserve">  Krasnosielc..........................................................................................................................................................................................................................................................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</si>
  <si>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141105 2</t>
  </si>
  <si>
    <t xml:space="preserve">  Młynarze..........................................................................................................................................................................................................................................................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</si>
  <si>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141106 2</t>
  </si>
  <si>
    <t xml:space="preserve">  Płoniawy-Bramura..........................................................................................................................................................................................................................................................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</si>
  <si>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141108 2</t>
  </si>
  <si>
    <t xml:space="preserve">  Rzewnie..........................................................................................................................................................................................................................................................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</si>
  <si>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141109 2</t>
  </si>
  <si>
    <t xml:space="preserve">  Sypniewo..........................................................................................................................................................................................................................................................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</si>
  <si>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141110 2</t>
  </si>
  <si>
    <t xml:space="preserve">  Szelków..........................................................................................................................................................................................................................................................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</si>
  <si>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141107 3</t>
  </si>
  <si>
    <t xml:space="preserve">  Różan..........................................................................................................................................................................................................................................................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</si>
  <si>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141107 4</t>
  </si>
  <si>
    <t>141107 5</t>
  </si>
  <si>
    <t>Powiat miński  (13 gmin)</t>
  </si>
  <si>
    <t>141201 1</t>
  </si>
  <si>
    <t xml:space="preserve">  Mińsk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</si>
  <si>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141215 1</t>
  </si>
  <si>
    <t xml:space="preserve">  Sulejówek..........................................................................................................................................................................................................................................................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</si>
  <si>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141204 2</t>
  </si>
  <si>
    <t xml:space="preserve">  Cegłów..........................................................................................................................................................................................................................................................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</si>
  <si>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141205 2</t>
  </si>
  <si>
    <t xml:space="preserve">  Dębe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</si>
  <si>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141206 2</t>
  </si>
  <si>
    <t>141208 2</t>
  </si>
  <si>
    <t xml:space="preserve">  Jakubów..........................................................................................................................................................................................................................................................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</si>
  <si>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141210 2</t>
  </si>
  <si>
    <t xml:space="preserve">  Latowicz..........................................................................................................................................................................................................................................................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</si>
  <si>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141211 2</t>
  </si>
  <si>
    <t>141213 2</t>
  </si>
  <si>
    <t xml:space="preserve">  Siennica..........................................................................................................................................................................................................................................................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</si>
  <si>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141214 2</t>
  </si>
  <si>
    <t xml:space="preserve">  Stanisławów..........................................................................................................................................................................................................................................................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</si>
  <si>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141207 3</t>
  </si>
  <si>
    <t xml:space="preserve">  Halinów..........................................................................................................................................................................................................................................................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</si>
  <si>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141207 4</t>
  </si>
  <si>
    <t>141207 5</t>
  </si>
  <si>
    <t>141209 3</t>
  </si>
  <si>
    <t xml:space="preserve">  Kałuszyn..........................................................................................................................................................................................................................................................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</si>
  <si>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141209 4</t>
  </si>
  <si>
    <t>141209 5</t>
  </si>
  <si>
    <t>141212 3</t>
  </si>
  <si>
    <t xml:space="preserve">  Mrozy..........................................................................................................................................................................................................................................................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</si>
  <si>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141212 4</t>
  </si>
  <si>
    <t>141212 5</t>
  </si>
  <si>
    <t>Powiat mławski  (10 gmin)</t>
  </si>
  <si>
    <t>141301 1</t>
  </si>
  <si>
    <t xml:space="preserve">  Mława..........................................................................................................................................................................................................................................................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</si>
  <si>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141302 2</t>
  </si>
  <si>
    <t xml:space="preserve">  Dzierzgowo..........................................................................................................................................................................................................................................................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</si>
  <si>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141303 2</t>
  </si>
  <si>
    <t xml:space="preserve">  Lipowiec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</si>
  <si>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141304 2</t>
  </si>
  <si>
    <t>141305 2</t>
  </si>
  <si>
    <t xml:space="preserve">  Strzegowo..........................................................................................................................................................................................................................................................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</si>
  <si>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141306 2</t>
  </si>
  <si>
    <t xml:space="preserve">  Stupsk..........................................................................................................................................................................................................................................................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</si>
  <si>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141307 2</t>
  </si>
  <si>
    <t xml:space="preserve">  Szreńsk..........................................................................................................................................................................................................................................................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</si>
  <si>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141308 2</t>
  </si>
  <si>
    <t xml:space="preserve">  Szydłowo..........................................................................................................................................................................................................................................................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</si>
  <si>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141309 2</t>
  </si>
  <si>
    <t xml:space="preserve">  Wieczfnia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</si>
  <si>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141310 2</t>
  </si>
  <si>
    <t xml:space="preserve">  Wiśniewo..........................................................................................................................................................................................................................................................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</si>
  <si>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nowodworski  (6 gmin)</t>
  </si>
  <si>
    <t>141401 1</t>
  </si>
  <si>
    <t xml:space="preserve">  Nowy Dwór Mazowiecki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</si>
  <si>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141402 2</t>
  </si>
  <si>
    <t xml:space="preserve">  Czosnów..........................................................................................................................................................................................................................................................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</si>
  <si>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141403 2</t>
  </si>
  <si>
    <t xml:space="preserve">  Leoncin..........................................................................................................................................................................................................................................................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</si>
  <si>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141405 2</t>
  </si>
  <si>
    <t xml:space="preserve">  Pomiechówek..........................................................................................................................................................................................................................................................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</si>
  <si>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141404 3</t>
  </si>
  <si>
    <t xml:space="preserve">  Nasielsk..........................................................................................................................................................................................................................................................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</si>
  <si>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141404 4</t>
  </si>
  <si>
    <t>141404 5</t>
  </si>
  <si>
    <t>141406 3</t>
  </si>
  <si>
    <t xml:space="preserve">  Zakroczym..........................................................................................................................................................................................................................................................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</si>
  <si>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141406 4</t>
  </si>
  <si>
    <t>141406 5</t>
  </si>
  <si>
    <t>Powiat ostrołęcki  (11 gmin)</t>
  </si>
  <si>
    <t>141501 2</t>
  </si>
  <si>
    <t xml:space="preserve">  Baranowo..........................................................................................................................................................................................................................................................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</si>
  <si>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141502 2</t>
  </si>
  <si>
    <t xml:space="preserve">  Czarnia..........................................................................................................................................................................................................................................................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</si>
  <si>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141503 2</t>
  </si>
  <si>
    <t xml:space="preserve">  Czerwin..........................................................................................................................................................................................................................................................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</si>
  <si>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141504 2</t>
  </si>
  <si>
    <t xml:space="preserve">  Goworowo..........................................................................................................................................................................................................................................................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</si>
  <si>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141505 2</t>
  </si>
  <si>
    <t xml:space="preserve">  Kadzidło..........................................................................................................................................................................................................................................................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</si>
  <si>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141506 2</t>
  </si>
  <si>
    <t xml:space="preserve">  Lelis..........................................................................................................................................................................................................................................................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</si>
  <si>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141507 2</t>
  </si>
  <si>
    <t xml:space="preserve">  Łyse..........................................................................................................................................................................................................................................................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</si>
  <si>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141509 2</t>
  </si>
  <si>
    <t xml:space="preserve">  Olszewo-Borki..........................................................................................................................................................................................................................................................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</si>
  <si>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141510 2</t>
  </si>
  <si>
    <t xml:space="preserve">  Rzekuń..........................................................................................................................................................................................................................................................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</si>
  <si>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141511 2</t>
  </si>
  <si>
    <t xml:space="preserve">  Troszyn..........................................................................................................................................................................................................................................................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</si>
  <si>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141508 3</t>
  </si>
  <si>
    <t xml:space="preserve">  Myszyniec..........................................................................................................................................................................................................................................................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</si>
  <si>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141508 4</t>
  </si>
  <si>
    <t>141508 5</t>
  </si>
  <si>
    <t>Powiat ostrowski  (11 gmin)</t>
  </si>
  <si>
    <t>141601 1</t>
  </si>
  <si>
    <t xml:space="preserve">  Ostrów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</si>
  <si>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141602 2</t>
  </si>
  <si>
    <t xml:space="preserve">  Andrzejewo..........................................................................................................................................................................................................................................................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</si>
  <si>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141603 2</t>
  </si>
  <si>
    <t xml:space="preserve">  Boguty-Pianki..........................................................................................................................................................................................................................................................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</si>
  <si>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141605 2</t>
  </si>
  <si>
    <t xml:space="preserve">  Małkinia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</si>
  <si>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141606 2</t>
  </si>
  <si>
    <t xml:space="preserve">  Nur..........................................................................................................................................................................................................................................................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</si>
  <si>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141607 2</t>
  </si>
  <si>
    <t>141608 2</t>
  </si>
  <si>
    <t xml:space="preserve">  Stary Lubotyń..........................................................................................................................................................................................................................................................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</si>
  <si>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141609 2</t>
  </si>
  <si>
    <t xml:space="preserve">  Szulborze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</si>
  <si>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141610 2</t>
  </si>
  <si>
    <t xml:space="preserve">  Wąsewo..........................................................................................................................................................................................................................................................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</si>
  <si>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141611 2</t>
  </si>
  <si>
    <t xml:space="preserve">  Zaręby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</si>
  <si>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141604 3</t>
  </si>
  <si>
    <t xml:space="preserve">  Brok..........................................................................................................................................................................................................................................................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</si>
  <si>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141604 4</t>
  </si>
  <si>
    <t>141604 5</t>
  </si>
  <si>
    <t>Powiat otwocki  (8 gmin)</t>
  </si>
  <si>
    <t>141701 1</t>
  </si>
  <si>
    <t>141702 1</t>
  </si>
  <si>
    <t xml:space="preserve">  Otwock..........................................................................................................................................................................................................................................................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</si>
  <si>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141703 2</t>
  </si>
  <si>
    <t xml:space="preserve">  Celestynów..........................................................................................................................................................................................................................................................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</si>
  <si>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141705 2</t>
  </si>
  <si>
    <t xml:space="preserve">  Kołbiel..........................................................................................................................................................................................................................................................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</si>
  <si>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141706 2</t>
  </si>
  <si>
    <t xml:space="preserve">  Osieck..........................................................................................................................................................................................................................................................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</si>
  <si>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141707 2</t>
  </si>
  <si>
    <t xml:space="preserve">  Sobienie-Jeziory..........................................................................................................................................................................................................................................................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</si>
  <si>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141708 2</t>
  </si>
  <si>
    <t xml:space="preserve">  Wiązowna..........................................................................................................................................................................................................................................................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</si>
  <si>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141704 3</t>
  </si>
  <si>
    <t xml:space="preserve">  Karczew..........................................................................................................................................................................................................................................................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</si>
  <si>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141704 4</t>
  </si>
  <si>
    <t>141704 5</t>
  </si>
  <si>
    <t>Powiat piaseczyński  (6 gmin)</t>
  </si>
  <si>
    <t>141803 2</t>
  </si>
  <si>
    <t xml:space="preserve">  Lesznowola..........................................................................................................................................................................................................................................................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</si>
  <si>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141805 2</t>
  </si>
  <si>
    <t xml:space="preserve">  Prażmów..........................................................................................................................................................................................................................................................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</si>
  <si>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141801 3</t>
  </si>
  <si>
    <t xml:space="preserve">  Góra Kalwaria..........................................................................................................................................................................................................................................................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</si>
  <si>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141801 4</t>
  </si>
  <si>
    <t>141801 5</t>
  </si>
  <si>
    <t>141802 3</t>
  </si>
  <si>
    <t xml:space="preserve">  Konstancin-Jeziorna..........................................................................................................................................................................................................................................................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</si>
  <si>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141802 4</t>
  </si>
  <si>
    <t>141802 5</t>
  </si>
  <si>
    <t>141804 3</t>
  </si>
  <si>
    <t xml:space="preserve">  Piaseczno..........................................................................................................................................................................................................................................................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</si>
  <si>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141804 4</t>
  </si>
  <si>
    <t>141804 5</t>
  </si>
  <si>
    <t>141806 3</t>
  </si>
  <si>
    <t xml:space="preserve">  Tarczyn..........................................................................................................................................................................................................................................................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</si>
  <si>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141806 4</t>
  </si>
  <si>
    <t>141806 5</t>
  </si>
  <si>
    <t>Powiat płocki  (15 gmin)</t>
  </si>
  <si>
    <t>141901 2</t>
  </si>
  <si>
    <t xml:space="preserve">  Bielsk..........................................................................................................................................................................................................................................................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</si>
  <si>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141902 2</t>
  </si>
  <si>
    <t xml:space="preserve">  Bodzanów..........................................................................................................................................................................................................................................................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</si>
  <si>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141903 2</t>
  </si>
  <si>
    <t xml:space="preserve">  Brudzeń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</si>
  <si>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141904 2</t>
  </si>
  <si>
    <t xml:space="preserve">  Bulkowo..........................................................................................................................................................................................................................................................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</si>
  <si>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141907 2</t>
  </si>
  <si>
    <t xml:space="preserve">  Łąck..........................................................................................................................................................................................................................................................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</si>
  <si>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141908 2</t>
  </si>
  <si>
    <t xml:space="preserve">  Mała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</si>
  <si>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141909 2</t>
  </si>
  <si>
    <t xml:space="preserve">  Nowy Duninów..........................................................................................................................................................................................................................................................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</si>
  <si>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141910 2</t>
  </si>
  <si>
    <t xml:space="preserve">  Radzanowo..........................................................................................................................................................................................................................................................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</si>
  <si>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141911 2</t>
  </si>
  <si>
    <t>141912 2</t>
  </si>
  <si>
    <t xml:space="preserve">  Słupno..........................................................................................................................................................................................................................................................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</si>
  <si>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141913 2</t>
  </si>
  <si>
    <t xml:space="preserve">  Stara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</si>
  <si>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141914 2</t>
  </si>
  <si>
    <t xml:space="preserve">  Staroźreby..........................................................................................................................................................................................................................................................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</si>
  <si>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141905 3</t>
  </si>
  <si>
    <t xml:space="preserve">  Drobin..........................................................................................................................................................................................................................................................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</si>
  <si>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141905 4</t>
  </si>
  <si>
    <t>141905 5</t>
  </si>
  <si>
    <t>141906 3</t>
  </si>
  <si>
    <t xml:space="preserve">  Gąbin..........................................................................................................................................................................................................................................................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</si>
  <si>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141906 4</t>
  </si>
  <si>
    <t>141906 5</t>
  </si>
  <si>
    <t>141915 3</t>
  </si>
  <si>
    <t xml:space="preserve">  Wyszogród..........................................................................................................................................................................................................................................................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</si>
  <si>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141915 4</t>
  </si>
  <si>
    <t>141915 5</t>
  </si>
  <si>
    <t>Powiat płoński  (12 gmin)</t>
  </si>
  <si>
    <t>142001 1</t>
  </si>
  <si>
    <t xml:space="preserve">  Płońsk..........................................................................................................................................................................................................................................................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</si>
  <si>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142002 1</t>
  </si>
  <si>
    <t xml:space="preserve">  Raciąż..........................................................................................................................................................................................................................................................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</si>
  <si>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142003 2</t>
  </si>
  <si>
    <t xml:space="preserve">  Baboszewo..........................................................................................................................................................................................................................................................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</si>
  <si>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142005 2</t>
  </si>
  <si>
    <t xml:space="preserve">  Dzierzążnia..........................................................................................................................................................................................................................................................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</si>
  <si>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142006 2</t>
  </si>
  <si>
    <t xml:space="preserve">  Joniec..........................................................................................................................................................................................................................................................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</si>
  <si>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142007 2</t>
  </si>
  <si>
    <t xml:space="preserve">  Naruszewo..........................................................................................................................................................................................................................................................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</si>
  <si>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142008 2</t>
  </si>
  <si>
    <t xml:space="preserve">  Nowe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</si>
  <si>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142009 2</t>
  </si>
  <si>
    <t>142010 2</t>
  </si>
  <si>
    <t>142011 2</t>
  </si>
  <si>
    <t xml:space="preserve">  Sochocin..........................................................................................................................................................................................................................................................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</si>
  <si>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142012 2</t>
  </si>
  <si>
    <t xml:space="preserve">  Załuski..........................................................................................................................................................................................................................................................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</si>
  <si>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142004 3</t>
  </si>
  <si>
    <t xml:space="preserve">  Czerwińsk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</si>
  <si>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142004 4</t>
  </si>
  <si>
    <t>142004 5</t>
  </si>
  <si>
    <t>Powiat pruszkowski  (6 gmin)</t>
  </si>
  <si>
    <t>142101 1</t>
  </si>
  <si>
    <t xml:space="preserve">  Piastów..........................................................................................................................................................................................................................................................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</si>
  <si>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142102 1</t>
  </si>
  <si>
    <t xml:space="preserve">  Pruszków..........................................................................................................................................................................................................................................................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</si>
  <si>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142104 2</t>
  </si>
  <si>
    <t>142105 2</t>
  </si>
  <si>
    <t xml:space="preserve">  Nadarzyn..........................................................................................................................................................................................................................................................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</si>
  <si>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142106 2</t>
  </si>
  <si>
    <t xml:space="preserve">  Raszyn..........................................................................................................................................................................................................................................................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</si>
  <si>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142103 3</t>
  </si>
  <si>
    <t xml:space="preserve">  Brwinów..........................................................................................................................................................................................................................................................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</si>
  <si>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142103 4</t>
  </si>
  <si>
    <t>142103 5</t>
  </si>
  <si>
    <t>Powiat przasnyski  (7 gmin)</t>
  </si>
  <si>
    <t>142201 1</t>
  </si>
  <si>
    <t xml:space="preserve">  Przasnysz..........................................................................................................................................................................................................................................................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</si>
  <si>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142203 2</t>
  </si>
  <si>
    <t xml:space="preserve">  Czernice Borowe..........................................................................................................................................................................................................................................................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</si>
  <si>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142204 2</t>
  </si>
  <si>
    <t xml:space="preserve">  Jednorożec..........................................................................................................................................................................................................................................................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</si>
  <si>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142205 2</t>
  </si>
  <si>
    <t xml:space="preserve">  Krasne..........................................................................................................................................................................................................................................................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</si>
  <si>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142206 2</t>
  </si>
  <si>
    <t xml:space="preserve">  Krzynowłoga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</si>
  <si>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142207 2</t>
  </si>
  <si>
    <t>142202 3</t>
  </si>
  <si>
    <t xml:space="preserve">  Chorzele..........................................................................................................................................................................................................................................................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</si>
  <si>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142202 4</t>
  </si>
  <si>
    <t>142202 5</t>
  </si>
  <si>
    <t>Powiat przysuski  (8 gmin)</t>
  </si>
  <si>
    <t>142301 2</t>
  </si>
  <si>
    <t xml:space="preserve">  Borkowice..........................................................................................................................................................................................................................................................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</si>
  <si>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142302 2</t>
  </si>
  <si>
    <t xml:space="preserve">  Gielniów..........................................................................................................................................................................................................................................................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</si>
  <si>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142303 2</t>
  </si>
  <si>
    <t xml:space="preserve">  Klwów..........................................................................................................................................................................................................................................................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</si>
  <si>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142304 2</t>
  </si>
  <si>
    <t xml:space="preserve">  Odrzywół..........................................................................................................................................................................................................................................................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</si>
  <si>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142305 2</t>
  </si>
  <si>
    <t xml:space="preserve">  Potworów..........................................................................................................................................................................................................................................................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</si>
  <si>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142307 2</t>
  </si>
  <si>
    <t xml:space="preserve">  Rusinów..........................................................................................................................................................................................................................................................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</si>
  <si>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142308 2</t>
  </si>
  <si>
    <t xml:space="preserve">  Wieniawa..........................................................................................................................................................................................................................................................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</si>
  <si>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142306 3</t>
  </si>
  <si>
    <t xml:space="preserve">  Przysucha..........................................................................................................................................................................................................................................................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</si>
  <si>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142306 4</t>
  </si>
  <si>
    <t>142306 5</t>
  </si>
  <si>
    <t>Powiat pułtuski  (7 gmin)</t>
  </si>
  <si>
    <t>142401 2</t>
  </si>
  <si>
    <t xml:space="preserve">  Gzy..........................................................................................................................................................................................................................................................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</si>
  <si>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142402 2</t>
  </si>
  <si>
    <t xml:space="preserve">  Obryte..........................................................................................................................................................................................................................................................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</si>
  <si>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142403 2</t>
  </si>
  <si>
    <t xml:space="preserve">  Pokrzywnica..........................................................................................................................................................................................................................................................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</si>
  <si>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142405 2</t>
  </si>
  <si>
    <t xml:space="preserve">  Świercze..........................................................................................................................................................................................................................................................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</si>
  <si>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142406 2</t>
  </si>
  <si>
    <t xml:space="preserve">  Winnica..........................................................................................................................................................................................................................................................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</si>
  <si>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142407 2</t>
  </si>
  <si>
    <t xml:space="preserve">  Zatory..........................................................................................................................................................................................................................................................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</si>
  <si>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142404 3</t>
  </si>
  <si>
    <t xml:space="preserve">  Pułtusk..........................................................................................................................................................................................................................................................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</si>
  <si>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142404 4</t>
  </si>
  <si>
    <t>142404 5</t>
  </si>
  <si>
    <t>Powiat radomski  (13 gmin)</t>
  </si>
  <si>
    <t>142501 1</t>
  </si>
  <si>
    <t xml:space="preserve">  Pionki..........................................................................................................................................................................................................................................................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</si>
  <si>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142502 2</t>
  </si>
  <si>
    <t xml:space="preserve">  Gózd..........................................................................................................................................................................................................................................................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</si>
  <si>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142504 2</t>
  </si>
  <si>
    <t xml:space="preserve">  Jastrzębia..........................................................................................................................................................................................................................................................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</si>
  <si>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142505 2</t>
  </si>
  <si>
    <t xml:space="preserve">  Jedlińsk..........................................................................................................................................................................................................................................................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</si>
  <si>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142506 2</t>
  </si>
  <si>
    <t xml:space="preserve">  Jedlnia-Letnisko..........................................................................................................................................................................................................................................................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</si>
  <si>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142507 2</t>
  </si>
  <si>
    <t xml:space="preserve">  Kowala..........................................................................................................................................................................................................................................................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</si>
  <si>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142508 2</t>
  </si>
  <si>
    <t>142509 2</t>
  </si>
  <si>
    <t xml:space="preserve">  Przytyk..........................................................................................................................................................................................................................................................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</si>
  <si>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142511 2</t>
  </si>
  <si>
    <t>142512 2</t>
  </si>
  <si>
    <t xml:space="preserve">  Wolanów..........................................................................................................................................................................................................................................................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</si>
  <si>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142513 2</t>
  </si>
  <si>
    <t>142503 3</t>
  </si>
  <si>
    <t xml:space="preserve">  Iłża..........................................................................................................................................................................................................................................................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</si>
  <si>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142503 4</t>
  </si>
  <si>
    <t>142503 5</t>
  </si>
  <si>
    <t>142510 3</t>
  </si>
  <si>
    <t xml:space="preserve">  Skaryszew..........................................................................................................................................................................................................................................................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</si>
  <si>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142510 4</t>
  </si>
  <si>
    <t>142510 5</t>
  </si>
  <si>
    <t>Powiat siedlecki  (13 gmin)</t>
  </si>
  <si>
    <t>142601 2</t>
  </si>
  <si>
    <t xml:space="preserve">  Domanice..........................................................................................................................................................................................................................................................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</si>
  <si>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142602 2</t>
  </si>
  <si>
    <t xml:space="preserve">  Korczew..........................................................................................................................................................................................................................................................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</si>
  <si>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142603 2</t>
  </si>
  <si>
    <t xml:space="preserve">  Kotuń..........................................................................................................................................................................................................................................................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</si>
  <si>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142604 2</t>
  </si>
  <si>
    <t xml:space="preserve">  Mokobody..........................................................................................................................................................................................................................................................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</si>
  <si>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142606 2</t>
  </si>
  <si>
    <t xml:space="preserve">  Paprotnia..........................................................................................................................................................................................................................................................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</si>
  <si>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142607 2</t>
  </si>
  <si>
    <t xml:space="preserve">  Przesmyki..........................................................................................................................................................................................................................................................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</si>
  <si>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142608 2</t>
  </si>
  <si>
    <t xml:space="preserve">  Siedlce..........................................................................................................................................................................................................................................................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</si>
  <si>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142609 2</t>
  </si>
  <si>
    <t xml:space="preserve">  Skórzec..........................................................................................................................................................................................................................................................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</si>
  <si>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142610 2</t>
  </si>
  <si>
    <t xml:space="preserve">  Suchożebry..........................................................................................................................................................................................................................................................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</si>
  <si>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142611 2</t>
  </si>
  <si>
    <t xml:space="preserve">  Wiśniew..........................................................................................................................................................................................................................................................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</si>
  <si>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142612 2</t>
  </si>
  <si>
    <t xml:space="preserve">  Wodynie..........................................................................................................................................................................................................................................................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</si>
  <si>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142613 2</t>
  </si>
  <si>
    <t xml:space="preserve">  Zbuczyn..........................................................................................................................................................................................................................................................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</si>
  <si>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142605 3</t>
  </si>
  <si>
    <t xml:space="preserve">  Mordy..........................................................................................................................................................................................................................................................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</si>
  <si>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142605 4</t>
  </si>
  <si>
    <t>142605 5</t>
  </si>
  <si>
    <t>Powiat sierpecki  (7 gmin)</t>
  </si>
  <si>
    <t>142701 1</t>
  </si>
  <si>
    <t xml:space="preserve">  Sierpc..........................................................................................................................................................................................................................................................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</si>
  <si>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142702 2</t>
  </si>
  <si>
    <t xml:space="preserve">  Gozdowo..........................................................................................................................................................................................................................................................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</si>
  <si>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142703 2</t>
  </si>
  <si>
    <t xml:space="preserve">  Mochowo..........................................................................................................................................................................................................................................................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</si>
  <si>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142704 2</t>
  </si>
  <si>
    <t xml:space="preserve">  Rościszewo..........................................................................................................................................................................................................................................................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</si>
  <si>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142705 2</t>
  </si>
  <si>
    <t>142706 2</t>
  </si>
  <si>
    <t xml:space="preserve">  Szczutowo..........................................................................................................................................................................................................................................................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</si>
  <si>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142707 2</t>
  </si>
  <si>
    <t xml:space="preserve">  Zawidz..........................................................................................................................................................................................................................................................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</si>
  <si>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sochaczewski  (8 gmin)</t>
  </si>
  <si>
    <t>142801 1</t>
  </si>
  <si>
    <t xml:space="preserve">  Sochaczew..........................................................................................................................................................................................................................................................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</si>
  <si>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142802 2</t>
  </si>
  <si>
    <t xml:space="preserve">  Brochów..........................................................................................................................................................................................................................................................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</si>
  <si>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142803 2</t>
  </si>
  <si>
    <t xml:space="preserve">  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</si>
  <si>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142804 2</t>
  </si>
  <si>
    <t xml:space="preserve">  Młodzieszyn..........................................................................................................................................................................................................................................................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</si>
  <si>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142805 2</t>
  </si>
  <si>
    <t xml:space="preserve">  Nowa 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</si>
  <si>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142806 2</t>
  </si>
  <si>
    <t xml:space="preserve">  Rybno..........................................................................................................................................................................................................................................................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</si>
  <si>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142807 2</t>
  </si>
  <si>
    <t>142808 2</t>
  </si>
  <si>
    <t xml:space="preserve">  Teresin..........................................................................................................................................................................................................................................................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</si>
  <si>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sokołowski  (9 gmin)</t>
  </si>
  <si>
    <t>142901 1</t>
  </si>
  <si>
    <t xml:space="preserve">  Sokołów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</si>
  <si>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142902 2</t>
  </si>
  <si>
    <t xml:space="preserve">  Bielany..........................................................................................................................................................................................................................................................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</si>
  <si>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142903 2</t>
  </si>
  <si>
    <t xml:space="preserve">  Ceranów..........................................................................................................................................................................................................................................................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</si>
  <si>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142904 2</t>
  </si>
  <si>
    <t xml:space="preserve">  Jabłonna Lacka..........................................................................................................................................................................................................................................................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</si>
  <si>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142906 2</t>
  </si>
  <si>
    <t xml:space="preserve">  Repki..........................................................................................................................................................................................................................................................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</si>
  <si>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142907 2</t>
  </si>
  <si>
    <t xml:space="preserve">  Sabnie..........................................................................................................................................................................................................................................................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</si>
  <si>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142908 2</t>
  </si>
  <si>
    <t>142909 2</t>
  </si>
  <si>
    <t xml:space="preserve">  Sterdyń..........................................................................................................................................................................................................................................................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</si>
  <si>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142905 3</t>
  </si>
  <si>
    <t xml:space="preserve">  Kosów Lacki..........................................................................................................................................................................................................................................................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</si>
  <si>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142905 4</t>
  </si>
  <si>
    <t>142905 5</t>
  </si>
  <si>
    <t>Powiat szydłowiecki  (5 gmin)</t>
  </si>
  <si>
    <t>143001 2</t>
  </si>
  <si>
    <t xml:space="preserve">  Chlewiska..........................................................................................................................................................................................................................................................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</si>
  <si>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143002 2</t>
  </si>
  <si>
    <t xml:space="preserve">  Jastrząb..........................................................................................................................................................................................................................................................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</si>
  <si>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143003 2</t>
  </si>
  <si>
    <t xml:space="preserve">  Mirów..........................................................................................................................................................................................................................................................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</si>
  <si>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143004 2</t>
  </si>
  <si>
    <t xml:space="preserve">  Orońsko..........................................................................................................................................................................................................................................................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</si>
  <si>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143005 3</t>
  </si>
  <si>
    <t xml:space="preserve">  Szydłowiec..........................................................................................................................................................................................................................................................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</si>
  <si>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143005 4</t>
  </si>
  <si>
    <t>143005 5</t>
  </si>
  <si>
    <t>Powiat warszawski zachodni  (7 gmin)</t>
  </si>
  <si>
    <t>143202 2</t>
  </si>
  <si>
    <t xml:space="preserve">  Izabelin..........................................................................................................................................................................................................................................................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</si>
  <si>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143203 2</t>
  </si>
  <si>
    <t xml:space="preserve">  Kampinos..........................................................................................................................................................................................................................................................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</si>
  <si>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143204 2</t>
  </si>
  <si>
    <t xml:space="preserve">  Leszno..........................................................................................................................................................................................................................................................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</si>
  <si>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143207 2</t>
  </si>
  <si>
    <t xml:space="preserve">  Stare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</si>
  <si>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143201 3</t>
  </si>
  <si>
    <t xml:space="preserve">  Błonie..........................................................................................................................................................................................................................................................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</si>
  <si>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143201 4</t>
  </si>
  <si>
    <t>143201 5</t>
  </si>
  <si>
    <t>143205 3</t>
  </si>
  <si>
    <t xml:space="preserve">  Łomianki..........................................................................................................................................................................................................................................................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</si>
  <si>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143205 4</t>
  </si>
  <si>
    <t>143205 5</t>
  </si>
  <si>
    <t>143206 3</t>
  </si>
  <si>
    <t xml:space="preserve">  Ożarów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</si>
  <si>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143206 4</t>
  </si>
  <si>
    <t>143206 5</t>
  </si>
  <si>
    <t>Powiat węgrowski  (9 gmin)</t>
  </si>
  <si>
    <t>143301 1</t>
  </si>
  <si>
    <t xml:space="preserve">  Węgrów..........................................................................................................................................................................................................................................................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</si>
  <si>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143302 2</t>
  </si>
  <si>
    <t xml:space="preserve">  Grębków..........................................................................................................................................................................................................................................................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</si>
  <si>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143303 2</t>
  </si>
  <si>
    <t xml:space="preserve">  Korytnica..........................................................................................................................................................................................................................................................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</si>
  <si>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143304 2</t>
  </si>
  <si>
    <t xml:space="preserve">  Liw..........................................................................................................................................................................................................................................................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</si>
  <si>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143306 2</t>
  </si>
  <si>
    <t xml:space="preserve">  Miedzna..........................................................................................................................................................................................................................................................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</si>
  <si>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143307 2</t>
  </si>
  <si>
    <t xml:space="preserve">  Sadowne..........................................................................................................................................................................................................................................................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</si>
  <si>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143308 2</t>
  </si>
  <si>
    <t xml:space="preserve">  Stoczek..........................................................................................................................................................................................................................................................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</si>
  <si>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143309 2</t>
  </si>
  <si>
    <t xml:space="preserve">  Wierzbno..........................................................................................................................................................................................................................................................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</si>
  <si>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143305 3</t>
  </si>
  <si>
    <t xml:space="preserve">  Łochów..........................................................................................................................................................................................................................................................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</si>
  <si>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143305 4</t>
  </si>
  <si>
    <t>143305 5</t>
  </si>
  <si>
    <t>Powiat wołomiński  (12 gmin)</t>
  </si>
  <si>
    <t>143401 1</t>
  </si>
  <si>
    <t xml:space="preserve">  Kobyłka..........................................................................................................................................................................................................................................................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</si>
  <si>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143402 1</t>
  </si>
  <si>
    <t xml:space="preserve">  Marki..........................................................................................................................................................................................................................................................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</si>
  <si>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143403 1</t>
  </si>
  <si>
    <t xml:space="preserve">  Ząbki..........................................................................................................................................................................................................................................................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</si>
  <si>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143404 1</t>
  </si>
  <si>
    <t xml:space="preserve">  Zielonka..........................................................................................................................................................................................................................................................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</si>
  <si>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143405 2</t>
  </si>
  <si>
    <t xml:space="preserve"> 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</si>
  <si>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143406 2</t>
  </si>
  <si>
    <t xml:space="preserve">  Jadów..........................................................................................................................................................................................................................................................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</si>
  <si>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143407 2</t>
  </si>
  <si>
    <t xml:space="preserve">  Klembów..........................................................................................................................................................................................................................................................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</si>
  <si>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143408 2</t>
  </si>
  <si>
    <t>143410 2</t>
  </si>
  <si>
    <t xml:space="preserve">  Strachówka..........................................................................................................................................................................................................................................................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</si>
  <si>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143409 3</t>
  </si>
  <si>
    <t xml:space="preserve">  Radzymin..........................................................................................................................................................................................................................................................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</si>
  <si>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143409 4</t>
  </si>
  <si>
    <t>143409 5</t>
  </si>
  <si>
    <t>143411 3</t>
  </si>
  <si>
    <t xml:space="preserve">  Tłuszcz..........................................................................................................................................................................................................................................................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</si>
  <si>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143411 4</t>
  </si>
  <si>
    <t>143411 5</t>
  </si>
  <si>
    <t>143412 3</t>
  </si>
  <si>
    <t xml:space="preserve">  Wołomin..........................................................................................................................................................................................................................................................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</si>
  <si>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143412 4</t>
  </si>
  <si>
    <t>143412 5</t>
  </si>
  <si>
    <t>Powiat wyszkowski  (6 gmin)</t>
  </si>
  <si>
    <t>143501 2</t>
  </si>
  <si>
    <t xml:space="preserve">  Brańszczyk..........................................................................................................................................................................................................................................................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</si>
  <si>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143502 2</t>
  </si>
  <si>
    <t xml:space="preserve">  Długosiodło..........................................................................................................................................................................................................................................................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</si>
  <si>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143503 2</t>
  </si>
  <si>
    <t xml:space="preserve">  Rząśnik..........................................................................................................................................................................................................................................................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</si>
  <si>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143504 2</t>
  </si>
  <si>
    <t xml:space="preserve">  Somianka..........................................................................................................................................................................................................................................................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</si>
  <si>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143506 2</t>
  </si>
  <si>
    <t xml:space="preserve">  Zabrodzie..........................................................................................................................................................................................................................................................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</si>
  <si>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143505 3</t>
  </si>
  <si>
    <t xml:space="preserve">  Wyszków..........................................................................................................................................................................................................................................................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</si>
  <si>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143505 4</t>
  </si>
  <si>
    <t>143505 5</t>
  </si>
  <si>
    <t>Powiat zwoleński  (5 gmin)</t>
  </si>
  <si>
    <t>143601 2</t>
  </si>
  <si>
    <t xml:space="preserve">  Kazanów..........................................................................................................................................................................................................................................................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</si>
  <si>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143602 2</t>
  </si>
  <si>
    <t xml:space="preserve">  Policzna..........................................................................................................................................................................................................................................................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</si>
  <si>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143603 2</t>
  </si>
  <si>
    <t xml:space="preserve">  Przyłęk..........................................................................................................................................................................................................................................................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</si>
  <si>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143604 2</t>
  </si>
  <si>
    <t xml:space="preserve">  Tczów..........................................................................................................................................................................................................................................................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</si>
  <si>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143605 3</t>
  </si>
  <si>
    <t xml:space="preserve">  Zwoleń..........................................................................................................................................................................................................................................................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</si>
  <si>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143605 4</t>
  </si>
  <si>
    <t>143605 5</t>
  </si>
  <si>
    <t>Powiat żuromiński  (6 gmin)</t>
  </si>
  <si>
    <t>143702 2</t>
  </si>
  <si>
    <t xml:space="preserve">  Kuczbork-Osada..........................................................................................................................................................................................................................................................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</si>
  <si>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143704 2</t>
  </si>
  <si>
    <t xml:space="preserve">  Lutocin..........................................................................................................................................................................................................................................................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</si>
  <si>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143705 2</t>
  </si>
  <si>
    <t xml:space="preserve">  Siemiątkowo..........................................................................................................................................................................................................................................................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</si>
  <si>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143701 3</t>
  </si>
  <si>
    <t xml:space="preserve">  Bieżuń..........................................................................................................................................................................................................................................................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</si>
  <si>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143701 4</t>
  </si>
  <si>
    <t>143701 5</t>
  </si>
  <si>
    <t>143703 3</t>
  </si>
  <si>
    <t xml:space="preserve">  Lubowidz..........................................................................................................................................................................................................................................................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</si>
  <si>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143703 4</t>
  </si>
  <si>
    <t>143703 5</t>
  </si>
  <si>
    <t>143706 3</t>
  </si>
  <si>
    <t xml:space="preserve">  Żuromin..........................................................................................................................................................................................................................................................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</si>
  <si>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143706 4</t>
  </si>
  <si>
    <t>143706 5</t>
  </si>
  <si>
    <t>Powiat żyrardowski  (5 gmin)</t>
  </si>
  <si>
    <t>143801 1</t>
  </si>
  <si>
    <t xml:space="preserve">  Żyrardów..........................................................................................................................................................................................................................................................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</si>
  <si>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gminy wiejskie   rural gminas</t>
  </si>
  <si>
    <t>143803 2</t>
  </si>
  <si>
    <t xml:space="preserve">  Puszcza Mariańska..........................................................................................................................................................................................................................................................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</si>
  <si>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143804 2</t>
  </si>
  <si>
    <t xml:space="preserve">  Radziejowice..........................................................................................................................................................................................................................................................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</si>
  <si>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143805 2</t>
  </si>
  <si>
    <t xml:space="preserve">  Wiskitki..........................................................................................................................................................................................................................................................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</si>
  <si>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143802 3</t>
  </si>
  <si>
    <t xml:space="preserve">  Mszczonów..........................................................................................................................................................................................................................................................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</si>
  <si>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143802 4</t>
  </si>
  <si>
    <t>143802 5</t>
  </si>
  <si>
    <r>
      <t xml:space="preserve">Miasta na prawach powiatu (5)   </t>
    </r>
    <r>
      <rPr>
        <b/>
        <sz val="8"/>
        <color rgb="FF808080"/>
        <rFont val="Arial"/>
        <family val="2"/>
        <charset val="238"/>
      </rPr>
      <t>Cities with powiat status (5)</t>
    </r>
  </si>
  <si>
    <t>146101 1</t>
  </si>
  <si>
    <t xml:space="preserve">  Ostrołęka..........................................................................................................................................................................................................................................................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</si>
  <si>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146201 1</t>
  </si>
  <si>
    <t xml:space="preserve"> 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</si>
  <si>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146301 1</t>
  </si>
  <si>
    <t xml:space="preserve">  Radom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</si>
  <si>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146401 1</t>
  </si>
  <si>
    <t>146501 1</t>
  </si>
  <si>
    <t xml:space="preserve">  M.st. Warszawa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</si>
  <si>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dzielnice  </t>
    </r>
    <r>
      <rPr>
        <sz val="8"/>
        <color rgb="FF808080"/>
        <rFont val="Arial"/>
        <family val="2"/>
        <charset val="238"/>
      </rPr>
      <t xml:space="preserve"> quarters:</t>
    </r>
  </si>
  <si>
    <t>146502 8</t>
  </si>
  <si>
    <t xml:space="preserve">  Bemowo..........................................................................................................................................................................................................................................................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</si>
  <si>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146503 8</t>
  </si>
  <si>
    <t xml:space="preserve">  Białołęka..........................................................................................................................................................................................................................................................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</si>
  <si>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146504 8</t>
  </si>
  <si>
    <t>146505 8</t>
  </si>
  <si>
    <t xml:space="preserve">  Mokotów..........................................................................................................................................................................................................................................................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</si>
  <si>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146506 8</t>
  </si>
  <si>
    <t xml:space="preserve">  Ochota..........................................................................................................................................................................................................................................................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</si>
  <si>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146507 8</t>
  </si>
  <si>
    <t xml:space="preserve">  Praga-Południe..........................................................................................................................................................................................................................................................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</si>
  <si>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146508 8</t>
  </si>
  <si>
    <t xml:space="preserve">  Praga-Północ..........................................................................................................................................................................................................................................................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</si>
  <si>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146509 8</t>
  </si>
  <si>
    <t xml:space="preserve">  Rembertów..........................................................................................................................................................................................................................................................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</si>
  <si>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146510 8</t>
  </si>
  <si>
    <t xml:space="preserve">  Śródmieście..........................................................................................................................................................................................................................................................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</si>
  <si>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146511 8</t>
  </si>
  <si>
    <t xml:space="preserve">  Targówek..........................................................................................................................................................................................................................................................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</si>
  <si>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146512 8</t>
  </si>
  <si>
    <t xml:space="preserve">  Ursus..........................................................................................................................................................................................................................................................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</si>
  <si>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146513 8</t>
  </si>
  <si>
    <t xml:space="preserve">  Ursynów..........................................................................................................................................................................................................................................................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</si>
  <si>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146514 8</t>
  </si>
  <si>
    <t xml:space="preserve">  Wawer..........................................................................................................................................................................................................................................................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</si>
  <si>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146515 8</t>
  </si>
  <si>
    <t xml:space="preserve">  Wesoła..........................................................................................................................................................................................................................................................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</si>
  <si>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146516 8</t>
  </si>
  <si>
    <t xml:space="preserve">  Wilanów..........................................................................................................................................................................................................................................................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</si>
  <si>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146517 8</t>
  </si>
  <si>
    <t xml:space="preserve">  Włochy..........................................................................................................................................................................................................................................................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</si>
  <si>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146518 8</t>
  </si>
  <si>
    <t xml:space="preserve"> 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</si>
  <si>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146519 8</t>
  </si>
  <si>
    <t xml:space="preserve">  Żoliborz..........................................................................................................................................................................................................................................................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</si>
  <si>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brzeski  (6 gmin)</t>
  </si>
  <si>
    <t>160101 1</t>
  </si>
  <si>
    <t xml:space="preserve">  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</si>
  <si>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160105 2</t>
  </si>
  <si>
    <t xml:space="preserve">  Lubsza..........................................................................................................................................................................................................................................................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</si>
  <si>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160106 2</t>
  </si>
  <si>
    <t>160102 2</t>
  </si>
  <si>
    <t xml:space="preserve">  Skarbimierz..........................................................................................................................................................................................................................................................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</si>
  <si>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160103 3</t>
  </si>
  <si>
    <t xml:space="preserve">  Grodków..........................................................................................................................................................................................................................................................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</si>
  <si>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160103 4</t>
  </si>
  <si>
    <t>160103 5</t>
  </si>
  <si>
    <t>160104 3</t>
  </si>
  <si>
    <t xml:space="preserve">  Lewin Brzeski..........................................................................................................................................................................................................................................................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</si>
  <si>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160104 4</t>
  </si>
  <si>
    <t>160104 5</t>
  </si>
  <si>
    <t>Powiat głubczycki  (4 gminy)</t>
  </si>
  <si>
    <t>160202 2</t>
  </si>
  <si>
    <t xml:space="preserve">  Branice..........................................................................................................................................................................................................................................................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</si>
  <si>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160201 3</t>
  </si>
  <si>
    <t xml:space="preserve">  Baborów..........................................................................................................................................................................................................................................................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</si>
  <si>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160201 4</t>
  </si>
  <si>
    <t>160201 5</t>
  </si>
  <si>
    <t>160203 3</t>
  </si>
  <si>
    <t xml:space="preserve">  Głubczyce..........................................................................................................................................................................................................................................................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</si>
  <si>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160203 4</t>
  </si>
  <si>
    <t>160203 5</t>
  </si>
  <si>
    <t>160204 3</t>
  </si>
  <si>
    <t xml:space="preserve">  Kietrz..........................................................................................................................................................................................................................................................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</si>
  <si>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160204 4</t>
  </si>
  <si>
    <t>160204 5</t>
  </si>
  <si>
    <t>Powiat kędzierzyńsko-kozielski  (6 gmin)</t>
  </si>
  <si>
    <t>160301 1</t>
  </si>
  <si>
    <t xml:space="preserve">  Kędzierzyn-Koźle..........................................................................................................................................................................................................................................................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</si>
  <si>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160302 2</t>
  </si>
  <si>
    <t xml:space="preserve">  Bierawa..........................................................................................................................................................................................................................................................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</si>
  <si>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160303 2</t>
  </si>
  <si>
    <t xml:space="preserve">  Cisek..........................................................................................................................................................................................................................................................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</si>
  <si>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160304 2</t>
  </si>
  <si>
    <t xml:space="preserve">  Pawłowiczki..........................................................................................................................................................................................................................................................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</si>
  <si>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160305 2</t>
  </si>
  <si>
    <t xml:space="preserve">  Polska Cerekiew..........................................................................................................................................................................................................................................................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</si>
  <si>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160306 2</t>
  </si>
  <si>
    <t xml:space="preserve">  Reńska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</si>
  <si>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kluczborski  (4 gminy)</t>
  </si>
  <si>
    <r>
      <t xml:space="preserve">gmina wiejska </t>
    </r>
    <r>
      <rPr>
        <sz val="8"/>
        <color rgb="FF808080"/>
        <rFont val="Arial"/>
        <family val="2"/>
        <charset val="238"/>
      </rPr>
      <t xml:space="preserve">  rural gmina</t>
    </r>
  </si>
  <si>
    <t>160403 2</t>
  </si>
  <si>
    <t xml:space="preserve">  Lasowice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</si>
  <si>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160401 3</t>
  </si>
  <si>
    <t xml:space="preserve">  Byczyna..........................................................................................................................................................................................................................................................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</si>
  <si>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160401 4</t>
  </si>
  <si>
    <t>160401 5</t>
  </si>
  <si>
    <t>160402 3</t>
  </si>
  <si>
    <t xml:space="preserve">  Kluczbork..........................................................................................................................................................................................................................................................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</si>
  <si>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160402 4</t>
  </si>
  <si>
    <t>160402 5</t>
  </si>
  <si>
    <t>160404 3</t>
  </si>
  <si>
    <t xml:space="preserve">  Wołczyn..........................................................................................................................................................................................................................................................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</si>
  <si>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160404 4</t>
  </si>
  <si>
    <t>160404 5</t>
  </si>
  <si>
    <t>Powiat krapkowicki  (5 gmin)</t>
  </si>
  <si>
    <t>160503 2</t>
  </si>
  <si>
    <t xml:space="preserve">  Strzeleczki..........................................................................................................................................................................................................................................................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</si>
  <si>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160504 2</t>
  </si>
  <si>
    <t xml:space="preserve">  Walce..........................................................................................................................................................................................................................................................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</si>
  <si>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160501 3</t>
  </si>
  <si>
    <t xml:space="preserve">  Gogolin..........................................................................................................................................................................................................................................................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</si>
  <si>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160501 4</t>
  </si>
  <si>
    <t>160501 5</t>
  </si>
  <si>
    <t>160502 3</t>
  </si>
  <si>
    <t xml:space="preserve">  Krapkowice..........................................................................................................................................................................................................................................................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</si>
  <si>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160502 4</t>
  </si>
  <si>
    <t>160502 5</t>
  </si>
  <si>
    <t>160505 3</t>
  </si>
  <si>
    <t xml:space="preserve">  Zdzieszowice..........................................................................................................................................................................................................................................................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</si>
  <si>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160505 4</t>
  </si>
  <si>
    <t>160505 5</t>
  </si>
  <si>
    <t>Powiat namysłowski  (5 gmin)</t>
  </si>
  <si>
    <t>160601 2</t>
  </si>
  <si>
    <t xml:space="preserve">  Domaszowice..........................................................................................................................................................................................................................................................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</si>
  <si>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160603 2</t>
  </si>
  <si>
    <t xml:space="preserve">  Pokój..........................................................................................................................................................................................................................................................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</si>
  <si>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160604 2</t>
  </si>
  <si>
    <t xml:space="preserve">  Świerczów..........................................................................................................................................................................................................................................................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</si>
  <si>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160605 2</t>
  </si>
  <si>
    <t>160602 3</t>
  </si>
  <si>
    <t xml:space="preserve">  Namysłów..........................................................................................................................................................................................................................................................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</si>
  <si>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160602 4</t>
  </si>
  <si>
    <t>160602 5</t>
  </si>
  <si>
    <t>Powiat nyski  (9 gmin)</t>
  </si>
  <si>
    <t>160702 2</t>
  </si>
  <si>
    <t xml:space="preserve">  Kamiennik..........................................................................................................................................................................................................................................................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</si>
  <si>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160704 2</t>
  </si>
  <si>
    <t xml:space="preserve">  Łambinowice..........................................................................................................................................................................................................................................................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</si>
  <si>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160708 2</t>
  </si>
  <si>
    <t xml:space="preserve">  Pakosławice..........................................................................................................................................................................................................................................................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</si>
  <si>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160709 2</t>
  </si>
  <si>
    <t xml:space="preserve">  Skoroszyce..........................................................................................................................................................................................................................................................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</si>
  <si>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160701 3</t>
  </si>
  <si>
    <t xml:space="preserve">  Głuchołazy..........................................................................................................................................................................................................................................................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</si>
  <si>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160701 4</t>
  </si>
  <si>
    <t>160701 5</t>
  </si>
  <si>
    <t>160703 3</t>
  </si>
  <si>
    <t xml:space="preserve">  Korfantów..........................................................................................................................................................................................................................................................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</si>
  <si>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160703 4</t>
  </si>
  <si>
    <t>160703 5</t>
  </si>
  <si>
    <t>160705 3</t>
  </si>
  <si>
    <t xml:space="preserve">  Nysa..........................................................................................................................................................................................................................................................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</si>
  <si>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160705 4</t>
  </si>
  <si>
    <t>160705 5</t>
  </si>
  <si>
    <t>160706 3</t>
  </si>
  <si>
    <t xml:space="preserve">  Otmuchów..........................................................................................................................................................................................................................................................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</si>
  <si>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160706 4</t>
  </si>
  <si>
    <t>160706 5</t>
  </si>
  <si>
    <t>160707 3</t>
  </si>
  <si>
    <t xml:space="preserve">  Paczków..........................................................................................................................................................................................................................................................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</si>
  <si>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160707 4</t>
  </si>
  <si>
    <t>160707 5</t>
  </si>
  <si>
    <t>Powiat oleski  (7 gmin)</t>
  </si>
  <si>
    <t>160805 2</t>
  </si>
  <si>
    <t>160806 2</t>
  </si>
  <si>
    <t xml:space="preserve">  Rudniki..........................................................................................................................................................................................................................................................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</si>
  <si>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160807 2</t>
  </si>
  <si>
    <t xml:space="preserve">  Zębowice..........................................................................................................................................................................................................................................................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</si>
  <si>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160801 3</t>
  </si>
  <si>
    <t xml:space="preserve">  Dobrodzień..........................................................................................................................................................................................................................................................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</si>
  <si>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160801 4</t>
  </si>
  <si>
    <t>160801 5</t>
  </si>
  <si>
    <t>160802 3</t>
  </si>
  <si>
    <t xml:space="preserve">  Gorzów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</si>
  <si>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160802 4</t>
  </si>
  <si>
    <t>160802 5</t>
  </si>
  <si>
    <t>160803 3</t>
  </si>
  <si>
    <t>160803 4</t>
  </si>
  <si>
    <t>160803 5</t>
  </si>
  <si>
    <t>160804 3</t>
  </si>
  <si>
    <t xml:space="preserve">  Praszka..........................................................................................................................................................................................................................................................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</si>
  <si>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160804 4</t>
  </si>
  <si>
    <t>160804 5</t>
  </si>
  <si>
    <t>Powiat opolski  (13 gmin)</t>
  </si>
  <si>
    <t>160901 2</t>
  </si>
  <si>
    <t xml:space="preserve">  Chrząstowice..........................................................................................................................................................................................................................................................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</si>
  <si>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160902 2</t>
  </si>
  <si>
    <t>160903 2</t>
  </si>
  <si>
    <t xml:space="preserve">  Dobrzeń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</si>
  <si>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160904 2</t>
  </si>
  <si>
    <t xml:space="preserve">  Komprachcice..........................................................................................................................................................................................................................................................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</si>
  <si>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160905 2</t>
  </si>
  <si>
    <t xml:space="preserve">  Łubniany..........................................................................................................................................................................................................................................................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</si>
  <si>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160906 2</t>
  </si>
  <si>
    <t xml:space="preserve">  Murów..........................................................................................................................................................................................................................................................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</si>
  <si>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160909 2</t>
  </si>
  <si>
    <t xml:space="preserve">  Popielów..........................................................................................................................................................................................................................................................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</si>
  <si>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160911 2</t>
  </si>
  <si>
    <t xml:space="preserve">  Tarnów 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</si>
  <si>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160913 2</t>
  </si>
  <si>
    <t xml:space="preserve">  Turawa..........................................................................................................................................................................................................................................................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</si>
  <si>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160907 3</t>
  </si>
  <si>
    <t xml:space="preserve">  Niemodlin..........................................................................................................................................................................................................................................................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</si>
  <si>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160907 4</t>
  </si>
  <si>
    <t>160907 5</t>
  </si>
  <si>
    <t>160908 3</t>
  </si>
  <si>
    <t xml:space="preserve">  Ozimek..........................................................................................................................................................................................................................................................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</si>
  <si>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160908 4</t>
  </si>
  <si>
    <t>160908 5</t>
  </si>
  <si>
    <t>160910 3</t>
  </si>
  <si>
    <t xml:space="preserve">  Prószków..........................................................................................................................................................................................................................................................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</si>
  <si>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160910 4</t>
  </si>
  <si>
    <t>160910 5</t>
  </si>
  <si>
    <t>160912 3</t>
  </si>
  <si>
    <t xml:space="preserve">  Tułowice..........................................................................................................................................................................................................................................................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</si>
  <si>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160912 4</t>
  </si>
  <si>
    <t>160912 5</t>
  </si>
  <si>
    <t>Powiat prudnicki  (4 gminy)</t>
  </si>
  <si>
    <t>161003 2</t>
  </si>
  <si>
    <t>161001 3</t>
  </si>
  <si>
    <t>161001 4</t>
  </si>
  <si>
    <t>161001 5</t>
  </si>
  <si>
    <t>161002 3</t>
  </si>
  <si>
    <t xml:space="preserve">  Głogówek..........................................................................................................................................................................................................................................................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</si>
  <si>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161002 4</t>
  </si>
  <si>
    <t>161002 5</t>
  </si>
  <si>
    <t>161004 3</t>
  </si>
  <si>
    <t xml:space="preserve">  Prudnik..........................................................................................................................................................................................................................................................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</si>
  <si>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161004 4</t>
  </si>
  <si>
    <t>161004 5</t>
  </si>
  <si>
    <t>Powiat strzelecki  (7 gmin)</t>
  </si>
  <si>
    <t>161101 2</t>
  </si>
  <si>
    <t xml:space="preserve">  Izbicko..........................................................................................................................................................................................................................................................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</si>
  <si>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161102 2</t>
  </si>
  <si>
    <t xml:space="preserve">  Jemielnica..........................................................................................................................................................................................................................................................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</si>
  <si>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161103 3</t>
  </si>
  <si>
    <t xml:space="preserve">  Kolonowskie..........................................................................................................................................................................................................................................................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</si>
  <si>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161103 4</t>
  </si>
  <si>
    <t>161103 5</t>
  </si>
  <si>
    <t>161104 3</t>
  </si>
  <si>
    <t xml:space="preserve">  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</si>
  <si>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161104 4</t>
  </si>
  <si>
    <t>161104 5</t>
  </si>
  <si>
    <t>161105 3</t>
  </si>
  <si>
    <t xml:space="preserve">  Strzelce Opolskie..........................................................................................................................................................................................................................................................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</si>
  <si>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161105 4</t>
  </si>
  <si>
    <t>161105 5</t>
  </si>
  <si>
    <t>161106 3</t>
  </si>
  <si>
    <t>161106 4</t>
  </si>
  <si>
    <t>161106 5</t>
  </si>
  <si>
    <t>161107 3</t>
  </si>
  <si>
    <t xml:space="preserve">  Zawadzkie..........................................................................................................................................................................................................................................................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</si>
  <si>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161107 4</t>
  </si>
  <si>
    <t>161107 5</t>
  </si>
  <si>
    <r>
      <t xml:space="preserve">Miasto na prawach powiatu (1)   </t>
    </r>
    <r>
      <rPr>
        <b/>
        <sz val="8"/>
        <color rgb="FF808080"/>
        <rFont val="Arial"/>
        <family val="2"/>
        <charset val="238"/>
      </rPr>
      <t>City with powiat status (1)</t>
    </r>
  </si>
  <si>
    <t>166101 1</t>
  </si>
  <si>
    <t xml:space="preserve">  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</si>
  <si>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bieszczadzki  (3 gminy)</t>
  </si>
  <si>
    <t>180103 2</t>
  </si>
  <si>
    <t xml:space="preserve">  Czarna..........................................................................................................................................................................................................................................................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</si>
  <si>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180105 2</t>
  </si>
  <si>
    <t xml:space="preserve">  Lutowiska..........................................................................................................................................................................................................................................................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</si>
  <si>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180108 3</t>
  </si>
  <si>
    <t xml:space="preserve">  Ustrzyki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</si>
  <si>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180108 4</t>
  </si>
  <si>
    <t>180108 5</t>
  </si>
  <si>
    <t>Powiat brzozowski  (6 gmin)</t>
  </si>
  <si>
    <t>180202 2</t>
  </si>
  <si>
    <t xml:space="preserve">  Domaradz..........................................................................................................................................................................................................................................................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</si>
  <si>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180203 2</t>
  </si>
  <si>
    <t xml:space="preserve">  Dydnia..........................................................................................................................................................................................................................................................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</si>
  <si>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180204 2</t>
  </si>
  <si>
    <t xml:space="preserve">  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</si>
  <si>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180205 2</t>
  </si>
  <si>
    <t xml:space="preserve">  Jasienica Rosielna..........................................................................................................................................................................................................................................................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</si>
  <si>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180206 2</t>
  </si>
  <si>
    <t xml:space="preserve">  Nozdrzec..........................................................................................................................................................................................................................................................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</si>
  <si>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180201 3</t>
  </si>
  <si>
    <t xml:space="preserve">  Brzozów..........................................................................................................................................................................................................................................................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</si>
  <si>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180201 4</t>
  </si>
  <si>
    <t>180201 5</t>
  </si>
  <si>
    <t>Powiat dębicki  (7 gmin)</t>
  </si>
  <si>
    <t>180301 1</t>
  </si>
  <si>
    <t xml:space="preserve">  Dębica..........................................................................................................................................................................................................................................................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</si>
  <si>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180303 2</t>
  </si>
  <si>
    <t>180304 2</t>
  </si>
  <si>
    <t>180305 2</t>
  </si>
  <si>
    <t xml:space="preserve">  Jodłowa..........................................................................................................................................................................................................................................................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</si>
  <si>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180307 2</t>
  </si>
  <si>
    <t xml:space="preserve">  Żyraków..........................................................................................................................................................................................................................................................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</si>
  <si>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180302 3</t>
  </si>
  <si>
    <t xml:space="preserve">  Brzostek..........................................................................................................................................................................................................................................................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</si>
  <si>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180302 4</t>
  </si>
  <si>
    <t>180302 5</t>
  </si>
  <si>
    <t>180306 3</t>
  </si>
  <si>
    <t xml:space="preserve">  Pilzno..........................................................................................................................................................................................................................................................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</si>
  <si>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180306 4</t>
  </si>
  <si>
    <t>180306 5</t>
  </si>
  <si>
    <t>Powiat jarosławski  (11 gmin)</t>
  </si>
  <si>
    <t>180401 1</t>
  </si>
  <si>
    <t xml:space="preserve">  Jarosław..........................................................................................................................................................................................................................................................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</si>
  <si>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180402 1</t>
  </si>
  <si>
    <t xml:space="preserve">  Radymno..........................................................................................................................................................................................................................................................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</si>
  <si>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180403 2</t>
  </si>
  <si>
    <t xml:space="preserve">  Chłopice..........................................................................................................................................................................................................................................................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</si>
  <si>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180404 2</t>
  </si>
  <si>
    <t>180405 2</t>
  </si>
  <si>
    <t xml:space="preserve">  Laszki..........................................................................................................................................................................................................................................................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</si>
  <si>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180406 2</t>
  </si>
  <si>
    <t xml:space="preserve">  Pawłosiów..........................................................................................................................................................................................................................................................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</si>
  <si>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180408 2</t>
  </si>
  <si>
    <t xml:space="preserve">  Radymno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</si>
  <si>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180409 2</t>
  </si>
  <si>
    <t xml:space="preserve">  Rokietnica..........................................................................................................................................................................................................................................................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</si>
  <si>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180410 2</t>
  </si>
  <si>
    <t xml:space="preserve">  Roźwienica..........................................................................................................................................................................................................................................................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</si>
  <si>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180411 2</t>
  </si>
  <si>
    <t xml:space="preserve">  Wiązownica..........................................................................................................................................................................................................................................................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</si>
  <si>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180407 3</t>
  </si>
  <si>
    <t xml:space="preserve">  Pruchnik..........................................................................................................................................................................................................................................................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</si>
  <si>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180407 4</t>
  </si>
  <si>
    <t>180407 5</t>
  </si>
  <si>
    <t>Powiat jasielski  (10 gmin)</t>
  </si>
  <si>
    <t>180501 1</t>
  </si>
  <si>
    <t xml:space="preserve">  Jasło..........................................................................................................................................................................................................................................................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</si>
  <si>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180502 2</t>
  </si>
  <si>
    <t xml:space="preserve">  Brzyska..........................................................................................................................................................................................................................................................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</si>
  <si>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180503 2</t>
  </si>
  <si>
    <t xml:space="preserve">  Dębowiec..........................................................................................................................................................................................................................................................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</si>
  <si>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180504 2</t>
  </si>
  <si>
    <t>180506 2</t>
  </si>
  <si>
    <t xml:space="preserve">  Krempna..........................................................................................................................................................................................................................................................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</si>
  <si>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180507 2</t>
  </si>
  <si>
    <t xml:space="preserve">  Nowy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</si>
  <si>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180508 2</t>
  </si>
  <si>
    <t xml:space="preserve">  Osiek Jasielski..........................................................................................................................................................................................................................................................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</si>
  <si>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180509 2</t>
  </si>
  <si>
    <t xml:space="preserve">  Skołyszyn..........................................................................................................................................................................................................................................................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</si>
  <si>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180511 2</t>
  </si>
  <si>
    <t xml:space="preserve">  Tarnowiec..........................................................................................................................................................................................................................................................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</si>
  <si>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180505 3</t>
  </si>
  <si>
    <t xml:space="preserve">  Kołaczyce..........................................................................................................................................................................................................................................................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</si>
  <si>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180505 4</t>
  </si>
  <si>
    <t>180505 5</t>
  </si>
  <si>
    <t>Powiat kolbuszowski  (6 gmin)</t>
  </si>
  <si>
    <t>180601 2</t>
  </si>
  <si>
    <t xml:space="preserve">  Cmolas..........................................................................................................................................................................................................................................................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</si>
  <si>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180606 2</t>
  </si>
  <si>
    <t xml:space="preserve">  Dzikowiec..........................................................................................................................................................................................................................................................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</si>
  <si>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180603 2</t>
  </si>
  <si>
    <t xml:space="preserve">  Majdan Królewski..........................................................................................................................................................................................................................................................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</si>
  <si>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180604 2</t>
  </si>
  <si>
    <t xml:space="preserve">  Niwiska..........................................................................................................................................................................................................................................................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</si>
  <si>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180605 2</t>
  </si>
  <si>
    <t xml:space="preserve">  Raniżów..........................................................................................................................................................................................................................................................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</si>
  <si>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180602 3</t>
  </si>
  <si>
    <t xml:space="preserve">  Kolbuszowa..........................................................................................................................................................................................................................................................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</si>
  <si>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180602 4</t>
  </si>
  <si>
    <t>180602 5</t>
  </si>
  <si>
    <t>Powiat krośnieński  (10 gmin)</t>
  </si>
  <si>
    <t>180701 2</t>
  </si>
  <si>
    <t xml:space="preserve">  Chorkówka..........................................................................................................................................................................................................................................................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</si>
  <si>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180710 2</t>
  </si>
  <si>
    <t xml:space="preserve">  Jaśliska..........................................................................................................................................................................................................................................................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</si>
  <si>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180705 2</t>
  </si>
  <si>
    <t xml:space="preserve">  Korczyna..........................................................................................................................................................................................................................................................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</si>
  <si>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180706 2</t>
  </si>
  <si>
    <t xml:space="preserve">  Krościenko Wyżne..........................................................................................................................................................................................................................................................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</si>
  <si>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180707 2</t>
  </si>
  <si>
    <t xml:space="preserve">  Miejsce Piastowe..........................................................................................................................................................................................................................................................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</si>
  <si>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180709 2</t>
  </si>
  <si>
    <t xml:space="preserve">  Wojaszówka..........................................................................................................................................................................................................................................................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</si>
  <si>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180702 3</t>
  </si>
  <si>
    <t xml:space="preserve">  Dukla..........................................................................................................................................................................................................................................................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</si>
  <si>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180702 4</t>
  </si>
  <si>
    <t>180702 5</t>
  </si>
  <si>
    <t>180703 3</t>
  </si>
  <si>
    <t xml:space="preserve">  Iwonicz-Zdrój..........................................................................................................................................................................................................................................................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</si>
  <si>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180703 4</t>
  </si>
  <si>
    <t>180703 5</t>
  </si>
  <si>
    <t>180704 3</t>
  </si>
  <si>
    <t xml:space="preserve">  Jedlicze..........................................................................................................................................................................................................................................................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</si>
  <si>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180704 4</t>
  </si>
  <si>
    <t>180704 5</t>
  </si>
  <si>
    <t>180708 3</t>
  </si>
  <si>
    <t xml:space="preserve">  Rymanów..........................................................................................................................................................................................................................................................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</si>
  <si>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180708 4</t>
  </si>
  <si>
    <t>180708 5</t>
  </si>
  <si>
    <t>Powiat leski  (5 gmin)</t>
  </si>
  <si>
    <t>182101 2</t>
  </si>
  <si>
    <t xml:space="preserve">  Baligród..........................................................................................................................................................................................................................................................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</si>
  <si>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182102 2</t>
  </si>
  <si>
    <t xml:space="preserve">  Cisna..........................................................................................................................................................................................................................................................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</si>
  <si>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182104 2</t>
  </si>
  <si>
    <t xml:space="preserve">  Olszanica..........................................................................................................................................................................................................................................................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</si>
  <si>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182105 2</t>
  </si>
  <si>
    <t xml:space="preserve">  Solina..........................................................................................................................................................................................................................................................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</si>
  <si>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182103 3</t>
  </si>
  <si>
    <t xml:space="preserve">  Lesko..........................................................................................................................................................................................................................................................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</si>
  <si>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182103 4</t>
  </si>
  <si>
    <t>182103 5</t>
  </si>
  <si>
    <t>Powiat leżajski  (5 gmin)</t>
  </si>
  <si>
    <t>180801 1</t>
  </si>
  <si>
    <t xml:space="preserve">  Leżajsk..........................................................................................................................................................................................................................................................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</si>
  <si>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180802 2</t>
  </si>
  <si>
    <t xml:space="preserve">  Grodzisko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</si>
  <si>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180803 2</t>
  </si>
  <si>
    <t xml:space="preserve">  Kuryłówka..........................................................................................................................................................................................................................................................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</si>
  <si>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180804 2</t>
  </si>
  <si>
    <t>180805 3</t>
  </si>
  <si>
    <t xml:space="preserve">  Nowa Sarzyna..........................................................................................................................................................................................................................................................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</si>
  <si>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180805 4</t>
  </si>
  <si>
    <t>180805 5</t>
  </si>
  <si>
    <t>Powiat lubaczowski  (8 gmin)</t>
  </si>
  <si>
    <t>180901 1</t>
  </si>
  <si>
    <t xml:space="preserve">  Lubaczów..........................................................................................................................................................................................................................................................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</si>
  <si>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180903 2</t>
  </si>
  <si>
    <t xml:space="preserve">  Horyniec-Zdrój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</si>
  <si>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180904 2</t>
  </si>
  <si>
    <t xml:space="preserve">  Lubaczów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</si>
  <si>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180907 2</t>
  </si>
  <si>
    <t xml:space="preserve">  Stary Dzików..........................................................................................................................................................................................................................................................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</si>
  <si>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180908 2</t>
  </si>
  <si>
    <t xml:space="preserve">  Wielkie Oczy..........................................................................................................................................................................................................................................................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</si>
  <si>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180902 3</t>
  </si>
  <si>
    <t xml:space="preserve">  Cieszanów..........................................................................................................................................................................................................................................................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</si>
  <si>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180902 4</t>
  </si>
  <si>
    <t>180902 5</t>
  </si>
  <si>
    <t>180905 3</t>
  </si>
  <si>
    <t xml:space="preserve">  Narol..........................................................................................................................................................................................................................................................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</si>
  <si>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180905 4</t>
  </si>
  <si>
    <t>180905 5</t>
  </si>
  <si>
    <t>180906 3</t>
  </si>
  <si>
    <t xml:space="preserve">  Oleszyce..........................................................................................................................................................................................................................................................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</si>
  <si>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180906 4</t>
  </si>
  <si>
    <t>180906 5</t>
  </si>
  <si>
    <t>Powiat łańcucki  (7 gmin)</t>
  </si>
  <si>
    <t>181001 1</t>
  </si>
  <si>
    <t xml:space="preserve">  Łańcut..........................................................................................................................................................................................................................................................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</si>
  <si>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181002 2</t>
  </si>
  <si>
    <t>181003 2</t>
  </si>
  <si>
    <t>181004 2</t>
  </si>
  <si>
    <t>181005 2</t>
  </si>
  <si>
    <t xml:space="preserve">  Markowa..........................................................................................................................................................................................................................................................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</si>
  <si>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181006 2</t>
  </si>
  <si>
    <t xml:space="preserve">  Rakszawa..........................................................................................................................................................................................................................................................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</si>
  <si>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181007 2</t>
  </si>
  <si>
    <t xml:space="preserve">  Żołynia..........................................................................................................................................................................................................................................................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</si>
  <si>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mielecki  (10 gmin)</t>
  </si>
  <si>
    <t>181101 1</t>
  </si>
  <si>
    <t xml:space="preserve">  Mielec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</si>
  <si>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181102 2</t>
  </si>
  <si>
    <t xml:space="preserve">  Borowa..........................................................................................................................................................................................................................................................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</si>
  <si>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181103 2</t>
  </si>
  <si>
    <t xml:space="preserve">  Czermin..........................................................................................................................................................................................................................................................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</si>
  <si>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181104 2</t>
  </si>
  <si>
    <t xml:space="preserve">  Gawłuszowice..........................................................................................................................................................................................................................................................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</si>
  <si>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181105 2</t>
  </si>
  <si>
    <t xml:space="preserve">  Mielec..........................................................................................................................................................................................................................................................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</si>
  <si>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181106 2</t>
  </si>
  <si>
    <t xml:space="preserve">  Padew Narodowa..........................................................................................................................................................................................................................................................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</si>
  <si>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181109 2</t>
  </si>
  <si>
    <t xml:space="preserve">  Tuszów Narodowy..........................................................................................................................................................................................................................................................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</si>
  <si>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181110 2</t>
  </si>
  <si>
    <t xml:space="preserve">  Wadowice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</si>
  <si>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181107 3</t>
  </si>
  <si>
    <t xml:space="preserve">  Przecław..........................................................................................................................................................................................................................................................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</si>
  <si>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181107 4</t>
  </si>
  <si>
    <t>181107 5</t>
  </si>
  <si>
    <t>181108 3</t>
  </si>
  <si>
    <t xml:space="preserve">  Radomyśl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</si>
  <si>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181108 4</t>
  </si>
  <si>
    <t>181108 5</t>
  </si>
  <si>
    <t>Powiat niżański  (7 gmin)</t>
  </si>
  <si>
    <t>181201 2</t>
  </si>
  <si>
    <t xml:space="preserve">  Harasiuki..........................................................................................................................................................................................................................................................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</si>
  <si>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181202 2</t>
  </si>
  <si>
    <t xml:space="preserve">  Jarocin..........................................................................................................................................................................................................................................................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</si>
  <si>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181203 2</t>
  </si>
  <si>
    <t xml:space="preserve">  Jeżowe..........................................................................................................................................................................................................................................................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</si>
  <si>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181204 2</t>
  </si>
  <si>
    <t xml:space="preserve">  Krzeszów..........................................................................................................................................................................................................................................................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</si>
  <si>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181205 3</t>
  </si>
  <si>
    <t xml:space="preserve">  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</si>
  <si>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181205 4</t>
  </si>
  <si>
    <t>181205 5</t>
  </si>
  <si>
    <t>181206 3</t>
  </si>
  <si>
    <t xml:space="preserve">  Rudnik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</si>
  <si>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181206 4</t>
  </si>
  <si>
    <t>181206 5</t>
  </si>
  <si>
    <t>181207 3</t>
  </si>
  <si>
    <t xml:space="preserve">  Ulanów..........................................................................................................................................................................................................................................................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</si>
  <si>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181207 4</t>
  </si>
  <si>
    <t>181207 5</t>
  </si>
  <si>
    <t>Powiat przemyski  (10 gmin)</t>
  </si>
  <si>
    <t>181301 2</t>
  </si>
  <si>
    <t xml:space="preserve">  Bircza..........................................................................................................................................................................................................................................................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</si>
  <si>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181302 2</t>
  </si>
  <si>
    <t xml:space="preserve">  Dubiecko..........................................................................................................................................................................................................................................................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</si>
  <si>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181303 2</t>
  </si>
  <si>
    <t xml:space="preserve">  Fredropol..........................................................................................................................................................................................................................................................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</si>
  <si>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181304 2</t>
  </si>
  <si>
    <t xml:space="preserve">  Krasiczyn..........................................................................................................................................................................................................................................................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</si>
  <si>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181305 2</t>
  </si>
  <si>
    <t xml:space="preserve">  Krzywcza..........................................................................................................................................................................................................................................................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</si>
  <si>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181306 2</t>
  </si>
  <si>
    <t xml:space="preserve">  Medyka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</si>
  <si>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181307 2</t>
  </si>
  <si>
    <t xml:space="preserve">  Orły..........................................................................................................................................................................................................................................................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</si>
  <si>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181308 2</t>
  </si>
  <si>
    <t xml:space="preserve">  Przemyśl..........................................................................................................................................................................................................................................................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</si>
  <si>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181309 2</t>
  </si>
  <si>
    <t xml:space="preserve">  Stubno..........................................................................................................................................................................................................................................................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</si>
  <si>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181310 2</t>
  </si>
  <si>
    <t xml:space="preserve">  Żurawica..........................................................................................................................................................................................................................................................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</si>
  <si>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przeworski  (9 gmin)</t>
  </si>
  <si>
    <t>181401 1</t>
  </si>
  <si>
    <t xml:space="preserve">  Przeworsk..........................................................................................................................................................................................................................................................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</si>
  <si>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181402 2</t>
  </si>
  <si>
    <t xml:space="preserve">  Adamówka..........................................................................................................................................................................................................................................................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</si>
  <si>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181403 2</t>
  </si>
  <si>
    <t xml:space="preserve">  Gać..........................................................................................................................................................................................................................................................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</si>
  <si>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181404 2</t>
  </si>
  <si>
    <t xml:space="preserve">  Jawornik 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</si>
  <si>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181406 2</t>
  </si>
  <si>
    <t>181408 2</t>
  </si>
  <si>
    <t xml:space="preserve">  Tryńcza..........................................................................................................................................................................................................................................................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</si>
  <si>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181409 2</t>
  </si>
  <si>
    <t xml:space="preserve">  Zarzecze..........................................................................................................................................................................................................................................................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</si>
  <si>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181405 3</t>
  </si>
  <si>
    <t xml:space="preserve">  Kańczuga..........................................................................................................................................................................................................................................................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</si>
  <si>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181405 4</t>
  </si>
  <si>
    <t>181405 5</t>
  </si>
  <si>
    <t>181407 3</t>
  </si>
  <si>
    <t xml:space="preserve">  Sieniawa..........................................................................................................................................................................................................................................................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</si>
  <si>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181407 4</t>
  </si>
  <si>
    <t>181407 5</t>
  </si>
  <si>
    <t>Powiat ropczycko-sędziszowski  (5 gmin)</t>
  </si>
  <si>
    <t>181501 2</t>
  </si>
  <si>
    <t xml:space="preserve">  Iwierzyce..........................................................................................................................................................................................................................................................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</si>
  <si>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181502 2</t>
  </si>
  <si>
    <t xml:space="preserve">  Ostrów..........................................................................................................................................................................................................................................................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</si>
  <si>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181505 2</t>
  </si>
  <si>
    <t xml:space="preserve">  Wielopole Skrzyńskie..........................................................................................................................................................................................................................................................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</si>
  <si>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181503 3</t>
  </si>
  <si>
    <t xml:space="preserve">  Ropczyce..........................................................................................................................................................................................................................................................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</si>
  <si>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181503 4</t>
  </si>
  <si>
    <t>181503 5</t>
  </si>
  <si>
    <t>181504 3</t>
  </si>
  <si>
    <t xml:space="preserve">  Sędziszów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</si>
  <si>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181504 4</t>
  </si>
  <si>
    <t>181504 5</t>
  </si>
  <si>
    <t>Powiat rzeszowski  (14 gmin)</t>
  </si>
  <si>
    <t>181601 1</t>
  </si>
  <si>
    <t xml:space="preserve">  Dynów..........................................................................................................................................................................................................................................................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</si>
  <si>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181604 2</t>
  </si>
  <si>
    <t xml:space="preserve">  Chmielnik..........................................................................................................................................................................................................................................................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</si>
  <si>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181605 2</t>
  </si>
  <si>
    <t>181607 2</t>
  </si>
  <si>
    <t xml:space="preserve">  Hyżne..........................................................................................................................................................................................................................................................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</si>
  <si>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181608 2</t>
  </si>
  <si>
    <t>181609 2</t>
  </si>
  <si>
    <t>181610 2</t>
  </si>
  <si>
    <t xml:space="preserve">  Lubenia..........................................................................................................................................................................................................................................................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</si>
  <si>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181612 2</t>
  </si>
  <si>
    <t xml:space="preserve">  Świlcza..........................................................................................................................................................................................................................................................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</si>
  <si>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181613 2</t>
  </si>
  <si>
    <t xml:space="preserve">  Trzebownisko..........................................................................................................................................................................................................................................................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</si>
  <si>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181602 3</t>
  </si>
  <si>
    <t xml:space="preserve">  Błażowa..........................................................................................................................................................................................................................................................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</si>
  <si>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181602 4</t>
  </si>
  <si>
    <t>181602 5</t>
  </si>
  <si>
    <t>181603 3</t>
  </si>
  <si>
    <t xml:space="preserve">  Boguchwała..........................................................................................................................................................................................................................................................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</si>
  <si>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181603 4</t>
  </si>
  <si>
    <t>181603 5</t>
  </si>
  <si>
    <t>181606 3</t>
  </si>
  <si>
    <t xml:space="preserve">  Głogów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</si>
  <si>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181606 4</t>
  </si>
  <si>
    <t>181606 5</t>
  </si>
  <si>
    <t>181611 3</t>
  </si>
  <si>
    <t xml:space="preserve">  Sokołów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</si>
  <si>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181611 4</t>
  </si>
  <si>
    <t>181611 5</t>
  </si>
  <si>
    <t>181614 3</t>
  </si>
  <si>
    <t xml:space="preserve">  Tyczyn..........................................................................................................................................................................................................................................................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</si>
  <si>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181614 4</t>
  </si>
  <si>
    <t>181614 5</t>
  </si>
  <si>
    <t>Powiat sanocki  (8 gmin)</t>
  </si>
  <si>
    <t>181701 1</t>
  </si>
  <si>
    <t xml:space="preserve">  Sanok..........................................................................................................................................................................................................................................................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</si>
  <si>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181702 2</t>
  </si>
  <si>
    <t xml:space="preserve">  Besko..........................................................................................................................................................................................................................................................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</si>
  <si>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181703 2</t>
  </si>
  <si>
    <t xml:space="preserve">  Bukowsko..........................................................................................................................................................................................................................................................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</si>
  <si>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181704 2</t>
  </si>
  <si>
    <t xml:space="preserve">  Komańcza..........................................................................................................................................................................................................................................................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</si>
  <si>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181705 2</t>
  </si>
  <si>
    <t>181706 2</t>
  </si>
  <si>
    <t xml:space="preserve">  Tyrawa Wołoska..........................................................................................................................................................................................................................................................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</si>
  <si>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181708 2</t>
  </si>
  <si>
    <t xml:space="preserve">  Zarszyn..........................................................................................................................................................................................................................................................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</si>
  <si>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181707 3</t>
  </si>
  <si>
    <t xml:space="preserve">  Zagórz..........................................................................................................................................................................................................................................................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</si>
  <si>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181707 4</t>
  </si>
  <si>
    <t>181707 5</t>
  </si>
  <si>
    <t>Powiat stalowowolski  (6 gmin)</t>
  </si>
  <si>
    <t>181801 1</t>
  </si>
  <si>
    <t xml:space="preserve">  Stalowa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</si>
  <si>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181802 2</t>
  </si>
  <si>
    <t xml:space="preserve">  Bojanów..........................................................................................................................................................................................................................................................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</si>
  <si>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181803 2</t>
  </si>
  <si>
    <t xml:space="preserve">  Pysznica..........................................................................................................................................................................................................................................................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</si>
  <si>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181804 2</t>
  </si>
  <si>
    <t xml:space="preserve">  Radomyśl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</si>
  <si>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181806 2</t>
  </si>
  <si>
    <t xml:space="preserve">  Zaleszany..........................................................................................................................................................................................................................................................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</si>
  <si>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181805 3</t>
  </si>
  <si>
    <t xml:space="preserve">  Zaklików..........................................................................................................................................................................................................................................................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</si>
  <si>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181805 4</t>
  </si>
  <si>
    <t>181805 5</t>
  </si>
  <si>
    <t>Powiat strzyżowski  (5 gmin)</t>
  </si>
  <si>
    <t>181901 2</t>
  </si>
  <si>
    <t xml:space="preserve">  Czudec..........................................................................................................................................................................................................................................................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</si>
  <si>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181902 2</t>
  </si>
  <si>
    <t xml:space="preserve">  Frysztak..........................................................................................................................................................................................................................................................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</si>
  <si>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181903 2</t>
  </si>
  <si>
    <t xml:space="preserve">  Niebylec..........................................................................................................................................................................................................................................................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</si>
  <si>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181905 2</t>
  </si>
  <si>
    <t>181904 3</t>
  </si>
  <si>
    <t xml:space="preserve">  Strzyżów..........................................................................................................................................................................................................................................................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</si>
  <si>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181904 4</t>
  </si>
  <si>
    <t>181904 5</t>
  </si>
  <si>
    <t>Powiat tarnobrzeski  (4 gminy)</t>
  </si>
  <si>
    <t>182002 2</t>
  </si>
  <si>
    <t xml:space="preserve">  Gorzyce..........................................................................................................................................................................................................................................................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</si>
  <si>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182003 2</t>
  </si>
  <si>
    <t xml:space="preserve">  Grębów..........................................................................................................................................................................................................................................................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</si>
  <si>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182001 3</t>
  </si>
  <si>
    <t xml:space="preserve">  Baranów Sandomierski..........................................................................................................................................................................................................................................................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</si>
  <si>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182001 4</t>
  </si>
  <si>
    <t>182001 5</t>
  </si>
  <si>
    <t>182004 3</t>
  </si>
  <si>
    <t xml:space="preserve">  Nowa Dęba..........................................................................................................................................................................................................................................................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</si>
  <si>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182004 4</t>
  </si>
  <si>
    <t>182004 5</t>
  </si>
  <si>
    <t>186101 1</t>
  </si>
  <si>
    <t xml:space="preserve">  Krosno..........................................................................................................................................................................................................................................................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</si>
  <si>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186201 1</t>
  </si>
  <si>
    <t xml:space="preserve">  Przemyśl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</si>
  <si>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186301 1</t>
  </si>
  <si>
    <t xml:space="preserve">  Rzeszów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</si>
  <si>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186401 1</t>
  </si>
  <si>
    <t xml:space="preserve">  Tarnobrzeg..........................................................................................................................................................................................................................................................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</si>
  <si>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augustowski  (7 gmin)</t>
  </si>
  <si>
    <t>200101 1</t>
  </si>
  <si>
    <t xml:space="preserve">  Augustów..........................................................................................................................................................................................................................................................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</si>
  <si>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200102 2</t>
  </si>
  <si>
    <t>200103 2</t>
  </si>
  <si>
    <t xml:space="preserve">  Bargłów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</si>
  <si>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200105 2</t>
  </si>
  <si>
    <t xml:space="preserve">  Nowinka..........................................................................................................................................................................................................................................................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</si>
  <si>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200106 2</t>
  </si>
  <si>
    <t xml:space="preserve">  Płaska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</si>
  <si>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200107 2</t>
  </si>
  <si>
    <t xml:space="preserve">  Sztabin..........................................................................................................................................................................................................................................................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</si>
  <si>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200104 3</t>
  </si>
  <si>
    <t xml:space="preserve">  Lipsk..........................................................................................................................................................................................................................................................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</si>
  <si>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200104 4</t>
  </si>
  <si>
    <t>200104 5</t>
  </si>
  <si>
    <t>Powiat białostocki  (15 gmin)</t>
  </si>
  <si>
    <t>200203 2</t>
  </si>
  <si>
    <t xml:space="preserve">  Dobrzyniewo Duże..........................................................................................................................................................................................................................................................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</si>
  <si>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200204 2</t>
  </si>
  <si>
    <t xml:space="preserve">  Gródek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</si>
  <si>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200205 2</t>
  </si>
  <si>
    <t xml:space="preserve">  Juchnowiec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</si>
  <si>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200208 2</t>
  </si>
  <si>
    <t>200211 2</t>
  </si>
  <si>
    <t xml:space="preserve">  Turośń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</si>
  <si>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200215 2</t>
  </si>
  <si>
    <t xml:space="preserve">  Zawady..........................................................................................................................................................................................................................................................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</si>
  <si>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200201 3</t>
  </si>
  <si>
    <t xml:space="preserve">  Choroszcz..........................................................................................................................................................................................................................................................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</si>
  <si>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200201 4</t>
  </si>
  <si>
    <t>200201 5</t>
  </si>
  <si>
    <t>200202 3</t>
  </si>
  <si>
    <t xml:space="preserve">  Czarna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</si>
  <si>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200202 4</t>
  </si>
  <si>
    <t>200202 5</t>
  </si>
  <si>
    <t>200206 3</t>
  </si>
  <si>
    <t xml:space="preserve">  Łapy..........................................................................................................................................................................................................................................................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</si>
  <si>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200206 4</t>
  </si>
  <si>
    <t>200206 5</t>
  </si>
  <si>
    <t>200207 3</t>
  </si>
  <si>
    <t xml:space="preserve">  Michałowo..........................................................................................................................................................................................................................................................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</si>
  <si>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200207 4</t>
  </si>
  <si>
    <t>200207 5</t>
  </si>
  <si>
    <t>200209 3</t>
  </si>
  <si>
    <t xml:space="preserve">  Supraśl..........................................................................................................................................................................................................................................................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</si>
  <si>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200209 4</t>
  </si>
  <si>
    <t>200209 5</t>
  </si>
  <si>
    <t>200210 3</t>
  </si>
  <si>
    <t xml:space="preserve">  Suraż..........................................................................................................................................................................................................................................................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</si>
  <si>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200210 4</t>
  </si>
  <si>
    <t>200210 5</t>
  </si>
  <si>
    <t>200212 3</t>
  </si>
  <si>
    <t xml:space="preserve">  Tykocin..........................................................................................................................................................................................................................................................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</si>
  <si>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200212 4</t>
  </si>
  <si>
    <t>200212 5</t>
  </si>
  <si>
    <t>200213 3</t>
  </si>
  <si>
    <t xml:space="preserve">  Wasilków..........................................................................................................................................................................................................................................................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</si>
  <si>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200213 4</t>
  </si>
  <si>
    <t>200213 5</t>
  </si>
  <si>
    <t>200214 3</t>
  </si>
  <si>
    <t xml:space="preserve">  Zabłudów..........................................................................................................................................................................................................................................................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</si>
  <si>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200214 4</t>
  </si>
  <si>
    <t>200214 5</t>
  </si>
  <si>
    <t>Powiat bielski  (8 gmin)</t>
  </si>
  <si>
    <t>200301 1</t>
  </si>
  <si>
    <t xml:space="preserve">  Bielsk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</si>
  <si>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200302 1</t>
  </si>
  <si>
    <t xml:space="preserve">  Brańsk..........................................................................................................................................................................................................................................................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</si>
  <si>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200303 2</t>
  </si>
  <si>
    <t>200304 2</t>
  </si>
  <si>
    <t xml:space="preserve">  Boćki..........................................................................................................................................................................................................................................................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</si>
  <si>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200305 2</t>
  </si>
  <si>
    <t>200306 2</t>
  </si>
  <si>
    <t xml:space="preserve">  Orla..........................................................................................................................................................................................................................................................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</si>
  <si>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200307 2</t>
  </si>
  <si>
    <t xml:space="preserve">  Rudka..........................................................................................................................................................................................................................................................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</si>
  <si>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200308 2</t>
  </si>
  <si>
    <t xml:space="preserve">  Wyszki..........................................................................................................................................................................................................................................................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</si>
  <si>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grajewski  (6 gmin)</t>
  </si>
  <si>
    <t>200401 1</t>
  </si>
  <si>
    <t xml:space="preserve">  Grajewo..........................................................................................................................................................................................................................................................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</si>
  <si>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200402 2</t>
  </si>
  <si>
    <t>200403 2</t>
  </si>
  <si>
    <t xml:space="preserve">  Radziłów..........................................................................................................................................................................................................................................................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</si>
  <si>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200406 2</t>
  </si>
  <si>
    <t>200404 3</t>
  </si>
  <si>
    <t xml:space="preserve">  Rajgród..........................................................................................................................................................................................................................................................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</si>
  <si>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200404 4</t>
  </si>
  <si>
    <t>200404 5</t>
  </si>
  <si>
    <t>200405 3</t>
  </si>
  <si>
    <t xml:space="preserve">  Szczuczyn..........................................................................................................................................................................................................................................................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</si>
  <si>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200405 4</t>
  </si>
  <si>
    <t>200405 5</t>
  </si>
  <si>
    <t>Powiat hajnowski  (9 gmin)</t>
  </si>
  <si>
    <t>200501 1</t>
  </si>
  <si>
    <t xml:space="preserve">  Hajnówka..........................................................................................................................................................................................................................................................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</si>
  <si>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200502 2</t>
  </si>
  <si>
    <t xml:space="preserve">  Białowieża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</si>
  <si>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200503 2</t>
  </si>
  <si>
    <t xml:space="preserve">  Czeremcha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</si>
  <si>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200504 2</t>
  </si>
  <si>
    <t xml:space="preserve">  Czyże..........................................................................................................................................................................................................................................................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</si>
  <si>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200505 2</t>
  </si>
  <si>
    <t xml:space="preserve">  Dubicze Cerkiewne..........................................................................................................................................................................................................................................................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</si>
  <si>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200506 2</t>
  </si>
  <si>
    <t>200508 2</t>
  </si>
  <si>
    <t xml:space="preserve">  Narew..........................................................................................................................................................................................................................................................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</si>
  <si>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200509 2</t>
  </si>
  <si>
    <t xml:space="preserve">  Narewka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</si>
  <si>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200507 3</t>
  </si>
  <si>
    <t xml:space="preserve">  Kleszczele..........................................................................................................................................................................................................................................................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</si>
  <si>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200507 4</t>
  </si>
  <si>
    <t>200507 5</t>
  </si>
  <si>
    <t>Powiat kolneński  (6 gmin)</t>
  </si>
  <si>
    <t>200601 1</t>
  </si>
  <si>
    <t xml:space="preserve">  Kolno..........................................................................................................................................................................................................................................................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</si>
  <si>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200602 2</t>
  </si>
  <si>
    <t xml:space="preserve">  Grabowo..........................................................................................................................................................................................................................................................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</si>
  <si>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200603 2</t>
  </si>
  <si>
    <t>200604 2</t>
  </si>
  <si>
    <t xml:space="preserve">  Mały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</si>
  <si>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200606 2</t>
  </si>
  <si>
    <t xml:space="preserve">  Turośl..........................................................................................................................................................................................................................................................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</si>
  <si>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200605 3</t>
  </si>
  <si>
    <t xml:space="preserve">  Stawiski..........................................................................................................................................................................................................................................................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</si>
  <si>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200605 4</t>
  </si>
  <si>
    <t>200605 5</t>
  </si>
  <si>
    <t>Powiat łomżyński  (9 gmin)</t>
  </si>
  <si>
    <t>200702 2</t>
  </si>
  <si>
    <t xml:space="preserve">  Łomża..........................................................................................................................................................................................................................................................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</si>
  <si>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200703 2</t>
  </si>
  <si>
    <t xml:space="preserve">  Miastkowo..........................................................................................................................................................................................................................................................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</si>
  <si>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200705 2</t>
  </si>
  <si>
    <t xml:space="preserve">  Piątnica..........................................................................................................................................................................................................................................................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</si>
  <si>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200706 2</t>
  </si>
  <si>
    <t xml:space="preserve">  Przytuły..........................................................................................................................................................................................................................................................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</si>
  <si>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200707 2</t>
  </si>
  <si>
    <t xml:space="preserve">  Śniadowo..........................................................................................................................................................................................................................................................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</si>
  <si>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200708 2</t>
  </si>
  <si>
    <t xml:space="preserve">  Wizna..........................................................................................................................................................................................................................................................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</si>
  <si>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200709 2</t>
  </si>
  <si>
    <t xml:space="preserve">  Zbójna..........................................................................................................................................................................................................................................................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</si>
  <si>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200701 3</t>
  </si>
  <si>
    <t xml:space="preserve">  Jedwabne..........................................................................................................................................................................................................................................................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</si>
  <si>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200701 4</t>
  </si>
  <si>
    <t>200701 5</t>
  </si>
  <si>
    <t>200704 3</t>
  </si>
  <si>
    <t xml:space="preserve">  Nowogród..........................................................................................................................................................................................................................................................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</si>
  <si>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200704 4</t>
  </si>
  <si>
    <t>200704 5</t>
  </si>
  <si>
    <t>Powiat moniecki  (7 gmin)</t>
  </si>
  <si>
    <t>200802 2</t>
  </si>
  <si>
    <t xml:space="preserve">  Jasionówka..........................................................................................................................................................................................................................................................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</si>
  <si>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200803 2</t>
  </si>
  <si>
    <t xml:space="preserve">  Jaświły..........................................................................................................................................................................................................................................................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</si>
  <si>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200805 2</t>
  </si>
  <si>
    <t xml:space="preserve">  Krypno..........................................................................................................................................................................................................................................................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</si>
  <si>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200807 2</t>
  </si>
  <si>
    <t xml:space="preserve">  Trzcianne..........................................................................................................................................................................................................................................................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</si>
  <si>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200801 3</t>
  </si>
  <si>
    <t xml:space="preserve">  Goniądz..........................................................................................................................................................................................................................................................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</si>
  <si>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200801 4</t>
  </si>
  <si>
    <t>200801 5</t>
  </si>
  <si>
    <t>200804 3</t>
  </si>
  <si>
    <t xml:space="preserve">  Knyszyn..........................................................................................................................................................................................................................................................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</si>
  <si>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200804 4</t>
  </si>
  <si>
    <t>200804 5</t>
  </si>
  <si>
    <t>200806 3</t>
  </si>
  <si>
    <t xml:space="preserve">  Mońki..........................................................................................................................................................................................................................................................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</si>
  <si>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200806 4</t>
  </si>
  <si>
    <t>200806 5</t>
  </si>
  <si>
    <t>Powiat sejneński  (5 gmin)</t>
  </si>
  <si>
    <t>200901 1</t>
  </si>
  <si>
    <t xml:space="preserve">  Sejny..........................................................................................................................................................................................................................................................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</si>
  <si>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200902 2</t>
  </si>
  <si>
    <t xml:space="preserve">  Giby..........................................................................................................................................................................................................................................................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</si>
  <si>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200903 2</t>
  </si>
  <si>
    <t xml:space="preserve">  Krasnopol..........................................................................................................................................................................................................................................................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</si>
  <si>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200904 2</t>
  </si>
  <si>
    <t xml:space="preserve">  Puńsk..........................................................................................................................................................................................................................................................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</si>
  <si>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200905 2</t>
  </si>
  <si>
    <t>Powiat siemiatycki  (9 gmin)</t>
  </si>
  <si>
    <t>201001 1</t>
  </si>
  <si>
    <t xml:space="preserve">  Siemiatycze..........................................................................................................................................................................................................................................................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</si>
  <si>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201003 2</t>
  </si>
  <si>
    <t xml:space="preserve">  Dziadkowice..........................................................................................................................................................................................................................................................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</si>
  <si>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201004 2</t>
  </si>
  <si>
    <t xml:space="preserve">  Grodzisk..........................................................................................................................................................................................................................................................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</si>
  <si>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201005 2</t>
  </si>
  <si>
    <t xml:space="preserve">  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</si>
  <si>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201006 2</t>
  </si>
  <si>
    <t xml:space="preserve">  Milejczyce..........................................................................................................................................................................................................................................................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</si>
  <si>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201007 2</t>
  </si>
  <si>
    <t xml:space="preserve">  Nurzec-Stacja..........................................................................................................................................................................................................................................................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</si>
  <si>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201008 2</t>
  </si>
  <si>
    <t xml:space="preserve">  Perlejewo..........................................................................................................................................................................................................................................................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</si>
  <si>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201009 2</t>
  </si>
  <si>
    <t>201002 3</t>
  </si>
  <si>
    <t xml:space="preserve">  Drohiczyn..........................................................................................................................................................................................................................................................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</si>
  <si>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201002 4</t>
  </si>
  <si>
    <t>201002 5</t>
  </si>
  <si>
    <t>Powiat sokólski  (10 gmin)</t>
  </si>
  <si>
    <t>201102 2</t>
  </si>
  <si>
    <t xml:space="preserve">  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</si>
  <si>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201103 2</t>
  </si>
  <si>
    <t xml:space="preserve">  Korycin..........................................................................................................................................................................................................................................................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</si>
  <si>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201105 2</t>
  </si>
  <si>
    <t xml:space="preserve">  Kuźnica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</si>
  <si>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201106 2</t>
  </si>
  <si>
    <t xml:space="preserve">  Nowy 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</si>
  <si>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201107 2</t>
  </si>
  <si>
    <t xml:space="preserve">  Sidra..........................................................................................................................................................................................................................................................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</si>
  <si>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201110 2</t>
  </si>
  <si>
    <t xml:space="preserve">  Szudziałowo..........................................................................................................................................................................................................................................................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</si>
  <si>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201101 3</t>
  </si>
  <si>
    <t xml:space="preserve">  Dąbrowa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</si>
  <si>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201101 4</t>
  </si>
  <si>
    <t>201101 5</t>
  </si>
  <si>
    <t>201104 3</t>
  </si>
  <si>
    <t xml:space="preserve">  Krynki..........................................................................................................................................................................................................................................................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</si>
  <si>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201104 4</t>
  </si>
  <si>
    <t>201104 5</t>
  </si>
  <si>
    <t>201108 3</t>
  </si>
  <si>
    <t xml:space="preserve">  Sokółka..........................................................................................................................................................................................................................................................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</si>
  <si>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201108 4</t>
  </si>
  <si>
    <t>201108 5</t>
  </si>
  <si>
    <t>201109 3</t>
  </si>
  <si>
    <t xml:space="preserve">  Suchowola..........................................................................................................................................................................................................................................................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</si>
  <si>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201109 4</t>
  </si>
  <si>
    <t>201109 5</t>
  </si>
  <si>
    <t>Powiat suwalski  (9 gmin)</t>
  </si>
  <si>
    <t>201201 2</t>
  </si>
  <si>
    <t xml:space="preserve">  Bakałarzewo..........................................................................................................................................................................................................................................................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</si>
  <si>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201202 2</t>
  </si>
  <si>
    <t xml:space="preserve">  Filipów..........................................................................................................................................................................................................................................................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</si>
  <si>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201203 2</t>
  </si>
  <si>
    <t xml:space="preserve">  Jeleniewo..........................................................................................................................................................................................................................................................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</si>
  <si>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201204 2</t>
  </si>
  <si>
    <t xml:space="preserve">  Przerośl..........................................................................................................................................................................................................................................................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</si>
  <si>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201205 2</t>
  </si>
  <si>
    <t xml:space="preserve">  Raczki..........................................................................................................................................................................................................................................................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</si>
  <si>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201206 2</t>
  </si>
  <si>
    <t xml:space="preserve">  Rutka-Tartak..........................................................................................................................................................................................................................................................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</si>
  <si>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201207 2</t>
  </si>
  <si>
    <t xml:space="preserve">  Suwałki..........................................................................................................................................................................................................................................................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</si>
  <si>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201208 2</t>
  </si>
  <si>
    <t xml:space="preserve">  Szypliszki..........................................................................................................................................................................................................................................................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</si>
  <si>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201209 2</t>
  </si>
  <si>
    <t xml:space="preserve">  Wiżajny..........................................................................................................................................................................................................................................................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</si>
  <si>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wysokomazowiecki  (10 gmin)</t>
  </si>
  <si>
    <t>201301 1</t>
  </si>
  <si>
    <t xml:space="preserve">  Wysokie Mazowieckie..........................................................................................................................................................................................................................................................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</si>
  <si>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201304 2</t>
  </si>
  <si>
    <t xml:space="preserve">  Klukowo..........................................................................................................................................................................................................................................................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</si>
  <si>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201305 2</t>
  </si>
  <si>
    <t xml:space="preserve">  Kobylin-Borzymy..........................................................................................................................................................................................................................................................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</si>
  <si>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201306 2</t>
  </si>
  <si>
    <t xml:space="preserve">  Kulesze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</si>
  <si>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201307 2</t>
  </si>
  <si>
    <t xml:space="preserve">  Nowe Piekuty..........................................................................................................................................................................................................................................................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</si>
  <si>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201308 2</t>
  </si>
  <si>
    <t xml:space="preserve">  Sokoły..........................................................................................................................................................................................................................................................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</si>
  <si>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201310 2</t>
  </si>
  <si>
    <t>201302 3</t>
  </si>
  <si>
    <t xml:space="preserve">  Ciechanowiec..........................................................................................................................................................................................................................................................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</si>
  <si>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201302 4</t>
  </si>
  <si>
    <t>201302 5</t>
  </si>
  <si>
    <t>201303 3</t>
  </si>
  <si>
    <t xml:space="preserve">  Czyżew..........................................................................................................................................................................................................................................................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</si>
  <si>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201303 4</t>
  </si>
  <si>
    <t>201303 5</t>
  </si>
  <si>
    <t>201309 3</t>
  </si>
  <si>
    <t xml:space="preserve">  Szepietowo..........................................................................................................................................................................................................................................................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</si>
  <si>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201309 4</t>
  </si>
  <si>
    <t>201309 5</t>
  </si>
  <si>
    <t>Powiat zambrowski  (5 gmin)</t>
  </si>
  <si>
    <t>201401 1</t>
  </si>
  <si>
    <t xml:space="preserve">  Zambrów..........................................................................................................................................................................................................................................................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</si>
  <si>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201402 2</t>
  </si>
  <si>
    <t xml:space="preserve">  Kołaki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</si>
  <si>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201403 2</t>
  </si>
  <si>
    <t xml:space="preserve">  Rutki..........................................................................................................................................................................................................................................................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</si>
  <si>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201404 2</t>
  </si>
  <si>
    <t xml:space="preserve">  Szumowo..........................................................................................................................................................................................................................................................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</si>
  <si>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201405 2</t>
  </si>
  <si>
    <t>206101 1</t>
  </si>
  <si>
    <t xml:space="preserve">  Białystok..........................................................................................................................................................................................................................................................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</si>
  <si>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206201 1</t>
  </si>
  <si>
    <t>206301 1</t>
  </si>
  <si>
    <t>Powiat bytowski  (10 gmin)</t>
  </si>
  <si>
    <t>220101 2</t>
  </si>
  <si>
    <t xml:space="preserve">  Borzytuchom..........................................................................................................................................................................................................................................................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</si>
  <si>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220103 2</t>
  </si>
  <si>
    <t xml:space="preserve">  Czarna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</si>
  <si>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220104 2</t>
  </si>
  <si>
    <t xml:space="preserve">  Kołczygłowy..........................................................................................................................................................................................................................................................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</si>
  <si>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220105 2</t>
  </si>
  <si>
    <t xml:space="preserve">  Lipnica..........................................................................................................................................................................................................................................................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</si>
  <si>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220107 2</t>
  </si>
  <si>
    <t xml:space="preserve">  Parchowo..........................................................................................................................................................................................................................................................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</si>
  <si>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220108 2</t>
  </si>
  <si>
    <t xml:space="preserve">  Studzienice..........................................................................................................................................................................................................................................................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</si>
  <si>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220109 2</t>
  </si>
  <si>
    <t xml:space="preserve">  Trzebielino..........................................................................................................................................................................................................................................................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</si>
  <si>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220110 2</t>
  </si>
  <si>
    <t xml:space="preserve">  Tuchomie..........................................................................................................................................................................................................................................................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</si>
  <si>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220102 3</t>
  </si>
  <si>
    <t xml:space="preserve">  Bytów..........................................................................................................................................................................................................................................................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</si>
  <si>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220102 4</t>
  </si>
  <si>
    <t>220102 5</t>
  </si>
  <si>
    <t>220106 3</t>
  </si>
  <si>
    <t xml:space="preserve">  Miastko..........................................................................................................................................................................................................................................................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</si>
  <si>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220106 4</t>
  </si>
  <si>
    <t>220106 5</t>
  </si>
  <si>
    <t>Powiat chojnicki  (5 gmin)</t>
  </si>
  <si>
    <t>220201 1</t>
  </si>
  <si>
    <t xml:space="preserve">  Chojnice..........................................................................................................................................................................................................................................................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</si>
  <si>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220203 2</t>
  </si>
  <si>
    <t>220205 2</t>
  </si>
  <si>
    <t xml:space="preserve">  Konarzyny..........................................................................................................................................................................................................................................................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</si>
  <si>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220202 3</t>
  </si>
  <si>
    <t xml:space="preserve">  Brusy..........................................................................................................................................................................................................................................................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</si>
  <si>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220202 4</t>
  </si>
  <si>
    <t>220202 5</t>
  </si>
  <si>
    <t>220204 3</t>
  </si>
  <si>
    <t xml:space="preserve">  Czersk..........................................................................................................................................................................................................................................................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</si>
  <si>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220204 4</t>
  </si>
  <si>
    <t>220204 5</t>
  </si>
  <si>
    <t>Powiat człuchowski  (7 gmin)</t>
  </si>
  <si>
    <t>220301 1</t>
  </si>
  <si>
    <t xml:space="preserve">  Człuchów..........................................................................................................................................................................................................................................................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</si>
  <si>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220303 2</t>
  </si>
  <si>
    <t>220305 2</t>
  </si>
  <si>
    <t xml:space="preserve">  Koczała..........................................................................................................................................................................................................................................................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</si>
  <si>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220306 2</t>
  </si>
  <si>
    <t xml:space="preserve">  Przechlewo..........................................................................................................................................................................................................................................................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</si>
  <si>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220307 2</t>
  </si>
  <si>
    <t xml:space="preserve">  Rzeczenica..........................................................................................................................................................................................................................................................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</si>
  <si>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220302 3</t>
  </si>
  <si>
    <t xml:space="preserve">  Czarne..........................................................................................................................................................................................................................................................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</si>
  <si>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220302 4</t>
  </si>
  <si>
    <t>220302 5</t>
  </si>
  <si>
    <t>220304 3</t>
  </si>
  <si>
    <t xml:space="preserve">  Debrzno..........................................................................................................................................................................................................................................................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</si>
  <si>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220304 4</t>
  </si>
  <si>
    <t>220304 5</t>
  </si>
  <si>
    <t>Powiat gdański  (8 gmin)</t>
  </si>
  <si>
    <t>220401 1</t>
  </si>
  <si>
    <t xml:space="preserve">  Pruszcz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</si>
  <si>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220402 2</t>
  </si>
  <si>
    <t xml:space="preserve">  Cedry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</si>
  <si>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220403 2</t>
  </si>
  <si>
    <t xml:space="preserve">  Kolbudy..........................................................................................................................................................................................................................................................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</si>
  <si>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220404 2</t>
  </si>
  <si>
    <t>220405 2</t>
  </si>
  <si>
    <t xml:space="preserve">  Przywidz..........................................................................................................................................................................................................................................................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</si>
  <si>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220406 2</t>
  </si>
  <si>
    <t xml:space="preserve">  Pszczółki..........................................................................................................................................................................................................................................................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</si>
  <si>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220407 2</t>
  </si>
  <si>
    <t xml:space="preserve">  Suchy Dąb..........................................................................................................................................................................................................................................................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</si>
  <si>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220408 2</t>
  </si>
  <si>
    <t xml:space="preserve">  Trąbki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</si>
  <si>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kartuski  (8 gmin)</t>
  </si>
  <si>
    <t>220501 2</t>
  </si>
  <si>
    <t xml:space="preserve">  Chmielno..........................................................................................................................................................................................................................................................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</si>
  <si>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220503 2</t>
  </si>
  <si>
    <t xml:space="preserve">  Przodkowo..........................................................................................................................................................................................................................................................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</si>
  <si>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220504 2</t>
  </si>
  <si>
    <t xml:space="preserve">  Sierakowice..........................................................................................................................................................................................................................................................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</si>
  <si>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220505 2</t>
  </si>
  <si>
    <t xml:space="preserve">  Somonino..........................................................................................................................................................................................................................................................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</si>
  <si>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220506 2</t>
  </si>
  <si>
    <t>220507 2</t>
  </si>
  <si>
    <t xml:space="preserve">  Sulęczyno..........................................................................................................................................................................................................................................................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</si>
  <si>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220502 3</t>
  </si>
  <si>
    <t xml:space="preserve">  Kartuzy..........................................................................................................................................................................................................................................................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</si>
  <si>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220502 4</t>
  </si>
  <si>
    <t>220502 5</t>
  </si>
  <si>
    <t>220508 3</t>
  </si>
  <si>
    <t xml:space="preserve">  Żukowo..........................................................................................................................................................................................................................................................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</si>
  <si>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220508 4</t>
  </si>
  <si>
    <t>220508 5</t>
  </si>
  <si>
    <t>Powiat kościerski  (8 gmin)</t>
  </si>
  <si>
    <t>220601 1</t>
  </si>
  <si>
    <t xml:space="preserve">  Kościerzyna..........................................................................................................................................................................................................................................................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</si>
  <si>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220602 2</t>
  </si>
  <si>
    <t xml:space="preserve">  Dziemiany..........................................................................................................................................................................................................................................................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</si>
  <si>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220603 2</t>
  </si>
  <si>
    <t xml:space="preserve">  Karsin..........................................................................................................................................................................................................................................................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</si>
  <si>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220604 2</t>
  </si>
  <si>
    <t>220605 2</t>
  </si>
  <si>
    <t xml:space="preserve">  Liniewo..........................................................................................................................................................................................................................................................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</si>
  <si>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220606 2</t>
  </si>
  <si>
    <t xml:space="preserve">  Lipusz..........................................................................................................................................................................................................................................................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</si>
  <si>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220607 2</t>
  </si>
  <si>
    <t xml:space="preserve">  Nowa Karczma..........................................................................................................................................................................................................................................................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</si>
  <si>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220608 2</t>
  </si>
  <si>
    <t xml:space="preserve">  Stara Kiszewa..........................................................................................................................................................................................................................................................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</si>
  <si>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kwidzyński  (6 gmin)</t>
  </si>
  <si>
    <t>220701 1</t>
  </si>
  <si>
    <t xml:space="preserve">  Kwidzyn..........................................................................................................................................................................................................................................................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</si>
  <si>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220702 2</t>
  </si>
  <si>
    <t xml:space="preserve">  Gardeja..........................................................................................................................................................................................................................................................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</si>
  <si>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220703 2</t>
  </si>
  <si>
    <t>220705 2</t>
  </si>
  <si>
    <t xml:space="preserve">  Ryjewo..........................................................................................................................................................................................................................................................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</si>
  <si>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220706 2</t>
  </si>
  <si>
    <t xml:space="preserve">  Sadlinki..........................................................................................................................................................................................................................................................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</si>
  <si>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220704 3</t>
  </si>
  <si>
    <t xml:space="preserve">  Prabuty..........................................................................................................................................................................................................................................................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</si>
  <si>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220704 4</t>
  </si>
  <si>
    <t>220704 5</t>
  </si>
  <si>
    <t>Powiat lęborski  (5 gmin)</t>
  </si>
  <si>
    <t>220801 1</t>
  </si>
  <si>
    <t xml:space="preserve">  Lębork..........................................................................................................................................................................................................................................................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</si>
  <si>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220802 1</t>
  </si>
  <si>
    <t xml:space="preserve">  Łeba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</si>
  <si>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220803 2</t>
  </si>
  <si>
    <t xml:space="preserve">  Cewice..........................................................................................................................................................................................................................................................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</si>
  <si>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220804 2</t>
  </si>
  <si>
    <t xml:space="preserve">  Nowa Wieś Lęborska..........................................................................................................................................................................................................................................................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</si>
  <si>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220805 2</t>
  </si>
  <si>
    <t xml:space="preserve">  Wicko..........................................................................................................................................................................................................................................................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</si>
  <si>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malborski  (6 gmin)</t>
  </si>
  <si>
    <t>220901 1</t>
  </si>
  <si>
    <t xml:space="preserve">  Malbork..........................................................................................................................................................................................................................................................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</si>
  <si>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220903 2</t>
  </si>
  <si>
    <t xml:space="preserve">  Lichnowy..........................................................................................................................................................................................................................................................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</si>
  <si>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220904 2</t>
  </si>
  <si>
    <t>220906 2</t>
  </si>
  <si>
    <t xml:space="preserve">  Miłoradz..........................................................................................................................................................................................................................................................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</si>
  <si>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220908 2</t>
  </si>
  <si>
    <t xml:space="preserve">  Stare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</si>
  <si>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220907 3</t>
  </si>
  <si>
    <t xml:space="preserve">  Nowy 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</si>
  <si>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220907 4</t>
  </si>
  <si>
    <t>220907 5</t>
  </si>
  <si>
    <t>Powiat nowodworski  (5 gmin)</t>
  </si>
  <si>
    <t>221001 1</t>
  </si>
  <si>
    <t xml:space="preserve">  Krynica Morska..........................................................................................................................................................................................................................................................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</si>
  <si>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221003 2</t>
  </si>
  <si>
    <t xml:space="preserve">  Ostaszewo..........................................................................................................................................................................................................................................................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</si>
  <si>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221004 2</t>
  </si>
  <si>
    <t xml:space="preserve">  Stegna..........................................................................................................................................................................................................................................................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</si>
  <si>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221005 2</t>
  </si>
  <si>
    <t xml:space="preserve">  Sztutowo..........................................................................................................................................................................................................................................................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</si>
  <si>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221002 3</t>
  </si>
  <si>
    <t xml:space="preserve">  Nowy Dwór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</si>
  <si>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221002 4</t>
  </si>
  <si>
    <t>221002 5</t>
  </si>
  <si>
    <t>Powiat pucki  (7 gmin)</t>
  </si>
  <si>
    <t>221101 1</t>
  </si>
  <si>
    <t xml:space="preserve">  Hel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</si>
  <si>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221103 1</t>
  </si>
  <si>
    <t xml:space="preserve">  Puck..........................................................................................................................................................................................................................................................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</si>
  <si>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221105 2</t>
  </si>
  <si>
    <t xml:space="preserve">  Kosakowo..........................................................................................................................................................................................................................................................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</si>
  <si>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221106 2</t>
  </si>
  <si>
    <t xml:space="preserve">  Krokowa..........................................................................................................................................................................................................................................................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</si>
  <si>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221107 2</t>
  </si>
  <si>
    <t>221102 3</t>
  </si>
  <si>
    <t xml:space="preserve">  Jastarnia..........................................................................................................................................................................................................................................................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</si>
  <si>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221102 4</t>
  </si>
  <si>
    <t xml:space="preserve">     miasto   town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</si>
  <si>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221102 5</t>
  </si>
  <si>
    <t>221104 3</t>
  </si>
  <si>
    <t xml:space="preserve">  Władysławowo..........................................................................................................................................................................................................................................................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</si>
  <si>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221104 4</t>
  </si>
  <si>
    <t>221104 5</t>
  </si>
  <si>
    <t>Powiat słupski  (10 gmin)</t>
  </si>
  <si>
    <t>221201 1</t>
  </si>
  <si>
    <t xml:space="preserve">  Ustka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</si>
  <si>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221202 2</t>
  </si>
  <si>
    <t xml:space="preserve">  Damnica..........................................................................................................................................................................................................................................................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</si>
  <si>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221203 2</t>
  </si>
  <si>
    <t xml:space="preserve">  Dębnica Kaszubska..........................................................................................................................................................................................................................................................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</si>
  <si>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221204 2</t>
  </si>
  <si>
    <t xml:space="preserve">  Główczyce..........................................................................................................................................................................................................................................................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</si>
  <si>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221206 2</t>
  </si>
  <si>
    <t xml:space="preserve">  Kobylnica..........................................................................................................................................................................................................................................................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</si>
  <si>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221207 2</t>
  </si>
  <si>
    <t xml:space="preserve">  Potęgowo..........................................................................................................................................................................................................................................................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</si>
  <si>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221208 2</t>
  </si>
  <si>
    <t xml:space="preserve">  Słupsk..........................................................................................................................................................................................................................................................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</si>
  <si>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221209 2</t>
  </si>
  <si>
    <t xml:space="preserve">  Smołdzino..........................................................................................................................................................................................................................................................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</si>
  <si>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221210 2</t>
  </si>
  <si>
    <t xml:space="preserve">  Ustka..........................................................................................................................................................................................................................................................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</si>
  <si>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221205 3</t>
  </si>
  <si>
    <t xml:space="preserve">  Kępice..........................................................................................................................................................................................................................................................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</si>
  <si>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221205 4</t>
  </si>
  <si>
    <t>221205 5</t>
  </si>
  <si>
    <t>Powiat starogardzki  (13 gmin)</t>
  </si>
  <si>
    <t>221302 1</t>
  </si>
  <si>
    <t xml:space="preserve">  Skórcz..........................................................................................................................................................................................................................................................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</si>
  <si>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221303 1</t>
  </si>
  <si>
    <t xml:space="preserve">  Starogard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</si>
  <si>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221304 2</t>
  </si>
  <si>
    <t xml:space="preserve">  Bobowo..........................................................................................................................................................................................................................................................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</si>
  <si>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221305 2</t>
  </si>
  <si>
    <t xml:space="preserve">  Kaliska..........................................................................................................................................................................................................................................................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</si>
  <si>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221306 2</t>
  </si>
  <si>
    <t xml:space="preserve">  Lubichowo..........................................................................................................................................................................................................................................................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</si>
  <si>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221307 2</t>
  </si>
  <si>
    <t xml:space="preserve">  Osieczna..........................................................................................................................................................................................................................................................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</si>
  <si>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221308 2</t>
  </si>
  <si>
    <t>221310 2</t>
  </si>
  <si>
    <t>221311 2</t>
  </si>
  <si>
    <t xml:space="preserve">  Smętowo Graniczne..........................................................................................................................................................................................................................................................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</si>
  <si>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221312 2</t>
  </si>
  <si>
    <t>221313 2</t>
  </si>
  <si>
    <t xml:space="preserve">  Zblewo..........................................................................................................................................................................................................................................................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</si>
  <si>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221301 3</t>
  </si>
  <si>
    <t xml:space="preserve">  Czarna Woda..........................................................................................................................................................................................................................................................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</si>
  <si>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221301 4</t>
  </si>
  <si>
    <t>221301 5</t>
  </si>
  <si>
    <t>221309 3</t>
  </si>
  <si>
    <t xml:space="preserve">  Skarszewy..........................................................................................................................................................................................................................................................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</si>
  <si>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221309 4</t>
  </si>
  <si>
    <t>221309 5</t>
  </si>
  <si>
    <t>Powiat sztumski  (5 gmin)</t>
  </si>
  <si>
    <t>221602 2</t>
  </si>
  <si>
    <t xml:space="preserve">  Mikołajki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</si>
  <si>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221603 2</t>
  </si>
  <si>
    <t xml:space="preserve">  Stary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</si>
  <si>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221604 2</t>
  </si>
  <si>
    <t xml:space="preserve">  Stary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</si>
  <si>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221601 3</t>
  </si>
  <si>
    <t xml:space="preserve"> 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</si>
  <si>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221601 4</t>
  </si>
  <si>
    <t>221601 5</t>
  </si>
  <si>
    <t>221605 3</t>
  </si>
  <si>
    <t xml:space="preserve">  Sztum..........................................................................................................................................................................................................................................................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</si>
  <si>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221605 4</t>
  </si>
  <si>
    <t>221605 5</t>
  </si>
  <si>
    <t>Powiat tczewski  (6 gmin)</t>
  </si>
  <si>
    <t>221401 1</t>
  </si>
  <si>
    <t xml:space="preserve">  Tczew..........................................................................................................................................................................................................................................................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</si>
  <si>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221403 2</t>
  </si>
  <si>
    <t xml:space="preserve">  Morzeszczyn..........................................................................................................................................................................................................................................................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</si>
  <si>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221405 2</t>
  </si>
  <si>
    <t xml:space="preserve">  Subkowy..........................................................................................................................................................................................................................................................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</si>
  <si>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221406 2</t>
  </si>
  <si>
    <t>221402 3</t>
  </si>
  <si>
    <t xml:space="preserve">  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</si>
  <si>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221402 4</t>
  </si>
  <si>
    <t>221402 5</t>
  </si>
  <si>
    <t>221404 3</t>
  </si>
  <si>
    <t xml:space="preserve">  Pelplin..........................................................................................................................................................................................................................................................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</si>
  <si>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221404 4</t>
  </si>
  <si>
    <t>221404 5</t>
  </si>
  <si>
    <t>Powiat wejherowski  (10 gmin)</t>
  </si>
  <si>
    <t>221501 1</t>
  </si>
  <si>
    <t xml:space="preserve">  Reda..........................................................................................................................................................................................................................................................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</si>
  <si>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221502 1</t>
  </si>
  <si>
    <t xml:space="preserve">  Rumia..........................................................................................................................................................................................................................................................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</si>
  <si>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221503 1</t>
  </si>
  <si>
    <t xml:space="preserve">  Wejherowo..........................................................................................................................................................................................................................................................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</si>
  <si>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221504 2</t>
  </si>
  <si>
    <t xml:space="preserve">  Choczewo..........................................................................................................................................................................................................................................................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</si>
  <si>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221505 2</t>
  </si>
  <si>
    <t xml:space="preserve">  Gniewino..........................................................................................................................................................................................................................................................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</si>
  <si>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221506 2</t>
  </si>
  <si>
    <t xml:space="preserve">  Linia..........................................................................................................................................................................................................................................................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</si>
  <si>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221507 2</t>
  </si>
  <si>
    <t xml:space="preserve">  Luzino..........................................................................................................................................................................................................................................................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</si>
  <si>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221508 2</t>
  </si>
  <si>
    <t xml:space="preserve">  Łęczyce..........................................................................................................................................................................................................................................................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</si>
  <si>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221509 2</t>
  </si>
  <si>
    <t xml:space="preserve">  Szemud..........................................................................................................................................................................................................................................................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</si>
  <si>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221510 2</t>
  </si>
  <si>
    <t>226101 1</t>
  </si>
  <si>
    <t xml:space="preserve">  Gdańsk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</si>
  <si>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226201 1</t>
  </si>
  <si>
    <t xml:space="preserve">  Gdynia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</si>
  <si>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226301 1</t>
  </si>
  <si>
    <t>226401 1</t>
  </si>
  <si>
    <t xml:space="preserve">  Sopot..........................................................................................................................................................................................................................................................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</si>
  <si>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będziński  (8 gmin)</t>
  </si>
  <si>
    <t>240101 1</t>
  </si>
  <si>
    <t xml:space="preserve">  Będzin..........................................................................................................................................................................................................................................................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</si>
  <si>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240102 1</t>
  </si>
  <si>
    <t xml:space="preserve">  Czeladź..........................................................................................................................................................................................................................................................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</si>
  <si>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240108 1</t>
  </si>
  <si>
    <t xml:space="preserve">  Sławków..........................................................................................................................................................................................................................................................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</si>
  <si>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240103 1</t>
  </si>
  <si>
    <t xml:space="preserve">  Wojkowice..........................................................................................................................................................................................................................................................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</si>
  <si>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240104 2</t>
  </si>
  <si>
    <t>240105 2</t>
  </si>
  <si>
    <t xml:space="preserve">  Mierzęcice..........................................................................................................................................................................................................................................................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</si>
  <si>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240106 2</t>
  </si>
  <si>
    <t xml:space="preserve">  Psary..........................................................................................................................................................................................................................................................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</si>
  <si>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240107 3</t>
  </si>
  <si>
    <t xml:space="preserve">  Siewierz..........................................................................................................................................................................................................................................................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</si>
  <si>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240107 4</t>
  </si>
  <si>
    <t>240107 5</t>
  </si>
  <si>
    <t>Powiat bielski  (10 gmin)</t>
  </si>
  <si>
    <t>240201 1</t>
  </si>
  <si>
    <t xml:space="preserve">  Szczyrk..........................................................................................................................................................................................................................................................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</si>
  <si>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240202 2</t>
  </si>
  <si>
    <t xml:space="preserve">  Bestwina..........................................................................................................................................................................................................................................................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</si>
  <si>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240203 2</t>
  </si>
  <si>
    <t xml:space="preserve">  Buczkowice..........................................................................................................................................................................................................................................................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</si>
  <si>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240205 2</t>
  </si>
  <si>
    <t xml:space="preserve">  Jasienica..........................................................................................................................................................................................................................................................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</si>
  <si>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240206 2</t>
  </si>
  <si>
    <t xml:space="preserve">  Jaworze..........................................................................................................................................................................................................................................................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</si>
  <si>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240207 2</t>
  </si>
  <si>
    <t xml:space="preserve">  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</si>
  <si>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240208 2</t>
  </si>
  <si>
    <t xml:space="preserve">  Porąbka..........................................................................................................................................................................................................................................................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</si>
  <si>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240210 2</t>
  </si>
  <si>
    <t xml:space="preserve">  Wilkowice..........................................................................................................................................................................................................................................................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</si>
  <si>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240204 3</t>
  </si>
  <si>
    <t xml:space="preserve">  Czechowice-Dziedzice..........................................................................................................................................................................................................................................................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</si>
  <si>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240204 4</t>
  </si>
  <si>
    <t>240204 5</t>
  </si>
  <si>
    <t>240209 3</t>
  </si>
  <si>
    <t xml:space="preserve">  Wilamowice..........................................................................................................................................................................................................................................................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</si>
  <si>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240209 4</t>
  </si>
  <si>
    <t>240209 5</t>
  </si>
  <si>
    <t>Powiat bieruńsko-lędziński  (5 gmin)</t>
  </si>
  <si>
    <t>241401 1</t>
  </si>
  <si>
    <t xml:space="preserve">  Bieruń..........................................................................................................................................................................................................................................................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</si>
  <si>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241402 1</t>
  </si>
  <si>
    <t xml:space="preserve">  Imielin..........................................................................................................................................................................................................................................................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</si>
  <si>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241403 1</t>
  </si>
  <si>
    <t xml:space="preserve">  Lędziny..........................................................................................................................................................................................................................................................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</si>
  <si>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241404 2</t>
  </si>
  <si>
    <t xml:space="preserve">  Bojszowy..........................................................................................................................................................................................................................................................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</si>
  <si>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241405 2</t>
  </si>
  <si>
    <t xml:space="preserve">  Chełm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</si>
  <si>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cieszyński  (12 gmin)</t>
  </si>
  <si>
    <t>240301 1</t>
  </si>
  <si>
    <t xml:space="preserve">  Cieszyn..........................................................................................................................................................................................................................................................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</si>
  <si>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240302 1</t>
  </si>
  <si>
    <t xml:space="preserve">  Ustroń..........................................................................................................................................................................................................................................................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</si>
  <si>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240303 1</t>
  </si>
  <si>
    <t xml:space="preserve">  Wisła..........................................................................................................................................................................................................................................................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</si>
  <si>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240304 2</t>
  </si>
  <si>
    <t xml:space="preserve">  Brenna..........................................................................................................................................................................................................................................................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</si>
  <si>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240305 2</t>
  </si>
  <si>
    <t xml:space="preserve">  Chybie..........................................................................................................................................................................................................................................................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</si>
  <si>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240306 2</t>
  </si>
  <si>
    <t>240307 2</t>
  </si>
  <si>
    <t xml:space="preserve">  Goleszów..........................................................................................................................................................................................................................................................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</si>
  <si>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240308 2</t>
  </si>
  <si>
    <t xml:space="preserve">  Hażlach..........................................................................................................................................................................................................................................................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</si>
  <si>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240309 2</t>
  </si>
  <si>
    <t xml:space="preserve">  Istebna..........................................................................................................................................................................................................................................................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</si>
  <si>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240312 2</t>
  </si>
  <si>
    <t xml:space="preserve">  Zebrzydowice..........................................................................................................................................................................................................................................................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</si>
  <si>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240310 3</t>
  </si>
  <si>
    <t xml:space="preserve">  Skoczów..........................................................................................................................................................................................................................................................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</si>
  <si>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240310 4</t>
  </si>
  <si>
    <t>240310 5</t>
  </si>
  <si>
    <t>240311 3</t>
  </si>
  <si>
    <t xml:space="preserve">  Strumień..........................................................................................................................................................................................................................................................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</si>
  <si>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240311 4</t>
  </si>
  <si>
    <t>240311 5</t>
  </si>
  <si>
    <t>Powiat częstochowski  (16 gmin)</t>
  </si>
  <si>
    <t>240402 2</t>
  </si>
  <si>
    <t xml:space="preserve">  Dąbrowa Zielona..........................................................................................................................................................................................................................................................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</si>
  <si>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240403 2</t>
  </si>
  <si>
    <t>240404 2</t>
  </si>
  <si>
    <t xml:space="preserve">  Kamienica 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</si>
  <si>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240405 2</t>
  </si>
  <si>
    <t xml:space="preserve">  Kłomnice..........................................................................................................................................................................................................................................................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</si>
  <si>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240407 2</t>
  </si>
  <si>
    <t xml:space="preserve">  Konopiska..........................................................................................................................................................................................................................................................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</si>
  <si>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240408 2</t>
  </si>
  <si>
    <t xml:space="preserve">  Kruszyna..........................................................................................................................................................................................................................................................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</si>
  <si>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240409 2</t>
  </si>
  <si>
    <t xml:space="preserve">  Lelów..........................................................................................................................................................................................................................................................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</si>
  <si>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240410 2</t>
  </si>
  <si>
    <t xml:space="preserve">  Mstów..........................................................................................................................................................................................................................................................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</si>
  <si>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240411 2</t>
  </si>
  <si>
    <t xml:space="preserve">  Mykanów..........................................................................................................................................................................................................................................................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</si>
  <si>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240412 2</t>
  </si>
  <si>
    <t xml:space="preserve">  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</si>
  <si>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240413 2</t>
  </si>
  <si>
    <t xml:space="preserve">  Poczesna..........................................................................................................................................................................................................................................................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</si>
  <si>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240414 2</t>
  </si>
  <si>
    <t xml:space="preserve">  Przyrów..........................................................................................................................................................................................................................................................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</si>
  <si>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240415 2</t>
  </si>
  <si>
    <t xml:space="preserve">  Rędziny..........................................................................................................................................................................................................................................................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</si>
  <si>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240416 2</t>
  </si>
  <si>
    <t xml:space="preserve">  Starcza..........................................................................................................................................................................................................................................................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</si>
  <si>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240401 3</t>
  </si>
  <si>
    <t xml:space="preserve">  Blachownia..........................................................................................................................................................................................................................................................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</si>
  <si>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240401 4</t>
  </si>
  <si>
    <t>240401 5</t>
  </si>
  <si>
    <t>240406 3</t>
  </si>
  <si>
    <t xml:space="preserve">  Koniecpol..........................................................................................................................................................................................................................................................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</si>
  <si>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240406 4</t>
  </si>
  <si>
    <t>240406 5</t>
  </si>
  <si>
    <t>Powiat gliwicki  (8 gmin)</t>
  </si>
  <si>
    <t>240501 1</t>
  </si>
  <si>
    <t xml:space="preserve">  Knurów..........................................................................................................................................................................................................................................................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</si>
  <si>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240502 1</t>
  </si>
  <si>
    <t xml:space="preserve">  Pyskowice..........................................................................................................................................................................................................................................................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</si>
  <si>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240503 2</t>
  </si>
  <si>
    <t xml:space="preserve">  Gierałtowice..........................................................................................................................................................................................................................................................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</si>
  <si>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240504 2</t>
  </si>
  <si>
    <t xml:space="preserve">  Pilchowice..........................................................................................................................................................................................................................................................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</si>
  <si>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240505 2</t>
  </si>
  <si>
    <t xml:space="preserve">  Rudziniec..........................................................................................................................................................................................................................................................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</si>
  <si>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240508 2</t>
  </si>
  <si>
    <t xml:space="preserve">  Wielowieś..........................................................................................................................................................................................................................................................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</si>
  <si>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240506 3</t>
  </si>
  <si>
    <t xml:space="preserve">  Sośnicowice..........................................................................................................................................................................................................................................................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</si>
  <si>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240506 4</t>
  </si>
  <si>
    <t>240506 5</t>
  </si>
  <si>
    <t>240507 3</t>
  </si>
  <si>
    <t xml:space="preserve">  Toszek..........................................................................................................................................................................................................................................................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</si>
  <si>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240507 4</t>
  </si>
  <si>
    <t>240507 5</t>
  </si>
  <si>
    <t>Powiat kłobucki  (9 gmin)</t>
  </si>
  <si>
    <t>240603 2</t>
  </si>
  <si>
    <t xml:space="preserve">  Lipie..........................................................................................................................................................................................................................................................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</si>
  <si>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240604 2</t>
  </si>
  <si>
    <t xml:space="preserve">  Miedźno..........................................................................................................................................................................................................................................................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</si>
  <si>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240605 2</t>
  </si>
  <si>
    <t xml:space="preserve">  Opatów..........................................................................................................................................................................................................................................................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</si>
  <si>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240606 2</t>
  </si>
  <si>
    <t xml:space="preserve">  Panki..........................................................................................................................................................................................................................................................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</si>
  <si>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240607 2</t>
  </si>
  <si>
    <t xml:space="preserve">  Popów..........................................................................................................................................................................................................................................................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</si>
  <si>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240608 2</t>
  </si>
  <si>
    <t xml:space="preserve">  Przystajń..........................................................................................................................................................................................................................................................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</si>
  <si>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240609 2</t>
  </si>
  <si>
    <t xml:space="preserve">  Wręczyca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</si>
  <si>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240601 3</t>
  </si>
  <si>
    <t xml:space="preserve">  Kłobuck..........................................................................................................................................................................................................................................................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</si>
  <si>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240601 4</t>
  </si>
  <si>
    <t>240601 5</t>
  </si>
  <si>
    <t>240602 3</t>
  </si>
  <si>
    <t xml:space="preserve">  Krzepice..........................................................................................................................................................................................................................................................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</si>
  <si>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240602 4</t>
  </si>
  <si>
    <t>240602 5</t>
  </si>
  <si>
    <t>Powiat lubliniecki  (8 gmin)</t>
  </si>
  <si>
    <t>240701 1</t>
  </si>
  <si>
    <t xml:space="preserve">  Lubliniec..........................................................................................................................................................................................................................................................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</si>
  <si>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240702 2</t>
  </si>
  <si>
    <t xml:space="preserve">  Boronów..........................................................................................................................................................................................................................................................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</si>
  <si>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240703 2</t>
  </si>
  <si>
    <t xml:space="preserve">  Ciasna..........................................................................................................................................................................................................................................................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</si>
  <si>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240704 2</t>
  </si>
  <si>
    <t xml:space="preserve">  Herby..........................................................................................................................................................................................................................................................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</si>
  <si>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240705 2</t>
  </si>
  <si>
    <t xml:space="preserve">  Kochanowice..........................................................................................................................................................................................................................................................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</si>
  <si>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240706 2</t>
  </si>
  <si>
    <t xml:space="preserve">  Koszęcin..........................................................................................................................................................................................................................................................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</si>
  <si>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240707 2</t>
  </si>
  <si>
    <t xml:space="preserve">  Pawonków..........................................................................................................................................................................................................................................................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</si>
  <si>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240708 3</t>
  </si>
  <si>
    <t xml:space="preserve">  Woźniki..........................................................................................................................................................................................................................................................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</si>
  <si>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240708 4</t>
  </si>
  <si>
    <t>240708 5</t>
  </si>
  <si>
    <t>Powiat mikołowski  (5 gmin)</t>
  </si>
  <si>
    <t>240801 1</t>
  </si>
  <si>
    <t xml:space="preserve">  Łaziska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</si>
  <si>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240802 1</t>
  </si>
  <si>
    <t xml:space="preserve">  Mikołów..........................................................................................................................................................................................................................................................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</si>
  <si>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240803 1</t>
  </si>
  <si>
    <t xml:space="preserve">  Orzesze..........................................................................................................................................................................................................................................................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</si>
  <si>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240804 2</t>
  </si>
  <si>
    <t xml:space="preserve">  Ornontowice..........................................................................................................................................................................................................................................................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</si>
  <si>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240805 2</t>
  </si>
  <si>
    <t xml:space="preserve">  Wyry..........................................................................................................................................................................................................................................................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</si>
  <si>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myszkowski  (5 gmin)</t>
  </si>
  <si>
    <t>240901 1</t>
  </si>
  <si>
    <t xml:space="preserve">  Myszków..........................................................................................................................................................................................................................................................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</si>
  <si>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240903 2</t>
  </si>
  <si>
    <t xml:space="preserve">  Niegowa..........................................................................................................................................................................................................................................................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</si>
  <si>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240904 2</t>
  </si>
  <si>
    <t xml:space="preserve">  Poraj..........................................................................................................................................................................................................................................................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</si>
  <si>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240902 3</t>
  </si>
  <si>
    <t xml:space="preserve">  Koziegłowy..........................................................................................................................................................................................................................................................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</si>
  <si>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240902 4</t>
  </si>
  <si>
    <t>240902 5</t>
  </si>
  <si>
    <t>240905 3</t>
  </si>
  <si>
    <t xml:space="preserve">  Żarki..........................................................................................................................................................................................................................................................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</si>
  <si>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240905 4</t>
  </si>
  <si>
    <t>240905 5</t>
  </si>
  <si>
    <t>Powiat pszczyński  (6 gmin)</t>
  </si>
  <si>
    <t>241001 2</t>
  </si>
  <si>
    <t xml:space="preserve">  Goczałkowice-Zdrój..........................................................................................................................................................................................................................................................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</si>
  <si>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241002 2</t>
  </si>
  <si>
    <t xml:space="preserve">  Kobiór..........................................................................................................................................................................................................................................................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</si>
  <si>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241003 2</t>
  </si>
  <si>
    <t xml:space="preserve">  Miedźna..........................................................................................................................................................................................................................................................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</si>
  <si>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241004 2</t>
  </si>
  <si>
    <t xml:space="preserve">  Pawłowice..........................................................................................................................................................................................................................................................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</si>
  <si>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241006 2</t>
  </si>
  <si>
    <t xml:space="preserve">  Suszec..........................................................................................................................................................................................................................................................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</si>
  <si>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241005 3</t>
  </si>
  <si>
    <t xml:space="preserve">  Pszczyna..........................................................................................................................................................................................................................................................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</si>
  <si>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241005 4</t>
  </si>
  <si>
    <t>241005 5</t>
  </si>
  <si>
    <t>Powiat raciborski  (8 gmin)</t>
  </si>
  <si>
    <t>241101 1</t>
  </si>
  <si>
    <t xml:space="preserve">  Racibórz..........................................................................................................................................................................................................................................................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</si>
  <si>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241102 2</t>
  </si>
  <si>
    <t xml:space="preserve">  Kornowac..........................................................................................................................................................................................................................................................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</si>
  <si>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241104 2</t>
  </si>
  <si>
    <t xml:space="preserve">  Krzyżanowice..........................................................................................................................................................................................................................................................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</si>
  <si>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241106 2</t>
  </si>
  <si>
    <t xml:space="preserve">  Nędza..........................................................................................................................................................................................................................................................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</si>
  <si>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241107 2</t>
  </si>
  <si>
    <t xml:space="preserve">  Pietrowice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</si>
  <si>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241108 2</t>
  </si>
  <si>
    <t>241103 3</t>
  </si>
  <si>
    <t xml:space="preserve">  Krzanowice..........................................................................................................................................................................................................................................................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</si>
  <si>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241103 4</t>
  </si>
  <si>
    <t>241103 5</t>
  </si>
  <si>
    <t>241105 3</t>
  </si>
  <si>
    <t xml:space="preserve">  Kuźnia Raciborska..........................................................................................................................................................................................................................................................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</si>
  <si>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241105 4</t>
  </si>
  <si>
    <t>241105 5</t>
  </si>
  <si>
    <t>Powiat rybnicki  (5 gmin)</t>
  </si>
  <si>
    <t>241202 2</t>
  </si>
  <si>
    <t xml:space="preserve">  Gaszowice..........................................................................................................................................................................................................................................................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</si>
  <si>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241203 2</t>
  </si>
  <si>
    <t xml:space="preserve">  Jejkowice..........................................................................................................................................................................................................................................................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</si>
  <si>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241204 2</t>
  </si>
  <si>
    <t xml:space="preserve">  Lyski..........................................................................................................................................................................................................................................................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</si>
  <si>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241205 2</t>
  </si>
  <si>
    <t xml:space="preserve">  Świerklany..........................................................................................................................................................................................................................................................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</si>
  <si>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241201 3</t>
  </si>
  <si>
    <t xml:space="preserve">  Czerwionka-Leszczyny..........................................................................................................................................................................................................................................................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</si>
  <si>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241201 4</t>
  </si>
  <si>
    <t>241201 5</t>
  </si>
  <si>
    <t>Powiat tarnogórski  (9 gmin)</t>
  </si>
  <si>
    <t>241301 1</t>
  </si>
  <si>
    <t xml:space="preserve">  Kalety..........................................................................................................................................................................................................................................................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</si>
  <si>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241302 1</t>
  </si>
  <si>
    <t xml:space="preserve">  Miasteczko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</si>
  <si>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241303 1</t>
  </si>
  <si>
    <t xml:space="preserve">  Radzionków..........................................................................................................................................................................................................................................................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</si>
  <si>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241304 1</t>
  </si>
  <si>
    <t xml:space="preserve">  Tarnowskie Góry..........................................................................................................................................................................................................................................................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</si>
  <si>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241305 2</t>
  </si>
  <si>
    <t xml:space="preserve">  Krupski 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</si>
  <si>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241306 2</t>
  </si>
  <si>
    <t xml:space="preserve">  Ożarowice..........................................................................................................................................................................................................................................................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</si>
  <si>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241307 2</t>
  </si>
  <si>
    <t xml:space="preserve">  Świerklaniec..........................................................................................................................................................................................................................................................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</si>
  <si>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241308 2</t>
  </si>
  <si>
    <t xml:space="preserve">  Tworóg..........................................................................................................................................................................................................................................................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</si>
  <si>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241309 2</t>
  </si>
  <si>
    <t xml:space="preserve">  Zbrosławice..........................................................................................................................................................................................................................................................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</si>
  <si>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wodzisławski  (9 gmin)</t>
  </si>
  <si>
    <t>241501 1</t>
  </si>
  <si>
    <t xml:space="preserve">  Pszów..........................................................................................................................................................................................................................................................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</si>
  <si>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241502 1</t>
  </si>
  <si>
    <t xml:space="preserve">  Radlin..........................................................................................................................................................................................................................................................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</si>
  <si>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241503 1</t>
  </si>
  <si>
    <t xml:space="preserve">  Rydułtowy..........................................................................................................................................................................................................................................................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</si>
  <si>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241504 1</t>
  </si>
  <si>
    <t xml:space="preserve">  Wodzisław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</si>
  <si>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241505 2</t>
  </si>
  <si>
    <t xml:space="preserve">  Godów..........................................................................................................................................................................................................................................................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</si>
  <si>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241506 2</t>
  </si>
  <si>
    <t>241507 2</t>
  </si>
  <si>
    <t xml:space="preserve">  Lubomia..........................................................................................................................................................................................................................................................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</si>
  <si>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241508 2</t>
  </si>
  <si>
    <t xml:space="preserve">  Marklowice..........................................................................................................................................................................................................................................................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</si>
  <si>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241509 2</t>
  </si>
  <si>
    <t xml:space="preserve">  Mszana..........................................................................................................................................................................................................................................................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</si>
  <si>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zawierciański  (10 gmin)</t>
  </si>
  <si>
    <t>241601 1</t>
  </si>
  <si>
    <t xml:space="preserve"> 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</si>
  <si>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241602 1</t>
  </si>
  <si>
    <t xml:space="preserve">  Zawiercie..........................................................................................................................................................................................................................................................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</si>
  <si>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241603 2</t>
  </si>
  <si>
    <t xml:space="preserve">  Irządze..........................................................................................................................................................................................................................................................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</si>
  <si>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241604 2</t>
  </si>
  <si>
    <t xml:space="preserve">  Kroczyce..........................................................................................................................................................................................................................................................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</si>
  <si>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241609 2</t>
  </si>
  <si>
    <t xml:space="preserve">  Włodowice..........................................................................................................................................................................................................................................................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</si>
  <si>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241610 2</t>
  </si>
  <si>
    <t xml:space="preserve">  Żarnowiec..........................................................................................................................................................................................................................................................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</si>
  <si>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241605 3</t>
  </si>
  <si>
    <t xml:space="preserve">  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</si>
  <si>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241605 4</t>
  </si>
  <si>
    <t>241605 5</t>
  </si>
  <si>
    <t>241606 3</t>
  </si>
  <si>
    <t xml:space="preserve">  Ogrodzieniec..........................................................................................................................................................................................................................................................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</si>
  <si>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241606 4</t>
  </si>
  <si>
    <t>241606 5</t>
  </si>
  <si>
    <t>241607 3</t>
  </si>
  <si>
    <t xml:space="preserve">  Pilica..........................................................................................................................................................................................................................................................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</si>
  <si>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241607 4</t>
  </si>
  <si>
    <t>241607 5</t>
  </si>
  <si>
    <t>241608 3</t>
  </si>
  <si>
    <t xml:space="preserve">  Szczekociny..........................................................................................................................................................................................................................................................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</si>
  <si>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241608 4</t>
  </si>
  <si>
    <t>241608 5</t>
  </si>
  <si>
    <t>Powiat żywiecki  (15 gmin)</t>
  </si>
  <si>
    <t>241701 1</t>
  </si>
  <si>
    <t xml:space="preserve">  Żywiec..........................................................................................................................................................................................................................................................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</si>
  <si>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241702 2</t>
  </si>
  <si>
    <t>241703 2</t>
  </si>
  <si>
    <t xml:space="preserve">  Gilowice..........................................................................................................................................................................................................................................................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</si>
  <si>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241704 2</t>
  </si>
  <si>
    <t xml:space="preserve">  Jeleśnia..........................................................................................................................................................................................................................................................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</si>
  <si>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241705 2</t>
  </si>
  <si>
    <t xml:space="preserve">  Koszarawa..........................................................................................................................................................................................................................................................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</si>
  <si>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241706 2</t>
  </si>
  <si>
    <t xml:space="preserve">  Lipowa..........................................................................................................................................................................................................................................................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</si>
  <si>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241707 2</t>
  </si>
  <si>
    <t xml:space="preserve">  Łękawica..........................................................................................................................................................................................................................................................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</si>
  <si>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241708 2</t>
  </si>
  <si>
    <t xml:space="preserve">  Łodygowice..........................................................................................................................................................................................................................................................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</si>
  <si>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241709 2</t>
  </si>
  <si>
    <t xml:space="preserve">  Milówka..........................................................................................................................................................................................................................................................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</si>
  <si>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241710 2</t>
  </si>
  <si>
    <t xml:space="preserve">  Radziechowy-Wieprz..........................................................................................................................................................................................................................................................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</si>
  <si>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241711 2</t>
  </si>
  <si>
    <t xml:space="preserve">  Rajcza..........................................................................................................................................................................................................................................................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</si>
  <si>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241712 2</t>
  </si>
  <si>
    <t xml:space="preserve">  Ślemień..........................................................................................................................................................................................................................................................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</si>
  <si>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241713 2</t>
  </si>
  <si>
    <t xml:space="preserve">  Świnna..........................................................................................................................................................................................................................................................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</si>
  <si>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241714 2</t>
  </si>
  <si>
    <t xml:space="preserve">  Ujsoły..........................................................................................................................................................................................................................................................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</si>
  <si>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241715 2</t>
  </si>
  <si>
    <t xml:space="preserve">  Węgierska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</si>
  <si>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Miasta na prawach powiatu (19)   </t>
    </r>
    <r>
      <rPr>
        <b/>
        <sz val="8"/>
        <color rgb="FF808080"/>
        <rFont val="Arial"/>
        <family val="2"/>
        <charset val="238"/>
      </rPr>
      <t>Cities with powiat status (19)</t>
    </r>
  </si>
  <si>
    <t>246101 1</t>
  </si>
  <si>
    <t xml:space="preserve">  Bielsko-Biała..........................................................................................................................................................................................................................................................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</si>
  <si>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246201 1</t>
  </si>
  <si>
    <t xml:space="preserve">  Bytom..........................................................................................................................................................................................................................................................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</si>
  <si>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246301 1</t>
  </si>
  <si>
    <t xml:space="preserve">  Chorzów..........................................................................................................................................................................................................................................................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</si>
  <si>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246401 1</t>
  </si>
  <si>
    <t xml:space="preserve">  Częstochowa..........................................................................................................................................................................................................................................................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</si>
  <si>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246501 1</t>
  </si>
  <si>
    <t xml:space="preserve">  Dąbrowa Górnicza..........................................................................................................................................................................................................................................................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</si>
  <si>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246601 1</t>
  </si>
  <si>
    <t xml:space="preserve">  Gliwice..........................................................................................................................................................................................................................................................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</si>
  <si>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246701 1</t>
  </si>
  <si>
    <t xml:space="preserve">  Jastrzębie-Zdrój..........................................................................................................................................................................................................................................................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</si>
  <si>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246801 1</t>
  </si>
  <si>
    <t xml:space="preserve">  Jaworzno..........................................................................................................................................................................................................................................................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</si>
  <si>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246901 1</t>
  </si>
  <si>
    <t xml:space="preserve">  Katowice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</si>
  <si>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247001 1</t>
  </si>
  <si>
    <t xml:space="preserve">  Mysłowice..........................................................................................................................................................................................................................................................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</si>
  <si>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247101 1</t>
  </si>
  <si>
    <t xml:space="preserve">  Piekary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</si>
  <si>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247201 1</t>
  </si>
  <si>
    <t xml:space="preserve">  Ruda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</si>
  <si>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247301 1</t>
  </si>
  <si>
    <t xml:space="preserve">  Rybnik..........................................................................................................................................................................................................................................................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</si>
  <si>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247401 1</t>
  </si>
  <si>
    <t xml:space="preserve">  Siemianowice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</si>
  <si>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247501 1</t>
  </si>
  <si>
    <t xml:space="preserve">  Sosnowiec..........................................................................................................................................................................................................................................................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</si>
  <si>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247601 1</t>
  </si>
  <si>
    <t xml:space="preserve">  Świętochłowice..........................................................................................................................................................................................................................................................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</si>
  <si>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247701 1</t>
  </si>
  <si>
    <t xml:space="preserve">  Tychy..........................................................................................................................................................................................................................................................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</si>
  <si>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247801 1</t>
  </si>
  <si>
    <t xml:space="preserve">  Zabrze..........................................................................................................................................................................................................................................................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</si>
  <si>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247901 1</t>
  </si>
  <si>
    <t xml:space="preserve">  Żory..........................................................................................................................................................................................................................................................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</si>
  <si>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buski  (8 gmin)</t>
  </si>
  <si>
    <t>260102 2</t>
  </si>
  <si>
    <t xml:space="preserve">  Gnojno..........................................................................................................................................................................................................................................................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</si>
  <si>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260105 2</t>
  </si>
  <si>
    <t xml:space="preserve">  Solec-Zdrój..........................................................................................................................................................................................................................................................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</si>
  <si>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260107 2</t>
  </si>
  <si>
    <t xml:space="preserve">  Tuczępy..........................................................................................................................................................................................................................................................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</si>
  <si>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260101 3</t>
  </si>
  <si>
    <t xml:space="preserve">  Busko-Zdrój..........................................................................................................................................................................................................................................................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</si>
  <si>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260101 4</t>
  </si>
  <si>
    <t>260101 5</t>
  </si>
  <si>
    <t>260103 3</t>
  </si>
  <si>
    <t xml:space="preserve">  Nowy Korczyn..........................................................................................................................................................................................................................................................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</si>
  <si>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260103 4</t>
  </si>
  <si>
    <t>260103 5</t>
  </si>
  <si>
    <t>260104 3</t>
  </si>
  <si>
    <t xml:space="preserve">  Pacanów..........................................................................................................................................................................................................................................................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</si>
  <si>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260104 4</t>
  </si>
  <si>
    <t>260104 5</t>
  </si>
  <si>
    <t>260106 3</t>
  </si>
  <si>
    <t xml:space="preserve">  Stopnica..........................................................................................................................................................................................................................................................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</si>
  <si>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260106 4</t>
  </si>
  <si>
    <t>260106 5</t>
  </si>
  <si>
    <t>260108 3</t>
  </si>
  <si>
    <t xml:space="preserve">  Wiślica..........................................................................................................................................................................................................................................................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</si>
  <si>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260108 4</t>
  </si>
  <si>
    <t>260108 5</t>
  </si>
  <si>
    <t>Powiat jędrzejowski  (9 gmin)</t>
  </si>
  <si>
    <t>260201 2</t>
  </si>
  <si>
    <t xml:space="preserve">  Imielno..........................................................................................................................................................................................................................................................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</si>
  <si>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260204 2</t>
  </si>
  <si>
    <t xml:space="preserve">  Nagłowice..........................................................................................................................................................................................................................................................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</si>
  <si>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260205 2</t>
  </si>
  <si>
    <t xml:space="preserve">  Oksa..........................................................................................................................................................................................................................................................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</si>
  <si>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260207 2</t>
  </si>
  <si>
    <t>260208 2</t>
  </si>
  <si>
    <t xml:space="preserve">  Sobków..........................................................................................................................................................................................................................................................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</si>
  <si>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260209 2</t>
  </si>
  <si>
    <t xml:space="preserve">  Wodzisław..........................................................................................................................................................................................................................................................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</si>
  <si>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260202 3</t>
  </si>
  <si>
    <t xml:space="preserve">  Jędrzejów..........................................................................................................................................................................................................................................................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</si>
  <si>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260202 4</t>
  </si>
  <si>
    <t>260202 5</t>
  </si>
  <si>
    <t>260203 3</t>
  </si>
  <si>
    <t xml:space="preserve">  Małogoszcz..........................................................................................................................................................................................................................................................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</si>
  <si>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260203 4</t>
  </si>
  <si>
    <t>260203 5</t>
  </si>
  <si>
    <t>260206 3</t>
  </si>
  <si>
    <t xml:space="preserve">  Sędziszów..........................................................................................................................................................................................................................................................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</si>
  <si>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260206 4</t>
  </si>
  <si>
    <t>260206 5</t>
  </si>
  <si>
    <t>Powiat kazimierski  (5 gmin)</t>
  </si>
  <si>
    <t>260301 2</t>
  </si>
  <si>
    <t xml:space="preserve">  Bejsce..........................................................................................................................................................................................................................................................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</si>
  <si>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260302 2</t>
  </si>
  <si>
    <t>260303 3</t>
  </si>
  <si>
    <t xml:space="preserve">  Kazimierza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</si>
  <si>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260303 4</t>
  </si>
  <si>
    <t>260303 5</t>
  </si>
  <si>
    <t>260304 3</t>
  </si>
  <si>
    <t xml:space="preserve">  Opatowiec..........................................................................................................................................................................................................................................................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</si>
  <si>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260304 4</t>
  </si>
  <si>
    <t>260304 5</t>
  </si>
  <si>
    <t>260305 3</t>
  </si>
  <si>
    <t xml:space="preserve">  Skalbmierz..........................................................................................................................................................................................................................................................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</si>
  <si>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260305 4</t>
  </si>
  <si>
    <t>260305 5</t>
  </si>
  <si>
    <t>Powiat kielecki  (19 gmin)</t>
  </si>
  <si>
    <t>260401 2</t>
  </si>
  <si>
    <t xml:space="preserve">  Bieliny..........................................................................................................................................................................................................................................................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</si>
  <si>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260406 2</t>
  </si>
  <si>
    <t xml:space="preserve">  Górno..........................................................................................................................................................................................................................................................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</si>
  <si>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260408 2</t>
  </si>
  <si>
    <t xml:space="preserve">  Łopuszno..........................................................................................................................................................................................................................................................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</si>
  <si>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260409 2</t>
  </si>
  <si>
    <t xml:space="preserve">  Masłów..........................................................................................................................................................................................................................................................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</si>
  <si>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260410 2</t>
  </si>
  <si>
    <t xml:space="preserve">  Miedziana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</si>
  <si>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260411 2</t>
  </si>
  <si>
    <t xml:space="preserve">  Mniów..........................................................................................................................................................................................................................................................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</si>
  <si>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260414 2</t>
  </si>
  <si>
    <t xml:space="preserve">  Piekoszów..........................................................................................................................................................................................................................................................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</si>
  <si>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260416 2</t>
  </si>
  <si>
    <t xml:space="preserve">  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</si>
  <si>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260417 2</t>
  </si>
  <si>
    <t xml:space="preserve">  Sitkówka-Nowiny..........................................................................................................................................................................................................................................................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</si>
  <si>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260418 2</t>
  </si>
  <si>
    <t xml:space="preserve">  Strawczyn..........................................................................................................................................................................................................................................................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</si>
  <si>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260419 2</t>
  </si>
  <si>
    <t xml:space="preserve">  Zagnańsk..........................................................................................................................................................................................................................................................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</si>
  <si>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260402 3</t>
  </si>
  <si>
    <t xml:space="preserve">  Bodzentyn..........................................................................................................................................................................................................................................................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</si>
  <si>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260402 4</t>
  </si>
  <si>
    <t>260402 5</t>
  </si>
  <si>
    <t>260403 3</t>
  </si>
  <si>
    <t xml:space="preserve">  Chęciny..........................................................................................................................................................................................................................................................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</si>
  <si>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260403 4</t>
  </si>
  <si>
    <t>260403 5</t>
  </si>
  <si>
    <t>260404 3</t>
  </si>
  <si>
    <t>260404 4</t>
  </si>
  <si>
    <t>260404 5</t>
  </si>
  <si>
    <t>260405 3</t>
  </si>
  <si>
    <t xml:space="preserve">  Daleszyce..........................................................................................................................................................................................................................................................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</si>
  <si>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260405 4</t>
  </si>
  <si>
    <t>260405 5</t>
  </si>
  <si>
    <t>260407 3</t>
  </si>
  <si>
    <t>260407 4</t>
  </si>
  <si>
    <t>260407 5</t>
  </si>
  <si>
    <t>260412 3</t>
  </si>
  <si>
    <t xml:space="preserve">  Morawica..........................................................................................................................................................................................................................................................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</si>
  <si>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260412 4</t>
  </si>
  <si>
    <t>260412 5</t>
  </si>
  <si>
    <t>260413 3</t>
  </si>
  <si>
    <t xml:space="preserve">  Nowa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</si>
  <si>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260413 4</t>
  </si>
  <si>
    <t>260413 5</t>
  </si>
  <si>
    <t>260415 3</t>
  </si>
  <si>
    <t xml:space="preserve">  Pierzchnica..........................................................................................................................................................................................................................................................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</si>
  <si>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260415 4</t>
  </si>
  <si>
    <t>260415 5</t>
  </si>
  <si>
    <t>Powiat konecki  (8 gmin)</t>
  </si>
  <si>
    <t>260501 2</t>
  </si>
  <si>
    <t xml:space="preserve">  Fałków..........................................................................................................................................................................................................................................................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</si>
  <si>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260502 2</t>
  </si>
  <si>
    <t xml:space="preserve">  Gowarczów..........................................................................................................................................................................................................................................................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</si>
  <si>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260505 2</t>
  </si>
  <si>
    <t xml:space="preserve">  Ruda Maleniecka..........................................................................................................................................................................................................................................................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</si>
  <si>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260506 2</t>
  </si>
  <si>
    <t xml:space="preserve">  Słupia Konecka..........................................................................................................................................................................................................................................................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</si>
  <si>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260507 2</t>
  </si>
  <si>
    <t xml:space="preserve">  Smyków..........................................................................................................................................................................................................................................................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</si>
  <si>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260503 3</t>
  </si>
  <si>
    <t xml:space="preserve">  Końskie..........................................................................................................................................................................................................................................................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</si>
  <si>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260503 4</t>
  </si>
  <si>
    <t>260503 5</t>
  </si>
  <si>
    <t>260504 3</t>
  </si>
  <si>
    <t xml:space="preserve">  Radoszyce..........................................................................................................................................................................................................................................................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</si>
  <si>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260504 4</t>
  </si>
  <si>
    <t>260504 5</t>
  </si>
  <si>
    <t>260508 3</t>
  </si>
  <si>
    <t xml:space="preserve">  Stąporków..........................................................................................................................................................................................................................................................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</si>
  <si>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260508 4</t>
  </si>
  <si>
    <t>260508 5</t>
  </si>
  <si>
    <t>Powiat opatowski  (8 gmin)</t>
  </si>
  <si>
    <t>260601 2</t>
  </si>
  <si>
    <t xml:space="preserve">  Baćkowice..........................................................................................................................................................................................................................................................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</si>
  <si>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260602 2</t>
  </si>
  <si>
    <t xml:space="preserve">  Iwaniska..........................................................................................................................................................................................................................................................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</si>
  <si>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260603 2</t>
  </si>
  <si>
    <t xml:space="preserve">  Lipnik..........................................................................................................................................................................................................................................................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</si>
  <si>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260606 2</t>
  </si>
  <si>
    <t xml:space="preserve">  Sadowie..........................................................................................................................................................................................................................................................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</si>
  <si>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260607 2</t>
  </si>
  <si>
    <t xml:space="preserve">  Tarłów..........................................................................................................................................................................................................................................................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</si>
  <si>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260608 2</t>
  </si>
  <si>
    <t xml:space="preserve">  Wojciechowice..........................................................................................................................................................................................................................................................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</si>
  <si>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260604 3</t>
  </si>
  <si>
    <t>260604 4</t>
  </si>
  <si>
    <t>260604 5</t>
  </si>
  <si>
    <t>260605 3</t>
  </si>
  <si>
    <t xml:space="preserve">  Ożarów..........................................................................................................................................................................................................................................................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</si>
  <si>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260605 4</t>
  </si>
  <si>
    <t>260605 5</t>
  </si>
  <si>
    <t>Powiat ostrowiecki  (6 gmin)</t>
  </si>
  <si>
    <t>260701 1</t>
  </si>
  <si>
    <t xml:space="preserve">  Ostrowiec Świętokrzyski..........................................................................................................................................................................................................................................................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</si>
  <si>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260702 2</t>
  </si>
  <si>
    <t xml:space="preserve">  Bałtów..........................................................................................................................................................................................................................................................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</si>
  <si>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260703 2</t>
  </si>
  <si>
    <t xml:space="preserve">  Bodzechów..........................................................................................................................................................................................................................................................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</si>
  <si>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260706 2</t>
  </si>
  <si>
    <t xml:space="preserve">  Waśniów..........................................................................................................................................................................................................................................................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</si>
  <si>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260704 3</t>
  </si>
  <si>
    <t xml:space="preserve">  Ćmielów..........................................................................................................................................................................................................................................................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</si>
  <si>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260704 4</t>
  </si>
  <si>
    <t>260704 5</t>
  </si>
  <si>
    <t>260705 3</t>
  </si>
  <si>
    <t xml:space="preserve">  Kunów..........................................................................................................................................................................................................................................................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</si>
  <si>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260705 4</t>
  </si>
  <si>
    <t>260705 5</t>
  </si>
  <si>
    <t>Powiat pińczowski  (5 gmin)</t>
  </si>
  <si>
    <t>260802 2</t>
  </si>
  <si>
    <t xml:space="preserve">  Kije..........................................................................................................................................................................................................................................................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</si>
  <si>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260803 2</t>
  </si>
  <si>
    <t xml:space="preserve">  Michałów..........................................................................................................................................................................................................................................................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</si>
  <si>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260805 2</t>
  </si>
  <si>
    <t xml:space="preserve">  Złota..........................................................................................................................................................................................................................................................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</si>
  <si>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260801 3</t>
  </si>
  <si>
    <t xml:space="preserve">  Działoszyce..........................................................................................................................................................................................................................................................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</si>
  <si>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260801 4</t>
  </si>
  <si>
    <t>260801 5</t>
  </si>
  <si>
    <t>260804 3</t>
  </si>
  <si>
    <t xml:space="preserve">  Pińczów..........................................................................................................................................................................................................................................................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</si>
  <si>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260804 4</t>
  </si>
  <si>
    <t>260804 5</t>
  </si>
  <si>
    <t>Powiat sandomierski  (9 gmin)</t>
  </si>
  <si>
    <t>260901 1</t>
  </si>
  <si>
    <t xml:space="preserve">  Sandomierz..........................................................................................................................................................................................................................................................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</si>
  <si>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260902 2</t>
  </si>
  <si>
    <t xml:space="preserve">  Dwikozy..........................................................................................................................................................................................................................................................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</si>
  <si>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260905 2</t>
  </si>
  <si>
    <t xml:space="preserve">  Łoniów..........................................................................................................................................................................................................................................................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</si>
  <si>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260906 2</t>
  </si>
  <si>
    <t xml:space="preserve">  Obrazów..........................................................................................................................................................................................................................................................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</si>
  <si>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260907 2</t>
  </si>
  <si>
    <t xml:space="preserve">  Samborzec..........................................................................................................................................................................................................................................................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</si>
  <si>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260908 2</t>
  </si>
  <si>
    <t xml:space="preserve">  Wilczyce..........................................................................................................................................................................................................................................................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</si>
  <si>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260903 3</t>
  </si>
  <si>
    <t xml:space="preserve">  Klimontów..........................................................................................................................................................................................................................................................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</si>
  <si>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260903 4</t>
  </si>
  <si>
    <t>260903 5</t>
  </si>
  <si>
    <t>260904 3</t>
  </si>
  <si>
    <t xml:space="preserve">  Koprzywnica..........................................................................................................................................................................................................................................................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</si>
  <si>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260904 4</t>
  </si>
  <si>
    <t>260904 5</t>
  </si>
  <si>
    <t>260909 3</t>
  </si>
  <si>
    <t xml:space="preserve">  Zawichost..........................................................................................................................................................................................................................................................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</si>
  <si>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260909 4</t>
  </si>
  <si>
    <t>260909 5</t>
  </si>
  <si>
    <t>Powiat skarżyski  (5 gmin)</t>
  </si>
  <si>
    <t>261001 1</t>
  </si>
  <si>
    <t xml:space="preserve">  Skarżysko-Kamienna..........................................................................................................................................................................................................................................................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</si>
  <si>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261002 2</t>
  </si>
  <si>
    <t xml:space="preserve">  Bliżyn..........................................................................................................................................................................................................................................................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</si>
  <si>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261003 2</t>
  </si>
  <si>
    <t xml:space="preserve">  Łączna..........................................................................................................................................................................................................................................................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</si>
  <si>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261004 2</t>
  </si>
  <si>
    <t xml:space="preserve">  Skarżysko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</si>
  <si>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261005 3</t>
  </si>
  <si>
    <t xml:space="preserve">  Suchedniów..........................................................................................................................................................................................................................................................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</si>
  <si>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261005 4</t>
  </si>
  <si>
    <t>261005 5</t>
  </si>
  <si>
    <t>Powiat starachowicki  (5 gmin)</t>
  </si>
  <si>
    <t>261101 1</t>
  </si>
  <si>
    <t xml:space="preserve">  Starachowice..........................................................................................................................................................................................................................................................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</si>
  <si>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261102 2</t>
  </si>
  <si>
    <t>261103 2</t>
  </si>
  <si>
    <t xml:space="preserve">  Mirzec..........................................................................................................................................................................................................................................................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</si>
  <si>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261104 2</t>
  </si>
  <si>
    <t xml:space="preserve">  Pawłów..........................................................................................................................................................................................................................................................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</si>
  <si>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261105 3</t>
  </si>
  <si>
    <t xml:space="preserve">  Wąchock..........................................................................................................................................................................................................................................................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</si>
  <si>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261105 4</t>
  </si>
  <si>
    <t>261105 5</t>
  </si>
  <si>
    <t>Powiat staszowski  (8 gmin)</t>
  </si>
  <si>
    <t>261201 2</t>
  </si>
  <si>
    <t xml:space="preserve">  Bogoria..........................................................................................................................................................................................................................................................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</si>
  <si>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261202 2</t>
  </si>
  <si>
    <t>261206 2</t>
  </si>
  <si>
    <t xml:space="preserve">  Rytwiany..........................................................................................................................................................................................................................................................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</si>
  <si>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261203 3</t>
  </si>
  <si>
    <t>261203 4</t>
  </si>
  <si>
    <t>261203 5</t>
  </si>
  <si>
    <t>261204 3</t>
  </si>
  <si>
    <t>261204 4</t>
  </si>
  <si>
    <t>261204 5</t>
  </si>
  <si>
    <t>261205 3</t>
  </si>
  <si>
    <t xml:space="preserve">  Połaniec..........................................................................................................................................................................................................................................................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</si>
  <si>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261205 4</t>
  </si>
  <si>
    <t>261205 5</t>
  </si>
  <si>
    <t>261207 3</t>
  </si>
  <si>
    <t xml:space="preserve">  Staszów..........................................................................................................................................................................................................................................................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</si>
  <si>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261207 4</t>
  </si>
  <si>
    <t>261207 5</t>
  </si>
  <si>
    <t>261208 3</t>
  </si>
  <si>
    <t xml:space="preserve">  Szydłów..........................................................................................................................................................................................................................................................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</si>
  <si>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261208 4</t>
  </si>
  <si>
    <t>261208 5</t>
  </si>
  <si>
    <t>Powiat włoszczowski  (6 gmin)</t>
  </si>
  <si>
    <t>261301 2</t>
  </si>
  <si>
    <t xml:space="preserve">  Kluczewsko..........................................................................................................................................................................................................................................................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</si>
  <si>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261302 2</t>
  </si>
  <si>
    <t xml:space="preserve">  Krasocin..........................................................................................................................................................................................................................................................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</si>
  <si>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261303 2</t>
  </si>
  <si>
    <t xml:space="preserve">  Moskorzew..........................................................................................................................................................................................................................................................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</si>
  <si>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261304 2</t>
  </si>
  <si>
    <t>261305 2</t>
  </si>
  <si>
    <t xml:space="preserve">  Secemin..........................................................................................................................................................................................................................................................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</si>
  <si>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261306 3</t>
  </si>
  <si>
    <t xml:space="preserve">  Włoszczowa..........................................................................................................................................................................................................................................................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</si>
  <si>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261306 4</t>
  </si>
  <si>
    <t>261306 5</t>
  </si>
  <si>
    <t>266101 1</t>
  </si>
  <si>
    <t xml:space="preserve">  Kielce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</si>
  <si>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bartoszycki  (6 gmin)</t>
  </si>
  <si>
    <t>280101 1</t>
  </si>
  <si>
    <t xml:space="preserve">  Bartoszyce..........................................................................................................................................................................................................................................................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</si>
  <si>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280102 1</t>
  </si>
  <si>
    <t xml:space="preserve">  Górowo Iławeckie..........................................................................................................................................................................................................................................................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</si>
  <si>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280103 2</t>
  </si>
  <si>
    <t xml:space="preserve">  Bartoszyce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</si>
  <si>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280105 2</t>
  </si>
  <si>
    <t>280104 3</t>
  </si>
  <si>
    <t xml:space="preserve">  Bisztynek..........................................................................................................................................................................................................................................................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</si>
  <si>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280104 4</t>
  </si>
  <si>
    <t>280104 5</t>
  </si>
  <si>
    <t>280106 3</t>
  </si>
  <si>
    <t xml:space="preserve">  Sępopol..........................................................................................................................................................................................................................................................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</si>
  <si>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280106 4</t>
  </si>
  <si>
    <t>280106 5</t>
  </si>
  <si>
    <t>Powiat braniewski  (7 gmin)</t>
  </si>
  <si>
    <t>280201 1</t>
  </si>
  <si>
    <t xml:space="preserve">  Braniewo..........................................................................................................................................................................................................................................................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</si>
  <si>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280202 2</t>
  </si>
  <si>
    <t xml:space="preserve">  Braniewo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</si>
  <si>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280204 2</t>
  </si>
  <si>
    <t xml:space="preserve">  Lelkowo..........................................................................................................................................................................................................................................................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</si>
  <si>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280206 2</t>
  </si>
  <si>
    <t xml:space="preserve">  Płoskinia..........................................................................................................................................................................................................................................................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</si>
  <si>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280207 2</t>
  </si>
  <si>
    <t xml:space="preserve">  Wilczęta..........................................................................................................................................................................................................................................................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</si>
  <si>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280203 3</t>
  </si>
  <si>
    <t xml:space="preserve">  Frombork..........................................................................................................................................................................................................................................................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</si>
  <si>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280203 4</t>
  </si>
  <si>
    <t>280203 5</t>
  </si>
  <si>
    <t>280205 3</t>
  </si>
  <si>
    <t xml:space="preserve">  Pieniężno..........................................................................................................................................................................................................................................................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</si>
  <si>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280205 4</t>
  </si>
  <si>
    <t>280205 5</t>
  </si>
  <si>
    <t>Powiat działdowski  (6 gmin)</t>
  </si>
  <si>
    <t>280301 1</t>
  </si>
  <si>
    <t xml:space="preserve">  Działdowo..........................................................................................................................................................................................................................................................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</si>
  <si>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280302 2</t>
  </si>
  <si>
    <t>280303 2</t>
  </si>
  <si>
    <t xml:space="preserve">  Iłowo-Osada..........................................................................................................................................................................................................................................................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</si>
  <si>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280305 2</t>
  </si>
  <si>
    <t xml:space="preserve">  Płośnica..........................................................................................................................................................................................................................................................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</si>
  <si>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280306 2</t>
  </si>
  <si>
    <t>280304 3</t>
  </si>
  <si>
    <t xml:space="preserve">  Lidzbark..........................................................................................................................................................................................................................................................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</si>
  <si>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280304 4</t>
  </si>
  <si>
    <t>280304 5</t>
  </si>
  <si>
    <t>Powiat elbląski  (9 gmin)</t>
  </si>
  <si>
    <t>280401 2</t>
  </si>
  <si>
    <t xml:space="preserve">  Elbląg..........................................................................................................................................................................................................................................................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</si>
  <si>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280402 2</t>
  </si>
  <si>
    <t xml:space="preserve">  Godkowo..........................................................................................................................................................................................................................................................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</si>
  <si>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280403 2</t>
  </si>
  <si>
    <t xml:space="preserve">  Gronowo Elbląskie..........................................................................................................................................................................................................................................................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</si>
  <si>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280404 2</t>
  </si>
  <si>
    <t xml:space="preserve">  Markusy..........................................................................................................................................................................................................................................................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</si>
  <si>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280405 2</t>
  </si>
  <si>
    <t xml:space="preserve">  Milejewo..........................................................................................................................................................................................................................................................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</si>
  <si>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280408 2</t>
  </si>
  <si>
    <t xml:space="preserve">  Rychliki..........................................................................................................................................................................................................................................................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</si>
  <si>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280406 3</t>
  </si>
  <si>
    <t xml:space="preserve">  Młynary..........................................................................................................................................................................................................................................................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</si>
  <si>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280406 4</t>
  </si>
  <si>
    <t>280406 5</t>
  </si>
  <si>
    <t>280407 3</t>
  </si>
  <si>
    <t xml:space="preserve">  Pasłęk..........................................................................................................................................................................................................................................................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</si>
  <si>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280407 4</t>
  </si>
  <si>
    <t>280407 5</t>
  </si>
  <si>
    <t>280409 3</t>
  </si>
  <si>
    <t xml:space="preserve">  Tolkmicko..........................................................................................................................................................................................................................................................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</si>
  <si>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280409 4</t>
  </si>
  <si>
    <t>280409 5</t>
  </si>
  <si>
    <t>Powiat ełcki  (5 gmin)</t>
  </si>
  <si>
    <t>280501 1</t>
  </si>
  <si>
    <t xml:space="preserve">  Ełk..........................................................................................................................................................................................................................................................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</si>
  <si>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280502 2</t>
  </si>
  <si>
    <t>280503 2</t>
  </si>
  <si>
    <t xml:space="preserve">  Kalinowo..........................................................................................................................................................................................................................................................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</si>
  <si>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280504 2</t>
  </si>
  <si>
    <t xml:space="preserve">  Prostki..........................................................................................................................................................................................................................................................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</si>
  <si>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280505 2</t>
  </si>
  <si>
    <t xml:space="preserve">  Stare Juchy..........................................................................................................................................................................................................................................................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</si>
  <si>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giżycki  (6 gmin)</t>
  </si>
  <si>
    <t>280601 1</t>
  </si>
  <si>
    <t xml:space="preserve">  Giżycko..........................................................................................................................................................................................................................................................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</si>
  <si>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280604 2</t>
  </si>
  <si>
    <t>280605 2</t>
  </si>
  <si>
    <t xml:space="preserve">  Kruklanki..........................................................................................................................................................................................................................................................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</si>
  <si>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280606 2</t>
  </si>
  <si>
    <t xml:space="preserve">  Miłki..........................................................................................................................................................................................................................................................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</si>
  <si>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280610 2</t>
  </si>
  <si>
    <t xml:space="preserve">  Wydminy..........................................................................................................................................................................................................................................................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</si>
  <si>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280608 3</t>
  </si>
  <si>
    <t xml:space="preserve">  Ryn..........................................................................................................................................................................................................................................................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</si>
  <si>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280608 4</t>
  </si>
  <si>
    <t>280608 5</t>
  </si>
  <si>
    <t>Powiat gołdapski  (3 gminy)</t>
  </si>
  <si>
    <t>281801 2</t>
  </si>
  <si>
    <t xml:space="preserve">  Banie Mazurskie..........................................................................................................................................................................................................................................................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</si>
  <si>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281802 2</t>
  </si>
  <si>
    <t xml:space="preserve">  Dubeninki..........................................................................................................................................................................................................................................................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</si>
  <si>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281803 3</t>
  </si>
  <si>
    <t xml:space="preserve">  Gołdap..........................................................................................................................................................................................................................................................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</si>
  <si>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281803 4</t>
  </si>
  <si>
    <t xml:space="preserve">     miasto   town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</si>
  <si>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281803 5</t>
  </si>
  <si>
    <t>Powiat iławski  (7 gmin)</t>
  </si>
  <si>
    <t>280701 1</t>
  </si>
  <si>
    <t xml:space="preserve">  Iława..........................................................................................................................................................................................................................................................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</si>
  <si>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280702 1</t>
  </si>
  <si>
    <t xml:space="preserve">  Lubawa..........................................................................................................................................................................................................................................................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</si>
  <si>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280703 2</t>
  </si>
  <si>
    <t>280705 2</t>
  </si>
  <si>
    <t>280704 3</t>
  </si>
  <si>
    <t xml:space="preserve">  Kisielice..........................................................................................................................................................................................................................................................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</si>
  <si>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280704 4</t>
  </si>
  <si>
    <t>280704 5</t>
  </si>
  <si>
    <t>280706 3</t>
  </si>
  <si>
    <t xml:space="preserve">  Susz..........................................................................................................................................................................................................................................................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</si>
  <si>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280706 4</t>
  </si>
  <si>
    <t>280706 5</t>
  </si>
  <si>
    <t>280707 3</t>
  </si>
  <si>
    <t xml:space="preserve">  Zalewo..........................................................................................................................................................................................................................................................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</si>
  <si>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280707 4</t>
  </si>
  <si>
    <t>280707 5</t>
  </si>
  <si>
    <t>Powiat kętrzyński  (6 gmin)</t>
  </si>
  <si>
    <t>280801 1</t>
  </si>
  <si>
    <t xml:space="preserve">  Kętrzyn..........................................................................................................................................................................................................................................................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</si>
  <si>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280802 2</t>
  </si>
  <si>
    <t xml:space="preserve">  Barciany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</si>
  <si>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280803 2</t>
  </si>
  <si>
    <t>280806 2</t>
  </si>
  <si>
    <t xml:space="preserve">  Srokowo..........................................................................................................................................................................................................................................................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</si>
  <si>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280804 3</t>
  </si>
  <si>
    <t xml:space="preserve">  Korsze..........................................................................................................................................................................................................................................................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</si>
  <si>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280804 4</t>
  </si>
  <si>
    <t>280804 5</t>
  </si>
  <si>
    <t>280805 3</t>
  </si>
  <si>
    <t xml:space="preserve">  Reszel..........................................................................................................................................................................................................................................................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</si>
  <si>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280805 4</t>
  </si>
  <si>
    <t>280805 5</t>
  </si>
  <si>
    <t>Powiat lidzbarski  (5 gmin)</t>
  </si>
  <si>
    <t>280901 1</t>
  </si>
  <si>
    <t xml:space="preserve">  Lidzbark Warmiński..........................................................................................................................................................................................................................................................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</si>
  <si>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280902 2</t>
  </si>
  <si>
    <t xml:space="preserve">  Kiwity..........................................................................................................................................................................................................................................................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</si>
  <si>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280903 2</t>
  </si>
  <si>
    <t>280904 2</t>
  </si>
  <si>
    <t xml:space="preserve">  Lubomino..........................................................................................................................................................................................................................................................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</si>
  <si>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280905 3</t>
  </si>
  <si>
    <t xml:space="preserve">  Orneta..........................................................................................................................................................................................................................................................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</si>
  <si>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280905 4</t>
  </si>
  <si>
    <t>280905 5</t>
  </si>
  <si>
    <t>Powiat mrągowski  (5 gmin)</t>
  </si>
  <si>
    <t>281001 1</t>
  </si>
  <si>
    <t xml:space="preserve">  Mrągowo..........................................................................................................................................................................................................................................................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</si>
  <si>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281003 2</t>
  </si>
  <si>
    <t>281004 2</t>
  </si>
  <si>
    <t xml:space="preserve">  Piecki..........................................................................................................................................................................................................................................................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</si>
  <si>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281005 2</t>
  </si>
  <si>
    <t xml:space="preserve">  Sorkwity..........................................................................................................................................................................................................................................................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</si>
  <si>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281002 3</t>
  </si>
  <si>
    <t xml:space="preserve">  Mikołajki..........................................................................................................................................................................................................................................................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</si>
  <si>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281002 4</t>
  </si>
  <si>
    <t>281002 5</t>
  </si>
  <si>
    <t>Powiat nidzicki  (4 gminy)</t>
  </si>
  <si>
    <t>281101 2</t>
  </si>
  <si>
    <t xml:space="preserve">  Janowiec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</si>
  <si>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281102 2</t>
  </si>
  <si>
    <t xml:space="preserve">  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</si>
  <si>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281103 2</t>
  </si>
  <si>
    <t xml:space="preserve">  Kozłowo..........................................................................................................................................................................................................................................................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</si>
  <si>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281104 3</t>
  </si>
  <si>
    <t xml:space="preserve">  Nidzica..........................................................................................................................................................................................................................................................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</si>
  <si>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281104 4</t>
  </si>
  <si>
    <t>281104 5</t>
  </si>
  <si>
    <t>Powiat nowomiejski  (5 gmin)</t>
  </si>
  <si>
    <t>281201 1</t>
  </si>
  <si>
    <t xml:space="preserve">  Nowe Miasto Lubawskie..........................................................................................................................................................................................................................................................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</si>
  <si>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281202 2</t>
  </si>
  <si>
    <t xml:space="preserve">  Biskupiec..........................................................................................................................................................................................................................................................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</si>
  <si>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281203 2</t>
  </si>
  <si>
    <t xml:space="preserve">  Grodziczno..........................................................................................................................................................................................................................................................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</si>
  <si>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281204 2</t>
  </si>
  <si>
    <t xml:space="preserve">  Kurzętnik..........................................................................................................................................................................................................................................................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</si>
  <si>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281205 2</t>
  </si>
  <si>
    <t>Powiat olecki  (4 gminy)</t>
  </si>
  <si>
    <t>281303 2</t>
  </si>
  <si>
    <t xml:space="preserve">  Kowale Oleckie..........................................................................................................................................................................................................................................................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</si>
  <si>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281305 2</t>
  </si>
  <si>
    <t xml:space="preserve">  Świętajno..........................................................................................................................................................................................................................................................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</si>
  <si>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281306 2</t>
  </si>
  <si>
    <t xml:space="preserve">  Wieliczki..........................................................................................................................................................................................................................................................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</si>
  <si>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281304 3</t>
  </si>
  <si>
    <t xml:space="preserve">  Olecko..........................................................................................................................................................................................................................................................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</si>
  <si>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281304 4</t>
  </si>
  <si>
    <t>281304 5</t>
  </si>
  <si>
    <t>Powiat olsztyński  (12 gmin)</t>
  </si>
  <si>
    <t>281404 2</t>
  </si>
  <si>
    <t xml:space="preserve">  Dywity..........................................................................................................................................................................................................................................................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</si>
  <si>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281405 2</t>
  </si>
  <si>
    <t xml:space="preserve">  Gietrzwałd..........................................................................................................................................................................................................................................................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</si>
  <si>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281407 2</t>
  </si>
  <si>
    <t xml:space="preserve">  Jonkowo..........................................................................................................................................................................................................................................................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</si>
  <si>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281408 2</t>
  </si>
  <si>
    <t>281410 2</t>
  </si>
  <si>
    <t xml:space="preserve">  Purda..........................................................................................................................................................................................................................................................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</si>
  <si>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281411 2</t>
  </si>
  <si>
    <t xml:space="preserve">  Stawiguda..........................................................................................................................................................................................................................................................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</si>
  <si>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281412 2</t>
  </si>
  <si>
    <t xml:space="preserve">  Świątki..........................................................................................................................................................................................................................................................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</si>
  <si>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281401 3</t>
  </si>
  <si>
    <t xml:space="preserve">  Barczewo..........................................................................................................................................................................................................................................................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</si>
  <si>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281401 4</t>
  </si>
  <si>
    <t>281401 5</t>
  </si>
  <si>
    <t>281402 3</t>
  </si>
  <si>
    <t>281402 4</t>
  </si>
  <si>
    <t>281402 5</t>
  </si>
  <si>
    <t>281403 3</t>
  </si>
  <si>
    <t xml:space="preserve">  Dobre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</si>
  <si>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281403 4</t>
  </si>
  <si>
    <t>281403 5</t>
  </si>
  <si>
    <t>281406 3</t>
  </si>
  <si>
    <t xml:space="preserve">  Jeziorany..........................................................................................................................................................................................................................................................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</si>
  <si>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281406 4</t>
  </si>
  <si>
    <t>281406 5</t>
  </si>
  <si>
    <t>281409 3</t>
  </si>
  <si>
    <t xml:space="preserve">  Olsztynek..........................................................................................................................................................................................................................................................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</si>
  <si>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281409 4</t>
  </si>
  <si>
    <t>281409 5</t>
  </si>
  <si>
    <t>Powiat ostródzki  (9 gmin)</t>
  </si>
  <si>
    <t>281501 1</t>
  </si>
  <si>
    <t xml:space="preserve">  Ostróda..........................................................................................................................................................................................................................................................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</si>
  <si>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281502 2</t>
  </si>
  <si>
    <t xml:space="preserve">  Dąbrówno..........................................................................................................................................................................................................................................................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</si>
  <si>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281503 2</t>
  </si>
  <si>
    <t xml:space="preserve">  Grunwald..........................................................................................................................................................................................................................................................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</si>
  <si>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281504 2</t>
  </si>
  <si>
    <t xml:space="preserve">  Łukta..........................................................................................................................................................................................................................................................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</si>
  <si>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281505 2</t>
  </si>
  <si>
    <t xml:space="preserve">  Małdyty..........................................................................................................................................................................................................................................................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</si>
  <si>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281509 2</t>
  </si>
  <si>
    <t>281506 3</t>
  </si>
  <si>
    <t xml:space="preserve">  Miłakowo..........................................................................................................................................................................................................................................................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</si>
  <si>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281506 4</t>
  </si>
  <si>
    <t>281506 5</t>
  </si>
  <si>
    <t>281507 3</t>
  </si>
  <si>
    <t xml:space="preserve">  Miłomłyn..........................................................................................................................................................................................................................................................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</si>
  <si>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281507 4</t>
  </si>
  <si>
    <t>281507 5</t>
  </si>
  <si>
    <t>281508 3</t>
  </si>
  <si>
    <t xml:space="preserve">  Morąg..........................................................................................................................................................................................................................................................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</si>
  <si>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281508 4</t>
  </si>
  <si>
    <t>281508 5</t>
  </si>
  <si>
    <t>Powiat piski  (4 gminy)</t>
  </si>
  <si>
    <t>281601 3</t>
  </si>
  <si>
    <t xml:space="preserve">  Biała 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</si>
  <si>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281601 4</t>
  </si>
  <si>
    <t>281601 5</t>
  </si>
  <si>
    <t>281602 3</t>
  </si>
  <si>
    <t xml:space="preserve">  Orzysz..........................................................................................................................................................................................................................................................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</si>
  <si>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281602 4</t>
  </si>
  <si>
    <t>281602 5</t>
  </si>
  <si>
    <t>281603 3</t>
  </si>
  <si>
    <t xml:space="preserve">  Pisz..........................................................................................................................................................................................................................................................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</si>
  <si>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281603 4</t>
  </si>
  <si>
    <t>281603 5</t>
  </si>
  <si>
    <t>281604 3</t>
  </si>
  <si>
    <t xml:space="preserve">  Ruciane-Nida..........................................................................................................................................................................................................................................................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</si>
  <si>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281604 4</t>
  </si>
  <si>
    <t>281604 5</t>
  </si>
  <si>
    <t>Powiat szczycieński  (8 gmin)</t>
  </si>
  <si>
    <t>281701 1</t>
  </si>
  <si>
    <t xml:space="preserve">  Szczytno..........................................................................................................................................................................................................................................................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</si>
  <si>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281702 2</t>
  </si>
  <si>
    <t xml:space="preserve">  Dźwierzuty..........................................................................................................................................................................................................................................................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</si>
  <si>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281703 2</t>
  </si>
  <si>
    <t xml:space="preserve">  Jedwabno..........................................................................................................................................................................................................................................................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</si>
  <si>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281705 2</t>
  </si>
  <si>
    <t xml:space="preserve">  Rozogi..........................................................................................................................................................................................................................................................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</si>
  <si>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281706 2</t>
  </si>
  <si>
    <t xml:space="preserve">  Szczytno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</si>
  <si>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281707 2</t>
  </si>
  <si>
    <t>281704 3</t>
  </si>
  <si>
    <t xml:space="preserve">  Pasym..........................................................................................................................................................................................................................................................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</si>
  <si>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281704 4</t>
  </si>
  <si>
    <t>281704 5</t>
  </si>
  <si>
    <t>281708 3</t>
  </si>
  <si>
    <t xml:space="preserve">  Wielbark..........................................................................................................................................................................................................................................................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</si>
  <si>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281708 4</t>
  </si>
  <si>
    <t>281708 5</t>
  </si>
  <si>
    <t>Powiat węgorzewski  (3 gminy)</t>
  </si>
  <si>
    <t>281901 2</t>
  </si>
  <si>
    <t xml:space="preserve">  Budry..........................................................................................................................................................................................................................................................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</si>
  <si>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281902 2</t>
  </si>
  <si>
    <t xml:space="preserve">  Pozezdrze..........................................................................................................................................................................................................................................................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</si>
  <si>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281903 3</t>
  </si>
  <si>
    <t xml:space="preserve">  Węgorzewo..........................................................................................................................................................................................................................................................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</si>
  <si>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281903 4</t>
  </si>
  <si>
    <t>281903 5</t>
  </si>
  <si>
    <r>
      <t xml:space="preserve">Miasta na prawach powiatu (2) </t>
    </r>
    <r>
      <rPr>
        <b/>
        <sz val="8"/>
        <color rgb="FF808080"/>
        <rFont val="Arial"/>
        <family val="2"/>
        <charset val="238"/>
      </rPr>
      <t xml:space="preserve">  Cities with powiat status (2)</t>
    </r>
  </si>
  <si>
    <t>286101 1</t>
  </si>
  <si>
    <t xml:space="preserve">  Elbląg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</si>
  <si>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286201 1</t>
  </si>
  <si>
    <t>Powiat chodzieski  (5 gmin)</t>
  </si>
  <si>
    <t>300101 1</t>
  </si>
  <si>
    <t xml:space="preserve">  Chodzież..........................................................................................................................................................................................................................................................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</si>
  <si>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300102 2</t>
  </si>
  <si>
    <t xml:space="preserve">  Budzyń..........................................................................................................................................................................................................................................................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</si>
  <si>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300103 2</t>
  </si>
  <si>
    <t>300104 3</t>
  </si>
  <si>
    <t xml:space="preserve">  Margonin..........................................................................................................................................................................................................................................................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</si>
  <si>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300104 4</t>
  </si>
  <si>
    <t>300104 5</t>
  </si>
  <si>
    <t>300105 3</t>
  </si>
  <si>
    <t xml:space="preserve">  Szamocin..........................................................................................................................................................................................................................................................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</si>
  <si>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300105 4</t>
  </si>
  <si>
    <t>300105 5</t>
  </si>
  <si>
    <t>Powiat czarnkowsko-trzcianecki  (8 gmin)</t>
  </si>
  <si>
    <t>300201 1</t>
  </si>
  <si>
    <t xml:space="preserve">  Czarnków..........................................................................................................................................................................................................................................................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</si>
  <si>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300202 2</t>
  </si>
  <si>
    <t>300203 2</t>
  </si>
  <si>
    <t xml:space="preserve">  Drawsko..........................................................................................................................................................................................................................................................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</si>
  <si>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300205 2</t>
  </si>
  <si>
    <t xml:space="preserve">  Lubasz..........................................................................................................................................................................................................................................................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</si>
  <si>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300206 2</t>
  </si>
  <si>
    <t xml:space="preserve">  Połajewo..........................................................................................................................................................................................................................................................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</si>
  <si>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300204 3</t>
  </si>
  <si>
    <t xml:space="preserve">  Krzyż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</si>
  <si>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300204 4</t>
  </si>
  <si>
    <t>300204 5</t>
  </si>
  <si>
    <t>300207 3</t>
  </si>
  <si>
    <t xml:space="preserve">  Trzcianka..........................................................................................................................................................................................................................................................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</si>
  <si>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300207 4</t>
  </si>
  <si>
    <t>300207 5</t>
  </si>
  <si>
    <t>300208 3</t>
  </si>
  <si>
    <t xml:space="preserve">  Wieleń..........................................................................................................................................................................................................................................................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</si>
  <si>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300208 4</t>
  </si>
  <si>
    <t>300208 5</t>
  </si>
  <si>
    <t>Powiat gnieźnieński  (10 gmin)</t>
  </si>
  <si>
    <t>300301 1</t>
  </si>
  <si>
    <t xml:space="preserve">  Gniezno..........................................................................................................................................................................................................................................................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</si>
  <si>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300303 2</t>
  </si>
  <si>
    <t>300304 2</t>
  </si>
  <si>
    <t xml:space="preserve">  Kiszkowo..........................................................................................................................................................................................................................................................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</si>
  <si>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300306 2</t>
  </si>
  <si>
    <t xml:space="preserve">  Łubowo..........................................................................................................................................................................................................................................................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</si>
  <si>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300307 2</t>
  </si>
  <si>
    <t xml:space="preserve">  Mieleszyn..........................................................................................................................................................................................................................................................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</si>
  <si>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300308 2</t>
  </si>
  <si>
    <t xml:space="preserve">  Niechanowo..........................................................................................................................................................................................................................................................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</si>
  <si>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300302 3</t>
  </si>
  <si>
    <t xml:space="preserve">  Czerniejewo..........................................................................................................................................................................................................................................................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</si>
  <si>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300302 4</t>
  </si>
  <si>
    <t>300302 5</t>
  </si>
  <si>
    <t>300305 3</t>
  </si>
  <si>
    <t xml:space="preserve">  Kłecko..........................................................................................................................................................................................................................................................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</si>
  <si>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300305 4</t>
  </si>
  <si>
    <t>300305 5</t>
  </si>
  <si>
    <t>300309 3</t>
  </si>
  <si>
    <t xml:space="preserve">  Trzemeszno..........................................................................................................................................................................................................................................................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</si>
  <si>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300309 4</t>
  </si>
  <si>
    <t>300309 5</t>
  </si>
  <si>
    <t>300310 3</t>
  </si>
  <si>
    <t xml:space="preserve">  Witkowo..........................................................................................................................................................................................................................................................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</si>
  <si>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300310 4</t>
  </si>
  <si>
    <t>300310 5</t>
  </si>
  <si>
    <t>Powiat gostyński  (7 gmin)</t>
  </si>
  <si>
    <t>300404 2</t>
  </si>
  <si>
    <t xml:space="preserve">  Pępowo..........................................................................................................................................................................................................................................................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</si>
  <si>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300405 2</t>
  </si>
  <si>
    <t>300401 3</t>
  </si>
  <si>
    <t xml:space="preserve">  Borek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</si>
  <si>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300401 4</t>
  </si>
  <si>
    <t>300401 5</t>
  </si>
  <si>
    <t>300402 3</t>
  </si>
  <si>
    <t xml:space="preserve">  Gostyń..........................................................................................................................................................................................................................................................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</si>
  <si>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300402 4</t>
  </si>
  <si>
    <t>300402 5</t>
  </si>
  <si>
    <t>300403 3</t>
  </si>
  <si>
    <t xml:space="preserve">  Krobia..........................................................................................................................................................................................................................................................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</si>
  <si>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300403 4</t>
  </si>
  <si>
    <t>300403 5</t>
  </si>
  <si>
    <t>300406 3</t>
  </si>
  <si>
    <t xml:space="preserve">  Pogorzela..........................................................................................................................................................................................................................................................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</si>
  <si>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300406 4</t>
  </si>
  <si>
    <t>300406 5</t>
  </si>
  <si>
    <t>300407 3</t>
  </si>
  <si>
    <t xml:space="preserve">  Poniec..........................................................................................................................................................................................................................................................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</si>
  <si>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300407 4</t>
  </si>
  <si>
    <t>300407 5</t>
  </si>
  <si>
    <t>Powiat grodziski  (5 gmin)</t>
  </si>
  <si>
    <t>300501 2</t>
  </si>
  <si>
    <t xml:space="preserve">  Granowo..........................................................................................................................................................................................................................................................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</si>
  <si>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300503 2</t>
  </si>
  <si>
    <t xml:space="preserve">  Kamieniec..........................................................................................................................................................................................................................................................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</si>
  <si>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300502 3</t>
  </si>
  <si>
    <t xml:space="preserve">  Grodzisk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</si>
  <si>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300502 4</t>
  </si>
  <si>
    <t>300502 5</t>
  </si>
  <si>
    <t>300504 3</t>
  </si>
  <si>
    <t xml:space="preserve">  Rakoniewice..........................................................................................................................................................................................................................................................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</si>
  <si>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300504 4</t>
  </si>
  <si>
    <t>300504 5</t>
  </si>
  <si>
    <t>300505 3</t>
  </si>
  <si>
    <t xml:space="preserve">  Wielichowo..........................................................................................................................................................................................................................................................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</si>
  <si>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300505 4</t>
  </si>
  <si>
    <t>300505 5</t>
  </si>
  <si>
    <t>Powiat jarociński  (4 gminy)</t>
  </si>
  <si>
    <t>300603 2</t>
  </si>
  <si>
    <t xml:space="preserve">  Kotlin..........................................................................................................................................................................................................................................................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</si>
  <si>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300601 3</t>
  </si>
  <si>
    <t xml:space="preserve">  Jaraczewo..........................................................................................................................................................................................................................................................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</si>
  <si>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300601 4</t>
  </si>
  <si>
    <t>300601 5</t>
  </si>
  <si>
    <t>300602 3</t>
  </si>
  <si>
    <t>300602 4</t>
  </si>
  <si>
    <t>300602 5</t>
  </si>
  <si>
    <t>300604 3</t>
  </si>
  <si>
    <t xml:space="preserve">  Żerków..........................................................................................................................................................................................................................................................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</si>
  <si>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300604 4</t>
  </si>
  <si>
    <t>300604 5</t>
  </si>
  <si>
    <t>Powiat kaliski  (11 gmin)</t>
  </si>
  <si>
    <t>300701 2</t>
  </si>
  <si>
    <t xml:space="preserve">  Blizanów..........................................................................................................................................................................................................................................................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</si>
  <si>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300702 2</t>
  </si>
  <si>
    <t>300703 2</t>
  </si>
  <si>
    <t xml:space="preserve">  Ceków-Kolonia..........................................................................................................................................................................................................................................................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</si>
  <si>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300704 2</t>
  </si>
  <si>
    <t xml:space="preserve">  Godziesze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</si>
  <si>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300705 2</t>
  </si>
  <si>
    <t xml:space="preserve">  Koźminek..........................................................................................................................................................................................................................................................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</si>
  <si>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300706 2</t>
  </si>
  <si>
    <t xml:space="preserve">  Lisków..........................................................................................................................................................................................................................................................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</si>
  <si>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300707 2</t>
  </si>
  <si>
    <t xml:space="preserve">  Mycielin..........................................................................................................................................................................................................................................................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</si>
  <si>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300710 2</t>
  </si>
  <si>
    <t xml:space="preserve">  Szczytniki..........................................................................................................................................................................................................................................................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</si>
  <si>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300711 2</t>
  </si>
  <si>
    <t xml:space="preserve">  Żelazków..........................................................................................................................................................................................................................................................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</si>
  <si>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300708 3</t>
  </si>
  <si>
    <t xml:space="preserve">  Opatówek..........................................................................................................................................................................................................................................................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</si>
  <si>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300708 4</t>
  </si>
  <si>
    <t>300708 5</t>
  </si>
  <si>
    <t>300709 3</t>
  </si>
  <si>
    <t xml:space="preserve">  Stawiszyn..........................................................................................................................................................................................................................................................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</si>
  <si>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300709 4</t>
  </si>
  <si>
    <t>300709 5</t>
  </si>
  <si>
    <t>Powiat kępiński  (7 gmin)</t>
  </si>
  <si>
    <t>300801 2</t>
  </si>
  <si>
    <t>300802 2</t>
  </si>
  <si>
    <t xml:space="preserve">  Bralin..........................................................................................................................................................................................................................................................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</si>
  <si>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300804 2</t>
  </si>
  <si>
    <t xml:space="preserve">  Łęka Opatowska..........................................................................................................................................................................................................................................................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</si>
  <si>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300805 2</t>
  </si>
  <si>
    <t xml:space="preserve">  Perzów..........................................................................................................................................................................................................................................................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</si>
  <si>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300806 2</t>
  </si>
  <si>
    <t xml:space="preserve">  Rychtal..........................................................................................................................................................................................................................................................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</si>
  <si>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300807 2</t>
  </si>
  <si>
    <t xml:space="preserve">  Trzcinica..........................................................................................................................................................................................................................................................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</si>
  <si>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300803 3</t>
  </si>
  <si>
    <t xml:space="preserve">  Kępno..........................................................................................................................................................................................................................................................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</si>
  <si>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300803 4</t>
  </si>
  <si>
    <t>300803 5</t>
  </si>
  <si>
    <t>Powiat kolski  (11 gmin)</t>
  </si>
  <si>
    <t>300901 1</t>
  </si>
  <si>
    <t xml:space="preserve">  Koło..........................................................................................................................................................................................................................................................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</si>
  <si>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300902 2</t>
  </si>
  <si>
    <t xml:space="preserve">  Babiak..........................................................................................................................................................................................................................................................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</si>
  <si>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300903 2</t>
  </si>
  <si>
    <t xml:space="preserve">  Chodów..........................................................................................................................................................................................................................................................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</si>
  <si>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300905 2</t>
  </si>
  <si>
    <t xml:space="preserve">  Grzegorzew..........................................................................................................................................................................................................................................................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</si>
  <si>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300907 2</t>
  </si>
  <si>
    <t>300908 2</t>
  </si>
  <si>
    <t xml:space="preserve">  Kościelec..........................................................................................................................................................................................................................................................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</si>
  <si>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300909 2</t>
  </si>
  <si>
    <t xml:space="preserve">  Olszówka..........................................................................................................................................................................................................................................................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</si>
  <si>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300910 2</t>
  </si>
  <si>
    <t xml:space="preserve">  Osiek Mały..........................................................................................................................................................................................................................................................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</si>
  <si>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300904 3</t>
  </si>
  <si>
    <t>300904 4</t>
  </si>
  <si>
    <t>300904 5</t>
  </si>
  <si>
    <t>300906 3</t>
  </si>
  <si>
    <t>300906 4</t>
  </si>
  <si>
    <t>300906 5</t>
  </si>
  <si>
    <t>300911 3</t>
  </si>
  <si>
    <t xml:space="preserve">  Przedecz..........................................................................................................................................................................................................................................................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</si>
  <si>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300911 4</t>
  </si>
  <si>
    <t>300911 5</t>
  </si>
  <si>
    <t>Powiat koniński  (14 gmin)</t>
  </si>
  <si>
    <t>301002 2</t>
  </si>
  <si>
    <t xml:space="preserve">  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</si>
  <si>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301003 2</t>
  </si>
  <si>
    <t xml:space="preserve">  Kazimierz Biskupi..........................................................................................................................................................................................................................................................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</si>
  <si>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301005 2</t>
  </si>
  <si>
    <t xml:space="preserve">  Kramsk..........................................................................................................................................................................................................................................................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</si>
  <si>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301006 2</t>
  </si>
  <si>
    <t xml:space="preserve">  Krzymów..........................................................................................................................................................................................................................................................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</si>
  <si>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301008 2</t>
  </si>
  <si>
    <t>301009 2</t>
  </si>
  <si>
    <t xml:space="preserve">  Skulsk..........................................................................................................................................................................................................................................................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</si>
  <si>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301011 2</t>
  </si>
  <si>
    <t xml:space="preserve">  Stare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</si>
  <si>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301013 2</t>
  </si>
  <si>
    <t xml:space="preserve">  Wierzbinek..........................................................................................................................................................................................................................................................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</si>
  <si>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301014 2</t>
  </si>
  <si>
    <t xml:space="preserve">  Wilczyn..........................................................................................................................................................................................................................................................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</si>
  <si>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301001 3</t>
  </si>
  <si>
    <t xml:space="preserve">  Golina..........................................................................................................................................................................................................................................................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</si>
  <si>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301001 4</t>
  </si>
  <si>
    <t>301001 5</t>
  </si>
  <si>
    <t>301004 3</t>
  </si>
  <si>
    <t xml:space="preserve">  Kleczew..........................................................................................................................................................................................................................................................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</si>
  <si>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301004 4</t>
  </si>
  <si>
    <t>301004 5</t>
  </si>
  <si>
    <t>301007 3</t>
  </si>
  <si>
    <t xml:space="preserve">  Rychwał..........................................................................................................................................................................................................................................................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</si>
  <si>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301007 4</t>
  </si>
  <si>
    <t>301007 5</t>
  </si>
  <si>
    <t>301010 3</t>
  </si>
  <si>
    <t xml:space="preserve">  Sompolno..........................................................................................................................................................................................................................................................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</si>
  <si>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301010 4</t>
  </si>
  <si>
    <t>301010 5</t>
  </si>
  <si>
    <t>301012 3</t>
  </si>
  <si>
    <t xml:space="preserve">  Ślesin..........................................................................................................................................................................................................................................................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</si>
  <si>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301012 4</t>
  </si>
  <si>
    <t>301012 5</t>
  </si>
  <si>
    <t>Powiat kościański  (5 gmin)</t>
  </si>
  <si>
    <t>301101 1</t>
  </si>
  <si>
    <t xml:space="preserve">  Kościan..........................................................................................................................................................................................................................................................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</si>
  <si>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301103 2</t>
  </si>
  <si>
    <t>301102 3</t>
  </si>
  <si>
    <t xml:space="preserve">  Czempiń..........................................................................................................................................................................................................................................................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</si>
  <si>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301102 4</t>
  </si>
  <si>
    <t>301102 5</t>
  </si>
  <si>
    <t>301104 3</t>
  </si>
  <si>
    <t xml:space="preserve">  Krzywiń..........................................................................................................................................................................................................................................................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</si>
  <si>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301104 4</t>
  </si>
  <si>
    <t>301104 5</t>
  </si>
  <si>
    <t>301105 3</t>
  </si>
  <si>
    <t xml:space="preserve">  Śmigiel..........................................................................................................................................................................................................................................................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</si>
  <si>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301105 4</t>
  </si>
  <si>
    <t>301105 5</t>
  </si>
  <si>
    <t>Powiat krotoszyński  (6 gmin)</t>
  </si>
  <si>
    <t>301201 1</t>
  </si>
  <si>
    <t>301205 2</t>
  </si>
  <si>
    <t xml:space="preserve">  Rozdrażew..........................................................................................................................................................................................................................................................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</si>
  <si>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301202 3</t>
  </si>
  <si>
    <t xml:space="preserve">  Kobylin..........................................................................................................................................................................................................................................................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</si>
  <si>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301202 4</t>
  </si>
  <si>
    <t>301202 5</t>
  </si>
  <si>
    <t>301203 3</t>
  </si>
  <si>
    <t xml:space="preserve">  Koźmin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</si>
  <si>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301203 4</t>
  </si>
  <si>
    <t>301203 5</t>
  </si>
  <si>
    <t>301204 3</t>
  </si>
  <si>
    <t xml:space="preserve">  Krotoszyn..........................................................................................................................................................................................................................................................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</si>
  <si>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301204 4</t>
  </si>
  <si>
    <t>301204 5</t>
  </si>
  <si>
    <t>301206 3</t>
  </si>
  <si>
    <t>301206 4</t>
  </si>
  <si>
    <t>301206 5</t>
  </si>
  <si>
    <t>Powiat leszczyński  (7 gmin)</t>
  </si>
  <si>
    <t>301301 2</t>
  </si>
  <si>
    <t xml:space="preserve">  Krzemieniewo..........................................................................................................................................................................................................................................................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</si>
  <si>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301302 2</t>
  </si>
  <si>
    <t>301305 2</t>
  </si>
  <si>
    <t xml:space="preserve">  Święciechowa..........................................................................................................................................................................................................................................................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</si>
  <si>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301306 2</t>
  </si>
  <si>
    <t xml:space="preserve">  Wijewo..........................................................................................................................................................................................................................................................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</si>
  <si>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301307 2</t>
  </si>
  <si>
    <t xml:space="preserve">  Włoszakowice..........................................................................................................................................................................................................................................................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</si>
  <si>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301303 3</t>
  </si>
  <si>
    <t>301303 4</t>
  </si>
  <si>
    <t>301303 5</t>
  </si>
  <si>
    <t>301304 3</t>
  </si>
  <si>
    <t xml:space="preserve">  Rydzyna..........................................................................................................................................................................................................................................................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</si>
  <si>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301304 4</t>
  </si>
  <si>
    <t>301304 5</t>
  </si>
  <si>
    <t>Powiat międzychodzki  (4 gminy)</t>
  </si>
  <si>
    <t>301401 2</t>
  </si>
  <si>
    <t xml:space="preserve">  Chrzypsko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</si>
  <si>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301402 2</t>
  </si>
  <si>
    <t xml:space="preserve">  Kwilcz..........................................................................................................................................................................................................................................................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</si>
  <si>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301403 3</t>
  </si>
  <si>
    <t xml:space="preserve">  Międzychód..........................................................................................................................................................................................................................................................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</si>
  <si>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301403 4</t>
  </si>
  <si>
    <t>301403 5</t>
  </si>
  <si>
    <t>301404 3</t>
  </si>
  <si>
    <t xml:space="preserve">  Sieraków..........................................................................................................................................................................................................................................................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</si>
  <si>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301404 4</t>
  </si>
  <si>
    <t>301404 5</t>
  </si>
  <si>
    <t>Powiat nowotomyski  (6 gmin)</t>
  </si>
  <si>
    <t>301501 2</t>
  </si>
  <si>
    <t xml:space="preserve">  Kuślin..........................................................................................................................................................................................................................................................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</si>
  <si>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301503 2</t>
  </si>
  <si>
    <t xml:space="preserve">  Miedzichowo..........................................................................................................................................................................................................................................................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</si>
  <si>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301502 3</t>
  </si>
  <si>
    <t xml:space="preserve">  Lwówek..........................................................................................................................................................................................................................................................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</si>
  <si>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301502 4</t>
  </si>
  <si>
    <t>301502 5</t>
  </si>
  <si>
    <t>301504 3</t>
  </si>
  <si>
    <t xml:space="preserve">  Nowy Tomyśl..........................................................................................................................................................................................................................................................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</si>
  <si>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301504 4</t>
  </si>
  <si>
    <t>301504 5</t>
  </si>
  <si>
    <t>301505 3</t>
  </si>
  <si>
    <t xml:space="preserve">  Opalenica..........................................................................................................................................................................................................................................................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</si>
  <si>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301505 4</t>
  </si>
  <si>
    <t>301505 5</t>
  </si>
  <si>
    <t>301506 3</t>
  </si>
  <si>
    <t xml:space="preserve">  Zbąszyń..........................................................................................................................................................................................................................................................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</si>
  <si>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301506 4</t>
  </si>
  <si>
    <t>301506 5</t>
  </si>
  <si>
    <t>Powiat obornicki  (3 gminy)</t>
  </si>
  <si>
    <t>301603 2</t>
  </si>
  <si>
    <t xml:space="preserve">  Ryczywół..........................................................................................................................................................................................................................................................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</si>
  <si>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301601 3</t>
  </si>
  <si>
    <t xml:space="preserve">  Oborniki..........................................................................................................................................................................................................................................................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</si>
  <si>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301601 4</t>
  </si>
  <si>
    <t>301601 5</t>
  </si>
  <si>
    <t>301602 3</t>
  </si>
  <si>
    <t xml:space="preserve">  Rogoźno..........................................................................................................................................................................................................................................................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</si>
  <si>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301602 4</t>
  </si>
  <si>
    <t>301602 5</t>
  </si>
  <si>
    <t>Powiat ostrowski  (8 gmin)</t>
  </si>
  <si>
    <t>301701 1</t>
  </si>
  <si>
    <t xml:space="preserve">  Ostrów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</si>
  <si>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301704 2</t>
  </si>
  <si>
    <t>301705 2</t>
  </si>
  <si>
    <t xml:space="preserve">  Przygodzice..........................................................................................................................................................................................................................................................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</si>
  <si>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301707 2</t>
  </si>
  <si>
    <t xml:space="preserve">  Sieroszewice..........................................................................................................................................................................................................................................................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</si>
  <si>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301708 2</t>
  </si>
  <si>
    <t xml:space="preserve">  Sośnie..........................................................................................................................................................................................................................................................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</si>
  <si>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301702 3</t>
  </si>
  <si>
    <t xml:space="preserve">  Nowe Skalmierzyce..........................................................................................................................................................................................................................................................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</si>
  <si>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301702 4</t>
  </si>
  <si>
    <t>301702 5</t>
  </si>
  <si>
    <t>301703 3</t>
  </si>
  <si>
    <t xml:space="preserve">  Odolanów..........................................................................................................................................................................................................................................................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</si>
  <si>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301703 4</t>
  </si>
  <si>
    <t>301703 5</t>
  </si>
  <si>
    <t>301706 3</t>
  </si>
  <si>
    <t xml:space="preserve">  Raszków..........................................................................................................................................................................................................................................................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</si>
  <si>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301706 4</t>
  </si>
  <si>
    <t>301706 5</t>
  </si>
  <si>
    <t>Powiat ostrzeszowski  (7 gmin)</t>
  </si>
  <si>
    <t>301801 2</t>
  </si>
  <si>
    <t xml:space="preserve">  Czajków..........................................................................................................................................................................................................................................................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</si>
  <si>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301802 2</t>
  </si>
  <si>
    <t xml:space="preserve">  Doruchów..........................................................................................................................................................................................................................................................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</si>
  <si>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301804 2</t>
  </si>
  <si>
    <t xml:space="preserve">  Kobyla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</si>
  <si>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301805 2</t>
  </si>
  <si>
    <t xml:space="preserve">  Kraszewice..........................................................................................................................................................................................................................................................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</si>
  <si>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301803 3</t>
  </si>
  <si>
    <t xml:space="preserve">  Grabów nad Prosną..........................................................................................................................................................................................................................................................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</si>
  <si>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301803 4</t>
  </si>
  <si>
    <t>301803 5</t>
  </si>
  <si>
    <t>301806 3</t>
  </si>
  <si>
    <t xml:space="preserve">  Mikstat..........................................................................................................................................................................................................................................................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</si>
  <si>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301806 4</t>
  </si>
  <si>
    <t>301806 5</t>
  </si>
  <si>
    <t>301807 3</t>
  </si>
  <si>
    <t xml:space="preserve">  Ostrzeszów..........................................................................................................................................................................................................................................................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</si>
  <si>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301807 4</t>
  </si>
  <si>
    <t>301807 5</t>
  </si>
  <si>
    <t>Powiat pilski  (9 gmin)</t>
  </si>
  <si>
    <t>301901 1</t>
  </si>
  <si>
    <t xml:space="preserve">  Piła..........................................................................................................................................................................................................................................................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</si>
  <si>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301902 2</t>
  </si>
  <si>
    <t xml:space="preserve">  Białośliwie..........................................................................................................................................................................................................................................................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</si>
  <si>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301903 2</t>
  </si>
  <si>
    <t xml:space="preserve">  Kaczory..........................................................................................................................................................................................................................................................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</si>
  <si>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301905 2</t>
  </si>
  <si>
    <t xml:space="preserve">  Miasteczko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</si>
  <si>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301906 2</t>
  </si>
  <si>
    <t>301904 3</t>
  </si>
  <si>
    <t xml:space="preserve">  Łobżenica..........................................................................................................................................................................................................................................................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</si>
  <si>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301904 4</t>
  </si>
  <si>
    <t>301904 5</t>
  </si>
  <si>
    <t>301907 3</t>
  </si>
  <si>
    <t xml:space="preserve">  Ujście..........................................................................................................................................................................................................................................................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</si>
  <si>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301907 4</t>
  </si>
  <si>
    <t>301907 5</t>
  </si>
  <si>
    <t>301908 3</t>
  </si>
  <si>
    <t xml:space="preserve">  Wyrzysk..........................................................................................................................................................................................................................................................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</si>
  <si>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301908 4</t>
  </si>
  <si>
    <t>301908 5</t>
  </si>
  <si>
    <t>301909 3</t>
  </si>
  <si>
    <t xml:space="preserve">  Wysoka..........................................................................................................................................................................................................................................................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</si>
  <si>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301909 4</t>
  </si>
  <si>
    <t>301909 5</t>
  </si>
  <si>
    <t>Powiat pleszewski  (6 gmin)</t>
  </si>
  <si>
    <t>302002 2</t>
  </si>
  <si>
    <t>302004 2</t>
  </si>
  <si>
    <t xml:space="preserve">  Gizałki..........................................................................................................................................................................................................................................................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</si>
  <si>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302005 2</t>
  </si>
  <si>
    <t xml:space="preserve">  Gołuchów..........................................................................................................................................................................................................................................................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</si>
  <si>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302001 3</t>
  </si>
  <si>
    <t xml:space="preserve">  Chocz..........................................................................................................................................................................................................................................................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</si>
  <si>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302001 4</t>
  </si>
  <si>
    <t>302001 5</t>
  </si>
  <si>
    <t>302003 3</t>
  </si>
  <si>
    <t xml:space="preserve">  Dobrzyca..........................................................................................................................................................................................................................................................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</si>
  <si>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302003 4</t>
  </si>
  <si>
    <t>302003 5</t>
  </si>
  <si>
    <t>302006 3</t>
  </si>
  <si>
    <t xml:space="preserve">  Pleszew..........................................................................................................................................................................................................................................................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</si>
  <si>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302006 4</t>
  </si>
  <si>
    <t>302006 5</t>
  </si>
  <si>
    <t>Powiat poznański  (17 gmin)</t>
  </si>
  <si>
    <t>302101 1</t>
  </si>
  <si>
    <t xml:space="preserve">  Luboń..........................................................................................................................................................................................................................................................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</si>
  <si>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302102 1</t>
  </si>
  <si>
    <t xml:space="preserve">  Puszczykowo..........................................................................................................................................................................................................................................................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</si>
  <si>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302104 2</t>
  </si>
  <si>
    <t xml:space="preserve">  Czerwonak..........................................................................................................................................................................................................................................................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</si>
  <si>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302105 2</t>
  </si>
  <si>
    <t xml:space="preserve">  Dopiewo..........................................................................................................................................................................................................................................................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</si>
  <si>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302106 2</t>
  </si>
  <si>
    <t xml:space="preserve">  Kleszczewo..........................................................................................................................................................................................................................................................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</si>
  <si>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302107 2</t>
  </si>
  <si>
    <t xml:space="preserve">  Komorniki..........................................................................................................................................................................................................................................................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</si>
  <si>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302113 2</t>
  </si>
  <si>
    <t>302115 2</t>
  </si>
  <si>
    <t xml:space="preserve">  Suchy 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</si>
  <si>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302117 2</t>
  </si>
  <si>
    <t xml:space="preserve">  Tarnowo Podgórne..........................................................................................................................................................................................................................................................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</si>
  <si>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302103 3</t>
  </si>
  <si>
    <t xml:space="preserve">  Buk..........................................................................................................................................................................................................................................................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</si>
  <si>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302103 4</t>
  </si>
  <si>
    <t>302103 5</t>
  </si>
  <si>
    <t>302108 3</t>
  </si>
  <si>
    <t xml:space="preserve">  Kostrzyn..........................................................................................................................................................................................................................................................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</si>
  <si>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302108 4</t>
  </si>
  <si>
    <t>302108 5</t>
  </si>
  <si>
    <t>302109 3</t>
  </si>
  <si>
    <t xml:space="preserve">  Kórnik..........................................................................................................................................................................................................................................................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</si>
  <si>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302109 4</t>
  </si>
  <si>
    <t>302109 5</t>
  </si>
  <si>
    <t>302110 3</t>
  </si>
  <si>
    <t xml:space="preserve">  Mosina..........................................................................................................................................................................................................................................................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</si>
  <si>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302110 4</t>
  </si>
  <si>
    <t>302110 5</t>
  </si>
  <si>
    <t>302111 3</t>
  </si>
  <si>
    <t xml:space="preserve">  Murowana Goślina..........................................................................................................................................................................................................................................................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</si>
  <si>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302111 4</t>
  </si>
  <si>
    <t>302111 5</t>
  </si>
  <si>
    <t>302112 3</t>
  </si>
  <si>
    <t xml:space="preserve">  Pobiedziska..........................................................................................................................................................................................................................................................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</si>
  <si>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302112 4</t>
  </si>
  <si>
    <t>302112 5</t>
  </si>
  <si>
    <t>302114 3</t>
  </si>
  <si>
    <t xml:space="preserve">  Stęszew..........................................................................................................................................................................................................................................................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</si>
  <si>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302114 4</t>
  </si>
  <si>
    <t>302114 5</t>
  </si>
  <si>
    <t>302116 3</t>
  </si>
  <si>
    <t xml:space="preserve">  Swarzędz..........................................................................................................................................................................................................................................................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</si>
  <si>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302116 4</t>
  </si>
  <si>
    <t>302116 5</t>
  </si>
  <si>
    <t>Powiat rawicki  (5 gmin)</t>
  </si>
  <si>
    <t>302204 2</t>
  </si>
  <si>
    <t xml:space="preserve">  Pakosław..........................................................................................................................................................................................................................................................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</si>
  <si>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302201 3</t>
  </si>
  <si>
    <t xml:space="preserve">  Bojanowo..........................................................................................................................................................................................................................................................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</si>
  <si>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302201 4</t>
  </si>
  <si>
    <t>302201 5</t>
  </si>
  <si>
    <t>302202 3</t>
  </si>
  <si>
    <t xml:space="preserve">  Jutrosin..........................................................................................................................................................................................................................................................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</si>
  <si>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302202 4</t>
  </si>
  <si>
    <t>302202 5</t>
  </si>
  <si>
    <t>302203 3</t>
  </si>
  <si>
    <t xml:space="preserve">  Miejska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</si>
  <si>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302203 4</t>
  </si>
  <si>
    <t>302203 5</t>
  </si>
  <si>
    <t>302205 3</t>
  </si>
  <si>
    <t xml:space="preserve">  Rawicz..........................................................................................................................................................................................................................................................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</si>
  <si>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302205 4</t>
  </si>
  <si>
    <t>302205 5</t>
  </si>
  <si>
    <t>Powiat słupecki  (8 gmin)</t>
  </si>
  <si>
    <t>302301 1</t>
  </si>
  <si>
    <t xml:space="preserve">  Słupca..........................................................................................................................................................................................................................................................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</si>
  <si>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302302 2</t>
  </si>
  <si>
    <t xml:space="preserve">  Lądek..........................................................................................................................................................................................................................................................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</si>
  <si>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302303 2</t>
  </si>
  <si>
    <t xml:space="preserve">  Orchowo..........................................................................................................................................................................................................................................................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</si>
  <si>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302304 2</t>
  </si>
  <si>
    <t xml:space="preserve">  Ostrowite..........................................................................................................................................................................................................................................................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</si>
  <si>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302305 2</t>
  </si>
  <si>
    <t xml:space="preserve">  Powidz..........................................................................................................................................................................................................................................................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</si>
  <si>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302306 2</t>
  </si>
  <si>
    <t>302307 2</t>
  </si>
  <si>
    <t xml:space="preserve">  Strzałkowo..........................................................................................................................................................................................................................................................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</si>
  <si>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302308 3</t>
  </si>
  <si>
    <t xml:space="preserve">  Zagórów..........................................................................................................................................................................................................................................................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</si>
  <si>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302308 4</t>
  </si>
  <si>
    <t>302308 5</t>
  </si>
  <si>
    <t>Powiat szamotulski  (8 gmin)</t>
  </si>
  <si>
    <t>302401 1</t>
  </si>
  <si>
    <t xml:space="preserve">  Obrzycko..........................................................................................................................................................................................................................................................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</si>
  <si>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302402 2</t>
  </si>
  <si>
    <t xml:space="preserve">  Duszniki..........................................................................................................................................................................................................................................................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</si>
  <si>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302403 2</t>
  </si>
  <si>
    <t xml:space="preserve">  Kaźmierz..........................................................................................................................................................................................................................................................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</si>
  <si>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302404 2</t>
  </si>
  <si>
    <t>302405 3</t>
  </si>
  <si>
    <t xml:space="preserve">  Ostroróg..........................................................................................................................................................................................................................................................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</si>
  <si>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302405 4</t>
  </si>
  <si>
    <t>302405 5</t>
  </si>
  <si>
    <t>302406 3</t>
  </si>
  <si>
    <t>302406 4</t>
  </si>
  <si>
    <t>302406 5</t>
  </si>
  <si>
    <t>302407 3</t>
  </si>
  <si>
    <t xml:space="preserve">  Szamotuły..........................................................................................................................................................................................................................................................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</si>
  <si>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302407 4</t>
  </si>
  <si>
    <t>302407 5</t>
  </si>
  <si>
    <t>302408 3</t>
  </si>
  <si>
    <t xml:space="preserve">  Wronki..........................................................................................................................................................................................................................................................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</si>
  <si>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302408 4</t>
  </si>
  <si>
    <t>302408 5</t>
  </si>
  <si>
    <t>302501 2</t>
  </si>
  <si>
    <t xml:space="preserve">  Dominowo..........................................................................................................................................................................................................................................................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</si>
  <si>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302502 2</t>
  </si>
  <si>
    <t xml:space="preserve">  Krzykosy..........................................................................................................................................................................................................................................................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</si>
  <si>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302503 2</t>
  </si>
  <si>
    <t xml:space="preserve">  Nowe Miasto nad Wartą..........................................................................................................................................................................................................................................................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</si>
  <si>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302505 2</t>
  </si>
  <si>
    <t xml:space="preserve">  Zaniemyśl..........................................................................................................................................................................................................................................................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</si>
  <si>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302504 3</t>
  </si>
  <si>
    <t xml:space="preserve">  Środa Wielkopolska..........................................................................................................................................................................................................................................................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</si>
  <si>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302504 4</t>
  </si>
  <si>
    <t>302504 5</t>
  </si>
  <si>
    <t>Powiat śremski  (4 gminy)</t>
  </si>
  <si>
    <t>302601 2</t>
  </si>
  <si>
    <t>302602 3</t>
  </si>
  <si>
    <t xml:space="preserve">  Dolsk..........................................................................................................................................................................................................................................................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</si>
  <si>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302602 4</t>
  </si>
  <si>
    <t>302602 5</t>
  </si>
  <si>
    <t>302603 3</t>
  </si>
  <si>
    <t xml:space="preserve">  Książ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</si>
  <si>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302603 4</t>
  </si>
  <si>
    <t>302603 5</t>
  </si>
  <si>
    <t>302604 3</t>
  </si>
  <si>
    <t xml:space="preserve">  Śrem..........................................................................................................................................................................................................................................................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</si>
  <si>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302604 4</t>
  </si>
  <si>
    <t>302604 5</t>
  </si>
  <si>
    <t>Powiat turecki  (9 gmin)</t>
  </si>
  <si>
    <t>302701 1</t>
  </si>
  <si>
    <t xml:space="preserve">  Turek..........................................................................................................................................................................................................................................................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</si>
  <si>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302702 2</t>
  </si>
  <si>
    <t xml:space="preserve">  Brudzew..........................................................................................................................................................................................................................................................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</si>
  <si>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302704 2</t>
  </si>
  <si>
    <t xml:space="preserve"> 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</si>
  <si>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302705 2</t>
  </si>
  <si>
    <t xml:space="preserve">  Malanów..........................................................................................................................................................................................................................................................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</si>
  <si>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302706 2</t>
  </si>
  <si>
    <t xml:space="preserve">  Przykona..........................................................................................................................................................................................................................................................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</si>
  <si>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302708 2</t>
  </si>
  <si>
    <t>302709 2</t>
  </si>
  <si>
    <t xml:space="preserve">  Władysławów..........................................................................................................................................................................................................................................................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</si>
  <si>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302703 3</t>
  </si>
  <si>
    <t>302703 4</t>
  </si>
  <si>
    <t>302703 5</t>
  </si>
  <si>
    <t>302707 3</t>
  </si>
  <si>
    <t xml:space="preserve">  Tuliszków..........................................................................................................................................................................................................................................................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</si>
  <si>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302707 4</t>
  </si>
  <si>
    <t>302707 5</t>
  </si>
  <si>
    <t>Powiat wągrowiecki  (7 gmin)</t>
  </si>
  <si>
    <t>302801 1</t>
  </si>
  <si>
    <t xml:space="preserve">  Wągrowiec..........................................................................................................................................................................................................................................................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</si>
  <si>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302802 2</t>
  </si>
  <si>
    <t xml:space="preserve">  Damasławek..........................................................................................................................................................................................................................................................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</si>
  <si>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302804 2</t>
  </si>
  <si>
    <t xml:space="preserve">  Mieścisko..........................................................................................................................................................................................................................................................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</si>
  <si>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302806 2</t>
  </si>
  <si>
    <t xml:space="preserve">  Wapno..........................................................................................................................................................................................................................................................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</si>
  <si>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302807 2</t>
  </si>
  <si>
    <t>302803 3</t>
  </si>
  <si>
    <t xml:space="preserve">  Gołańcz..........................................................................................................................................................................................................................................................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</si>
  <si>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302803 4</t>
  </si>
  <si>
    <t>302803 5</t>
  </si>
  <si>
    <t>302805 3</t>
  </si>
  <si>
    <t xml:space="preserve">  Skoki..........................................................................................................................................................................................................................................................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</si>
  <si>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302805 4</t>
  </si>
  <si>
    <t>302805 5</t>
  </si>
  <si>
    <t>Powiat wolsztyński  (3 gminy)</t>
  </si>
  <si>
    <t>302901 2</t>
  </si>
  <si>
    <t xml:space="preserve">  Przemęt..........................................................................................................................................................................................................................................................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</si>
  <si>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302902 2</t>
  </si>
  <si>
    <t xml:space="preserve">  Siedlec..........................................................................................................................................................................................................................................................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</si>
  <si>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302903 3</t>
  </si>
  <si>
    <t xml:space="preserve">  Wolsztyn..........................................................................................................................................................................................................................................................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</si>
  <si>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302903 4</t>
  </si>
  <si>
    <t>302903 5</t>
  </si>
  <si>
    <t>Powiat wrzesiński  (5 gmin)</t>
  </si>
  <si>
    <t>303001 2</t>
  </si>
  <si>
    <t xml:space="preserve">  Kołaczkowo..........................................................................................................................................................................................................................................................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</si>
  <si>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303002 3</t>
  </si>
  <si>
    <t xml:space="preserve">  Miłosław..........................................................................................................................................................................................................................................................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</si>
  <si>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303002 4</t>
  </si>
  <si>
    <t>303002 5</t>
  </si>
  <si>
    <t>303003 3</t>
  </si>
  <si>
    <t xml:space="preserve">  Nekla..........................................................................................................................................................................................................................................................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</si>
  <si>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303003 4</t>
  </si>
  <si>
    <t>303003 5</t>
  </si>
  <si>
    <t>303004 3</t>
  </si>
  <si>
    <t xml:space="preserve">  Pyzdry..........................................................................................................................................................................................................................................................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</si>
  <si>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303004 4</t>
  </si>
  <si>
    <t>303004 5</t>
  </si>
  <si>
    <t>303005 3</t>
  </si>
  <si>
    <t xml:space="preserve">  Września..........................................................................................................................................................................................................................................................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</si>
  <si>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303005 4</t>
  </si>
  <si>
    <t>303005 5</t>
  </si>
  <si>
    <t>Powiat złotowski  (8 gmin)</t>
  </si>
  <si>
    <t>303101 1</t>
  </si>
  <si>
    <t xml:space="preserve">  Złotów..........................................................................................................................................................................................................................................................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</si>
  <si>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303104 2</t>
  </si>
  <si>
    <t xml:space="preserve">  Lipka..........................................................................................................................................................................................................................................................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</si>
  <si>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303106 2</t>
  </si>
  <si>
    <t xml:space="preserve">  Tarnówka..........................................................................................................................................................................................................................................................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</si>
  <si>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303107 2</t>
  </si>
  <si>
    <t>303108 2</t>
  </si>
  <si>
    <t>303102 3</t>
  </si>
  <si>
    <t xml:space="preserve">  Jastrowie..........................................................................................................................................................................................................................................................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</si>
  <si>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303102 4</t>
  </si>
  <si>
    <t>303102 5</t>
  </si>
  <si>
    <t>303103 3</t>
  </si>
  <si>
    <t xml:space="preserve">  Krajenka..........................................................................................................................................................................................................................................................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</si>
  <si>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303103 4</t>
  </si>
  <si>
    <t>303103 5</t>
  </si>
  <si>
    <t>303105 3</t>
  </si>
  <si>
    <t xml:space="preserve">  Okonek..........................................................................................................................................................................................................................................................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</si>
  <si>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303105 4</t>
  </si>
  <si>
    <t>303105 5</t>
  </si>
  <si>
    <t>306101 1</t>
  </si>
  <si>
    <t xml:space="preserve">  Kalisz..........................................................................................................................................................................................................................................................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</si>
  <si>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306201 1</t>
  </si>
  <si>
    <t xml:space="preserve">  Konin..........................................................................................................................................................................................................................................................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</si>
  <si>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306301 1</t>
  </si>
  <si>
    <t>306401 1</t>
  </si>
  <si>
    <t xml:space="preserve">  Poznań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</si>
  <si>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białogardzki  (4 gminy)</t>
  </si>
  <si>
    <t>320101 1</t>
  </si>
  <si>
    <t xml:space="preserve">  Białogard..........................................................................................................................................................................................................................................................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</si>
  <si>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320102 2</t>
  </si>
  <si>
    <t>320103 3</t>
  </si>
  <si>
    <t xml:space="preserve">  Karlino..........................................................................................................................................................................................................................................................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</si>
  <si>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320103 4</t>
  </si>
  <si>
    <t>320103 5</t>
  </si>
  <si>
    <t>320104 3</t>
  </si>
  <si>
    <t xml:space="preserve">  Tychowo..........................................................................................................................................................................................................................................................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</si>
  <si>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320104 4</t>
  </si>
  <si>
    <t>320104 5</t>
  </si>
  <si>
    <t>Powiat choszczeński  (6 gmin)</t>
  </si>
  <si>
    <t>320201 2</t>
  </si>
  <si>
    <t xml:space="preserve">  Bierzwnik..........................................................................................................................................................................................................................................................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</si>
  <si>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320204 2</t>
  </si>
  <si>
    <t xml:space="preserve">  Krzęcin..........................................................................................................................................................................................................................................................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</si>
  <si>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320202 3</t>
  </si>
  <si>
    <t xml:space="preserve">  Choszczno..........................................................................................................................................................................................................................................................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</si>
  <si>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320202 4</t>
  </si>
  <si>
    <t>320202 5</t>
  </si>
  <si>
    <t>320203 3</t>
  </si>
  <si>
    <t xml:space="preserve">  Drawno..........................................................................................................................................................................................................................................................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</si>
  <si>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320203 4</t>
  </si>
  <si>
    <t>320203 5</t>
  </si>
  <si>
    <t>320205 3</t>
  </si>
  <si>
    <t xml:space="preserve">  Pełczyce..........................................................................................................................................................................................................................................................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</si>
  <si>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320205 4</t>
  </si>
  <si>
    <t>320205 5</t>
  </si>
  <si>
    <t>320206 3</t>
  </si>
  <si>
    <t xml:space="preserve">  Recz..........................................................................................................................................................................................................................................................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</si>
  <si>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320206 4</t>
  </si>
  <si>
    <t>320206 5</t>
  </si>
  <si>
    <t>Powiat drawski  (5 gmin)</t>
  </si>
  <si>
    <t>320305 2</t>
  </si>
  <si>
    <t xml:space="preserve">  Wierzchowo..........................................................................................................................................................................................................................................................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</si>
  <si>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320301 3</t>
  </si>
  <si>
    <t xml:space="preserve">  Czaplinek..........................................................................................................................................................................................................................................................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</si>
  <si>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320301 4</t>
  </si>
  <si>
    <t>320301 5</t>
  </si>
  <si>
    <t>320302 3</t>
  </si>
  <si>
    <t xml:space="preserve">  Drawsko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</si>
  <si>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320302 4</t>
  </si>
  <si>
    <t>320302 5</t>
  </si>
  <si>
    <t>320303 3</t>
  </si>
  <si>
    <t xml:space="preserve">  Kalisz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</si>
  <si>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320303 4</t>
  </si>
  <si>
    <t>320303 5</t>
  </si>
  <si>
    <t>320306 3</t>
  </si>
  <si>
    <t xml:space="preserve">  Złocieniec..........................................................................................................................................................................................................................................................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</si>
  <si>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320306 4</t>
  </si>
  <si>
    <t>320306 5</t>
  </si>
  <si>
    <t>Powiat goleniowski  (6 gmin)</t>
  </si>
  <si>
    <t>320405 2</t>
  </si>
  <si>
    <t xml:space="preserve">  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</si>
  <si>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320406 2</t>
  </si>
  <si>
    <t xml:space="preserve">  Przybiernów..........................................................................................................................................................................................................................................................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</si>
  <si>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320402 3</t>
  </si>
  <si>
    <t xml:space="preserve">  Goleniów..........................................................................................................................................................................................................................................................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</si>
  <si>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320402 4</t>
  </si>
  <si>
    <t>320402 5</t>
  </si>
  <si>
    <t>320403 3</t>
  </si>
  <si>
    <t>320403 4</t>
  </si>
  <si>
    <t>320403 5</t>
  </si>
  <si>
    <t>320404 3</t>
  </si>
  <si>
    <t xml:space="preserve">  Nowogard..........................................................................................................................................................................................................................................................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</si>
  <si>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320404 4</t>
  </si>
  <si>
    <t>320404 5</t>
  </si>
  <si>
    <t>320407 3</t>
  </si>
  <si>
    <t xml:space="preserve">  Stepnica..........................................................................................................................................................................................................................................................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</si>
  <si>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320407 4</t>
  </si>
  <si>
    <t>320407 5</t>
  </si>
  <si>
    <t>Powiat gryficki  (6 gmin)</t>
  </si>
  <si>
    <t>320501 2</t>
  </si>
  <si>
    <t xml:space="preserve">  Brojce..........................................................................................................................................................................................................................................................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</si>
  <si>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320503 2</t>
  </si>
  <si>
    <t xml:space="preserve">  Karnice..........................................................................................................................................................................................................................................................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</si>
  <si>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320507 2</t>
  </si>
  <si>
    <t xml:space="preserve">  Rewal..........................................................................................................................................................................................................................................................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</si>
  <si>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320502 3</t>
  </si>
  <si>
    <t xml:space="preserve">  Gryfice..........................................................................................................................................................................................................................................................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</si>
  <si>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320502 4</t>
  </si>
  <si>
    <t>320502 5</t>
  </si>
  <si>
    <t>320504 3</t>
  </si>
  <si>
    <t xml:space="preserve">  Płoty..........................................................................................................................................................................................................................................................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</si>
  <si>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320504 4</t>
  </si>
  <si>
    <t>320504 5</t>
  </si>
  <si>
    <t>320508 3</t>
  </si>
  <si>
    <t xml:space="preserve">  Trzebiatów..........................................................................................................................................................................................................................................................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</si>
  <si>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320508 4</t>
  </si>
  <si>
    <t>320508 5</t>
  </si>
  <si>
    <t xml:space="preserve">     obszar wiejski   rural area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</si>
  <si>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gryfiński  (9 gmin)</t>
  </si>
  <si>
    <t>320601 2</t>
  </si>
  <si>
    <t xml:space="preserve">  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</si>
  <si>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320607 2</t>
  </si>
  <si>
    <t xml:space="preserve">  Stare Czarnowo..........................................................................................................................................................................................................................................................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</si>
  <si>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320609 2</t>
  </si>
  <si>
    <t xml:space="preserve">  Widuchowa..........................................................................................................................................................................................................................................................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</si>
  <si>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320602 3</t>
  </si>
  <si>
    <t xml:space="preserve">  Cedynia..........................................................................................................................................................................................................................................................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</si>
  <si>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320602 4</t>
  </si>
  <si>
    <t>320602 5</t>
  </si>
  <si>
    <t>320603 3</t>
  </si>
  <si>
    <t xml:space="preserve">  Chojna..........................................................................................................................................................................................................................................................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</si>
  <si>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320603 4</t>
  </si>
  <si>
    <t>320603 5</t>
  </si>
  <si>
    <t>320604 3</t>
  </si>
  <si>
    <t xml:space="preserve">  Gryfino..........................................................................................................................................................................................................................................................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</si>
  <si>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320604 4</t>
  </si>
  <si>
    <t>320604 5</t>
  </si>
  <si>
    <t>320605 3</t>
  </si>
  <si>
    <t xml:space="preserve">  Mieszkowice..........................................................................................................................................................................................................................................................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</si>
  <si>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320605 4</t>
  </si>
  <si>
    <t>320605 5</t>
  </si>
  <si>
    <t>320606 3</t>
  </si>
  <si>
    <t xml:space="preserve">  Moryń..........................................................................................................................................................................................................................................................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</si>
  <si>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320606 4</t>
  </si>
  <si>
    <t>320606 5</t>
  </si>
  <si>
    <t>320608 3</t>
  </si>
  <si>
    <t xml:space="preserve">  Trzcińsko-Zdrój..........................................................................................................................................................................................................................................................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</si>
  <si>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320608 4</t>
  </si>
  <si>
    <t>320608 5</t>
  </si>
  <si>
    <t>Powiat kamieński  (6 gmin)</t>
  </si>
  <si>
    <t>320705 2</t>
  </si>
  <si>
    <t xml:space="preserve">  Świerzno..........................................................................................................................................................................................................................................................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</si>
  <si>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320701 3</t>
  </si>
  <si>
    <t xml:space="preserve">  Dziwnów..........................................................................................................................................................................................................................................................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</si>
  <si>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320701 4</t>
  </si>
  <si>
    <t>320701 5</t>
  </si>
  <si>
    <t>320702 3</t>
  </si>
  <si>
    <t xml:space="preserve">  Golczewo..........................................................................................................................................................................................................................................................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</si>
  <si>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320702 4</t>
  </si>
  <si>
    <t>320702 5</t>
  </si>
  <si>
    <t>320703 3</t>
  </si>
  <si>
    <t xml:space="preserve">  Kamień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</si>
  <si>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320703 4</t>
  </si>
  <si>
    <t>320703 5</t>
  </si>
  <si>
    <t>320704 3</t>
  </si>
  <si>
    <t xml:space="preserve">  Międzyzdroje..........................................................................................................................................................................................................................................................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</si>
  <si>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320704 4</t>
  </si>
  <si>
    <t>320704 5</t>
  </si>
  <si>
    <t>320706 3</t>
  </si>
  <si>
    <t xml:space="preserve">  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</si>
  <si>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320706 4</t>
  </si>
  <si>
    <t>320706 5</t>
  </si>
  <si>
    <t>Powiat kołobrzeski  (7 gmin)</t>
  </si>
  <si>
    <t>320801 1</t>
  </si>
  <si>
    <t xml:space="preserve">  Kołobrzeg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</si>
  <si>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320802 2</t>
  </si>
  <si>
    <t xml:space="preserve">  Dygowo..........................................................................................................................................................................................................................................................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</si>
  <si>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320804 2</t>
  </si>
  <si>
    <t xml:space="preserve">  Kołobrzeg..........................................................................................................................................................................................................................................................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</si>
  <si>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320805 2</t>
  </si>
  <si>
    <t xml:space="preserve">  Rymań..........................................................................................................................................................................................................................................................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</si>
  <si>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320806 2</t>
  </si>
  <si>
    <t xml:space="preserve">  Siemyśl..........................................................................................................................................................................................................................................................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</si>
  <si>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320807 2</t>
  </si>
  <si>
    <t xml:space="preserve">  Ustronie 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</si>
  <si>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320803 3</t>
  </si>
  <si>
    <t xml:space="preserve">  Gościno..........................................................................................................................................................................................................................................................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</si>
  <si>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320803 4</t>
  </si>
  <si>
    <t>320803 5</t>
  </si>
  <si>
    <t>Powiat koszaliński  (8 gmin)</t>
  </si>
  <si>
    <t>320901 2</t>
  </si>
  <si>
    <t xml:space="preserve">  Będzino..........................................................................................................................................................................................................................................................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</si>
  <si>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320902 2</t>
  </si>
  <si>
    <t xml:space="preserve">  Biesiekierz..........................................................................................................................................................................................................................................................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</si>
  <si>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320904 2</t>
  </si>
  <si>
    <t xml:space="preserve">  Manowo..........................................................................................................................................................................................................................................................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</si>
  <si>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320908 2</t>
  </si>
  <si>
    <t xml:space="preserve">  Świeszyno..........................................................................................................................................................................................................................................................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</si>
  <si>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320903 3</t>
  </si>
  <si>
    <t xml:space="preserve">  Bobolice..........................................................................................................................................................................................................................................................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</si>
  <si>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320903 4</t>
  </si>
  <si>
    <t>320903 5</t>
  </si>
  <si>
    <t>320905 3</t>
  </si>
  <si>
    <t xml:space="preserve">  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</si>
  <si>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320905 4</t>
  </si>
  <si>
    <t>320905 5</t>
  </si>
  <si>
    <t>320906 3</t>
  </si>
  <si>
    <t xml:space="preserve">  Polanów..........................................................................................................................................................................................................................................................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</si>
  <si>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320906 4</t>
  </si>
  <si>
    <t>320906 5</t>
  </si>
  <si>
    <t>320907 3</t>
  </si>
  <si>
    <t xml:space="preserve">  Sianów..........................................................................................................................................................................................................................................................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</si>
  <si>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320907 4</t>
  </si>
  <si>
    <t>320907 5</t>
  </si>
  <si>
    <t>Powiat łobeski  (5 gmin)</t>
  </si>
  <si>
    <t>321803 2</t>
  </si>
  <si>
    <t xml:space="preserve">  Radowo Małe..........................................................................................................................................................................................................................................................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</si>
  <si>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321801 3</t>
  </si>
  <si>
    <t>321801 4</t>
  </si>
  <si>
    <t>321801 5</t>
  </si>
  <si>
    <t>321802 3</t>
  </si>
  <si>
    <t xml:space="preserve">  Łobez..........................................................................................................................................................................................................................................................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</si>
  <si>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321802 4</t>
  </si>
  <si>
    <t>321802 5</t>
  </si>
  <si>
    <t>321804 3</t>
  </si>
  <si>
    <t xml:space="preserve">  Resko..........................................................................................................................................................................................................................................................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</si>
  <si>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321804 4</t>
  </si>
  <si>
    <t>321804 5</t>
  </si>
  <si>
    <t>321805 3</t>
  </si>
  <si>
    <t xml:space="preserve">  Węgorzyno..........................................................................................................................................................................................................................................................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</si>
  <si>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321805 4</t>
  </si>
  <si>
    <t>321805 5</t>
  </si>
  <si>
    <t>Powiat myśliborski  (5 gmin)</t>
  </si>
  <si>
    <t>321002 2</t>
  </si>
  <si>
    <t xml:space="preserve">  Boleszkowice..........................................................................................................................................................................................................................................................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</si>
  <si>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321005 2</t>
  </si>
  <si>
    <t xml:space="preserve">  Nowogródek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</si>
  <si>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321001 3</t>
  </si>
  <si>
    <t xml:space="preserve">  Barlinek..........................................................................................................................................................................................................................................................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</si>
  <si>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321001 4</t>
  </si>
  <si>
    <t>321001 5</t>
  </si>
  <si>
    <t>321003 3</t>
  </si>
  <si>
    <t>321003 4</t>
  </si>
  <si>
    <t>321003 5</t>
  </si>
  <si>
    <t>321004 3</t>
  </si>
  <si>
    <t xml:space="preserve">  Myślibórz..........................................................................................................................................................................................................................................................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</si>
  <si>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321004 4</t>
  </si>
  <si>
    <t>321004 5</t>
  </si>
  <si>
    <t>Powiat policki  (4 gminy)</t>
  </si>
  <si>
    <t>321101 2</t>
  </si>
  <si>
    <t xml:space="preserve">  Dobra (Szczecińska)..........................................................................................................................................................................................................................................................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</si>
  <si>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321102 2</t>
  </si>
  <si>
    <t xml:space="preserve">  Kołbaskowo..........................................................................................................................................................................................................................................................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</si>
  <si>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321103 3</t>
  </si>
  <si>
    <t xml:space="preserve">  Nowe Warpno..........................................................................................................................................................................................................................................................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</si>
  <si>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321103 4</t>
  </si>
  <si>
    <t>321103 5</t>
  </si>
  <si>
    <t>321104 3</t>
  </si>
  <si>
    <t xml:space="preserve">  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</si>
  <si>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321104 4</t>
  </si>
  <si>
    <t>321104 5</t>
  </si>
  <si>
    <t>Powiat pyrzycki  (6 gmin)</t>
  </si>
  <si>
    <t>321201 2</t>
  </si>
  <si>
    <t xml:space="preserve">  Bielice..........................................................................................................................................................................................................................................................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</si>
  <si>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321202 2</t>
  </si>
  <si>
    <t xml:space="preserve">  Kozielice..........................................................................................................................................................................................................................................................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</si>
  <si>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321204 2</t>
  </si>
  <si>
    <t xml:space="preserve">  Przelewice..........................................................................................................................................................................................................................................................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</si>
  <si>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321206 2</t>
  </si>
  <si>
    <t xml:space="preserve">  Warnice..........................................................................................................................................................................................................................................................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</si>
  <si>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321203 3</t>
  </si>
  <si>
    <t xml:space="preserve">  Lipiany..........................................................................................................................................................................................................................................................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</si>
  <si>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321203 4</t>
  </si>
  <si>
    <t>321203 5</t>
  </si>
  <si>
    <t>321205 3</t>
  </si>
  <si>
    <t xml:space="preserve">  Pyrzyce..........................................................................................................................................................................................................................................................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</si>
  <si>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321205 4</t>
  </si>
  <si>
    <t>321205 5</t>
  </si>
  <si>
    <t>Powiat sławieński  (6 gmin)</t>
  </si>
  <si>
    <t>321301 1</t>
  </si>
  <si>
    <t xml:space="preserve">  Darłowo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</si>
  <si>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321302 1</t>
  </si>
  <si>
    <t>321303 2</t>
  </si>
  <si>
    <t xml:space="preserve">  Darłowo..........................................................................................................................................................................................................................................................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</si>
  <si>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321304 2</t>
  </si>
  <si>
    <t xml:space="preserve">  Malechowo..........................................................................................................................................................................................................................................................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</si>
  <si>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321305 2</t>
  </si>
  <si>
    <t xml:space="preserve">  Postomino..........................................................................................................................................................................................................................................................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</si>
  <si>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321306 2</t>
  </si>
  <si>
    <t>Powiat stargardzki  (10 gmin)</t>
  </si>
  <si>
    <t>321401 1</t>
  </si>
  <si>
    <t xml:space="preserve">  Stargard..........................................................................................................................................................................................................................................................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</si>
  <si>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321404 2</t>
  </si>
  <si>
    <t xml:space="preserve">  Dolice..........................................................................................................................................................................................................................................................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</si>
  <si>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321406 2</t>
  </si>
  <si>
    <t xml:space="preserve">  Kobylanka..........................................................................................................................................................................................................................................................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</si>
  <si>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321408 2</t>
  </si>
  <si>
    <t xml:space="preserve">  Marianowo..........................................................................................................................................................................................................................................................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</si>
  <si>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321409 2</t>
  </si>
  <si>
    <t xml:space="preserve">  Stara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</si>
  <si>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321410 2</t>
  </si>
  <si>
    <t>321402 3</t>
  </si>
  <si>
    <t xml:space="preserve">  Chociwel..........................................................................................................................................................................................................................................................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</si>
  <si>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321402 4</t>
  </si>
  <si>
    <t>321402 5</t>
  </si>
  <si>
    <t>321403 3</t>
  </si>
  <si>
    <t xml:space="preserve">  Dobrzany..........................................................................................................................................................................................................................................................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</si>
  <si>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321403 4</t>
  </si>
  <si>
    <t>321403 5</t>
  </si>
  <si>
    <t>321405 3</t>
  </si>
  <si>
    <t xml:space="preserve">  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</si>
  <si>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321405 4</t>
  </si>
  <si>
    <t>321405 5</t>
  </si>
  <si>
    <t>321411 3</t>
  </si>
  <si>
    <t xml:space="preserve">  Suchań..........................................................................................................................................................................................................................................................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</si>
  <si>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321411 4</t>
  </si>
  <si>
    <t>321411 5</t>
  </si>
  <si>
    <t>Powiat szczecinecki  (6 gmin)</t>
  </si>
  <si>
    <t>321501 1</t>
  </si>
  <si>
    <t xml:space="preserve">  Szczecinek..........................................................................................................................................................................................................................................................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</si>
  <si>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321505 2</t>
  </si>
  <si>
    <t xml:space="preserve">  Grzmiąca..........................................................................................................................................................................................................................................................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</si>
  <si>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321506 2</t>
  </si>
  <si>
    <t>321502 3</t>
  </si>
  <si>
    <t xml:space="preserve">  Barwice..........................................................................................................................................................................................................................................................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</si>
  <si>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321502 4</t>
  </si>
  <si>
    <t>321502 5</t>
  </si>
  <si>
    <t>321503 3</t>
  </si>
  <si>
    <t xml:space="preserve">  Biały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</si>
  <si>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321503 4</t>
  </si>
  <si>
    <t>321503 5</t>
  </si>
  <si>
    <t>321504 3</t>
  </si>
  <si>
    <t xml:space="preserve">  Borne Sulinowo..........................................................................................................................................................................................................................................................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</si>
  <si>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321504 4</t>
  </si>
  <si>
    <t>321504 5</t>
  </si>
  <si>
    <t>Powiat świdwiński  (6 gmin)</t>
  </si>
  <si>
    <t>321601 1</t>
  </si>
  <si>
    <t xml:space="preserve">  Świdwin..........................................................................................................................................................................................................................................................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</si>
  <si>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321602 2</t>
  </si>
  <si>
    <t xml:space="preserve">  Brzeżno..........................................................................................................................................................................................................................................................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</si>
  <si>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321604 2</t>
  </si>
  <si>
    <t xml:space="preserve">  Rąbino..........................................................................................................................................................................................................................................................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</si>
  <si>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321605 2</t>
  </si>
  <si>
    <t xml:space="preserve">  Sławoborze..........................................................................................................................................................................................................................................................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</si>
  <si>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321606 2</t>
  </si>
  <si>
    <t>321603 3</t>
  </si>
  <si>
    <t xml:space="preserve">  Połczyn-Zdrój..........................................................................................................................................................................................................................................................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</si>
  <si>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321603 4</t>
  </si>
  <si>
    <t>321603 5</t>
  </si>
  <si>
    <t>Powiat wałecki  (5 gmin)</t>
  </si>
  <si>
    <t>321701 1</t>
  </si>
  <si>
    <t xml:space="preserve">  Wałcz..........................................................................................................................................................................................................................................................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</si>
  <si>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321705 2</t>
  </si>
  <si>
    <t>321702 3</t>
  </si>
  <si>
    <t xml:space="preserve">  Człopa..........................................................................................................................................................................................................................................................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</si>
  <si>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321702 4</t>
  </si>
  <si>
    <t>321702 5</t>
  </si>
  <si>
    <t>321703 3</t>
  </si>
  <si>
    <t xml:space="preserve">  Mirosławiec..........................................................................................................................................................................................................................................................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</si>
  <si>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321703 4</t>
  </si>
  <si>
    <t>321703 5</t>
  </si>
  <si>
    <t>321704 3</t>
  </si>
  <si>
    <t xml:space="preserve">  Tuczno..........................................................................................................................................................................................................................................................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</si>
  <si>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321704 4</t>
  </si>
  <si>
    <t>321704 5</t>
  </si>
  <si>
    <t>326101 1</t>
  </si>
  <si>
    <t xml:space="preserve">  Koszalin..........................................................................................................................................................................................................................................................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</si>
  <si>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326201 1</t>
  </si>
  <si>
    <t xml:space="preserve">  Szczecin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</si>
  <si>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326301 1</t>
  </si>
  <si>
    <t xml:space="preserve">  Świnoujście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</si>
  <si>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9"/>
        <rFont val="Cambria"/>
        <family val="1"/>
        <charset val="238"/>
      </rPr>
      <t>Wyszczególnienie</t>
    </r>
    <r>
      <rPr>
        <sz val="9"/>
        <rFont val="Cambria"/>
        <family val="1"/>
        <charset val="238"/>
      </rPr>
      <t xml:space="preserve">  </t>
    </r>
    <r>
      <rPr>
        <i/>
        <sz val="9"/>
        <rFont val="Cambria"/>
        <family val="1"/>
        <charset val="238"/>
      </rPr>
      <t>Specification</t>
    </r>
    <r>
      <rPr>
        <sz val="9"/>
        <rFont val="Cambria"/>
        <family val="1"/>
        <charset val="238"/>
      </rPr>
      <t xml:space="preserve">
a Port lotniczy. </t>
    </r>
    <r>
      <rPr>
        <i/>
        <sz val="9"/>
        <rFont val="Cambria"/>
        <family val="1"/>
        <charset val="238"/>
      </rPr>
      <t>Airport.</t>
    </r>
    <r>
      <rPr>
        <sz val="9"/>
        <rFont val="Cambria"/>
        <family val="1"/>
        <charset val="238"/>
      </rPr>
      <t xml:space="preserve">
b Port morski. </t>
    </r>
    <r>
      <rPr>
        <i/>
        <sz val="9"/>
        <rFont val="Cambria"/>
        <family val="1"/>
        <charset val="238"/>
      </rPr>
      <t>Seaport.</t>
    </r>
    <r>
      <rPr>
        <sz val="9"/>
        <rFont val="Cambria"/>
        <family val="1"/>
        <charset val="238"/>
      </rPr>
      <t xml:space="preserve">
c Przejście graniczne. </t>
    </r>
    <r>
      <rPr>
        <i/>
        <sz val="9"/>
        <rFont val="Cambria"/>
        <family val="1"/>
        <charset val="238"/>
      </rPr>
      <t>Border crossing.</t>
    </r>
  </si>
  <si>
    <t>`</t>
  </si>
  <si>
    <t>Średnie ceny opłat za paliwa gazowe, usługę przesyłania oraz usługę dystrybucji paliw gazowych dla odbiorców indywidualnych (odbiorców ze wskazanych przez OSD grup taryfowych o mocy nie większej niż 110 kWh/h)</t>
  </si>
  <si>
    <t>Odbiorcy indywidualni (odbiorcy ze wskazanych przez OSD grup taryfowych o mocy nie większej niż 110 kWh/h)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</si>
</sst>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"/>
    <numFmt numFmtId="166" formatCode="0.0000"/>
    <numFmt numFmtId="167" formatCode="#,##0.0000"/>
    <numFmt numFmtId="168" formatCode="#,##0.000"/>
    <numFmt numFmtId="169" formatCode="@*."/>
  </numFmts>
  <fonts count="49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u/>
      <sz val="8.5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u/>
      <sz val="8.5"/>
      <color indexed="12"/>
      <name val="Cambria"/>
      <family val="1"/>
      <charset val="238"/>
    </font>
    <font>
      <u/>
      <sz val="10"/>
      <color indexed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i/>
      <sz val="10"/>
      <name val="Cambria"/>
      <family val="1"/>
      <charset val="238"/>
    </font>
    <font>
      <i/>
      <sz val="10"/>
      <color indexed="55"/>
      <name val="Cambria"/>
      <family val="1"/>
      <charset val="238"/>
    </font>
    <font>
      <sz val="8"/>
      <name val="Cambria"/>
      <family val="1"/>
      <charset val="238"/>
    </font>
    <font>
      <i/>
      <sz val="9"/>
      <name val="Cambria"/>
      <family val="1"/>
      <charset val="238"/>
    </font>
    <font>
      <b/>
      <i/>
      <sz val="9"/>
      <name val="Cambria"/>
      <family val="1"/>
      <charset val="238"/>
    </font>
    <font>
      <sz val="10"/>
      <color indexed="9"/>
      <name val="Cambria"/>
      <family val="1"/>
      <charset val="238"/>
    </font>
    <font>
      <sz val="10"/>
      <name val="Cambria"/>
      <family val="1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808080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i/>
      <sz val="8"/>
      <color rgb="FF808080"/>
      <name val="Arial"/>
      <family val="2"/>
      <charset val="238"/>
    </font>
    <font>
      <b/>
      <sz val="8"/>
      <color rgb="FF80808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696969"/>
      <name val="Arial"/>
      <family val="2"/>
      <charset val="238"/>
    </font>
    <font>
      <b/>
      <sz val="8"/>
      <color rgb="FF69696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34" fillId="0" borderId="0"/>
    <xf numFmtId="0" fontId="34" fillId="0" borderId="0"/>
    <xf numFmtId="0" fontId="40" fillId="0" borderId="0" applyNumberFormat="0" applyFill="0" applyBorder="0" applyAlignment="0" applyProtection="0"/>
  </cellStyleXfs>
  <cellXfs count="296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12" borderId="10" xfId="0" applyFont="1" applyFill="1" applyBorder="1" applyAlignment="1"/>
    <xf numFmtId="0" fontId="19" fillId="12" borderId="11" xfId="0" applyFont="1" applyFill="1" applyBorder="1"/>
    <xf numFmtId="0" fontId="19" fillId="12" borderId="12" xfId="0" applyFont="1" applyFill="1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/>
    <xf numFmtId="164" fontId="18" fillId="0" borderId="15" xfId="0" applyNumberFormat="1" applyFont="1" applyFill="1" applyBorder="1"/>
    <xf numFmtId="0" fontId="18" fillId="0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/>
    <xf numFmtId="164" fontId="18" fillId="0" borderId="18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Fill="1" applyBorder="1"/>
    <xf numFmtId="0" fontId="18" fillId="0" borderId="0" xfId="0" applyFont="1" applyAlignment="1">
      <alignment horizontal="right" vertical="top"/>
    </xf>
    <xf numFmtId="0" fontId="20" fillId="0" borderId="0" xfId="9" applyFont="1" applyAlignment="1" applyProtection="1">
      <alignment vertical="top"/>
    </xf>
    <xf numFmtId="0" fontId="21" fillId="0" borderId="0" xfId="9" applyFont="1" applyAlignment="1" applyProtection="1"/>
    <xf numFmtId="0" fontId="20" fillId="0" borderId="0" xfId="9" applyFont="1" applyAlignment="1" applyProtection="1"/>
    <xf numFmtId="0" fontId="21" fillId="0" borderId="0" xfId="9" applyFont="1" applyAlignment="1" applyProtection="1">
      <alignment vertical="top"/>
    </xf>
    <xf numFmtId="0" fontId="19" fillId="12" borderId="19" xfId="0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/>
    <xf numFmtId="165" fontId="18" fillId="0" borderId="15" xfId="17" applyNumberFormat="1" applyFont="1" applyFill="1" applyBorder="1"/>
    <xf numFmtId="3" fontId="18" fillId="0" borderId="22" xfId="17" applyNumberFormat="1" applyFont="1" applyFill="1" applyBorder="1"/>
    <xf numFmtId="0" fontId="19" fillId="14" borderId="16" xfId="0" applyFont="1" applyFill="1" applyBorder="1"/>
    <xf numFmtId="3" fontId="19" fillId="14" borderId="17" xfId="0" applyNumberFormat="1" applyFont="1" applyFill="1" applyBorder="1"/>
    <xf numFmtId="1" fontId="19" fillId="14" borderId="17" xfId="0" applyNumberFormat="1" applyFont="1" applyFill="1" applyBorder="1" applyAlignment="1">
      <alignment horizontal="center"/>
    </xf>
    <xf numFmtId="3" fontId="19" fillId="14" borderId="18" xfId="17" applyNumberFormat="1" applyFont="1" applyFill="1" applyBorder="1"/>
    <xf numFmtId="165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/>
    <xf numFmtId="0" fontId="26" fillId="15" borderId="24" xfId="0" applyFont="1" applyFill="1" applyBorder="1" applyAlignment="1">
      <alignment horizontal="center" wrapText="1"/>
    </xf>
    <xf numFmtId="0" fontId="26" fillId="15" borderId="2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166" fontId="18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1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8" fontId="18" fillId="12" borderId="24" xfId="0" applyNumberFormat="1" applyFont="1" applyFill="1" applyBorder="1" applyAlignment="1">
      <alignment horizontal="right" wrapText="1"/>
    </xf>
    <xf numFmtId="4" fontId="18" fillId="16" borderId="24" xfId="0" applyNumberFormat="1" applyFont="1" applyFill="1" applyBorder="1" applyAlignment="1">
      <alignment vertical="center" wrapText="1"/>
    </xf>
    <xf numFmtId="10" fontId="19" fillId="14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wrapText="1"/>
    </xf>
    <xf numFmtId="165" fontId="25" fillId="0" borderId="0" xfId="0" applyNumberFormat="1" applyFont="1"/>
    <xf numFmtId="0" fontId="18" fillId="0" borderId="0" xfId="0" applyFont="1" applyBorder="1"/>
    <xf numFmtId="0" fontId="18" fillId="0" borderId="24" xfId="0" applyNumberFormat="1" applyFont="1" applyBorder="1" applyAlignment="1">
      <alignment wrapText="1"/>
    </xf>
    <xf numFmtId="3" fontId="18" fillId="13" borderId="24" xfId="0" applyNumberFormat="1" applyFont="1" applyFill="1" applyBorder="1" applyAlignment="1">
      <alignment horizontal="right" wrapText="1"/>
    </xf>
    <xf numFmtId="1" fontId="22" fillId="0" borderId="15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horizontal="right" vertical="center" wrapText="1"/>
    </xf>
    <xf numFmtId="0" fontId="19" fillId="0" borderId="0" xfId="0" applyFont="1" applyProtection="1"/>
    <xf numFmtId="0" fontId="18" fillId="0" borderId="0" xfId="0" applyFont="1" applyProtection="1"/>
    <xf numFmtId="3" fontId="29" fillId="0" borderId="0" xfId="0" applyNumberFormat="1" applyFont="1" applyProtection="1"/>
    <xf numFmtId="0" fontId="19" fillId="0" borderId="33" xfId="0" applyFont="1" applyBorder="1" applyProtection="1"/>
    <xf numFmtId="0" fontId="18" fillId="0" borderId="34" xfId="0" applyFont="1" applyBorder="1" applyProtection="1"/>
    <xf numFmtId="0" fontId="18" fillId="0" borderId="23" xfId="0" applyFont="1" applyBorder="1" applyProtection="1"/>
    <xf numFmtId="0" fontId="19" fillId="0" borderId="13" xfId="0" applyFont="1" applyBorder="1" applyProtection="1"/>
    <xf numFmtId="0" fontId="18" fillId="0" borderId="35" xfId="0" applyFont="1" applyBorder="1" applyProtection="1"/>
    <xf numFmtId="0" fontId="18" fillId="0" borderId="14" xfId="0" applyFont="1" applyBorder="1" applyProtection="1"/>
    <xf numFmtId="0" fontId="19" fillId="0" borderId="16" xfId="0" applyFont="1" applyBorder="1" applyProtection="1"/>
    <xf numFmtId="0" fontId="18" fillId="0" borderId="36" xfId="0" applyFont="1" applyBorder="1" applyProtection="1"/>
    <xf numFmtId="0" fontId="18" fillId="0" borderId="17" xfId="0" applyFont="1" applyBorder="1" applyProtection="1"/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0" fillId="14" borderId="24" xfId="0" applyFont="1" applyFill="1" applyBorder="1" applyAlignment="1">
      <alignment horizontal="center" vertical="center" wrapText="1"/>
    </xf>
    <xf numFmtId="0" fontId="31" fillId="12" borderId="21" xfId="0" applyFont="1" applyFill="1" applyBorder="1" applyAlignment="1">
      <alignment horizontal="center" vertical="center" wrapText="1"/>
    </xf>
    <xf numFmtId="165" fontId="32" fillId="18" borderId="24" xfId="0" applyNumberFormat="1" applyFont="1" applyFill="1" applyBorder="1"/>
    <xf numFmtId="0" fontId="19" fillId="0" borderId="0" xfId="0" applyFont="1" applyAlignment="1" applyProtection="1">
      <alignment horizontal="center" vertical="center"/>
    </xf>
    <xf numFmtId="3" fontId="18" fillId="0" borderId="0" xfId="0" applyNumberFormat="1" applyFont="1" applyProtection="1"/>
    <xf numFmtId="4" fontId="18" fillId="0" borderId="23" xfId="0" applyNumberFormat="1" applyFont="1" applyBorder="1" applyProtection="1"/>
    <xf numFmtId="4" fontId="18" fillId="0" borderId="22" xfId="0" applyNumberFormat="1" applyFont="1" applyBorder="1" applyProtection="1"/>
    <xf numFmtId="4" fontId="18" fillId="0" borderId="14" xfId="0" applyNumberFormat="1" applyFont="1" applyBorder="1" applyProtection="1"/>
    <xf numFmtId="4" fontId="18" fillId="0" borderId="15" xfId="0" applyNumberFormat="1" applyFont="1" applyBorder="1" applyProtection="1"/>
    <xf numFmtId="4" fontId="18" fillId="0" borderId="17" xfId="0" applyNumberFormat="1" applyFont="1" applyBorder="1" applyProtection="1"/>
    <xf numFmtId="4" fontId="18" fillId="0" borderId="18" xfId="0" applyNumberFormat="1" applyFont="1" applyBorder="1" applyProtection="1"/>
    <xf numFmtId="0" fontId="39" fillId="0" borderId="0" xfId="24" applyFont="1"/>
    <xf numFmtId="0" fontId="41" fillId="0" borderId="0" xfId="25" applyNumberFormat="1" applyFont="1" applyFill="1" applyBorder="1" applyAlignment="1">
      <alignment horizontal="left" wrapText="1" readingOrder="1"/>
    </xf>
    <xf numFmtId="0" fontId="36" fillId="0" borderId="0" xfId="23" applyFont="1" applyAlignment="1">
      <alignment horizontal="left" wrapText="1" readingOrder="1"/>
    </xf>
    <xf numFmtId="0" fontId="36" fillId="0" borderId="62" xfId="23" applyFont="1" applyBorder="1" applyAlignment="1">
      <alignment horizontal="center" vertical="center" wrapText="1" readingOrder="1"/>
    </xf>
    <xf numFmtId="0" fontId="36" fillId="0" borderId="65" xfId="23" applyFont="1" applyBorder="1" applyAlignment="1">
      <alignment horizontal="center" vertical="center" wrapText="1" readingOrder="1"/>
    </xf>
    <xf numFmtId="0" fontId="36" fillId="0" borderId="65" xfId="23" applyFont="1" applyBorder="1" applyAlignment="1">
      <alignment horizontal="center" vertical="top" wrapText="1" readingOrder="1"/>
    </xf>
    <xf numFmtId="0" fontId="36" fillId="0" borderId="60" xfId="23" applyFont="1" applyBorder="1" applyAlignment="1">
      <alignment horizontal="center" vertical="top" wrapText="1" readingOrder="1"/>
    </xf>
    <xf numFmtId="0" fontId="36" fillId="0" borderId="66" xfId="23" applyFont="1" applyBorder="1" applyAlignment="1">
      <alignment horizontal="center" wrapText="1" readingOrder="1"/>
    </xf>
    <xf numFmtId="169" fontId="35" fillId="0" borderId="66" xfId="23" applyNumberFormat="1" applyFont="1" applyBorder="1" applyAlignment="1">
      <alignment horizontal="left" wrapText="1" readingOrder="1"/>
    </xf>
    <xf numFmtId="0" fontId="35" fillId="0" borderId="66" xfId="23" applyFont="1" applyBorder="1" applyAlignment="1">
      <alignment horizontal="right" wrapText="1" readingOrder="1"/>
    </xf>
    <xf numFmtId="0" fontId="35" fillId="0" borderId="0" xfId="23" applyFont="1" applyAlignment="1">
      <alignment horizontal="right" wrapText="1" readingOrder="1"/>
    </xf>
    <xf numFmtId="0" fontId="43" fillId="0" borderId="66" xfId="23" applyFont="1" applyBorder="1" applyAlignment="1">
      <alignment horizontal="left" wrapText="1" readingOrder="1"/>
    </xf>
    <xf numFmtId="169" fontId="36" fillId="0" borderId="66" xfId="23" applyNumberFormat="1" applyFont="1" applyBorder="1" applyAlignment="1">
      <alignment horizontal="left" wrapText="1" readingOrder="1"/>
    </xf>
    <xf numFmtId="0" fontId="36" fillId="0" borderId="66" xfId="23" applyFont="1" applyBorder="1" applyAlignment="1">
      <alignment horizontal="right" wrapText="1" readingOrder="1"/>
    </xf>
    <xf numFmtId="0" fontId="36" fillId="0" borderId="0" xfId="23" applyFont="1" applyAlignment="1">
      <alignment horizontal="right" wrapText="1" readingOrder="1"/>
    </xf>
    <xf numFmtId="0" fontId="35" fillId="0" borderId="68" xfId="23" applyFont="1" applyBorder="1" applyAlignment="1">
      <alignment horizontal="center" vertical="center" wrapText="1" readingOrder="1"/>
    </xf>
    <xf numFmtId="0" fontId="35" fillId="0" borderId="69" xfId="23" applyFont="1" applyBorder="1" applyAlignment="1">
      <alignment horizontal="left" vertical="center" wrapText="1" readingOrder="1"/>
    </xf>
    <xf numFmtId="0" fontId="35" fillId="0" borderId="69" xfId="23" applyFont="1" applyBorder="1" applyAlignment="1">
      <alignment horizontal="center" vertical="center" wrapText="1" readingOrder="1"/>
    </xf>
    <xf numFmtId="0" fontId="44" fillId="0" borderId="66" xfId="23" applyFont="1" applyBorder="1" applyAlignment="1">
      <alignment horizontal="center" wrapText="1" readingOrder="1"/>
    </xf>
    <xf numFmtId="0" fontId="45" fillId="0" borderId="66" xfId="23" applyFont="1" applyBorder="1" applyAlignment="1">
      <alignment horizontal="left" wrapText="1" readingOrder="1"/>
    </xf>
    <xf numFmtId="0" fontId="44" fillId="0" borderId="66" xfId="23" applyFont="1" applyBorder="1" applyAlignment="1">
      <alignment horizontal="right" wrapText="1" readingOrder="1"/>
    </xf>
    <xf numFmtId="0" fontId="44" fillId="0" borderId="0" xfId="23" applyFont="1" applyAlignment="1">
      <alignment horizontal="right" wrapText="1" readingOrder="1"/>
    </xf>
    <xf numFmtId="0" fontId="35" fillId="0" borderId="66" xfId="23" applyFont="1" applyBorder="1" applyAlignment="1">
      <alignment horizontal="left" wrapText="1" readingOrder="1"/>
    </xf>
    <xf numFmtId="0" fontId="39" fillId="0" borderId="0" xfId="24" applyFont="1" applyAlignment="1">
      <alignment vertical="center"/>
    </xf>
    <xf numFmtId="0" fontId="38" fillId="0" borderId="66" xfId="23" applyFont="1" applyBorder="1" applyAlignment="1">
      <alignment horizontal="left" wrapText="1" readingOrder="1"/>
    </xf>
    <xf numFmtId="0" fontId="36" fillId="0" borderId="61" xfId="23" applyFont="1" applyBorder="1" applyAlignment="1">
      <alignment horizontal="center" vertical="center" wrapText="1" readingOrder="1"/>
    </xf>
    <xf numFmtId="0" fontId="36" fillId="0" borderId="60" xfId="23" applyFont="1" applyBorder="1" applyAlignment="1">
      <alignment horizontal="center" vertical="center" wrapText="1" readingOrder="1"/>
    </xf>
    <xf numFmtId="0" fontId="36" fillId="0" borderId="66" xfId="23" applyFont="1" applyBorder="1" applyAlignment="1">
      <alignment horizontal="center" vertical="center" wrapText="1" readingOrder="1"/>
    </xf>
    <xf numFmtId="0" fontId="36" fillId="0" borderId="66" xfId="23" applyFont="1" applyBorder="1" applyAlignment="1">
      <alignment horizontal="left"/>
    </xf>
    <xf numFmtId="0" fontId="36" fillId="0" borderId="0" xfId="23" applyFont="1" applyAlignment="1">
      <alignment vertical="center"/>
    </xf>
    <xf numFmtId="0" fontId="35" fillId="0" borderId="0" xfId="23" applyFont="1" applyAlignment="1">
      <alignment vertical="center"/>
    </xf>
    <xf numFmtId="0" fontId="39" fillId="0" borderId="0" xfId="24" applyFont="1" applyAlignment="1">
      <alignment horizontal="center"/>
    </xf>
    <xf numFmtId="0" fontId="18" fillId="0" borderId="13" xfId="0" applyFont="1" applyBorder="1" applyProtection="1"/>
    <xf numFmtId="0" fontId="18" fillId="0" borderId="15" xfId="0" applyFont="1" applyBorder="1" applyProtection="1"/>
    <xf numFmtId="0" fontId="18" fillId="0" borderId="16" xfId="0" applyFont="1" applyBorder="1" applyProtection="1"/>
    <xf numFmtId="0" fontId="18" fillId="0" borderId="18" xfId="0" applyFont="1" applyBorder="1" applyProtection="1"/>
    <xf numFmtId="0" fontId="18" fillId="0" borderId="33" xfId="0" applyFont="1" applyBorder="1" applyProtection="1"/>
    <xf numFmtId="0" fontId="18" fillId="0" borderId="22" xfId="0" applyFont="1" applyBorder="1" applyProtection="1"/>
    <xf numFmtId="0" fontId="19" fillId="0" borderId="29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3" fontId="18" fillId="0" borderId="22" xfId="17" applyNumberFormat="1" applyFont="1" applyFill="1" applyBorder="1" applyAlignment="1">
      <alignment horizontal="right" vertical="center" indent="1"/>
    </xf>
    <xf numFmtId="3" fontId="19" fillId="14" borderId="17" xfId="0" applyNumberFormat="1" applyFont="1" applyFill="1" applyBorder="1" applyAlignment="1">
      <alignment horizontal="right" vertical="center" indent="1"/>
    </xf>
    <xf numFmtId="4" fontId="19" fillId="0" borderId="23" xfId="0" applyNumberFormat="1" applyFont="1" applyFill="1" applyBorder="1" applyAlignment="1">
      <alignment horizontal="right" vertical="center" wrapText="1" indent="1"/>
    </xf>
    <xf numFmtId="3" fontId="22" fillId="0" borderId="15" xfId="0" applyNumberFormat="1" applyFont="1" applyBorder="1" applyAlignment="1">
      <alignment horizontal="right" vertical="center" wrapText="1" indent="1"/>
    </xf>
    <xf numFmtId="3" fontId="23" fillId="0" borderId="15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9" applyFont="1" applyAlignment="1" applyProtection="1">
      <alignment horizontal="left" vertical="center"/>
    </xf>
    <xf numFmtId="0" fontId="21" fillId="0" borderId="0" xfId="9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3" fontId="23" fillId="0" borderId="28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right" vertical="center" indent="1"/>
    </xf>
    <xf numFmtId="3" fontId="22" fillId="0" borderId="15" xfId="0" applyNumberFormat="1" applyFont="1" applyBorder="1" applyAlignment="1">
      <alignment horizontal="right" vertical="center" indent="1"/>
    </xf>
    <xf numFmtId="3" fontId="23" fillId="0" borderId="15" xfId="0" applyNumberFormat="1" applyFont="1" applyBorder="1" applyAlignment="1">
      <alignment horizontal="right" vertical="center" indent="1"/>
    </xf>
    <xf numFmtId="3" fontId="23" fillId="0" borderId="15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19" fillId="19" borderId="19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 wrapText="1"/>
    </xf>
    <xf numFmtId="0" fontId="19" fillId="19" borderId="73" xfId="0" applyFont="1" applyFill="1" applyBorder="1" applyAlignment="1" applyProtection="1">
      <alignment horizontal="center" vertical="center" wrapText="1"/>
    </xf>
    <xf numFmtId="0" fontId="19" fillId="12" borderId="29" xfId="0" applyFont="1" applyFill="1" applyBorder="1" applyAlignment="1" applyProtection="1">
      <alignment horizontal="center" vertical="center"/>
    </xf>
    <xf numFmtId="0" fontId="19" fillId="12" borderId="30" xfId="0" applyFont="1" applyFill="1" applyBorder="1" applyAlignment="1" applyProtection="1">
      <alignment horizontal="center" vertical="center"/>
    </xf>
    <xf numFmtId="0" fontId="19" fillId="12" borderId="31" xfId="0" applyFont="1" applyFill="1" applyBorder="1" applyAlignment="1" applyProtection="1">
      <alignment horizontal="center" vertical="center"/>
    </xf>
    <xf numFmtId="0" fontId="19" fillId="12" borderId="31" xfId="0" applyFont="1" applyFill="1" applyBorder="1" applyAlignment="1" applyProtection="1">
      <alignment horizontal="center" vertical="center" wrapText="1"/>
    </xf>
    <xf numFmtId="0" fontId="19" fillId="12" borderId="32" xfId="0" applyFont="1" applyFill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3" fontId="23" fillId="0" borderId="0" xfId="0" applyNumberFormat="1" applyFont="1" applyAlignment="1">
      <alignment vertical="center"/>
    </xf>
    <xf numFmtId="0" fontId="31" fillId="12" borderId="24" xfId="0" applyFont="1" applyFill="1" applyBorder="1" applyAlignment="1">
      <alignment horizontal="center" vertical="center" wrapText="1"/>
    </xf>
    <xf numFmtId="168" fontId="32" fillId="18" borderId="24" xfId="0" applyNumberFormat="1" applyFont="1" applyFill="1" applyBorder="1"/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44" xfId="0" applyFont="1" applyFill="1" applyBorder="1" applyAlignment="1">
      <alignment horizontal="center" vertical="center" wrapText="1"/>
    </xf>
    <xf numFmtId="167" fontId="18" fillId="0" borderId="37" xfId="0" applyNumberFormat="1" applyFont="1" applyBorder="1" applyAlignment="1">
      <alignment horizontal="right"/>
    </xf>
    <xf numFmtId="167" fontId="18" fillId="0" borderId="38" xfId="0" applyNumberFormat="1" applyFont="1" applyBorder="1" applyAlignment="1">
      <alignment horizontal="right"/>
    </xf>
    <xf numFmtId="167" fontId="18" fillId="0" borderId="39" xfId="0" applyNumberFormat="1" applyFont="1" applyBorder="1" applyAlignment="1">
      <alignment horizontal="right"/>
    </xf>
    <xf numFmtId="167" fontId="18" fillId="12" borderId="40" xfId="0" applyNumberFormat="1" applyFont="1" applyFill="1" applyBorder="1" applyAlignment="1">
      <alignment horizontal="right"/>
    </xf>
    <xf numFmtId="167" fontId="18" fillId="12" borderId="41" xfId="0" applyNumberFormat="1" applyFont="1" applyFill="1" applyBorder="1" applyAlignment="1">
      <alignment horizontal="right"/>
    </xf>
    <xf numFmtId="167" fontId="18" fillId="12" borderId="42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167" fontId="18" fillId="12" borderId="37" xfId="0" applyNumberFormat="1" applyFont="1" applyFill="1" applyBorder="1" applyAlignment="1">
      <alignment horizontal="right"/>
    </xf>
    <xf numFmtId="167" fontId="18" fillId="12" borderId="38" xfId="0" applyNumberFormat="1" applyFont="1" applyFill="1" applyBorder="1" applyAlignment="1">
      <alignment horizontal="right"/>
    </xf>
    <xf numFmtId="167" fontId="18" fillId="12" borderId="3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9" fillId="12" borderId="45" xfId="0" applyFont="1" applyFill="1" applyBorder="1" applyAlignment="1"/>
    <xf numFmtId="0" fontId="19" fillId="12" borderId="46" xfId="0" applyFont="1" applyFill="1" applyBorder="1" applyAlignment="1"/>
    <xf numFmtId="0" fontId="19" fillId="12" borderId="47" xfId="0" applyFont="1" applyFill="1" applyBorder="1" applyAlignment="1"/>
    <xf numFmtId="0" fontId="19" fillId="13" borderId="48" xfId="0" applyFont="1" applyFill="1" applyBorder="1" applyAlignment="1">
      <alignment vertical="center" wrapText="1"/>
    </xf>
    <xf numFmtId="0" fontId="19" fillId="13" borderId="46" xfId="0" applyFont="1" applyFill="1" applyBorder="1" applyAlignment="1">
      <alignment vertical="center" wrapText="1"/>
    </xf>
    <xf numFmtId="0" fontId="19" fillId="13" borderId="4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/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22" fillId="0" borderId="53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35" fillId="0" borderId="0" xfId="23" applyFont="1" applyAlignment="1">
      <alignment vertical="top" wrapText="1" readingOrder="1"/>
    </xf>
    <xf numFmtId="0" fontId="39" fillId="0" borderId="0" xfId="24" applyFont="1"/>
    <xf numFmtId="0" fontId="36" fillId="0" borderId="58" xfId="23" applyFont="1" applyBorder="1" applyAlignment="1">
      <alignment horizontal="center" vertical="center" wrapText="1" readingOrder="1"/>
    </xf>
    <xf numFmtId="0" fontId="36" fillId="0" borderId="63" xfId="23" applyFont="1" applyBorder="1" applyAlignment="1">
      <alignment horizontal="center" vertical="center" wrapText="1" readingOrder="1"/>
    </xf>
    <xf numFmtId="0" fontId="36" fillId="0" borderId="59" xfId="23" applyFont="1" applyBorder="1" applyAlignment="1">
      <alignment horizontal="center" vertical="center" wrapText="1" readingOrder="1"/>
    </xf>
    <xf numFmtId="0" fontId="36" fillId="0" borderId="64" xfId="23" applyFont="1" applyBorder="1" applyAlignment="1">
      <alignment horizontal="center" vertical="center" wrapText="1" readingOrder="1"/>
    </xf>
    <xf numFmtId="0" fontId="36" fillId="0" borderId="60" xfId="23" applyFont="1" applyBorder="1" applyAlignment="1">
      <alignment horizontal="center" vertical="center" wrapText="1" readingOrder="1"/>
    </xf>
    <xf numFmtId="0" fontId="39" fillId="0" borderId="61" xfId="23" applyFont="1" applyBorder="1" applyAlignment="1">
      <alignment horizontal="center" vertical="center" wrapText="1"/>
    </xf>
    <xf numFmtId="0" fontId="39" fillId="0" borderId="62" xfId="23" applyFont="1" applyBorder="1" applyAlignment="1">
      <alignment horizontal="center" vertical="center" wrapText="1"/>
    </xf>
    <xf numFmtId="0" fontId="35" fillId="0" borderId="66" xfId="23" applyFont="1" applyBorder="1" applyAlignment="1">
      <alignment horizontal="center" vertical="center" wrapText="1" readingOrder="1"/>
    </xf>
    <xf numFmtId="0" fontId="35" fillId="0" borderId="0" xfId="23" applyFont="1" applyAlignment="1">
      <alignment horizontal="center" vertical="center" wrapText="1" readingOrder="1"/>
    </xf>
    <xf numFmtId="0" fontId="39" fillId="0" borderId="61" xfId="23" applyFont="1" applyBorder="1" applyAlignment="1">
      <alignment vertical="center" wrapText="1"/>
    </xf>
    <xf numFmtId="0" fontId="39" fillId="0" borderId="62" xfId="23" applyFont="1" applyBorder="1" applyAlignment="1">
      <alignment vertical="center" wrapText="1"/>
    </xf>
    <xf numFmtId="0" fontId="35" fillId="0" borderId="67" xfId="23" applyFont="1" applyBorder="1" applyAlignment="1">
      <alignment horizontal="center" vertical="center" wrapText="1" readingOrder="1"/>
    </xf>
    <xf numFmtId="0" fontId="35" fillId="0" borderId="71" xfId="23" applyFont="1" applyBorder="1" applyAlignment="1">
      <alignment horizontal="center" vertical="center"/>
    </xf>
    <xf numFmtId="0" fontId="35" fillId="0" borderId="0" xfId="23" applyFont="1" applyAlignment="1">
      <alignment horizontal="center" vertical="center"/>
    </xf>
    <xf numFmtId="0" fontId="36" fillId="0" borderId="71" xfId="23" applyFont="1" applyBorder="1" applyAlignment="1">
      <alignment horizontal="center" vertical="center"/>
    </xf>
    <xf numFmtId="0" fontId="36" fillId="0" borderId="0" xfId="23" applyFont="1" applyAlignment="1">
      <alignment horizontal="center" vertical="center"/>
    </xf>
    <xf numFmtId="0" fontId="35" fillId="0" borderId="71" xfId="23" applyFont="1" applyBorder="1" applyAlignment="1">
      <alignment horizontal="center" vertical="center" wrapText="1"/>
    </xf>
    <xf numFmtId="0" fontId="35" fillId="0" borderId="0" xfId="23" applyFont="1" applyAlignment="1">
      <alignment horizontal="center" vertical="center" wrapText="1"/>
    </xf>
    <xf numFmtId="0" fontId="37" fillId="0" borderId="71" xfId="23" applyFont="1" applyBorder="1" applyAlignment="1">
      <alignment horizontal="center" vertical="center"/>
    </xf>
    <xf numFmtId="0" fontId="35" fillId="0" borderId="70" xfId="23" applyFont="1" applyBorder="1" applyAlignment="1">
      <alignment horizontal="center" vertical="center"/>
    </xf>
    <xf numFmtId="0" fontId="35" fillId="0" borderId="67" xfId="23" applyFont="1" applyBorder="1" applyAlignment="1">
      <alignment horizontal="center" vertical="center"/>
    </xf>
    <xf numFmtId="0" fontId="36" fillId="0" borderId="71" xfId="23" applyFont="1" applyBorder="1" applyAlignment="1">
      <alignment horizontal="center" vertical="center" wrapText="1"/>
    </xf>
    <xf numFmtId="0" fontId="36" fillId="0" borderId="0" xfId="23" applyFont="1" applyAlignment="1">
      <alignment horizontal="center" vertical="center" wrapText="1"/>
    </xf>
    <xf numFmtId="0" fontId="39" fillId="0" borderId="0" xfId="24" applyFont="1" applyAlignment="1">
      <alignment horizontal="center"/>
    </xf>
    <xf numFmtId="0" fontId="36" fillId="0" borderId="59" xfId="23" applyFont="1" applyBorder="1" applyAlignment="1">
      <alignment horizontal="left" vertical="center" wrapText="1"/>
    </xf>
    <xf numFmtId="0" fontId="36" fillId="0" borderId="64" xfId="23" applyFont="1" applyBorder="1" applyAlignment="1">
      <alignment horizontal="left" vertical="center" wrapText="1"/>
    </xf>
    <xf numFmtId="0" fontId="36" fillId="0" borderId="67" xfId="23" applyFont="1" applyBorder="1" applyAlignment="1">
      <alignment horizontal="center" vertical="center" wrapText="1" readingOrder="1"/>
    </xf>
    <xf numFmtId="0" fontId="39" fillId="0" borderId="67" xfId="23" applyFont="1" applyBorder="1" applyAlignment="1">
      <alignment vertical="center" wrapText="1"/>
    </xf>
    <xf numFmtId="0" fontId="36" fillId="0" borderId="70" xfId="23" applyFont="1" applyBorder="1" applyAlignment="1">
      <alignment horizontal="center" vertical="center" wrapText="1" readingOrder="1"/>
    </xf>
    <xf numFmtId="0" fontId="19" fillId="12" borderId="45" xfId="0" applyFont="1" applyFill="1" applyBorder="1"/>
    <xf numFmtId="164" fontId="18" fillId="0" borderId="74" xfId="0" applyNumberFormat="1" applyFont="1" applyFill="1" applyBorder="1"/>
    <xf numFmtId="164" fontId="18" fillId="0" borderId="75" xfId="0" applyNumberFormat="1" applyFont="1" applyFill="1" applyBorder="1"/>
    <xf numFmtId="0" fontId="19" fillId="12" borderId="10" xfId="0" applyFont="1" applyFill="1" applyBorder="1"/>
    <xf numFmtId="164" fontId="18" fillId="0" borderId="13" xfId="0" applyNumberFormat="1" applyFont="1" applyFill="1" applyBorder="1"/>
    <xf numFmtId="164" fontId="18" fillId="0" borderId="16" xfId="0" applyNumberFormat="1" applyFont="1" applyFill="1" applyBorder="1"/>
  </cellXfs>
  <cellStyles count="26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Hiperłącze 2" xfId="25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" xfId="23"/>
    <cellStyle name="Normalny" xfId="0" builtinId="0"/>
    <cellStyle name="Normalny 3" xfId="24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M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MW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  <sheetName val="Tab.G21"/>
      <sheetName val="2024-01-30_MWIG"/>
    </sheetNames>
    <sheetDataSet>
      <sheetData sheetId="0"/>
      <sheetData sheetId="1"/>
      <sheetData sheetId="2"/>
      <sheetData sheetId="3">
        <row r="73">
          <cell r="F73">
            <v>0</v>
          </cell>
        </row>
      </sheetData>
      <sheetData sheetId="4"/>
      <sheetData sheetId="5">
        <row r="40">
          <cell r="F40">
            <v>0</v>
          </cell>
        </row>
      </sheetData>
      <sheetData sheetId="6"/>
      <sheetData sheetId="7"/>
      <sheetData sheetId="8">
        <row r="73">
          <cell r="F7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G8">
            <v>0</v>
          </cell>
        </row>
      </sheetData>
      <sheetData sheetId="34">
        <row r="12">
          <cell r="E12" t="str">
            <v>[h]</v>
          </cell>
          <cell r="F12"/>
          <cell r="G12"/>
        </row>
      </sheetData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1.1439999999999999</v>
          </cell>
        </row>
        <row r="36">
          <cell r="D36">
            <v>1.1140000000000001</v>
          </cell>
        </row>
        <row r="37">
          <cell r="D37">
            <v>1.0660000000000001</v>
          </cell>
        </row>
        <row r="38">
          <cell r="D38">
            <v>1.0409999999999999</v>
          </cell>
        </row>
        <row r="39">
          <cell r="D39">
            <v>1.0309999999999999</v>
          </cell>
        </row>
        <row r="40">
          <cell r="D40">
            <v>1.0249999999999999</v>
          </cell>
        </row>
        <row r="41">
          <cell r="D41">
            <v>0.97899999999999998</v>
          </cell>
        </row>
        <row r="42">
          <cell r="D42">
            <v>1.0029999999999999</v>
          </cell>
        </row>
        <row r="43">
          <cell r="D43">
            <v>1.03</v>
          </cell>
        </row>
        <row r="44">
          <cell r="D44">
            <v>1.028</v>
          </cell>
        </row>
        <row r="45">
          <cell r="D45">
            <v>1.028</v>
          </cell>
        </row>
        <row r="46">
          <cell r="D46">
            <v>1.0249999999999999</v>
          </cell>
        </row>
        <row r="47">
          <cell r="D47">
            <v>1.0249999999999999</v>
          </cell>
        </row>
        <row r="48">
          <cell r="D48">
            <v>1.0249999999999999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3028"/>
  <sheetViews>
    <sheetView tabSelected="1" topLeftCell="H1" zoomScaleNormal="85" workbookViewId="0">
      <selection activeCell="L46" sqref="L46:O46"/>
    </sheetView>
  </sheetViews>
  <sheetFormatPr defaultColWidth="9.140625" defaultRowHeight="12.75" outlineLevelRow="1"/>
  <cols>
    <col min="1" max="1" width="9.7109375" style="144" customWidth="1"/>
    <col min="2" max="2" width="9.140625" style="3"/>
    <col min="3" max="3" width="42.7109375" style="3" customWidth="1"/>
    <col min="4" max="4" width="17.5703125" style="3" customWidth="1"/>
    <col min="5" max="5" width="17.42578125" style="3" customWidth="1"/>
    <col min="6" max="6" width="16.140625" style="3" customWidth="1"/>
    <col min="7" max="7" width="20.42578125" style="3" customWidth="1"/>
    <col min="8" max="8" width="17" style="3" customWidth="1"/>
    <col min="9" max="9" width="17.28515625" style="3" customWidth="1"/>
    <col min="10" max="10" width="17" style="3" customWidth="1"/>
    <col min="11" max="11" width="15.5703125" style="3" customWidth="1"/>
    <col min="12" max="12" width="17.5703125" style="3" customWidth="1"/>
    <col min="13" max="13" width="17.7109375" style="3" customWidth="1"/>
    <col min="14" max="14" width="20.140625" style="3" customWidth="1"/>
    <col min="15" max="15" width="21" style="3" customWidth="1"/>
    <col min="16" max="16" width="25.140625" style="3" customWidth="1"/>
    <col min="17" max="17" width="17.42578125" style="3" customWidth="1"/>
    <col min="18" max="18" width="18.140625" style="3" customWidth="1"/>
    <col min="19" max="19" width="19.28515625" style="3" customWidth="1"/>
    <col min="20" max="20" width="16.140625" style="3" customWidth="1"/>
    <col min="21" max="21" width="17.140625" style="3" customWidth="1"/>
    <col min="22" max="22" width="17.28515625" style="3" customWidth="1"/>
    <col min="23" max="23" width="19.140625" style="3" customWidth="1"/>
    <col min="24" max="26" width="16.7109375" style="3" customWidth="1"/>
    <col min="27" max="27" width="19" style="3" customWidth="1"/>
    <col min="28" max="30" width="16.7109375" style="3" customWidth="1"/>
    <col min="31" max="31" width="19.85546875" style="3" customWidth="1"/>
    <col min="32" max="34" width="16.7109375" style="3" customWidth="1"/>
    <col min="35" max="35" width="20.42578125" style="3" customWidth="1"/>
    <col min="36" max="16384" width="9.140625" style="3"/>
  </cols>
  <sheetData>
    <row r="1" spans="1:26" ht="15.75">
      <c r="B1" s="1" t="s">
        <v>42</v>
      </c>
      <c r="C1" s="2" t="s">
        <v>28</v>
      </c>
    </row>
    <row r="2" spans="1:26" ht="13.5" thickBot="1"/>
    <row r="3" spans="1:26" ht="13.5" thickTop="1">
      <c r="B3" s="4"/>
      <c r="C3" s="223" t="s">
        <v>25</v>
      </c>
      <c r="D3" s="224"/>
      <c r="E3" s="224"/>
      <c r="F3" s="224"/>
      <c r="G3" s="225"/>
      <c r="H3" s="5">
        <f>Rok_DSP</f>
        <v>2019</v>
      </c>
      <c r="I3" s="5">
        <f>H3+1</f>
        <v>2020</v>
      </c>
      <c r="J3" s="5">
        <f t="shared" ref="J3:O3" si="0">I3+1</f>
        <v>2021</v>
      </c>
      <c r="K3" s="5">
        <f t="shared" si="0"/>
        <v>2022</v>
      </c>
      <c r="L3" s="5">
        <f t="shared" si="0"/>
        <v>2023</v>
      </c>
      <c r="M3" s="290">
        <f t="shared" si="0"/>
        <v>2024</v>
      </c>
      <c r="N3" s="293">
        <f t="shared" si="0"/>
        <v>2025</v>
      </c>
      <c r="O3" s="5">
        <f t="shared" si="0"/>
        <v>2026</v>
      </c>
      <c r="P3" s="5">
        <f t="shared" ref="P3" si="1">O3+1</f>
        <v>2027</v>
      </c>
      <c r="Q3" s="5">
        <f t="shared" ref="Q3:R3" si="2">P3+1</f>
        <v>2028</v>
      </c>
      <c r="R3" s="6">
        <f t="shared" si="2"/>
        <v>2029</v>
      </c>
      <c r="S3"/>
      <c r="T3"/>
      <c r="U3"/>
      <c r="V3"/>
      <c r="W3"/>
      <c r="X3"/>
      <c r="Y3"/>
      <c r="Z3"/>
    </row>
    <row r="4" spans="1:26" s="11" customFormat="1" ht="12.75" customHeight="1">
      <c r="A4" s="176"/>
      <c r="B4" s="7">
        <v>1</v>
      </c>
      <c r="C4" s="231" t="s">
        <v>26</v>
      </c>
      <c r="D4" s="232"/>
      <c r="E4" s="232"/>
      <c r="F4" s="232"/>
      <c r="G4" s="8" t="str">
        <f t="shared" ref="G4" si="3">JM_02</f>
        <v>[%]</v>
      </c>
      <c r="H4" s="9">
        <v>1.0229999999999999</v>
      </c>
      <c r="I4" s="9">
        <v>1.034</v>
      </c>
      <c r="J4" s="9">
        <v>1.0509999999999999</v>
      </c>
      <c r="K4" s="9">
        <f>[3]LP!$D$35</f>
        <v>1.1439999999999999</v>
      </c>
      <c r="L4" s="9">
        <f>[3]LP!$D$36</f>
        <v>1.1140000000000001</v>
      </c>
      <c r="M4" s="291">
        <f>[3]LP!$D$37</f>
        <v>1.0660000000000001</v>
      </c>
      <c r="N4" s="294">
        <f>[3]LP!$D$38</f>
        <v>1.0409999999999999</v>
      </c>
      <c r="O4" s="9">
        <f>[3]LP!$D$39</f>
        <v>1.0309999999999999</v>
      </c>
      <c r="P4" s="9">
        <f>[3]LP!$D$40</f>
        <v>1.0249999999999999</v>
      </c>
      <c r="Q4" s="9">
        <f>[3]LP!$D$40</f>
        <v>1.0249999999999999</v>
      </c>
      <c r="R4" s="10">
        <f>[3]LP!$D$40</f>
        <v>1.0249999999999999</v>
      </c>
      <c r="S4"/>
      <c r="T4"/>
      <c r="U4"/>
      <c r="V4"/>
      <c r="W4"/>
      <c r="X4"/>
      <c r="Y4"/>
      <c r="Z4"/>
    </row>
    <row r="5" spans="1:26" s="11" customFormat="1" ht="15.75" customHeight="1" thickBot="1">
      <c r="A5" s="176"/>
      <c r="B5" s="12">
        <v>2</v>
      </c>
      <c r="C5" s="229" t="s">
        <v>27</v>
      </c>
      <c r="D5" s="230"/>
      <c r="E5" s="230"/>
      <c r="F5" s="230"/>
      <c r="G5" s="13" t="str">
        <f t="shared" ref="G5" si="4">JM_02</f>
        <v>[%]</v>
      </c>
      <c r="H5" s="14">
        <v>1.048</v>
      </c>
      <c r="I5" s="14">
        <v>1.0169999999999999</v>
      </c>
      <c r="J5" s="14">
        <v>1.03</v>
      </c>
      <c r="K5" s="14">
        <f>[3]LP!$D$41</f>
        <v>0.97899999999999998</v>
      </c>
      <c r="L5" s="14">
        <f>[3]LP!$D$42</f>
        <v>1.0029999999999999</v>
      </c>
      <c r="M5" s="292">
        <f>[3]LP!$D$43</f>
        <v>1.03</v>
      </c>
      <c r="N5" s="295">
        <f>[3]LP!$D$44</f>
        <v>1.028</v>
      </c>
      <c r="O5" s="14">
        <f>[3]LP!$D$45</f>
        <v>1.028</v>
      </c>
      <c r="P5" s="14">
        <f>[3]LP!$D$46</f>
        <v>1.0249999999999999</v>
      </c>
      <c r="Q5" s="14">
        <f>[3]LP!$D$47</f>
        <v>1.0249999999999999</v>
      </c>
      <c r="R5" s="15">
        <f>[3]LP!$D$48</f>
        <v>1.0249999999999999</v>
      </c>
      <c r="S5"/>
      <c r="T5"/>
      <c r="U5"/>
      <c r="V5"/>
      <c r="W5"/>
      <c r="X5"/>
      <c r="Y5"/>
      <c r="Z5"/>
    </row>
    <row r="6" spans="1:26" s="11" customFormat="1" ht="5.25" customHeight="1" thickTop="1">
      <c r="A6" s="176"/>
      <c r="B6" s="16"/>
      <c r="C6" s="17"/>
      <c r="D6" s="18"/>
      <c r="E6" s="18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6" ht="15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26" ht="15" customHeight="1">
      <c r="B8" s="20"/>
      <c r="C8" s="24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26" ht="15" customHeight="1">
      <c r="B9" s="20"/>
      <c r="C9" s="24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26" ht="13.5" thickBot="1"/>
    <row r="11" spans="1:26" s="11" customFormat="1" ht="65.25" customHeight="1" thickTop="1" thickBot="1">
      <c r="A11" s="181" t="str">
        <f>"ID TERYT"</f>
        <v>ID TERYT</v>
      </c>
      <c r="B11" s="182" t="str">
        <f>"WOJ."</f>
        <v>WOJ.</v>
      </c>
      <c r="C11" s="25" t="s">
        <v>29</v>
      </c>
      <c r="D11" s="26" t="s">
        <v>30</v>
      </c>
      <c r="E11" s="26" t="s">
        <v>31</v>
      </c>
      <c r="F11" s="27" t="s">
        <v>59</v>
      </c>
      <c r="G11" s="27" t="str">
        <f>"Średni ważony dochód w "&amp;Rok_DSP&amp;" r."</f>
        <v>Średni ważony dochód w 2019 r.</v>
      </c>
      <c r="H11" s="27">
        <f>SUM(Rok_DSP,1)</f>
        <v>2020</v>
      </c>
      <c r="I11" s="27">
        <f t="shared" ref="I11:N11" si="5">SUM(H11,1)</f>
        <v>2021</v>
      </c>
      <c r="J11" s="27">
        <f t="shared" si="5"/>
        <v>2022</v>
      </c>
      <c r="K11" s="27">
        <f t="shared" si="5"/>
        <v>2023</v>
      </c>
      <c r="L11" s="27">
        <f t="shared" si="5"/>
        <v>2024</v>
      </c>
      <c r="M11" s="27">
        <f t="shared" si="5"/>
        <v>2025</v>
      </c>
      <c r="N11" s="27">
        <f t="shared" si="5"/>
        <v>2026</v>
      </c>
      <c r="O11" s="27">
        <f t="shared" ref="O11" si="6">SUM(N11,1)</f>
        <v>2027</v>
      </c>
      <c r="P11" s="27">
        <f t="shared" ref="P11:Q11" si="7">SUM(O11,1)</f>
        <v>2028</v>
      </c>
      <c r="Q11" s="27">
        <f t="shared" si="7"/>
        <v>2029</v>
      </c>
      <c r="R11"/>
      <c r="S11"/>
      <c r="T11"/>
      <c r="U11"/>
      <c r="V11"/>
    </row>
    <row r="12" spans="1:26" s="11" customFormat="1" ht="13.5" thickTop="1">
      <c r="A12" s="183"/>
      <c r="B12" s="28"/>
      <c r="C12" s="226" t="s">
        <v>38</v>
      </c>
      <c r="D12" s="227"/>
      <c r="E12" s="2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/>
      <c r="S12"/>
      <c r="T12"/>
      <c r="U12"/>
      <c r="V12"/>
    </row>
    <row r="13" spans="1:26" s="11" customFormat="1" ht="13.5" customHeight="1" outlineLevel="1">
      <c r="A13" s="177" t="str">
        <f>'demografia gminy'!$A$1277</f>
        <v>141501 2</v>
      </c>
      <c r="B13" s="178" t="str">
        <f>IFERROR(VLOOKUP($A13,'demografia gminy'!$A$6:$C$2955,2,FALSE),"")</f>
        <v>maz</v>
      </c>
      <c r="C13" s="30" t="str">
        <f>IFERROR(VLOOKUP($A13,'demografia gminy'!$A$6:$C$2955,3,FALSE),"")</f>
        <v>gm. w. Baranowo</v>
      </c>
      <c r="D13" s="137">
        <f>IFERROR(VLOOKUP($A13,'demografia gminy'!$A$6:$D$2955,4,FALSE),"")</f>
        <v>6496</v>
      </c>
      <c r="E13" s="139">
        <f>IFERROR(VLOOKUP(LEFT($A13,2),'mediana dochodu'!$A$4:$H$19,IF($D13&lt;'mediana dochodu'!$G$2,6,IF($D13&lt;='mediana dochodu'!$H$2,7,8)),FALSE),"")</f>
        <v>1478.44</v>
      </c>
      <c r="F13" s="31">
        <f>D13/$D$38</f>
        <v>1.536507425900652E-2</v>
      </c>
      <c r="G13" s="32">
        <f>F13*E13</f>
        <v>22.716340387485602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/>
      <c r="S13"/>
      <c r="T13"/>
      <c r="U13"/>
      <c r="V13"/>
    </row>
    <row r="14" spans="1:26" s="11" customFormat="1" ht="13.5" customHeight="1" outlineLevel="1">
      <c r="A14" s="177" t="str">
        <f>'demografia gminy'!$A$1813</f>
        <v>200201 3</v>
      </c>
      <c r="B14" s="178" t="str">
        <f>IFERROR(VLOOKUP($A14,'demografia gminy'!$A$6:$C$2955,2,FALSE),"")</f>
        <v>podl</v>
      </c>
      <c r="C14" s="30" t="str">
        <f>IFERROR(VLOOKUP($A14,'demografia gminy'!$A$6:$C$2955,3,FALSE),"")</f>
        <v>gm. m.-w. Choroszcz</v>
      </c>
      <c r="D14" s="137">
        <f>IFERROR(VLOOKUP($A14,'demografia gminy'!$A$6:$D$2955,4,FALSE),"")</f>
        <v>15528</v>
      </c>
      <c r="E14" s="139">
        <f>IFERROR(VLOOKUP(LEFT($A14,2),'mediana dochodu'!$A$4:$H$19,IF($D14&lt;'mediana dochodu'!$G$2,6,IF($D14&lt;='mediana dochodu'!$H$2,7,8)),FALSE),"")</f>
        <v>1507.26</v>
      </c>
      <c r="F14" s="31">
        <f t="shared" ref="F14:F37" si="8">D14/$D$38</f>
        <v>3.672858268070401E-2</v>
      </c>
      <c r="G14" s="32">
        <f t="shared" ref="G14:G26" si="9">F14*E14</f>
        <v>55.359523531317926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/>
      <c r="S14"/>
      <c r="T14"/>
      <c r="U14"/>
      <c r="V14"/>
    </row>
    <row r="15" spans="1:26" s="11" customFormat="1" ht="13.5" customHeight="1" outlineLevel="1">
      <c r="A15" s="177" t="str">
        <f>'demografia gminy'!$A$1279</f>
        <v>141503 2</v>
      </c>
      <c r="B15" s="178" t="str">
        <f>IFERROR(VLOOKUP($A15,'demografia gminy'!$A$6:$C$2955,2,FALSE),"")</f>
        <v>maz</v>
      </c>
      <c r="C15" s="30" t="str">
        <f>IFERROR(VLOOKUP($A15,'demografia gminy'!$A$6:$C$2955,3,FALSE),"")</f>
        <v>gm. w. Czerwin</v>
      </c>
      <c r="D15" s="137">
        <f>IFERROR(VLOOKUP($A15,'demografia gminy'!$A$6:$D$2955,4,FALSE),"")</f>
        <v>5098</v>
      </c>
      <c r="E15" s="139">
        <f>IFERROR(VLOOKUP(LEFT($A15,2),'mediana dochodu'!$A$4:$H$19,IF($D15&lt;'mediana dochodu'!$G$2,6,IF($D15&lt;='mediana dochodu'!$H$2,7,8)),FALSE),"")</f>
        <v>1478.44</v>
      </c>
      <c r="F15" s="31">
        <f t="shared" si="8"/>
        <v>1.2058366467428454E-2</v>
      </c>
      <c r="G15" s="32">
        <f t="shared" si="9"/>
        <v>17.827571320104926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/>
      <c r="S15"/>
      <c r="T15"/>
      <c r="U15"/>
      <c r="V15"/>
    </row>
    <row r="16" spans="1:26" s="11" customFormat="1" ht="13.5" customHeight="1" outlineLevel="1">
      <c r="A16" s="177" t="str">
        <f>'demografia gminy'!$A$1815</f>
        <v>200203 2</v>
      </c>
      <c r="B16" s="178" t="str">
        <f>IFERROR(VLOOKUP($A16,'demografia gminy'!$A$6:$C$2955,2,FALSE),"")</f>
        <v>podl</v>
      </c>
      <c r="C16" s="30" t="str">
        <f>IFERROR(VLOOKUP($A16,'demografia gminy'!$A$6:$C$2955,3,FALSE),"")</f>
        <v>gm. w. Dobrzyniewo Duże</v>
      </c>
      <c r="D16" s="137">
        <f>IFERROR(VLOOKUP($A16,'demografia gminy'!$A$6:$D$2955,4,FALSE),"")</f>
        <v>9423</v>
      </c>
      <c r="E16" s="139">
        <f>IFERROR(VLOOKUP(LEFT($A16,2),'mediana dochodu'!$A$4:$H$19,IF($D16&lt;'mediana dochodu'!$G$2,6,IF($D16&lt;='mediana dochodu'!$H$2,7,8)),FALSE),"")</f>
        <v>1507.26</v>
      </c>
      <c r="F16" s="31">
        <f t="shared" si="8"/>
        <v>2.2288345865550868E-2</v>
      </c>
      <c r="G16" s="32">
        <f t="shared" si="9"/>
        <v>33.594332189310201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/>
      <c r="S16"/>
      <c r="T16"/>
      <c r="U16"/>
      <c r="V16"/>
    </row>
    <row r="17" spans="1:22" s="11" customFormat="1" ht="13.5" customHeight="1" outlineLevel="1">
      <c r="A17" s="177" t="str">
        <f>'demografia gminy'!$A$2441</f>
        <v>280501 1</v>
      </c>
      <c r="B17" s="178" t="s">
        <v>32</v>
      </c>
      <c r="C17" s="30" t="s">
        <v>56</v>
      </c>
      <c r="D17" s="137">
        <f>IFERROR(VLOOKUP($A17,'demografia gminy'!$A$6:$D$2955,4,FALSE),"")</f>
        <v>62109</v>
      </c>
      <c r="E17" s="139">
        <f>IFERROR(VLOOKUP(LEFT($A17,2),'mediana dochodu'!$A$4:$H$19,IF($D17&lt;'mediana dochodu'!$G$2,6,IF($D17&lt;='mediana dochodu'!$H$2,7,8)),FALSE),"")</f>
        <v>1783.8</v>
      </c>
      <c r="F17" s="31">
        <f t="shared" si="8"/>
        <v>0.14690723478334913</v>
      </c>
      <c r="G17" s="32">
        <f t="shared" si="9"/>
        <v>262.05312540653819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/>
      <c r="S17"/>
      <c r="T17"/>
      <c r="U17"/>
      <c r="V17"/>
    </row>
    <row r="18" spans="1:22" s="11" customFormat="1" ht="13.5" customHeight="1" outlineLevel="1">
      <c r="A18" s="177" t="str">
        <f>'demografia gminy'!$A$1817</f>
        <v>200205 2</v>
      </c>
      <c r="B18" s="178" t="str">
        <f>IFERROR(VLOOKUP($A18,'demografia gminy'!$A$6:$C$2955,2,FALSE),"")</f>
        <v>podl</v>
      </c>
      <c r="C18" s="30" t="str">
        <f>IFERROR(VLOOKUP($A18,'demografia gminy'!$A$6:$C$2955,3,FALSE),"")</f>
        <v>gm. w. Juchnowiec Kościelny</v>
      </c>
      <c r="D18" s="137">
        <f>IFERROR(VLOOKUP($A18,'demografia gminy'!$A$6:$D$2955,4,FALSE),"")</f>
        <v>16572</v>
      </c>
      <c r="E18" s="139">
        <f>IFERROR(VLOOKUP(LEFT($A18,2),'mediana dochodu'!$A$4:$H$19,IF($D18&lt;'mediana dochodu'!$G$2,6,IF($D18&lt;='mediana dochodu'!$H$2,7,8)),FALSE),"")</f>
        <v>1507.26</v>
      </c>
      <c r="F18" s="31">
        <f t="shared" si="8"/>
        <v>3.9197969615187206E-2</v>
      </c>
      <c r="G18" s="32">
        <f t="shared" si="9"/>
        <v>59.08153168218707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/>
      <c r="S18"/>
      <c r="T18"/>
      <c r="U18"/>
      <c r="V18"/>
    </row>
    <row r="19" spans="1:22" s="11" customFormat="1" ht="13.5" customHeight="1" outlineLevel="1">
      <c r="A19" s="177" t="str">
        <f>'demografia gminy'!$A$1281</f>
        <v>141505 2</v>
      </c>
      <c r="B19" s="178" t="str">
        <f>IFERROR(VLOOKUP($A19,'demografia gminy'!$A$6:$C$2955,2,FALSE),"")</f>
        <v>maz</v>
      </c>
      <c r="C19" s="30" t="str">
        <f>IFERROR(VLOOKUP($A19,'demografia gminy'!$A$6:$C$2955,3,FALSE),"")</f>
        <v>gm. w. Kadzidło</v>
      </c>
      <c r="D19" s="137">
        <f>IFERROR(VLOOKUP($A19,'demografia gminy'!$A$6:$D$2955,4,FALSE),"")</f>
        <v>11363</v>
      </c>
      <c r="E19" s="139">
        <f>IFERROR(VLOOKUP(LEFT($A19,2),'mediana dochodu'!$A$4:$H$19,IF($D19&lt;'mediana dochodu'!$G$2,6,IF($D19&lt;='mediana dochodu'!$H$2,7,8)),FALSE),"")</f>
        <v>1478.44</v>
      </c>
      <c r="F19" s="31">
        <f t="shared" si="8"/>
        <v>2.6877053387483234E-2</v>
      </c>
      <c r="G19" s="32">
        <f t="shared" si="9"/>
        <v>39.736110810190716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/>
      <c r="S19"/>
      <c r="T19"/>
      <c r="U19"/>
      <c r="V19"/>
    </row>
    <row r="20" spans="1:22" s="11" customFormat="1" ht="13.5" customHeight="1" outlineLevel="1">
      <c r="A20" s="177" t="str">
        <f>'demografia gminy'!$A$1282</f>
        <v>141506 2</v>
      </c>
      <c r="B20" s="178" t="str">
        <f>IFERROR(VLOOKUP($A20,'demografia gminy'!$A$6:$C$2955,2,FALSE),"")</f>
        <v>maz</v>
      </c>
      <c r="C20" s="30" t="str">
        <f>IFERROR(VLOOKUP($A20,'demografia gminy'!$A$6:$C$2955,3,FALSE),"")</f>
        <v>gm. w. Lelis</v>
      </c>
      <c r="D20" s="137">
        <f>IFERROR(VLOOKUP($A20,'demografia gminy'!$A$6:$D$2955,4,FALSE),"")</f>
        <v>9707</v>
      </c>
      <c r="E20" s="139">
        <f>IFERROR(VLOOKUP(LEFT($A20,2),'mediana dochodu'!$A$4:$H$19,IF($D20&lt;'mediana dochodu'!$G$2,6,IF($D20&lt;='mediana dochodu'!$H$2,7,8)),FALSE),"")</f>
        <v>1478.44</v>
      </c>
      <c r="F20" s="31">
        <f t="shared" si="8"/>
        <v>2.2960094801751277E-2</v>
      </c>
      <c r="G20" s="32">
        <f t="shared" si="9"/>
        <v>33.945122558701158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/>
      <c r="S20"/>
      <c r="T20"/>
      <c r="U20"/>
      <c r="V20"/>
    </row>
    <row r="21" spans="1:22" s="11" customFormat="1" ht="13.5" customHeight="1" outlineLevel="1">
      <c r="A21" s="177" t="str">
        <f>'demografia gminy'!$A$1818</f>
        <v>200206 3</v>
      </c>
      <c r="B21" s="178" t="str">
        <f>IFERROR(VLOOKUP($A21,'demografia gminy'!$A$6:$C$2955,2,FALSE),"")</f>
        <v>podl</v>
      </c>
      <c r="C21" s="30" t="str">
        <f>IFERROR(VLOOKUP($A21,'demografia gminy'!$A$6:$C$2955,3,FALSE),"")</f>
        <v>gm. m.-w. Łapy</v>
      </c>
      <c r="D21" s="137">
        <f>IFERROR(VLOOKUP($A21,'demografia gminy'!$A$6:$D$2955,4,FALSE),"")</f>
        <v>21848</v>
      </c>
      <c r="E21" s="139">
        <f>IFERROR(VLOOKUP(LEFT($A21,2),'mediana dochodu'!$A$4:$H$19,IF($D21&lt;'mediana dochodu'!$G$2,6,IF($D21&lt;='mediana dochodu'!$H$2,7,8)),FALSE),"")</f>
        <v>1935.69</v>
      </c>
      <c r="F21" s="31">
        <f t="shared" si="8"/>
        <v>5.1677361824318729E-2</v>
      </c>
      <c r="G21" s="32">
        <f t="shared" si="9"/>
        <v>100.03135250971552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/>
      <c r="S21"/>
      <c r="T21"/>
      <c r="U21"/>
      <c r="V21"/>
    </row>
    <row r="22" spans="1:22" s="11" customFormat="1" ht="13.5" customHeight="1" outlineLevel="1">
      <c r="A22" s="177" t="str">
        <f>'demografia gminy'!$A$2480</f>
        <v>281002 3</v>
      </c>
      <c r="B22" s="178" t="s">
        <v>32</v>
      </c>
      <c r="C22" s="30" t="s">
        <v>56</v>
      </c>
      <c r="D22" s="137">
        <f>IFERROR(VLOOKUP($A22,'demografia gminy'!$A$6:$D$2955,4,FALSE),"")</f>
        <v>8131</v>
      </c>
      <c r="E22" s="139">
        <f>IFERROR(VLOOKUP(LEFT($A22,2),'mediana dochodu'!$A$4:$H$19,IF($D22&lt;'mediana dochodu'!$G$2,6,IF($D22&lt;='mediana dochodu'!$H$2,7,8)),FALSE),"")</f>
        <v>1365.97</v>
      </c>
      <c r="F22" s="31">
        <f t="shared" si="8"/>
        <v>1.9232361268470138E-2</v>
      </c>
      <c r="G22" s="32">
        <f t="shared" si="9"/>
        <v>26.270828521892156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/>
      <c r="S22"/>
      <c r="T22"/>
      <c r="U22"/>
      <c r="V22"/>
    </row>
    <row r="23" spans="1:22" s="11" customFormat="1" ht="13.5" customHeight="1" outlineLevel="1">
      <c r="A23" s="177" t="str">
        <f>'demografia gminy'!$A$1285</f>
        <v>141509 2</v>
      </c>
      <c r="B23" s="178" t="str">
        <f>IFERROR(VLOOKUP($A23,'demografia gminy'!$A$6:$C$2955,2,FALSE),"")</f>
        <v>maz</v>
      </c>
      <c r="C23" s="30" t="str">
        <f>IFERROR(VLOOKUP($A23,'demografia gminy'!$A$6:$C$2955,3,FALSE),"")</f>
        <v>gm. w. Olszewo-Borki</v>
      </c>
      <c r="D23" s="137">
        <f>IFERROR(VLOOKUP($A23,'demografia gminy'!$A$6:$D$2955,4,FALSE),"")</f>
        <v>10786</v>
      </c>
      <c r="E23" s="139">
        <f>IFERROR(VLOOKUP(LEFT($A23,2),'mediana dochodu'!$A$4:$H$19,IF($D23&lt;'mediana dochodu'!$G$2,6,IF($D23&lt;='mediana dochodu'!$H$2,7,8)),FALSE),"")</f>
        <v>1478.44</v>
      </c>
      <c r="F23" s="31">
        <f t="shared" si="8"/>
        <v>2.5512267696681704E-2</v>
      </c>
      <c r="G23" s="32">
        <f t="shared" si="9"/>
        <v>37.718357053482102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/>
      <c r="S23"/>
      <c r="T23"/>
      <c r="U23"/>
      <c r="V23"/>
    </row>
    <row r="24" spans="1:22" s="11" customFormat="1" ht="13.5" customHeight="1" outlineLevel="1">
      <c r="A24" s="177" t="str">
        <f>'demografia gminy'!$A$2526</f>
        <v>281603 3</v>
      </c>
      <c r="B24" s="178" t="str">
        <f>IFERROR(VLOOKUP($A24,'demografia gminy'!$A$6:$C$2955,2,FALSE),"")</f>
        <v>war-maz</v>
      </c>
      <c r="C24" s="30" t="str">
        <f>IFERROR(VLOOKUP($A24,'demografia gminy'!$A$6:$C$2955,3,FALSE),"")</f>
        <v>gm. m.-w. Pisz</v>
      </c>
      <c r="D24" s="137">
        <f>IFERROR(VLOOKUP($A24,'demografia gminy'!$A$6:$D$2955,4,FALSE),"")</f>
        <v>27659</v>
      </c>
      <c r="E24" s="139">
        <f>IFERROR(VLOOKUP(LEFT($A24,2),'mediana dochodu'!$A$4:$H$19,IF($D24&lt;'mediana dochodu'!$G$2,6,IF($D24&lt;='mediana dochodu'!$H$2,7,8)),FALSE),"")</f>
        <v>1783.8</v>
      </c>
      <c r="F24" s="31">
        <f t="shared" si="8"/>
        <v>6.5422196571715108E-2</v>
      </c>
      <c r="G24" s="32">
        <f t="shared" si="9"/>
        <v>116.70011424462541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/>
      <c r="S24"/>
      <c r="T24"/>
      <c r="U24"/>
      <c r="V24"/>
    </row>
    <row r="25" spans="1:22" s="11" customFormat="1" ht="13.5" customHeight="1" outlineLevel="1">
      <c r="A25" s="177" t="str">
        <f>'demografia gminy'!$A$800</f>
        <v>100706 2</v>
      </c>
      <c r="B25" s="178" t="str">
        <f>IFERROR(VLOOKUP($A25,'demografia gminy'!$A$6:$C$2955,2,FALSE),"")</f>
        <v>lodz</v>
      </c>
      <c r="C25" s="30" t="str">
        <f>IFERROR(VLOOKUP($A25,'demografia gminy'!$A$6:$C$2955,3,FALSE),"")</f>
        <v>gm. w. Poświętne</v>
      </c>
      <c r="D25" s="137">
        <f>IFERROR(VLOOKUP($A25,'demografia gminy'!$A$6:$D$2955,4,FALSE),"")</f>
        <v>3148</v>
      </c>
      <c r="E25" s="139">
        <f>IFERROR(VLOOKUP(LEFT($A25,2),'mediana dochodu'!$A$4:$H$19,IF($D25&lt;'mediana dochodu'!$G$2,6,IF($D25&lt;='mediana dochodu'!$H$2,7,8)),FALSE),"")</f>
        <v>1444.37</v>
      </c>
      <c r="F25" s="31">
        <f t="shared" si="8"/>
        <v>7.4460058139397363E-3</v>
      </c>
      <c r="G25" s="32">
        <f t="shared" si="9"/>
        <v>10.754787417480136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/>
      <c r="S25"/>
      <c r="T25"/>
      <c r="U25"/>
      <c r="V25"/>
    </row>
    <row r="26" spans="1:22" s="11" customFormat="1" ht="13.5" customHeight="1" outlineLevel="1">
      <c r="A26" s="177" t="str">
        <f>'demografia gminy'!$A$2451</f>
        <v>280608 3</v>
      </c>
      <c r="B26" s="178" t="str">
        <f>IFERROR(VLOOKUP($A26,'demografia gminy'!$A$6:$C$2955,2,FALSE),"")</f>
        <v>war-maz</v>
      </c>
      <c r="C26" s="30" t="str">
        <f>IFERROR(VLOOKUP($A26,'demografia gminy'!$A$6:$C$2955,3,FALSE),"")</f>
        <v>gm. m.-w. Ryn</v>
      </c>
      <c r="D26" s="137">
        <f>IFERROR(VLOOKUP($A26,'demografia gminy'!$A$6:$D$2955,4,FALSE),"")</f>
        <v>5668</v>
      </c>
      <c r="E26" s="139">
        <f>IFERROR(VLOOKUP(LEFT($A26,2),'mediana dochodu'!$A$4:$H$19,IF($D26&lt;'mediana dochodu'!$G$2,6,IF($D26&lt;='mediana dochodu'!$H$2,7,8)),FALSE),"")</f>
        <v>1365.97</v>
      </c>
      <c r="F26" s="31">
        <f t="shared" si="8"/>
        <v>1.3406594966140542E-2</v>
      </c>
      <c r="G26" s="32">
        <f t="shared" si="9"/>
        <v>18.313006525898995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/>
      <c r="S26"/>
      <c r="T26"/>
      <c r="U26"/>
      <c r="V26"/>
    </row>
    <row r="27" spans="1:22" s="11" customFormat="1" ht="13.5" customHeight="1" outlineLevel="1">
      <c r="A27" s="177" t="str">
        <f>'demografia gminy'!$A$1267</f>
        <v>141309 2</v>
      </c>
      <c r="B27" s="178" t="s">
        <v>32</v>
      </c>
      <c r="C27" s="30" t="s">
        <v>56</v>
      </c>
      <c r="D27" s="137">
        <f>IFERROR(VLOOKUP($A27,'demografia gminy'!$A$6:$D$2955,4,FALSE),"")</f>
        <v>4048</v>
      </c>
      <c r="E27" s="139">
        <f>IFERROR(VLOOKUP(LEFT($A27,2),'mediana dochodu'!$A$4:$H$19,IF($D27&lt;'mediana dochodu'!$G$2,6,IF($D27&lt;='mediana dochodu'!$H$2,7,8)),FALSE),"")</f>
        <v>1478.44</v>
      </c>
      <c r="F27" s="31">
        <f t="shared" si="8"/>
        <v>9.5747876540114522E-3</v>
      </c>
      <c r="G27" s="32">
        <f>F27*E27</f>
        <v>14.155749059196692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/>
      <c r="S27"/>
      <c r="T27"/>
      <c r="U27"/>
      <c r="V27"/>
    </row>
    <row r="28" spans="1:22" s="11" customFormat="1" ht="13.5" customHeight="1" outlineLevel="1">
      <c r="A28" s="177" t="str">
        <f>'demografia gminy'!$A$805</f>
        <v>100802 1</v>
      </c>
      <c r="B28" s="178" t="str">
        <f>IFERROR(VLOOKUP($A28,'demografia gminy'!$A$6:$C$2955,2,FALSE),"")</f>
        <v>lodz</v>
      </c>
      <c r="C28" s="30" t="str">
        <f>IFERROR(VLOOKUP($A28,'demografia gminy'!$A$6:$C$2955,3,FALSE),"")</f>
        <v>m. Pabianice</v>
      </c>
      <c r="D28" s="137">
        <f>IFERROR(VLOOKUP($A28,'demografia gminy'!$A$6:$D$2955,4,FALSE),"")</f>
        <v>64757</v>
      </c>
      <c r="E28" s="139">
        <f>IFERROR(VLOOKUP(LEFT($A28,2),'mediana dochodu'!$A$4:$H$19,IF($D28&lt;'mediana dochodu'!$G$2,6,IF($D28&lt;='mediana dochodu'!$H$2,7,8)),FALSE),"")</f>
        <v>1913.39</v>
      </c>
      <c r="F28" s="31">
        <f t="shared" si="8"/>
        <v>0.15317058401947126</v>
      </c>
      <c r="G28" s="32">
        <f>F28*E28</f>
        <v>293.0750637570161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/>
      <c r="S28"/>
      <c r="T28"/>
      <c r="U28"/>
      <c r="V28"/>
    </row>
    <row r="29" spans="1:22" s="11" customFormat="1" ht="13.5" customHeight="1" outlineLevel="1">
      <c r="A29" s="177" t="str">
        <f>'demografia gminy'!$A$1255</f>
        <v>141213 2</v>
      </c>
      <c r="B29" s="178" t="str">
        <f>IFERROR(VLOOKUP($A29,'demografia gminy'!$A$6:$C$2955,2,FALSE),"")</f>
        <v>maz</v>
      </c>
      <c r="C29" s="30" t="str">
        <f>IFERROR(VLOOKUP($A29,'demografia gminy'!$A$6:$C$2955,3,FALSE),"")</f>
        <v>gm. w. Siennica</v>
      </c>
      <c r="D29" s="137">
        <f>IFERROR(VLOOKUP($A29,'demografia gminy'!$A$6:$D$2955,4,FALSE),"")</f>
        <v>7480</v>
      </c>
      <c r="E29" s="139">
        <f>IFERROR(VLOOKUP(LEFT($A29,2),'mediana dochodu'!$A$4:$H$19,IF($D29&lt;'mediana dochodu'!$G$2,6,IF($D29&lt;='mediana dochodu'!$H$2,7,8)),FALSE),"")</f>
        <v>1478.44</v>
      </c>
      <c r="F29" s="31">
        <f t="shared" si="8"/>
        <v>1.7692542404151596E-2</v>
      </c>
      <c r="G29" s="32">
        <f>F29*E29</f>
        <v>26.157362391993885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/>
      <c r="S29"/>
      <c r="T29"/>
      <c r="U29"/>
      <c r="V29"/>
    </row>
    <row r="30" spans="1:22" s="11" customFormat="1" ht="13.5" customHeight="1" outlineLevel="1">
      <c r="A30" s="177" t="str">
        <f>'demografia gminy'!$A$561</f>
        <v>061503 2</v>
      </c>
      <c r="B30" s="178" t="str">
        <f>IFERROR(VLOOKUP($A30,'demografia gminy'!$A$6:$C$2955,2,FALSE),"")</f>
        <v>lubel</v>
      </c>
      <c r="C30" s="30" t="str">
        <f>IFERROR(VLOOKUP($A30,'demografia gminy'!$A$6:$C$2955,3,FALSE),"")</f>
        <v>gm. w. Czemierniki</v>
      </c>
      <c r="D30" s="137">
        <f>IFERROR(VLOOKUP($A30,'demografia gminy'!$A$6:$D$2955,4,FALSE),"")</f>
        <v>4310</v>
      </c>
      <c r="E30" s="139">
        <f>IFERROR(VLOOKUP(LEFT($A30,2),'mediana dochodu'!$A$4:$H$19,IF($D30&lt;'mediana dochodu'!$G$2,6,IF($D30&lt;='mediana dochodu'!$H$2,7,8)),FALSE),"")</f>
        <v>1397.8</v>
      </c>
      <c r="F30" s="31">
        <f t="shared" si="8"/>
        <v>1.0194499700787885E-2</v>
      </c>
      <c r="G30" s="32">
        <f>F30*E30</f>
        <v>14.249871681761306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/>
      <c r="S30"/>
      <c r="T30"/>
      <c r="U30"/>
      <c r="V30"/>
    </row>
    <row r="31" spans="1:22" s="11" customFormat="1" ht="13.5" customHeight="1" outlineLevel="1">
      <c r="A31" s="177" t="str">
        <f>'demografia gminy'!$A$2268</f>
        <v>2470</v>
      </c>
      <c r="B31" s="178" t="str">
        <f>IFERROR(VLOOKUP($A31,'demografia gminy'!$A$6:$C$2955,2,FALSE),"")</f>
        <v>sla</v>
      </c>
      <c r="C31" s="30" t="str">
        <f>IFERROR(VLOOKUP($A31,'demografia gminy'!$A$6:$C$2955,3,FALSE),"")</f>
        <v>Mysłowice</v>
      </c>
      <c r="D31" s="137">
        <f>IFERROR(VLOOKUP($A31,'demografia gminy'!$A$6:$D$2955,4,FALSE),"")</f>
        <v>74618</v>
      </c>
      <c r="E31" s="139">
        <f>IFERROR(VLOOKUP(LEFT($A31,2),'mediana dochodu'!$A$4:$H$19,IF($D31&lt;'mediana dochodu'!$G$2,6,IF($D31&lt;='mediana dochodu'!$H$2,7,8)),FALSE),"")</f>
        <v>1909.71</v>
      </c>
      <c r="F31" s="31">
        <f t="shared" si="8"/>
        <v>0.17649493704719035</v>
      </c>
      <c r="G31" s="32">
        <f>F31*E31</f>
        <v>337.05414622838987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/>
      <c r="S31"/>
      <c r="T31"/>
      <c r="U31"/>
      <c r="V31"/>
    </row>
    <row r="32" spans="1:22" s="11" customFormat="1" ht="13.5" customHeight="1" outlineLevel="1">
      <c r="A32" s="177" t="str">
        <f>'demografia gminy'!$A$1448</f>
        <v>143302 2</v>
      </c>
      <c r="B32" s="178" t="s">
        <v>32</v>
      </c>
      <c r="C32" s="30" t="s">
        <v>56</v>
      </c>
      <c r="D32" s="137">
        <f>IFERROR(VLOOKUP($A32,'demografia gminy'!$A$6:$D$2955,4,FALSE),"")</f>
        <v>4443</v>
      </c>
      <c r="E32" s="139">
        <f>IFERROR(VLOOKUP(LEFT($A32,2),'mediana dochodu'!$A$4:$H$19,IF($D32&lt;'mediana dochodu'!$G$2,6,IF($D32&lt;='mediana dochodu'!$H$2,7,8)),FALSE),"")</f>
        <v>1478.44</v>
      </c>
      <c r="F32" s="31">
        <f t="shared" si="8"/>
        <v>1.0509086350487373E-2</v>
      </c>
      <c r="G32" s="32">
        <f t="shared" ref="G32:G37" si="10">F32*E32</f>
        <v>15.537053624014552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/>
      <c r="S32"/>
      <c r="T32"/>
      <c r="U32"/>
      <c r="V32"/>
    </row>
    <row r="33" spans="1:35" s="11" customFormat="1" ht="13.5" customHeight="1" outlineLevel="1">
      <c r="A33" s="177" t="str">
        <f>'demografia gminy'!$A$1449</f>
        <v>143303 2</v>
      </c>
      <c r="B33" s="178" t="str">
        <f>IFERROR(VLOOKUP($A33,'demografia gminy'!$A$6:$C$2955,2,FALSE),"")</f>
        <v>maz</v>
      </c>
      <c r="C33" s="30" t="str">
        <f>IFERROR(VLOOKUP($A33,'demografia gminy'!$A$6:$C$2955,3,FALSE),"")</f>
        <v>gm. w. Korytnica</v>
      </c>
      <c r="D33" s="137">
        <f>IFERROR(VLOOKUP($A33,'demografia gminy'!$A$6:$D$2955,4,FALSE),"")</f>
        <v>6218</v>
      </c>
      <c r="E33" s="139">
        <f>IFERROR(VLOOKUP(LEFT($A33,2),'mediana dochodu'!$A$4:$H$19,IF($D33&lt;'mediana dochodu'!$G$2,6,IF($D33&lt;='mediana dochodu'!$H$2,7,8)),FALSE),"")</f>
        <v>1478.44</v>
      </c>
      <c r="F33" s="31">
        <f t="shared" si="8"/>
        <v>1.4707517201739925E-2</v>
      </c>
      <c r="G33" s="32">
        <f t="shared" si="10"/>
        <v>21.744181731740376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/>
      <c r="S33"/>
      <c r="T33"/>
      <c r="U33"/>
      <c r="V33"/>
    </row>
    <row r="34" spans="1:35" s="11" customFormat="1" ht="13.5" customHeight="1" outlineLevel="1">
      <c r="A34" s="177" t="str">
        <f>'demografia gminy'!$A$2379</f>
        <v>261103 2</v>
      </c>
      <c r="B34" s="178" t="str">
        <f>IFERROR(VLOOKUP($A34,'demografia gminy'!$A$6:$C$2955,2,FALSE),"")</f>
        <v>swiet</v>
      </c>
      <c r="C34" s="30" t="str">
        <f>IFERROR(VLOOKUP($A34,'demografia gminy'!$A$6:$C$2955,3,FALSE),"")</f>
        <v>gm. w. Mirzec</v>
      </c>
      <c r="D34" s="137">
        <f>IFERROR(VLOOKUP($A34,'demografia gminy'!$A$6:$D$2955,4,FALSE),"")</f>
        <v>8260</v>
      </c>
      <c r="E34" s="139">
        <f>IFERROR(VLOOKUP(LEFT($A34,2),'mediana dochodu'!$A$4:$H$19,IF($D34&lt;'mediana dochodu'!$G$2,6,IF($D34&lt;='mediana dochodu'!$H$2,7,8)),FALSE),"")</f>
        <v>1371.29</v>
      </c>
      <c r="F34" s="31">
        <f t="shared" si="8"/>
        <v>1.9537486665547086E-2</v>
      </c>
      <c r="G34" s="32">
        <f t="shared" si="10"/>
        <v>26.791560089598061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/>
      <c r="S34"/>
      <c r="T34"/>
      <c r="U34"/>
      <c r="V34"/>
    </row>
    <row r="35" spans="1:35" s="11" customFormat="1" ht="13.5" customHeight="1" outlineLevel="1">
      <c r="A35" s="177" t="str">
        <f>'demografia gminy'!$A$1151</f>
        <v>140102 2</v>
      </c>
      <c r="B35" s="178" t="str">
        <f>IFERROR(VLOOKUP($A35,'demografia gminy'!$A$6:$C$2955,2,FALSE),"")</f>
        <v>maz</v>
      </c>
      <c r="C35" s="30" t="str">
        <f>IFERROR(VLOOKUP($A35,'demografia gminy'!$A$6:$C$2955,3,FALSE),"")</f>
        <v>gm. w. Promna</v>
      </c>
      <c r="D35" s="137">
        <f>IFERROR(VLOOKUP($A35,'demografia gminy'!$A$6:$D$2955,4,FALSE),"")</f>
        <v>5555</v>
      </c>
      <c r="E35" s="139">
        <f>IFERROR(VLOOKUP(LEFT($A35,2),'mediana dochodu'!$A$4:$H$19,IF($D35&lt;'mediana dochodu'!$G$2,6,IF($D35&lt;='mediana dochodu'!$H$2,7,8)),FALSE),"")</f>
        <v>1478.44</v>
      </c>
      <c r="F35" s="31">
        <f t="shared" si="8"/>
        <v>1.313931457955376E-2</v>
      </c>
      <c r="G35" s="32">
        <f t="shared" si="10"/>
        <v>19.425688246995463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/>
      <c r="S35"/>
      <c r="T35"/>
      <c r="U35"/>
      <c r="V35"/>
    </row>
    <row r="36" spans="1:35" s="11" customFormat="1" ht="13.5" customHeight="1" outlineLevel="1">
      <c r="A36" s="177" t="str">
        <f>'demografia gminy'!$A$2609</f>
        <v>300801 2</v>
      </c>
      <c r="B36" s="178" t="str">
        <f>IFERROR(VLOOKUP($A36,'demografia gminy'!$A$6:$C$2955,2,FALSE),"")</f>
        <v>wielk</v>
      </c>
      <c r="C36" s="30" t="str">
        <f>IFERROR(VLOOKUP($A36,'demografia gminy'!$A$6:$C$2955,3,FALSE),"")</f>
        <v>gm. w. Baranów</v>
      </c>
      <c r="D36" s="137">
        <f>IFERROR(VLOOKUP($A36,'demografia gminy'!$A$6:$D$2955,4,FALSE),"")</f>
        <v>7987</v>
      </c>
      <c r="E36" s="139">
        <f>IFERROR(VLOOKUP(LEFT($A36,2),'mediana dochodu'!$A$4:$H$19,IF($D36&lt;'mediana dochodu'!$G$2,6,IF($D36&lt;='mediana dochodu'!$H$2,7,8)),FALSE),"")</f>
        <v>1552.76</v>
      </c>
      <c r="F36" s="31">
        <f t="shared" si="8"/>
        <v>1.8891756174058666E-2</v>
      </c>
      <c r="G36" s="32">
        <f t="shared" si="10"/>
        <v>29.334363316831332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/>
      <c r="S36"/>
      <c r="T36"/>
      <c r="U36"/>
      <c r="V36"/>
    </row>
    <row r="37" spans="1:35" s="11" customFormat="1" ht="13.5" customHeight="1" outlineLevel="1" thickBot="1">
      <c r="A37" s="179" t="str">
        <f>'demografia gminy'!$A$1439</f>
        <v>143201 3</v>
      </c>
      <c r="B37" s="180" t="s">
        <v>32</v>
      </c>
      <c r="C37" s="30" t="str">
        <f>IFERROR(VLOOKUP($A37,'demografia gminy'!$A$6:$C$2955,3,FALSE),"")</f>
        <v>gm. m.-w. Błonie</v>
      </c>
      <c r="D37" s="137">
        <f>IFERROR(VLOOKUP($A37,'demografia gminy'!$A$6:$D$2955,4,FALSE),"")</f>
        <v>21565</v>
      </c>
      <c r="E37" s="139">
        <f>IFERROR(VLOOKUP(LEFT($A37,2),'mediana dochodu'!$A$4:$H$19,IF($D37&lt;'mediana dochodu'!$G$2,6,IF($D37&lt;='mediana dochodu'!$H$2,7,8)),FALSE),"")</f>
        <v>2014.97</v>
      </c>
      <c r="F37" s="31">
        <f t="shared" si="8"/>
        <v>5.1007978201273958E-2</v>
      </c>
      <c r="G37" s="32">
        <f t="shared" si="10"/>
        <v>102.77954583622099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/>
      <c r="S37"/>
      <c r="T37"/>
      <c r="U37"/>
      <c r="V37"/>
    </row>
    <row r="38" spans="1:35" s="11" customFormat="1" ht="13.5" customHeight="1" thickTop="1" thickBot="1">
      <c r="A38" s="176"/>
      <c r="B38" s="29"/>
      <c r="C38" s="33" t="s">
        <v>50</v>
      </c>
      <c r="D38" s="138">
        <f>SUM(D13:D37)</f>
        <v>422777</v>
      </c>
      <c r="E38" s="35"/>
      <c r="F38" s="34">
        <f>SUM(F13:F37)</f>
        <v>1</v>
      </c>
      <c r="G38" s="34">
        <f>SUM(G13:G37)</f>
        <v>1734.4066901226886</v>
      </c>
      <c r="H38" s="36">
        <f t="shared" ref="H38:N38" si="11">+G38*(1+0.5*(I5-1))*(1+(I4-1))</f>
        <v>1808.6202179863483</v>
      </c>
      <c r="I38" s="36">
        <f t="shared" si="11"/>
        <v>1929.3727468402069</v>
      </c>
      <c r="J38" s="36">
        <f t="shared" si="11"/>
        <v>2184.0267969501519</v>
      </c>
      <c r="K38" s="36">
        <f t="shared" si="11"/>
        <v>2436.6553605801732</v>
      </c>
      <c r="L38" s="36">
        <f t="shared" si="11"/>
        <v>2636.436733594142</v>
      </c>
      <c r="M38" s="36">
        <f t="shared" si="11"/>
        <v>2782.9540686269024</v>
      </c>
      <c r="N38" s="36">
        <f t="shared" si="11"/>
        <v>2909.3948037808968</v>
      </c>
      <c r="O38" s="36">
        <f t="shared" ref="O38" si="12">+N38*(1+0.5*(P5-1))*(1+(P4-1))</f>
        <v>3019.4062947988618</v>
      </c>
      <c r="P38" s="36">
        <f t="shared" ref="P38:Q38" si="13">+O38*(1+0.5*(Q5-1))*(1+(Q4-1))</f>
        <v>3133.5775953209436</v>
      </c>
      <c r="Q38" s="36">
        <f t="shared" si="13"/>
        <v>3252.0659981440162</v>
      </c>
      <c r="R38"/>
      <c r="S38"/>
      <c r="T38"/>
      <c r="U38"/>
      <c r="V38"/>
    </row>
    <row r="39" spans="1:35" ht="13.5" thickTop="1">
      <c r="F39" s="37"/>
    </row>
    <row r="40" spans="1:35" ht="15.75">
      <c r="B40" s="1" t="s">
        <v>43</v>
      </c>
      <c r="C40" s="2" t="s">
        <v>47</v>
      </c>
    </row>
    <row r="41" spans="1:35" ht="15.75">
      <c r="B41" s="1"/>
      <c r="C41" s="2"/>
    </row>
    <row r="42" spans="1:35" ht="13.5" thickBot="1">
      <c r="B42" s="3">
        <v>1</v>
      </c>
      <c r="C42" s="3" t="s">
        <v>12</v>
      </c>
    </row>
    <row r="43" spans="1:35" ht="12.75" customHeight="1" thickTop="1" thickBot="1">
      <c r="B43" s="1"/>
      <c r="C43" s="2"/>
      <c r="E43" s="194">
        <f>Rok_DSP</f>
        <v>2019</v>
      </c>
      <c r="F43" s="86">
        <f t="shared" ref="F43:L43" si="14">SUM(E43,1)</f>
        <v>2020</v>
      </c>
      <c r="G43" s="86">
        <f t="shared" si="14"/>
        <v>2021</v>
      </c>
      <c r="H43" s="86">
        <f t="shared" si="14"/>
        <v>2022</v>
      </c>
      <c r="I43" s="86">
        <f t="shared" si="14"/>
        <v>2023</v>
      </c>
      <c r="J43" s="86">
        <f t="shared" si="14"/>
        <v>2024</v>
      </c>
      <c r="K43" s="86">
        <f t="shared" si="14"/>
        <v>2025</v>
      </c>
      <c r="L43" s="86">
        <f t="shared" si="14"/>
        <v>2026</v>
      </c>
      <c r="M43" s="86">
        <f t="shared" ref="M43" si="15">SUM(L43,1)</f>
        <v>2027</v>
      </c>
      <c r="N43" s="86">
        <f t="shared" ref="N43" si="16">SUM(M43,1)</f>
        <v>2028</v>
      </c>
      <c r="O43" s="86">
        <f t="shared" ref="O43" si="17">SUM(N43,1)</f>
        <v>2029</v>
      </c>
      <c r="P43"/>
      <c r="Q43"/>
    </row>
    <row r="44" spans="1:35" ht="14.25" thickTop="1" thickBot="1">
      <c r="E44" s="195">
        <v>2.61</v>
      </c>
      <c r="F44" s="87">
        <f>SUM(E44,-0.027)</f>
        <v>2.5829999999999997</v>
      </c>
      <c r="G44" s="87">
        <f>SUM(F44,-0.026)</f>
        <v>2.5569999999999999</v>
      </c>
      <c r="H44" s="87">
        <f>SUM(G44,-0.025)</f>
        <v>2.532</v>
      </c>
      <c r="I44" s="87">
        <f>SUM(H44,-0.024)</f>
        <v>2.508</v>
      </c>
      <c r="J44" s="87">
        <f>SUM(I44,-0.023)</f>
        <v>2.4849999999999999</v>
      </c>
      <c r="K44" s="87">
        <f>SUM(J44,-0.022)</f>
        <v>2.4630000000000001</v>
      </c>
      <c r="L44" s="87">
        <f>SUM(K44,-0.021)</f>
        <v>2.4420000000000002</v>
      </c>
      <c r="M44" s="87">
        <f t="shared" ref="M44:O44" si="18">SUM(L44,-0.021)</f>
        <v>2.4210000000000003</v>
      </c>
      <c r="N44" s="87">
        <f t="shared" si="18"/>
        <v>2.4000000000000004</v>
      </c>
      <c r="O44" s="87">
        <f t="shared" si="18"/>
        <v>2.3790000000000004</v>
      </c>
      <c r="P44"/>
      <c r="Q44"/>
    </row>
    <row r="45" spans="1:35" ht="13.5" thickTop="1">
      <c r="B45" s="38"/>
      <c r="C45" s="23"/>
      <c r="D45" s="22"/>
      <c r="K45" s="39"/>
      <c r="L45" s="40"/>
      <c r="M45" s="40"/>
      <c r="N45" s="40"/>
      <c r="O45" s="39"/>
    </row>
    <row r="46" spans="1:35" ht="12.75" customHeight="1">
      <c r="B46" s="38"/>
      <c r="C46" s="23"/>
      <c r="D46" s="22"/>
      <c r="K46" s="41"/>
      <c r="L46" s="221"/>
      <c r="M46" s="222"/>
      <c r="N46" s="222"/>
      <c r="O46" s="222"/>
      <c r="P46" s="42"/>
    </row>
    <row r="47" spans="1:35" ht="13.5" thickBot="1">
      <c r="B47" s="3">
        <v>2</v>
      </c>
      <c r="C47" s="3" t="s">
        <v>7313</v>
      </c>
      <c r="D47" s="43"/>
    </row>
    <row r="48" spans="1:35" ht="15.75" customHeight="1" thickTop="1" thickBot="1">
      <c r="D48" s="206">
        <f>H48-1</f>
        <v>2022</v>
      </c>
      <c r="E48" s="207"/>
      <c r="F48" s="207"/>
      <c r="G48" s="208"/>
      <c r="H48" s="206">
        <f>L48-1</f>
        <v>2023</v>
      </c>
      <c r="I48" s="207"/>
      <c r="J48" s="207"/>
      <c r="K48" s="208"/>
      <c r="L48" s="206">
        <f>Rok_ZPR</f>
        <v>2024</v>
      </c>
      <c r="M48" s="207"/>
      <c r="N48" s="207"/>
      <c r="O48" s="208"/>
      <c r="P48" s="206">
        <f>L48+1</f>
        <v>2025</v>
      </c>
      <c r="Q48" s="207"/>
      <c r="R48" s="207"/>
      <c r="S48" s="208"/>
      <c r="T48" s="206">
        <f>P48+1</f>
        <v>2026</v>
      </c>
      <c r="U48" s="207"/>
      <c r="V48" s="207"/>
      <c r="W48" s="208"/>
      <c r="X48" s="206">
        <f>T48+1</f>
        <v>2027</v>
      </c>
      <c r="Y48" s="207"/>
      <c r="Z48" s="207"/>
      <c r="AA48" s="208"/>
      <c r="AB48" s="206">
        <f>X48+1</f>
        <v>2028</v>
      </c>
      <c r="AC48" s="207"/>
      <c r="AD48" s="207"/>
      <c r="AE48" s="208"/>
      <c r="AF48" s="206">
        <f>AB48+1</f>
        <v>2029</v>
      </c>
      <c r="AG48" s="207"/>
      <c r="AH48" s="207"/>
      <c r="AI48" s="208"/>
    </row>
    <row r="49" spans="1:35" ht="29.25" customHeight="1" thickTop="1" thickBot="1">
      <c r="B49" s="196" t="s">
        <v>51</v>
      </c>
      <c r="C49" s="198" t="s">
        <v>52</v>
      </c>
      <c r="D49" s="200" t="s">
        <v>3</v>
      </c>
      <c r="E49" s="200" t="s">
        <v>35</v>
      </c>
      <c r="F49" s="200" t="s">
        <v>4</v>
      </c>
      <c r="G49" s="202" t="s">
        <v>48</v>
      </c>
      <c r="H49" s="200" t="str">
        <f t="shared" ref="H49:AI49" si="19">D49</f>
        <v xml:space="preserve">Przychody ze sprzedaży usług dystrybucyjnych </v>
      </c>
      <c r="I49" s="200" t="str">
        <f t="shared" si="19"/>
        <v>Wolumen dystrybuowanych paliw gazowych</v>
      </c>
      <c r="J49" s="200" t="str">
        <f t="shared" si="19"/>
        <v>Średnia stawka opłat za usługę dystrybucji netto</v>
      </c>
      <c r="K49" s="202" t="str">
        <f t="shared" si="19"/>
        <v>Średnia cena sprzedanych paliw gazowych i usługi ich dystrybucji  netto</v>
      </c>
      <c r="L49" s="200" t="str">
        <f t="shared" si="19"/>
        <v xml:space="preserve">Przychody ze sprzedaży usług dystrybucyjnych </v>
      </c>
      <c r="M49" s="200" t="str">
        <f t="shared" si="19"/>
        <v>Wolumen dystrybuowanych paliw gazowych</v>
      </c>
      <c r="N49" s="200" t="str">
        <f t="shared" si="19"/>
        <v>Średnia stawka opłat za usługę dystrybucji netto</v>
      </c>
      <c r="O49" s="202" t="str">
        <f t="shared" si="19"/>
        <v>Średnia cena sprzedanych paliw gazowych i usługi ich dystrybucji  netto</v>
      </c>
      <c r="P49" s="200" t="str">
        <f t="shared" si="19"/>
        <v xml:space="preserve">Przychody ze sprzedaży usług dystrybucyjnych </v>
      </c>
      <c r="Q49" s="200" t="str">
        <f t="shared" si="19"/>
        <v>Wolumen dystrybuowanych paliw gazowych</v>
      </c>
      <c r="R49" s="200" t="str">
        <f t="shared" si="19"/>
        <v>Średnia stawka opłat za usługę dystrybucji netto</v>
      </c>
      <c r="S49" s="202" t="str">
        <f t="shared" si="19"/>
        <v>Średnia cena sprzedanych paliw gazowych i usługi ich dystrybucji  netto</v>
      </c>
      <c r="T49" s="200" t="str">
        <f t="shared" si="19"/>
        <v xml:space="preserve">Przychody ze sprzedaży usług dystrybucyjnych </v>
      </c>
      <c r="U49" s="200" t="str">
        <f t="shared" si="19"/>
        <v>Wolumen dystrybuowanych paliw gazowych</v>
      </c>
      <c r="V49" s="200" t="str">
        <f t="shared" si="19"/>
        <v>Średnia stawka opłat za usługę dystrybucji netto</v>
      </c>
      <c r="W49" s="202" t="str">
        <f t="shared" si="19"/>
        <v>Średnia cena sprzedanych paliw gazowych i usługi ich dystrybucji  netto</v>
      </c>
      <c r="X49" s="200" t="str">
        <f t="shared" si="19"/>
        <v xml:space="preserve">Przychody ze sprzedaży usług dystrybucyjnych </v>
      </c>
      <c r="Y49" s="200" t="str">
        <f t="shared" si="19"/>
        <v>Wolumen dystrybuowanych paliw gazowych</v>
      </c>
      <c r="Z49" s="200" t="str">
        <f t="shared" si="19"/>
        <v>Średnia stawka opłat za usługę dystrybucji netto</v>
      </c>
      <c r="AA49" s="202" t="str">
        <f t="shared" si="19"/>
        <v>Średnia cena sprzedanych paliw gazowych i usługi ich dystrybucji  netto</v>
      </c>
      <c r="AB49" s="200" t="str">
        <f t="shared" si="19"/>
        <v xml:space="preserve">Przychody ze sprzedaży usług dystrybucyjnych </v>
      </c>
      <c r="AC49" s="200" t="str">
        <f t="shared" si="19"/>
        <v>Wolumen dystrybuowanych paliw gazowych</v>
      </c>
      <c r="AD49" s="200" t="str">
        <f t="shared" si="19"/>
        <v>Średnia stawka opłat za usługę dystrybucji netto</v>
      </c>
      <c r="AE49" s="202" t="str">
        <f t="shared" si="19"/>
        <v>Średnia cena sprzedanych paliw gazowych i usługi ich dystrybucji  netto</v>
      </c>
      <c r="AF49" s="215" t="str">
        <f t="shared" si="19"/>
        <v xml:space="preserve">Przychody ze sprzedaży usług dystrybucyjnych </v>
      </c>
      <c r="AG49" s="215" t="str">
        <f t="shared" si="19"/>
        <v>Wolumen dystrybuowanych paliw gazowych</v>
      </c>
      <c r="AH49" s="215" t="str">
        <f t="shared" si="19"/>
        <v>Średnia stawka opłat za usługę dystrybucji netto</v>
      </c>
      <c r="AI49" s="217" t="str">
        <f t="shared" si="19"/>
        <v>Średnia cena sprzedanych paliw gazowych i usługi ich dystrybucji  netto</v>
      </c>
    </row>
    <row r="50" spans="1:35" ht="47.25" customHeight="1" thickTop="1" thickBot="1">
      <c r="B50" s="234"/>
      <c r="C50" s="233"/>
      <c r="D50" s="201"/>
      <c r="E50" s="201"/>
      <c r="F50" s="201"/>
      <c r="G50" s="202"/>
      <c r="H50" s="201"/>
      <c r="I50" s="201"/>
      <c r="J50" s="201"/>
      <c r="K50" s="202"/>
      <c r="L50" s="201"/>
      <c r="M50" s="201"/>
      <c r="N50" s="201"/>
      <c r="O50" s="202"/>
      <c r="P50" s="201"/>
      <c r="Q50" s="201"/>
      <c r="R50" s="201"/>
      <c r="S50" s="202"/>
      <c r="T50" s="201"/>
      <c r="U50" s="201"/>
      <c r="V50" s="201"/>
      <c r="W50" s="202"/>
      <c r="X50" s="201"/>
      <c r="Y50" s="201"/>
      <c r="Z50" s="201"/>
      <c r="AA50" s="202"/>
      <c r="AB50" s="201"/>
      <c r="AC50" s="201"/>
      <c r="AD50" s="201"/>
      <c r="AE50" s="202"/>
      <c r="AF50" s="216"/>
      <c r="AG50" s="216"/>
      <c r="AH50" s="216"/>
      <c r="AI50" s="217"/>
    </row>
    <row r="51" spans="1:35" ht="14.25" customHeight="1" thickTop="1" thickBot="1">
      <c r="B51" s="197"/>
      <c r="C51" s="199"/>
      <c r="D51" s="44" t="str">
        <f>JM_14</f>
        <v>[zł]</v>
      </c>
      <c r="E51" s="44" t="str">
        <f>JM_12</f>
        <v>[m³]</v>
      </c>
      <c r="F51" s="44" t="str">
        <f>JM_11</f>
        <v>[zł/m³]</v>
      </c>
      <c r="G51" s="45" t="str">
        <f>JM_11</f>
        <v>[zł/m³]</v>
      </c>
      <c r="H51" s="44" t="str">
        <f>JM_14</f>
        <v>[zł]</v>
      </c>
      <c r="I51" s="44" t="str">
        <f>JM_12</f>
        <v>[m³]</v>
      </c>
      <c r="J51" s="44" t="str">
        <f>JM_11</f>
        <v>[zł/m³]</v>
      </c>
      <c r="K51" s="45" t="str">
        <f>JM_11</f>
        <v>[zł/m³]</v>
      </c>
      <c r="L51" s="44" t="str">
        <f>JM_14</f>
        <v>[zł]</v>
      </c>
      <c r="M51" s="44" t="str">
        <f>JM_12</f>
        <v>[m³]</v>
      </c>
      <c r="N51" s="44" t="str">
        <f>JM_11</f>
        <v>[zł/m³]</v>
      </c>
      <c r="O51" s="45" t="str">
        <f>JM_11</f>
        <v>[zł/m³]</v>
      </c>
      <c r="P51" s="44" t="str">
        <f>JM_14</f>
        <v>[zł]</v>
      </c>
      <c r="Q51" s="44" t="str">
        <f>JM_12</f>
        <v>[m³]</v>
      </c>
      <c r="R51" s="44" t="str">
        <f>JM_11</f>
        <v>[zł/m³]</v>
      </c>
      <c r="S51" s="45" t="str">
        <f>JM_11</f>
        <v>[zł/m³]</v>
      </c>
      <c r="T51" s="44" t="str">
        <f>JM_14</f>
        <v>[zł]</v>
      </c>
      <c r="U51" s="44" t="str">
        <f>JM_12</f>
        <v>[m³]</v>
      </c>
      <c r="V51" s="44" t="str">
        <f>JM_11</f>
        <v>[zł/m³]</v>
      </c>
      <c r="W51" s="45" t="str">
        <f>JM_11</f>
        <v>[zł/m³]</v>
      </c>
      <c r="X51" s="44" t="str">
        <f>JM_14</f>
        <v>[zł]</v>
      </c>
      <c r="Y51" s="44" t="str">
        <f>JM_12</f>
        <v>[m³]</v>
      </c>
      <c r="Z51" s="44" t="str">
        <f>JM_11</f>
        <v>[zł/m³]</v>
      </c>
      <c r="AA51" s="45" t="str">
        <f>JM_11</f>
        <v>[zł/m³]</v>
      </c>
      <c r="AB51" s="44" t="str">
        <f>JM_14</f>
        <v>[zł]</v>
      </c>
      <c r="AC51" s="44" t="str">
        <f>JM_12</f>
        <v>[m³]</v>
      </c>
      <c r="AD51" s="44" t="str">
        <f>JM_11</f>
        <v>[zł/m³]</v>
      </c>
      <c r="AE51" s="45" t="str">
        <f>JM_11</f>
        <v>[zł/m³]</v>
      </c>
      <c r="AF51" s="44" t="str">
        <f>JM_14</f>
        <v>[zł]</v>
      </c>
      <c r="AG51" s="44" t="str">
        <f>JM_12</f>
        <v>[m³]</v>
      </c>
      <c r="AH51" s="44" t="str">
        <f>JM_11</f>
        <v>[zł/m³]</v>
      </c>
      <c r="AI51" s="44" t="str">
        <f>JM_11</f>
        <v>[zł/m³]</v>
      </c>
    </row>
    <row r="52" spans="1:35" ht="13.5" thickTop="1">
      <c r="B52" s="238">
        <v>1</v>
      </c>
      <c r="C52" s="235" t="s">
        <v>7314</v>
      </c>
      <c r="D52" s="203" t="e">
        <f>ROUND(#REF!*10^3,2)</f>
        <v>#REF!</v>
      </c>
      <c r="E52" s="203" t="e">
        <f>ROUND(#REF!*10^3,)</f>
        <v>#REF!</v>
      </c>
      <c r="F52" s="209" t="e">
        <f>IF(E52=0,0,D52/E52)</f>
        <v>#REF!</v>
      </c>
      <c r="G52" s="212"/>
      <c r="H52" s="203" t="e">
        <f>ROUND(#REF!*10^3,2)</f>
        <v>#REF!</v>
      </c>
      <c r="I52" s="203" t="e">
        <f>ROUND(#REF!*10^3,)</f>
        <v>#REF!</v>
      </c>
      <c r="J52" s="209" t="e">
        <f>IF(I52=0,0,H52/I52)</f>
        <v>#REF!</v>
      </c>
      <c r="K52" s="212"/>
      <c r="L52" s="203" t="e">
        <f>ROUND(#REF!*10^3,2)</f>
        <v>#REF!</v>
      </c>
      <c r="M52" s="203" t="e">
        <f>ROUND(#REF!*10^3,)</f>
        <v>#REF!</v>
      </c>
      <c r="N52" s="209" t="e">
        <f>IF(M52=0,0,L52/M52)</f>
        <v>#REF!</v>
      </c>
      <c r="O52" s="212"/>
      <c r="P52" s="203" t="e">
        <f>ROUND(#REF!*10^3,2)</f>
        <v>#REF!</v>
      </c>
      <c r="Q52" s="203" t="e">
        <f>ROUND(#REF!*10^3,)</f>
        <v>#REF!</v>
      </c>
      <c r="R52" s="209" t="e">
        <f>IF(Q52=0,0,P52/Q52)</f>
        <v>#REF!</v>
      </c>
      <c r="S52" s="212"/>
      <c r="T52" s="203" t="e">
        <f>ROUND(#REF!*10^3,2)</f>
        <v>#REF!</v>
      </c>
      <c r="U52" s="203" t="e">
        <f>ROUND(#REF!*10^3,)</f>
        <v>#REF!</v>
      </c>
      <c r="V52" s="209" t="e">
        <f>IF(U52=0,0,T52/U52)</f>
        <v>#REF!</v>
      </c>
      <c r="W52" s="212"/>
      <c r="X52" s="203" t="e">
        <f>ROUND(#REF!*10^3,2)</f>
        <v>#REF!</v>
      </c>
      <c r="Y52" s="203" t="e">
        <f>ROUND(#REF!*10^3,)</f>
        <v>#REF!</v>
      </c>
      <c r="Z52" s="209" t="e">
        <f>IF(Y52=0,0,X52/Y52)</f>
        <v>#REF!</v>
      </c>
      <c r="AA52" s="212"/>
      <c r="AB52" s="203" t="e">
        <f>ROUND(#REF!*10^3,2)</f>
        <v>#REF!</v>
      </c>
      <c r="AC52" s="203" t="e">
        <f>ROUND(#REF!*10^3,)</f>
        <v>#REF!</v>
      </c>
      <c r="AD52" s="209" t="e">
        <f>IF(AC52=0,0,AB52/AC52)</f>
        <v>#REF!</v>
      </c>
      <c r="AE52" s="212"/>
      <c r="AF52" s="203" t="e">
        <f>ROUND(#REF!*10^3,2)</f>
        <v>#REF!</v>
      </c>
      <c r="AG52" s="203" t="e">
        <f>ROUND(#REF!*10^3,)</f>
        <v>#REF!</v>
      </c>
      <c r="AH52" s="209" t="e">
        <f>IF(AG52=0,0,AF52/AG52)</f>
        <v>#REF!</v>
      </c>
      <c r="AI52" s="218"/>
    </row>
    <row r="53" spans="1:35">
      <c r="B53" s="239"/>
      <c r="C53" s="236" t="s">
        <v>54</v>
      </c>
      <c r="D53" s="204"/>
      <c r="E53" s="204"/>
      <c r="F53" s="210"/>
      <c r="G53" s="213"/>
      <c r="H53" s="204"/>
      <c r="I53" s="204"/>
      <c r="J53" s="210"/>
      <c r="K53" s="213"/>
      <c r="L53" s="204"/>
      <c r="M53" s="204"/>
      <c r="N53" s="210"/>
      <c r="O53" s="213"/>
      <c r="P53" s="204"/>
      <c r="Q53" s="204"/>
      <c r="R53" s="210"/>
      <c r="S53" s="213"/>
      <c r="T53" s="204"/>
      <c r="U53" s="204"/>
      <c r="V53" s="210"/>
      <c r="W53" s="213"/>
      <c r="X53" s="204"/>
      <c r="Y53" s="204"/>
      <c r="Z53" s="210"/>
      <c r="AA53" s="213"/>
      <c r="AB53" s="204"/>
      <c r="AC53" s="204"/>
      <c r="AD53" s="210"/>
      <c r="AE53" s="213"/>
      <c r="AF53" s="204"/>
      <c r="AG53" s="204"/>
      <c r="AH53" s="210"/>
      <c r="AI53" s="219"/>
    </row>
    <row r="54" spans="1:35" ht="13.5" thickBot="1">
      <c r="B54" s="240"/>
      <c r="C54" s="237" t="s">
        <v>53</v>
      </c>
      <c r="D54" s="205"/>
      <c r="E54" s="205"/>
      <c r="F54" s="211"/>
      <c r="G54" s="214"/>
      <c r="H54" s="205"/>
      <c r="I54" s="205"/>
      <c r="J54" s="211"/>
      <c r="K54" s="214"/>
      <c r="L54" s="205"/>
      <c r="M54" s="205"/>
      <c r="N54" s="211"/>
      <c r="O54" s="214"/>
      <c r="P54" s="205"/>
      <c r="Q54" s="205"/>
      <c r="R54" s="211"/>
      <c r="S54" s="214"/>
      <c r="T54" s="205"/>
      <c r="U54" s="205"/>
      <c r="V54" s="211"/>
      <c r="W54" s="214"/>
      <c r="X54" s="205"/>
      <c r="Y54" s="205"/>
      <c r="Z54" s="211"/>
      <c r="AA54" s="214"/>
      <c r="AB54" s="205"/>
      <c r="AC54" s="205"/>
      <c r="AD54" s="211"/>
      <c r="AE54" s="214"/>
      <c r="AF54" s="205"/>
      <c r="AG54" s="205"/>
      <c r="AH54" s="211"/>
      <c r="AI54" s="220"/>
    </row>
    <row r="55" spans="1:35" ht="15.75" customHeight="1" thickTop="1">
      <c r="B55" s="46"/>
      <c r="C55" s="47"/>
      <c r="D55" s="48"/>
      <c r="E55" s="48"/>
      <c r="F55" s="48"/>
      <c r="G55" s="48"/>
    </row>
    <row r="56" spans="1:35" ht="15" thickBot="1">
      <c r="B56" s="1"/>
      <c r="C56" s="49" t="s">
        <v>44</v>
      </c>
      <c r="D56" s="50" t="str">
        <f>$D$48&amp;" r."</f>
        <v>2022 r.</v>
      </c>
    </row>
    <row r="57" spans="1:35" ht="109.5" customHeight="1" outlineLevel="1" thickTop="1" thickBot="1">
      <c r="B57" s="196" t="s">
        <v>51</v>
      </c>
      <c r="C57" s="198" t="s">
        <v>52</v>
      </c>
      <c r="D57" s="80" t="s">
        <v>18</v>
      </c>
      <c r="E57" s="80" t="s">
        <v>36</v>
      </c>
      <c r="F57" s="80" t="s">
        <v>37</v>
      </c>
      <c r="G57" s="200" t="s">
        <v>9</v>
      </c>
      <c r="H57" s="202" t="s">
        <v>49</v>
      </c>
      <c r="I57" s="81" t="s">
        <v>87</v>
      </c>
      <c r="J57" s="81" t="s">
        <v>88</v>
      </c>
      <c r="K57" s="81" t="s">
        <v>89</v>
      </c>
      <c r="L57" s="81" t="s">
        <v>90</v>
      </c>
      <c r="M57" s="82" t="s">
        <v>91</v>
      </c>
      <c r="N57" s="51" t="s">
        <v>5</v>
      </c>
      <c r="O57" s="51" t="s">
        <v>92</v>
      </c>
      <c r="P57" s="51" t="s">
        <v>93</v>
      </c>
    </row>
    <row r="58" spans="1:35" ht="14.25" outlineLevel="1" thickTop="1" thickBot="1">
      <c r="B58" s="197"/>
      <c r="C58" s="199"/>
      <c r="D58" s="83" t="str">
        <f>JM_04</f>
        <v>[szt.]</v>
      </c>
      <c r="E58" s="80" t="str">
        <f>JM_12</f>
        <v>[m³]</v>
      </c>
      <c r="F58" s="80" t="str">
        <f>JM_13</f>
        <v>[m³/szt.]</v>
      </c>
      <c r="G58" s="201"/>
      <c r="H58" s="202"/>
      <c r="I58" s="84" t="str">
        <f>JM_15</f>
        <v>[zł/szt.]</v>
      </c>
      <c r="J58" s="84" t="str">
        <f>JM_15</f>
        <v>[zł/szt.]</v>
      </c>
      <c r="K58" s="84" t="str">
        <f>JM_15</f>
        <v>[zł/szt.]</v>
      </c>
      <c r="L58" s="84" t="str">
        <f>JM_15</f>
        <v>[zł/szt.]</v>
      </c>
      <c r="M58" s="78" t="str">
        <f>JM_15</f>
        <v>[zł/szt.]</v>
      </c>
      <c r="N58" s="79" t="str">
        <f t="shared" ref="N58" si="20">JM_02</f>
        <v>[%]</v>
      </c>
      <c r="O58" s="79" t="str">
        <f t="shared" ref="O58" si="21">JM_02</f>
        <v>[%]</v>
      </c>
      <c r="P58" s="79" t="str">
        <f t="shared" ref="P58" si="22">JM_02</f>
        <v>[%]</v>
      </c>
    </row>
    <row r="59" spans="1:35" s="42" customFormat="1" ht="39.950000000000003" customHeight="1" outlineLevel="1" thickTop="1" thickBot="1">
      <c r="A59" s="144"/>
      <c r="B59" s="52">
        <v>1</v>
      </c>
      <c r="C59" s="53" t="str">
        <f>C52</f>
        <v>Odbiorcy indywidualni (odbiorcy ze wskazanych przez OSD grup taryfowych o mocy nie większej niż 110 kWh/h)</v>
      </c>
      <c r="D59" s="54" t="str">
        <f>[2]Tab.G20!$E$12</f>
        <v>[h]</v>
      </c>
      <c r="E59" s="54" t="e">
        <f>E52</f>
        <v>#REF!</v>
      </c>
      <c r="F59" s="54" t="e">
        <f>IF(E59=0,0,E59/D59)</f>
        <v>#REF!</v>
      </c>
      <c r="G59" s="55" t="e">
        <f>1.23*F52</f>
        <v>#REF!</v>
      </c>
      <c r="H59" s="56">
        <f>1.23*G52</f>
        <v>0</v>
      </c>
      <c r="I59" s="54" t="e">
        <f>G59*F59</f>
        <v>#REF!</v>
      </c>
      <c r="J59" s="54" t="e">
        <f>H59*F59</f>
        <v>#REF!</v>
      </c>
      <c r="K59" s="54" t="e">
        <f>IF($F$44=0,0,I59/$F$44)</f>
        <v>#REF!</v>
      </c>
      <c r="L59" s="54" t="e">
        <f>IF($F$44=0,0,J59/$F$44)</f>
        <v>#REF!</v>
      </c>
      <c r="M59" s="57">
        <f>12*I38</f>
        <v>23152.472962082484</v>
      </c>
      <c r="N59" s="58" t="e">
        <f>IF(M59=0,0,K59/M59)</f>
        <v>#REF!</v>
      </c>
      <c r="O59" s="58" t="e">
        <f>IF(M59=0,0,L59/M59)</f>
        <v>#REF!</v>
      </c>
      <c r="P59" s="58" t="e">
        <f>IF(M59=0,0,(L59-K59)/M59)</f>
        <v>#REF!</v>
      </c>
    </row>
    <row r="60" spans="1:35" ht="14.25" customHeight="1" thickTop="1">
      <c r="B60" s="46"/>
      <c r="C60" s="47"/>
      <c r="D60" s="59"/>
      <c r="E60" s="59"/>
      <c r="F60" s="59"/>
      <c r="G60" s="59"/>
      <c r="I60" s="59"/>
      <c r="J60" s="59"/>
      <c r="K60" s="59"/>
      <c r="L60" s="59"/>
      <c r="M60" s="18"/>
    </row>
    <row r="61" spans="1:35" ht="15.75" customHeight="1">
      <c r="B61" s="43"/>
      <c r="C61" s="60"/>
      <c r="D61" s="37"/>
      <c r="E61" s="37"/>
      <c r="F61" s="37"/>
      <c r="K61" s="61"/>
      <c r="L61" s="61"/>
    </row>
    <row r="62" spans="1:35" ht="15" thickBot="1">
      <c r="B62" s="1"/>
      <c r="C62" s="49" t="s">
        <v>44</v>
      </c>
      <c r="D62" s="50" t="str">
        <f>$H$48&amp;" r."</f>
        <v>2023 r.</v>
      </c>
    </row>
    <row r="63" spans="1:35" ht="90.75" outlineLevel="1" thickTop="1" thickBot="1">
      <c r="B63" s="196" t="s">
        <v>51</v>
      </c>
      <c r="C63" s="198" t="s">
        <v>52</v>
      </c>
      <c r="D63" s="80" t="str">
        <f t="shared" ref="D63:P63" si="23">D57</f>
        <v>Odbiorcy</v>
      </c>
      <c r="E63" s="80" t="str">
        <f t="shared" si="23"/>
        <v>Łączne roczne zużycie paliw gazowych</v>
      </c>
      <c r="F63" s="80" t="str">
        <f t="shared" si="23"/>
        <v xml:space="preserve">Łączne roczne zużycie paliw gazowych na odbiorcę </v>
      </c>
      <c r="G63" s="200" t="str">
        <f t="shared" si="23"/>
        <v>Średnia stawka opłat za usługę dystrybucji brutto</v>
      </c>
      <c r="H63" s="202" t="str">
        <f t="shared" si="23"/>
        <v>Średnia cena sprzedanych paliw gazowych i usługi ich dystrybucji brutto</v>
      </c>
      <c r="I63" s="81" t="str">
        <f t="shared" si="23"/>
        <v>Opłata roczna za usługę dystrybucji na odbiorcę</v>
      </c>
      <c r="J63" s="81" t="str">
        <f t="shared" si="23"/>
        <v>Opłata roczna za dostawę paliwa gazowego  na odbiorcę</v>
      </c>
      <c r="K63" s="81" t="str">
        <f t="shared" si="23"/>
        <v>Opłata roczna za usługę dystrybucji na osobę</v>
      </c>
      <c r="L63" s="81" t="str">
        <f t="shared" si="23"/>
        <v>Opłata roczna za dostawe paliwa gazowego na osobę</v>
      </c>
      <c r="M63" s="82" t="str">
        <f t="shared" si="23"/>
        <v>Średni ważony dochód roczny na osobę na terenie działania OSD</v>
      </c>
      <c r="N63" s="51" t="str">
        <f t="shared" si="23"/>
        <v>% udział opłat za usługę dystrybucji w dochodzie do dyspozycji gospodarstw domowych na osobę w skali roku</v>
      </c>
      <c r="O63" s="51" t="str">
        <f t="shared" si="23"/>
        <v>% udział opłaty za dostawę paliwa gazowego  w dochodzie do dyspozycji gospodarstw domowych na osobę w skali roku</v>
      </c>
      <c r="P63" s="85" t="str">
        <f t="shared" si="23"/>
        <v>% udział opłaty za paliwo gazowe w dochodzie do dyspozycji gospodarstw domowych na osobę w skali roku</v>
      </c>
    </row>
    <row r="64" spans="1:35" ht="14.25" outlineLevel="1" thickTop="1" thickBot="1">
      <c r="B64" s="197"/>
      <c r="C64" s="199"/>
      <c r="D64" s="83" t="str">
        <f>JM_04</f>
        <v>[szt.]</v>
      </c>
      <c r="E64" s="80" t="str">
        <f>JM_12</f>
        <v>[m³]</v>
      </c>
      <c r="F64" s="80" t="str">
        <f>JM_13</f>
        <v>[m³/szt.]</v>
      </c>
      <c r="G64" s="201"/>
      <c r="H64" s="202"/>
      <c r="I64" s="84" t="str">
        <f>JM_15</f>
        <v>[zł/szt.]</v>
      </c>
      <c r="J64" s="84" t="str">
        <f>JM_15</f>
        <v>[zł/szt.]</v>
      </c>
      <c r="K64" s="84" t="str">
        <f>JM_15</f>
        <v>[zł/szt.]</v>
      </c>
      <c r="L64" s="84" t="str">
        <f>JM_15</f>
        <v>[zł/szt.]</v>
      </c>
      <c r="M64" s="78" t="str">
        <f>JM_15</f>
        <v>[zł/szt.]</v>
      </c>
      <c r="N64" s="79" t="str">
        <f t="shared" ref="N64:P64" si="24">JM_02</f>
        <v>[%]</v>
      </c>
      <c r="O64" s="79" t="str">
        <f t="shared" si="24"/>
        <v>[%]</v>
      </c>
      <c r="P64" s="79" t="str">
        <f t="shared" si="24"/>
        <v>[%]</v>
      </c>
    </row>
    <row r="65" spans="1:16" s="42" customFormat="1" ht="39.950000000000003" customHeight="1" outlineLevel="1" thickTop="1" thickBot="1">
      <c r="A65" s="144"/>
      <c r="B65" s="52">
        <v>1</v>
      </c>
      <c r="C65" s="62" t="str">
        <f>C59</f>
        <v>Odbiorcy indywidualni (odbiorcy ze wskazanych przez OSD grup taryfowych o mocy nie większej niż 110 kWh/h)</v>
      </c>
      <c r="D65" s="54">
        <f>[2]Tab.G20!$F$12</f>
        <v>0</v>
      </c>
      <c r="E65" s="54" t="e">
        <f>I52</f>
        <v>#REF!</v>
      </c>
      <c r="F65" s="54" t="e">
        <f>IF(E65=0,0,E65/D65)</f>
        <v>#REF!</v>
      </c>
      <c r="G65" s="55" t="e">
        <f>1.23*J52</f>
        <v>#REF!</v>
      </c>
      <c r="H65" s="56">
        <f>1.23*K52</f>
        <v>0</v>
      </c>
      <c r="I65" s="54" t="e">
        <f>G65*F65</f>
        <v>#REF!</v>
      </c>
      <c r="J65" s="54" t="e">
        <f>H65*F65</f>
        <v>#REF!</v>
      </c>
      <c r="K65" s="54" t="e">
        <f>IF($G$44=0,0,I65/$G$44)</f>
        <v>#REF!</v>
      </c>
      <c r="L65" s="54" t="e">
        <f>IF($G$44=0,0,J65/$G$44)</f>
        <v>#REF!</v>
      </c>
      <c r="M65" s="57">
        <f>12*J38</f>
        <v>26208.321563401823</v>
      </c>
      <c r="N65" s="58" t="e">
        <f>IF(M65=0,0,K65/M65)</f>
        <v>#REF!</v>
      </c>
      <c r="O65" s="58" t="e">
        <f>IF(M65=0,0,L65/M65)</f>
        <v>#REF!</v>
      </c>
      <c r="P65" s="58" t="e">
        <f>IF(M65=0,0,(L65-K65)/M65)</f>
        <v>#REF!</v>
      </c>
    </row>
    <row r="66" spans="1:16" ht="14.25" customHeight="1" thickTop="1">
      <c r="B66" s="46"/>
      <c r="C66" s="47"/>
      <c r="D66" s="59"/>
      <c r="E66" s="59"/>
      <c r="F66" s="59"/>
      <c r="G66" s="59"/>
      <c r="I66" s="59"/>
      <c r="J66" s="59"/>
      <c r="K66" s="59"/>
      <c r="L66" s="59"/>
      <c r="M66" s="18"/>
    </row>
    <row r="67" spans="1:16">
      <c r="F67" s="37"/>
      <c r="J67" s="61"/>
      <c r="K67" s="61"/>
      <c r="L67" s="61"/>
      <c r="M67" s="61"/>
      <c r="N67" s="61"/>
    </row>
    <row r="68" spans="1:16" ht="15" thickBot="1">
      <c r="B68" s="1"/>
      <c r="C68" s="49" t="s">
        <v>44</v>
      </c>
      <c r="D68" s="50" t="str">
        <f>$L$48&amp;" r."</f>
        <v>2024 r.</v>
      </c>
    </row>
    <row r="69" spans="1:16" ht="90.75" outlineLevel="1" thickTop="1" thickBot="1">
      <c r="B69" s="196" t="s">
        <v>51</v>
      </c>
      <c r="C69" s="198" t="s">
        <v>52</v>
      </c>
      <c r="D69" s="80" t="str">
        <f t="shared" ref="D69:P69" si="25">D63</f>
        <v>Odbiorcy</v>
      </c>
      <c r="E69" s="80" t="str">
        <f t="shared" si="25"/>
        <v>Łączne roczne zużycie paliw gazowych</v>
      </c>
      <c r="F69" s="80" t="str">
        <f t="shared" si="25"/>
        <v xml:space="preserve">Łączne roczne zużycie paliw gazowych na odbiorcę </v>
      </c>
      <c r="G69" s="200" t="str">
        <f t="shared" si="25"/>
        <v>Średnia stawka opłat za usługę dystrybucji brutto</v>
      </c>
      <c r="H69" s="202" t="str">
        <f t="shared" si="25"/>
        <v>Średnia cena sprzedanych paliw gazowych i usługi ich dystrybucji brutto</v>
      </c>
      <c r="I69" s="81" t="str">
        <f t="shared" si="25"/>
        <v>Opłata roczna za usługę dystrybucji na odbiorcę</v>
      </c>
      <c r="J69" s="81" t="str">
        <f t="shared" si="25"/>
        <v>Opłata roczna za dostawę paliwa gazowego  na odbiorcę</v>
      </c>
      <c r="K69" s="81" t="str">
        <f t="shared" si="25"/>
        <v>Opłata roczna za usługę dystrybucji na osobę</v>
      </c>
      <c r="L69" s="81" t="str">
        <f t="shared" si="25"/>
        <v>Opłata roczna za dostawe paliwa gazowego na osobę</v>
      </c>
      <c r="M69" s="82" t="str">
        <f t="shared" si="25"/>
        <v>Średni ważony dochód roczny na osobę na terenie działania OSD</v>
      </c>
      <c r="N69" s="51" t="str">
        <f t="shared" si="25"/>
        <v>% udział opłat za usługę dystrybucji w dochodzie do dyspozycji gospodarstw domowych na osobę w skali roku</v>
      </c>
      <c r="O69" s="51" t="str">
        <f t="shared" si="25"/>
        <v>% udział opłaty za dostawę paliwa gazowego  w dochodzie do dyspozycji gospodarstw domowych na osobę w skali roku</v>
      </c>
      <c r="P69" s="85" t="str">
        <f t="shared" si="25"/>
        <v>% udział opłaty za paliwo gazowe w dochodzie do dyspozycji gospodarstw domowych na osobę w skali roku</v>
      </c>
    </row>
    <row r="70" spans="1:16" ht="14.25" outlineLevel="1" thickTop="1" thickBot="1">
      <c r="B70" s="197"/>
      <c r="C70" s="199"/>
      <c r="D70" s="83" t="str">
        <f>JM_04</f>
        <v>[szt.]</v>
      </c>
      <c r="E70" s="80" t="str">
        <f>JM_12</f>
        <v>[m³]</v>
      </c>
      <c r="F70" s="80" t="str">
        <f>JM_13</f>
        <v>[m³/szt.]</v>
      </c>
      <c r="G70" s="201"/>
      <c r="H70" s="202"/>
      <c r="I70" s="84" t="str">
        <f>JM_15</f>
        <v>[zł/szt.]</v>
      </c>
      <c r="J70" s="84" t="str">
        <f>JM_15</f>
        <v>[zł/szt.]</v>
      </c>
      <c r="K70" s="84" t="str">
        <f>JM_15</f>
        <v>[zł/szt.]</v>
      </c>
      <c r="L70" s="84" t="str">
        <f>JM_15</f>
        <v>[zł/szt.]</v>
      </c>
      <c r="M70" s="78" t="str">
        <f>JM_15</f>
        <v>[zł/szt.]</v>
      </c>
      <c r="N70" s="79" t="str">
        <f t="shared" ref="N70:P70" si="26">JM_02</f>
        <v>[%]</v>
      </c>
      <c r="O70" s="79" t="str">
        <f t="shared" si="26"/>
        <v>[%]</v>
      </c>
      <c r="P70" s="79" t="str">
        <f t="shared" si="26"/>
        <v>[%]</v>
      </c>
    </row>
    <row r="71" spans="1:16" s="42" customFormat="1" ht="39.950000000000003" customHeight="1" outlineLevel="1" thickTop="1" thickBot="1">
      <c r="A71" s="144"/>
      <c r="B71" s="52">
        <v>1</v>
      </c>
      <c r="C71" s="53" t="str">
        <f>C65</f>
        <v>Odbiorcy indywidualni (odbiorcy ze wskazanych przez OSD grup taryfowych o mocy nie większej niż 110 kWh/h)</v>
      </c>
      <c r="D71" s="54">
        <f>[2]Tab.G20!$G$12</f>
        <v>0</v>
      </c>
      <c r="E71" s="54" t="e">
        <f>M52</f>
        <v>#REF!</v>
      </c>
      <c r="F71" s="54" t="e">
        <f>IF(E71=0,0,E71/D71)</f>
        <v>#REF!</v>
      </c>
      <c r="G71" s="55" t="e">
        <f>1.23*N52</f>
        <v>#REF!</v>
      </c>
      <c r="H71" s="56">
        <f>1.23*O52</f>
        <v>0</v>
      </c>
      <c r="I71" s="54" t="e">
        <f>G71*F71</f>
        <v>#REF!</v>
      </c>
      <c r="J71" s="54" t="e">
        <f>H71*F71</f>
        <v>#REF!</v>
      </c>
      <c r="K71" s="54" t="e">
        <f>IF($H$44=0,0,I71/$H$44)</f>
        <v>#REF!</v>
      </c>
      <c r="L71" s="54" t="e">
        <f>IF($H$44=0,0,J71/$H$44)</f>
        <v>#REF!</v>
      </c>
      <c r="M71" s="57">
        <f>12*K38</f>
        <v>29239.864326962081</v>
      </c>
      <c r="N71" s="58" t="e">
        <f>IF(M71=0,0,K71/M71)</f>
        <v>#REF!</v>
      </c>
      <c r="O71" s="58" t="e">
        <f>IF(M71=0,0,L71/M71)</f>
        <v>#REF!</v>
      </c>
      <c r="P71" s="58" t="e">
        <f>IF(M71=0,0,(L71-K71)/M71)</f>
        <v>#REF!</v>
      </c>
    </row>
    <row r="72" spans="1:16" ht="14.25" customHeight="1" thickTop="1">
      <c r="B72" s="46"/>
      <c r="C72" s="47"/>
      <c r="D72" s="59"/>
      <c r="E72" s="59"/>
      <c r="F72" s="59"/>
      <c r="G72" s="59"/>
      <c r="I72" s="59"/>
      <c r="J72" s="59"/>
      <c r="K72" s="59"/>
      <c r="L72" s="59"/>
      <c r="M72" s="18"/>
    </row>
    <row r="73" spans="1:16">
      <c r="F73" s="37"/>
      <c r="J73" s="61"/>
      <c r="K73" s="61"/>
      <c r="L73" s="61"/>
      <c r="M73" s="61"/>
      <c r="N73" s="61"/>
    </row>
    <row r="74" spans="1:16" ht="15" thickBot="1">
      <c r="B74" s="1"/>
      <c r="C74" s="49" t="s">
        <v>44</v>
      </c>
      <c r="D74" s="50" t="str">
        <f>$P$48&amp;" r."</f>
        <v>2025 r.</v>
      </c>
    </row>
    <row r="75" spans="1:16" ht="90.75" outlineLevel="1" thickTop="1" thickBot="1">
      <c r="B75" s="196" t="s">
        <v>51</v>
      </c>
      <c r="C75" s="198" t="s">
        <v>52</v>
      </c>
      <c r="D75" s="80" t="str">
        <f t="shared" ref="D75:P75" si="27">D69</f>
        <v>Odbiorcy</v>
      </c>
      <c r="E75" s="80" t="str">
        <f t="shared" si="27"/>
        <v>Łączne roczne zużycie paliw gazowych</v>
      </c>
      <c r="F75" s="80" t="str">
        <f t="shared" si="27"/>
        <v xml:space="preserve">Łączne roczne zużycie paliw gazowych na odbiorcę </v>
      </c>
      <c r="G75" s="200" t="str">
        <f t="shared" si="27"/>
        <v>Średnia stawka opłat za usługę dystrybucji brutto</v>
      </c>
      <c r="H75" s="202" t="str">
        <f t="shared" si="27"/>
        <v>Średnia cena sprzedanych paliw gazowych i usługi ich dystrybucji brutto</v>
      </c>
      <c r="I75" s="81" t="str">
        <f t="shared" si="27"/>
        <v>Opłata roczna za usługę dystrybucji na odbiorcę</v>
      </c>
      <c r="J75" s="81" t="str">
        <f t="shared" si="27"/>
        <v>Opłata roczna za dostawę paliwa gazowego  na odbiorcę</v>
      </c>
      <c r="K75" s="81" t="str">
        <f t="shared" si="27"/>
        <v>Opłata roczna za usługę dystrybucji na osobę</v>
      </c>
      <c r="L75" s="81" t="str">
        <f t="shared" si="27"/>
        <v>Opłata roczna za dostawe paliwa gazowego na osobę</v>
      </c>
      <c r="M75" s="82" t="str">
        <f t="shared" si="27"/>
        <v>Średni ważony dochód roczny na osobę na terenie działania OSD</v>
      </c>
      <c r="N75" s="51" t="str">
        <f t="shared" si="27"/>
        <v>% udział opłat za usługę dystrybucji w dochodzie do dyspozycji gospodarstw domowych na osobę w skali roku</v>
      </c>
      <c r="O75" s="51" t="str">
        <f t="shared" si="27"/>
        <v>% udział opłaty za dostawę paliwa gazowego  w dochodzie do dyspozycji gospodarstw domowych na osobę w skali roku</v>
      </c>
      <c r="P75" s="85" t="str">
        <f t="shared" si="27"/>
        <v>% udział opłaty za paliwo gazowe w dochodzie do dyspozycji gospodarstw domowych na osobę w skali roku</v>
      </c>
    </row>
    <row r="76" spans="1:16" ht="14.25" outlineLevel="1" thickTop="1" thickBot="1">
      <c r="B76" s="197"/>
      <c r="C76" s="199"/>
      <c r="D76" s="83" t="str">
        <f>JM_04</f>
        <v>[szt.]</v>
      </c>
      <c r="E76" s="80" t="str">
        <f>JM_12</f>
        <v>[m³]</v>
      </c>
      <c r="F76" s="80" t="str">
        <f>JM_13</f>
        <v>[m³/szt.]</v>
      </c>
      <c r="G76" s="201"/>
      <c r="H76" s="202"/>
      <c r="I76" s="84" t="str">
        <f>JM_15</f>
        <v>[zł/szt.]</v>
      </c>
      <c r="J76" s="84" t="str">
        <f>JM_15</f>
        <v>[zł/szt.]</v>
      </c>
      <c r="K76" s="84" t="str">
        <f>JM_15</f>
        <v>[zł/szt.]</v>
      </c>
      <c r="L76" s="84" t="str">
        <f>JM_15</f>
        <v>[zł/szt.]</v>
      </c>
      <c r="M76" s="78" t="str">
        <f>JM_15</f>
        <v>[zł/szt.]</v>
      </c>
      <c r="N76" s="79" t="str">
        <f t="shared" ref="N76:P76" si="28">JM_02</f>
        <v>[%]</v>
      </c>
      <c r="O76" s="79" t="str">
        <f t="shared" si="28"/>
        <v>[%]</v>
      </c>
      <c r="P76" s="79" t="str">
        <f t="shared" si="28"/>
        <v>[%]</v>
      </c>
    </row>
    <row r="77" spans="1:16" s="42" customFormat="1" ht="39.950000000000003" customHeight="1" outlineLevel="1" thickTop="1" thickBot="1">
      <c r="A77" s="144"/>
      <c r="B77" s="52">
        <v>1</v>
      </c>
      <c r="C77" s="53" t="str">
        <f>C71</f>
        <v>Odbiorcy indywidualni (odbiorcy ze wskazanych przez OSD grup taryfowych o mocy nie większej niż 110 kWh/h)</v>
      </c>
      <c r="D77" s="63"/>
      <c r="E77" s="54" t="e">
        <f>Q52</f>
        <v>#REF!</v>
      </c>
      <c r="F77" s="54" t="e">
        <f>IF(E77=0,0,E77/D77)</f>
        <v>#REF!</v>
      </c>
      <c r="G77" s="55" t="e">
        <f>1.23*R52</f>
        <v>#REF!</v>
      </c>
      <c r="H77" s="56">
        <f>1.23*S52</f>
        <v>0</v>
      </c>
      <c r="I77" s="54" t="e">
        <f>G77*F77</f>
        <v>#REF!</v>
      </c>
      <c r="J77" s="54" t="e">
        <f>H77*F77</f>
        <v>#REF!</v>
      </c>
      <c r="K77" s="54" t="e">
        <f>IF($I$44=0,0,I77/$I$44)</f>
        <v>#REF!</v>
      </c>
      <c r="L77" s="54" t="e">
        <f>IF($I$44=0,0,J77/$I$44)</f>
        <v>#REF!</v>
      </c>
      <c r="M77" s="57">
        <f>12*L38</f>
        <v>31637.240803129702</v>
      </c>
      <c r="N77" s="58" t="e">
        <f>IF(M77=0,0,K77/M77)</f>
        <v>#REF!</v>
      </c>
      <c r="O77" s="58" t="e">
        <f>IF(M77=0,0,L77/M77)</f>
        <v>#REF!</v>
      </c>
      <c r="P77" s="58" t="e">
        <f>IF(M77=0,0,(L77-K77)/M77)</f>
        <v>#REF!</v>
      </c>
    </row>
    <row r="78" spans="1:16" ht="14.25" customHeight="1" thickTop="1">
      <c r="B78" s="46"/>
      <c r="C78" s="47"/>
      <c r="D78" s="59"/>
      <c r="E78" s="59"/>
      <c r="F78" s="59"/>
      <c r="G78" s="59"/>
      <c r="I78" s="59"/>
      <c r="J78" s="59"/>
      <c r="K78" s="59"/>
      <c r="L78" s="59"/>
      <c r="M78" s="18"/>
    </row>
    <row r="79" spans="1:16" ht="14.25" customHeight="1">
      <c r="B79" s="46"/>
      <c r="C79" s="47"/>
      <c r="D79" s="59"/>
      <c r="E79" s="59"/>
      <c r="F79" s="59"/>
      <c r="G79" s="59"/>
      <c r="I79" s="59"/>
      <c r="J79" s="59"/>
      <c r="K79" s="59"/>
      <c r="L79" s="59"/>
      <c r="M79" s="18"/>
    </row>
    <row r="80" spans="1:16" ht="15" thickBot="1">
      <c r="B80" s="1"/>
      <c r="C80" s="49" t="s">
        <v>44</v>
      </c>
      <c r="D80" s="50" t="str">
        <f>$T$48&amp;" r."</f>
        <v>2026 r.</v>
      </c>
    </row>
    <row r="81" spans="1:16" ht="90.75" outlineLevel="1" thickTop="1" thickBot="1">
      <c r="B81" s="196" t="s">
        <v>51</v>
      </c>
      <c r="C81" s="198" t="s">
        <v>52</v>
      </c>
      <c r="D81" s="80" t="str">
        <f t="shared" ref="D81:P81" si="29">D75</f>
        <v>Odbiorcy</v>
      </c>
      <c r="E81" s="80" t="str">
        <f t="shared" si="29"/>
        <v>Łączne roczne zużycie paliw gazowych</v>
      </c>
      <c r="F81" s="80" t="str">
        <f t="shared" si="29"/>
        <v xml:space="preserve">Łączne roczne zużycie paliw gazowych na odbiorcę </v>
      </c>
      <c r="G81" s="200" t="str">
        <f t="shared" si="29"/>
        <v>Średnia stawka opłat za usługę dystrybucji brutto</v>
      </c>
      <c r="H81" s="202" t="str">
        <f t="shared" si="29"/>
        <v>Średnia cena sprzedanych paliw gazowych i usługi ich dystrybucji brutto</v>
      </c>
      <c r="I81" s="81" t="str">
        <f t="shared" si="29"/>
        <v>Opłata roczna za usługę dystrybucji na odbiorcę</v>
      </c>
      <c r="J81" s="81" t="str">
        <f t="shared" si="29"/>
        <v>Opłata roczna za dostawę paliwa gazowego  na odbiorcę</v>
      </c>
      <c r="K81" s="81" t="str">
        <f t="shared" si="29"/>
        <v>Opłata roczna za usługę dystrybucji na osobę</v>
      </c>
      <c r="L81" s="81" t="str">
        <f t="shared" si="29"/>
        <v>Opłata roczna za dostawe paliwa gazowego na osobę</v>
      </c>
      <c r="M81" s="82" t="str">
        <f t="shared" si="29"/>
        <v>Średni ważony dochód roczny na osobę na terenie działania OSD</v>
      </c>
      <c r="N81" s="51" t="str">
        <f t="shared" si="29"/>
        <v>% udział opłat za usługę dystrybucji w dochodzie do dyspozycji gospodarstw domowych na osobę w skali roku</v>
      </c>
      <c r="O81" s="51" t="str">
        <f t="shared" si="29"/>
        <v>% udział opłaty za dostawę paliwa gazowego  w dochodzie do dyspozycji gospodarstw domowych na osobę w skali roku</v>
      </c>
      <c r="P81" s="85" t="str">
        <f t="shared" si="29"/>
        <v>% udział opłaty za paliwo gazowe w dochodzie do dyspozycji gospodarstw domowych na osobę w skali roku</v>
      </c>
    </row>
    <row r="82" spans="1:16" ht="14.25" outlineLevel="1" thickTop="1" thickBot="1">
      <c r="B82" s="197"/>
      <c r="C82" s="199"/>
      <c r="D82" s="83" t="str">
        <f>JM_04</f>
        <v>[szt.]</v>
      </c>
      <c r="E82" s="80" t="str">
        <f>JM_12</f>
        <v>[m³]</v>
      </c>
      <c r="F82" s="80" t="str">
        <f>JM_13</f>
        <v>[m³/szt.]</v>
      </c>
      <c r="G82" s="201"/>
      <c r="H82" s="202"/>
      <c r="I82" s="84" t="str">
        <f>JM_15</f>
        <v>[zł/szt.]</v>
      </c>
      <c r="J82" s="84" t="str">
        <f>JM_15</f>
        <v>[zł/szt.]</v>
      </c>
      <c r="K82" s="84" t="str">
        <f>JM_15</f>
        <v>[zł/szt.]</v>
      </c>
      <c r="L82" s="84" t="str">
        <f>JM_15</f>
        <v>[zł/szt.]</v>
      </c>
      <c r="M82" s="78" t="str">
        <f>JM_15</f>
        <v>[zł/szt.]</v>
      </c>
      <c r="N82" s="79" t="str">
        <f t="shared" ref="N82:P82" si="30">JM_02</f>
        <v>[%]</v>
      </c>
      <c r="O82" s="79" t="str">
        <f t="shared" si="30"/>
        <v>[%]</v>
      </c>
      <c r="P82" s="79" t="str">
        <f t="shared" si="30"/>
        <v>[%]</v>
      </c>
    </row>
    <row r="83" spans="1:16" s="42" customFormat="1" ht="39.950000000000003" customHeight="1" outlineLevel="1" thickTop="1" thickBot="1">
      <c r="A83" s="144"/>
      <c r="B83" s="52">
        <v>1</v>
      </c>
      <c r="C83" s="53" t="str">
        <f>C77</f>
        <v>Odbiorcy indywidualni (odbiorcy ze wskazanych przez OSD grup taryfowych o mocy nie większej niż 110 kWh/h)</v>
      </c>
      <c r="D83" s="63"/>
      <c r="E83" s="54" t="e">
        <f>U52</f>
        <v>#REF!</v>
      </c>
      <c r="F83" s="54" t="e">
        <f>IF(E83=0,0,E83/D83)</f>
        <v>#REF!</v>
      </c>
      <c r="G83" s="55" t="e">
        <f>1.23*V52</f>
        <v>#REF!</v>
      </c>
      <c r="H83" s="56">
        <f>1.23*W52</f>
        <v>0</v>
      </c>
      <c r="I83" s="54" t="e">
        <f>G83*F83</f>
        <v>#REF!</v>
      </c>
      <c r="J83" s="54" t="e">
        <f>H83*F83</f>
        <v>#REF!</v>
      </c>
      <c r="K83" s="54" t="e">
        <f>IF($J$44=0,0,I83/$J$44)</f>
        <v>#REF!</v>
      </c>
      <c r="L83" s="54" t="e">
        <f>IF($J$44=0,0,J83/$J$44)</f>
        <v>#REF!</v>
      </c>
      <c r="M83" s="57">
        <f>12*M38</f>
        <v>33395.448823522827</v>
      </c>
      <c r="N83" s="58" t="e">
        <f>IF(M83=0,0,K83/M83)</f>
        <v>#REF!</v>
      </c>
      <c r="O83" s="58" t="e">
        <f>IF(M83=0,0,L83/M83)</f>
        <v>#REF!</v>
      </c>
      <c r="P83" s="58" t="e">
        <f>IF(M83=0,0,(L83-K83)/M83)</f>
        <v>#REF!</v>
      </c>
    </row>
    <row r="84" spans="1:16" ht="14.25" customHeight="1" thickTop="1">
      <c r="B84" s="46"/>
      <c r="C84" s="47"/>
      <c r="D84" s="59"/>
      <c r="E84" s="59"/>
      <c r="F84" s="59"/>
      <c r="G84" s="59"/>
      <c r="I84" s="59"/>
      <c r="J84" s="59"/>
      <c r="K84" s="59"/>
      <c r="L84" s="59"/>
      <c r="M84" s="18"/>
    </row>
    <row r="85" spans="1:16">
      <c r="F85" s="37"/>
      <c r="J85" s="61"/>
      <c r="K85" s="61"/>
      <c r="L85" s="61"/>
      <c r="M85" s="61"/>
      <c r="N85" s="61"/>
    </row>
    <row r="86" spans="1:16" ht="15" thickBot="1">
      <c r="B86" s="1"/>
      <c r="C86" s="49" t="s">
        <v>44</v>
      </c>
      <c r="D86" s="50" t="str">
        <f>$X$48&amp;" r."</f>
        <v>2027 r.</v>
      </c>
    </row>
    <row r="87" spans="1:16" ht="90.75" outlineLevel="1" thickTop="1" thickBot="1">
      <c r="B87" s="196" t="s">
        <v>51</v>
      </c>
      <c r="C87" s="198" t="s">
        <v>52</v>
      </c>
      <c r="D87" s="80" t="str">
        <f t="shared" ref="D87:P87" si="31">D81</f>
        <v>Odbiorcy</v>
      </c>
      <c r="E87" s="80" t="str">
        <f t="shared" si="31"/>
        <v>Łączne roczne zużycie paliw gazowych</v>
      </c>
      <c r="F87" s="80" t="str">
        <f t="shared" si="31"/>
        <v xml:space="preserve">Łączne roczne zużycie paliw gazowych na odbiorcę </v>
      </c>
      <c r="G87" s="200" t="str">
        <f t="shared" si="31"/>
        <v>Średnia stawka opłat za usługę dystrybucji brutto</v>
      </c>
      <c r="H87" s="202" t="str">
        <f t="shared" si="31"/>
        <v>Średnia cena sprzedanych paliw gazowych i usługi ich dystrybucji brutto</v>
      </c>
      <c r="I87" s="81" t="str">
        <f t="shared" si="31"/>
        <v>Opłata roczna za usługę dystrybucji na odbiorcę</v>
      </c>
      <c r="J87" s="81" t="str">
        <f t="shared" si="31"/>
        <v>Opłata roczna za dostawę paliwa gazowego  na odbiorcę</v>
      </c>
      <c r="K87" s="81" t="str">
        <f t="shared" si="31"/>
        <v>Opłata roczna za usługę dystrybucji na osobę</v>
      </c>
      <c r="L87" s="81" t="str">
        <f t="shared" si="31"/>
        <v>Opłata roczna za dostawe paliwa gazowego na osobę</v>
      </c>
      <c r="M87" s="82" t="str">
        <f t="shared" si="31"/>
        <v>Średni ważony dochód roczny na osobę na terenie działania OSD</v>
      </c>
      <c r="N87" s="51" t="str">
        <f t="shared" si="31"/>
        <v>% udział opłat za usługę dystrybucji w dochodzie do dyspozycji gospodarstw domowych na osobę w skali roku</v>
      </c>
      <c r="O87" s="51" t="str">
        <f t="shared" si="31"/>
        <v>% udział opłaty za dostawę paliwa gazowego  w dochodzie do dyspozycji gospodarstw domowych na osobę w skali roku</v>
      </c>
      <c r="P87" s="85" t="str">
        <f t="shared" si="31"/>
        <v>% udział opłaty za paliwo gazowe w dochodzie do dyspozycji gospodarstw domowych na osobę w skali roku</v>
      </c>
    </row>
    <row r="88" spans="1:16" ht="14.25" outlineLevel="1" thickTop="1" thickBot="1">
      <c r="B88" s="197"/>
      <c r="C88" s="199"/>
      <c r="D88" s="83" t="str">
        <f>JM_04</f>
        <v>[szt.]</v>
      </c>
      <c r="E88" s="80" t="str">
        <f>JM_12</f>
        <v>[m³]</v>
      </c>
      <c r="F88" s="80" t="str">
        <f>JM_13</f>
        <v>[m³/szt.]</v>
      </c>
      <c r="G88" s="201"/>
      <c r="H88" s="202"/>
      <c r="I88" s="84" t="str">
        <f>JM_15</f>
        <v>[zł/szt.]</v>
      </c>
      <c r="J88" s="84" t="str">
        <f>JM_15</f>
        <v>[zł/szt.]</v>
      </c>
      <c r="K88" s="84" t="str">
        <f>JM_15</f>
        <v>[zł/szt.]</v>
      </c>
      <c r="L88" s="84" t="str">
        <f>JM_15</f>
        <v>[zł/szt.]</v>
      </c>
      <c r="M88" s="78" t="str">
        <f>JM_15</f>
        <v>[zł/szt.]</v>
      </c>
      <c r="N88" s="79" t="str">
        <f t="shared" ref="N88:P88" si="32">JM_02</f>
        <v>[%]</v>
      </c>
      <c r="O88" s="79" t="str">
        <f t="shared" si="32"/>
        <v>[%]</v>
      </c>
      <c r="P88" s="79" t="str">
        <f t="shared" si="32"/>
        <v>[%]</v>
      </c>
    </row>
    <row r="89" spans="1:16" s="42" customFormat="1" ht="39.950000000000003" customHeight="1" outlineLevel="1" thickTop="1" thickBot="1">
      <c r="A89" s="144"/>
      <c r="B89" s="52">
        <v>1</v>
      </c>
      <c r="C89" s="53" t="str">
        <f>C83</f>
        <v>Odbiorcy indywidualni (odbiorcy ze wskazanych przez OSD grup taryfowych o mocy nie większej niż 110 kWh/h)</v>
      </c>
      <c r="D89" s="63"/>
      <c r="E89" s="54" t="e">
        <f>Y52</f>
        <v>#REF!</v>
      </c>
      <c r="F89" s="54" t="e">
        <f>IF(E89=0,0,E89/D89)</f>
        <v>#REF!</v>
      </c>
      <c r="G89" s="55" t="e">
        <f>1.23*Z52</f>
        <v>#REF!</v>
      </c>
      <c r="H89" s="56">
        <f>1.23*AA52</f>
        <v>0</v>
      </c>
      <c r="I89" s="54" t="e">
        <f>G89*F89</f>
        <v>#REF!</v>
      </c>
      <c r="J89" s="54" t="e">
        <f>H89*F89</f>
        <v>#REF!</v>
      </c>
      <c r="K89" s="54" t="e">
        <f>IF($K$44=0,0,I89/$K$44)</f>
        <v>#REF!</v>
      </c>
      <c r="L89" s="54" t="e">
        <f>IF($K$44=0,0,J89/$K$44)</f>
        <v>#REF!</v>
      </c>
      <c r="M89" s="57">
        <f>12*N38</f>
        <v>34912.737645370762</v>
      </c>
      <c r="N89" s="58" t="e">
        <f>IF(M89=0,0,K89/M89)</f>
        <v>#REF!</v>
      </c>
      <c r="O89" s="58" t="e">
        <f>IF(M89=0,0,L89/M89)</f>
        <v>#REF!</v>
      </c>
      <c r="P89" s="58" t="e">
        <f>IF(M89=0,0,(L89-K89)/M89)</f>
        <v>#REF!</v>
      </c>
    </row>
    <row r="90" spans="1:16" ht="14.25" customHeight="1" thickTop="1">
      <c r="B90" s="46"/>
      <c r="C90" s="47"/>
      <c r="D90" s="59"/>
      <c r="E90" s="59"/>
      <c r="F90" s="59"/>
      <c r="G90" s="59"/>
      <c r="I90" s="59"/>
      <c r="J90" s="59"/>
      <c r="K90" s="59"/>
      <c r="L90" s="59"/>
      <c r="M90" s="18"/>
    </row>
    <row r="91" spans="1:16">
      <c r="F91" s="37"/>
    </row>
    <row r="92" spans="1:16" ht="15" thickBot="1">
      <c r="B92" s="1"/>
      <c r="C92" s="49" t="s">
        <v>44</v>
      </c>
      <c r="D92" s="50" t="str">
        <f>$AB$48&amp;" r."</f>
        <v>2028 r.</v>
      </c>
    </row>
    <row r="93" spans="1:16" ht="90.75" outlineLevel="1" thickTop="1" thickBot="1">
      <c r="B93" s="196" t="s">
        <v>51</v>
      </c>
      <c r="C93" s="198" t="s">
        <v>52</v>
      </c>
      <c r="D93" s="80" t="str">
        <f t="shared" ref="D93:P93" si="33">D87</f>
        <v>Odbiorcy</v>
      </c>
      <c r="E93" s="80" t="str">
        <f t="shared" si="33"/>
        <v>Łączne roczne zużycie paliw gazowych</v>
      </c>
      <c r="F93" s="80" t="str">
        <f t="shared" si="33"/>
        <v xml:space="preserve">Łączne roczne zużycie paliw gazowych na odbiorcę </v>
      </c>
      <c r="G93" s="200" t="str">
        <f t="shared" si="33"/>
        <v>Średnia stawka opłat za usługę dystrybucji brutto</v>
      </c>
      <c r="H93" s="202" t="str">
        <f t="shared" si="33"/>
        <v>Średnia cena sprzedanych paliw gazowych i usługi ich dystrybucji brutto</v>
      </c>
      <c r="I93" s="81" t="str">
        <f t="shared" si="33"/>
        <v>Opłata roczna za usługę dystrybucji na odbiorcę</v>
      </c>
      <c r="J93" s="81" t="str">
        <f t="shared" si="33"/>
        <v>Opłata roczna za dostawę paliwa gazowego  na odbiorcę</v>
      </c>
      <c r="K93" s="81" t="str">
        <f t="shared" si="33"/>
        <v>Opłata roczna za usługę dystrybucji na osobę</v>
      </c>
      <c r="L93" s="81" t="str">
        <f t="shared" si="33"/>
        <v>Opłata roczna za dostawe paliwa gazowego na osobę</v>
      </c>
      <c r="M93" s="82" t="str">
        <f t="shared" si="33"/>
        <v>Średni ważony dochód roczny na osobę na terenie działania OSD</v>
      </c>
      <c r="N93" s="51" t="str">
        <f t="shared" si="33"/>
        <v>% udział opłat za usługę dystrybucji w dochodzie do dyspozycji gospodarstw domowych na osobę w skali roku</v>
      </c>
      <c r="O93" s="51" t="str">
        <f t="shared" si="33"/>
        <v>% udział opłaty za dostawę paliwa gazowego  w dochodzie do dyspozycji gospodarstw domowych na osobę w skali roku</v>
      </c>
      <c r="P93" s="85" t="str">
        <f t="shared" si="33"/>
        <v>% udział opłaty za paliwo gazowe w dochodzie do dyspozycji gospodarstw domowych na osobę w skali roku</v>
      </c>
    </row>
    <row r="94" spans="1:16" ht="14.25" outlineLevel="1" thickTop="1" thickBot="1">
      <c r="B94" s="197"/>
      <c r="C94" s="199"/>
      <c r="D94" s="83" t="str">
        <f>JM_04</f>
        <v>[szt.]</v>
      </c>
      <c r="E94" s="80" t="str">
        <f>JM_12</f>
        <v>[m³]</v>
      </c>
      <c r="F94" s="80" t="str">
        <f>JM_13</f>
        <v>[m³/szt.]</v>
      </c>
      <c r="G94" s="201"/>
      <c r="H94" s="202"/>
      <c r="I94" s="84" t="str">
        <f>JM_15</f>
        <v>[zł/szt.]</v>
      </c>
      <c r="J94" s="84" t="str">
        <f>JM_15</f>
        <v>[zł/szt.]</v>
      </c>
      <c r="K94" s="84" t="str">
        <f>JM_15</f>
        <v>[zł/szt.]</v>
      </c>
      <c r="L94" s="84" t="str">
        <f>JM_15</f>
        <v>[zł/szt.]</v>
      </c>
      <c r="M94" s="78" t="str">
        <f>JM_15</f>
        <v>[zł/szt.]</v>
      </c>
      <c r="N94" s="79" t="str">
        <f t="shared" ref="N94:P94" si="34">JM_02</f>
        <v>[%]</v>
      </c>
      <c r="O94" s="79" t="str">
        <f t="shared" si="34"/>
        <v>[%]</v>
      </c>
      <c r="P94" s="79" t="str">
        <f t="shared" si="34"/>
        <v>[%]</v>
      </c>
    </row>
    <row r="95" spans="1:16" s="42" customFormat="1" ht="39.950000000000003" customHeight="1" outlineLevel="1" thickTop="1" thickBot="1">
      <c r="A95" s="144"/>
      <c r="B95" s="52">
        <v>1</v>
      </c>
      <c r="C95" s="53" t="str">
        <f>C89</f>
        <v>Odbiorcy indywidualni (odbiorcy ze wskazanych przez OSD grup taryfowych o mocy nie większej niż 110 kWh/h)</v>
      </c>
      <c r="D95" s="63"/>
      <c r="E95" s="54" t="e">
        <f>AC52</f>
        <v>#REF!</v>
      </c>
      <c r="F95" s="54" t="e">
        <f>IF(E95=0,0,E95/D95)</f>
        <v>#REF!</v>
      </c>
      <c r="G95" s="55" t="e">
        <f>1.23*AD52</f>
        <v>#REF!</v>
      </c>
      <c r="H95" s="56">
        <f>1.23*AE52</f>
        <v>0</v>
      </c>
      <c r="I95" s="54" t="e">
        <f>G95*F95</f>
        <v>#REF!</v>
      </c>
      <c r="J95" s="54" t="e">
        <f>H95*F95</f>
        <v>#REF!</v>
      </c>
      <c r="K95" s="54" t="e">
        <f>IF($L$44=0,0,I95/$L$44)</f>
        <v>#REF!</v>
      </c>
      <c r="L95" s="54" t="e">
        <f>IF($L$44=0,0,J95/$L$44)</f>
        <v>#REF!</v>
      </c>
      <c r="M95" s="57">
        <f>12*O38</f>
        <v>36232.87553758634</v>
      </c>
      <c r="N95" s="58" t="e">
        <f>IF(M95=0,0,K95/M95)</f>
        <v>#REF!</v>
      </c>
      <c r="O95" s="58" t="e">
        <f>IF(M95=0,0,L95/M95)</f>
        <v>#REF!</v>
      </c>
      <c r="P95" s="58" t="e">
        <f>IF(M95=0,0,(L95-K95)/M95)</f>
        <v>#REF!</v>
      </c>
    </row>
    <row r="96" spans="1:16" ht="14.25" customHeight="1" thickTop="1">
      <c r="B96" s="46"/>
      <c r="C96" s="47"/>
      <c r="D96" s="59"/>
      <c r="E96" s="59"/>
      <c r="F96" s="59"/>
      <c r="G96" s="59"/>
      <c r="I96" s="59"/>
      <c r="J96" s="59"/>
      <c r="K96" s="59"/>
      <c r="L96" s="59"/>
      <c r="M96" s="18"/>
    </row>
    <row r="97" spans="1:16" ht="14.25" customHeight="1">
      <c r="B97" s="46"/>
      <c r="C97" s="47"/>
      <c r="D97" s="59"/>
      <c r="E97" s="59"/>
      <c r="F97" s="59"/>
      <c r="G97" s="59"/>
      <c r="I97" s="59"/>
      <c r="J97" s="59"/>
      <c r="K97" s="59"/>
      <c r="L97" s="59"/>
      <c r="M97" s="18"/>
    </row>
    <row r="98" spans="1:16" ht="15" thickBot="1">
      <c r="B98" s="1"/>
      <c r="C98" s="49" t="s">
        <v>44</v>
      </c>
      <c r="D98" s="50" t="str">
        <f>$AF$48&amp;" r."</f>
        <v>2029 r.</v>
      </c>
    </row>
    <row r="99" spans="1:16" ht="90.75" outlineLevel="1" thickTop="1" thickBot="1">
      <c r="B99" s="196" t="s">
        <v>51</v>
      </c>
      <c r="C99" s="198" t="s">
        <v>52</v>
      </c>
      <c r="D99" s="80" t="str">
        <f t="shared" ref="D99:P99" si="35">D93</f>
        <v>Odbiorcy</v>
      </c>
      <c r="E99" s="80" t="str">
        <f t="shared" si="35"/>
        <v>Łączne roczne zużycie paliw gazowych</v>
      </c>
      <c r="F99" s="80" t="str">
        <f t="shared" si="35"/>
        <v xml:space="preserve">Łączne roczne zużycie paliw gazowych na odbiorcę </v>
      </c>
      <c r="G99" s="200" t="str">
        <f t="shared" si="35"/>
        <v>Średnia stawka opłat za usługę dystrybucji brutto</v>
      </c>
      <c r="H99" s="202" t="str">
        <f t="shared" si="35"/>
        <v>Średnia cena sprzedanych paliw gazowych i usługi ich dystrybucji brutto</v>
      </c>
      <c r="I99" s="81" t="str">
        <f t="shared" si="35"/>
        <v>Opłata roczna za usługę dystrybucji na odbiorcę</v>
      </c>
      <c r="J99" s="81" t="str">
        <f t="shared" si="35"/>
        <v>Opłata roczna za dostawę paliwa gazowego  na odbiorcę</v>
      </c>
      <c r="K99" s="81" t="str">
        <f t="shared" si="35"/>
        <v>Opłata roczna za usługę dystrybucji na osobę</v>
      </c>
      <c r="L99" s="81" t="str">
        <f t="shared" si="35"/>
        <v>Opłata roczna za dostawe paliwa gazowego na osobę</v>
      </c>
      <c r="M99" s="82" t="str">
        <f t="shared" si="35"/>
        <v>Średni ważony dochód roczny na osobę na terenie działania OSD</v>
      </c>
      <c r="N99" s="51" t="str">
        <f t="shared" si="35"/>
        <v>% udział opłat za usługę dystrybucji w dochodzie do dyspozycji gospodarstw domowych na osobę w skali roku</v>
      </c>
      <c r="O99" s="51" t="str">
        <f t="shared" si="35"/>
        <v>% udział opłaty za dostawę paliwa gazowego  w dochodzie do dyspozycji gospodarstw domowych na osobę w skali roku</v>
      </c>
      <c r="P99" s="85" t="str">
        <f t="shared" si="35"/>
        <v>% udział opłaty za paliwo gazowe w dochodzie do dyspozycji gospodarstw domowych na osobę w skali roku</v>
      </c>
    </row>
    <row r="100" spans="1:16" ht="14.25" outlineLevel="1" thickTop="1" thickBot="1">
      <c r="B100" s="197"/>
      <c r="C100" s="199"/>
      <c r="D100" s="83" t="str">
        <f>JM_04</f>
        <v>[szt.]</v>
      </c>
      <c r="E100" s="80" t="str">
        <f>JM_12</f>
        <v>[m³]</v>
      </c>
      <c r="F100" s="80" t="str">
        <f>JM_13</f>
        <v>[m³/szt.]</v>
      </c>
      <c r="G100" s="201"/>
      <c r="H100" s="202"/>
      <c r="I100" s="84" t="str">
        <f>JM_15</f>
        <v>[zł/szt.]</v>
      </c>
      <c r="J100" s="84" t="str">
        <f>JM_15</f>
        <v>[zł/szt.]</v>
      </c>
      <c r="K100" s="84" t="str">
        <f>JM_15</f>
        <v>[zł/szt.]</v>
      </c>
      <c r="L100" s="84" t="str">
        <f>JM_15</f>
        <v>[zł/szt.]</v>
      </c>
      <c r="M100" s="78" t="str">
        <f>JM_15</f>
        <v>[zł/szt.]</v>
      </c>
      <c r="N100" s="79" t="str">
        <f t="shared" ref="N100:P100" si="36">JM_02</f>
        <v>[%]</v>
      </c>
      <c r="O100" s="79" t="str">
        <f t="shared" si="36"/>
        <v>[%]</v>
      </c>
      <c r="P100" s="79" t="str">
        <f t="shared" si="36"/>
        <v>[%]</v>
      </c>
    </row>
    <row r="101" spans="1:16" s="42" customFormat="1" ht="39.950000000000003" customHeight="1" outlineLevel="1" thickTop="1" thickBot="1">
      <c r="A101" s="144"/>
      <c r="B101" s="52">
        <v>1</v>
      </c>
      <c r="C101" s="53" t="str">
        <f>C95</f>
        <v>Odbiorcy indywidualni (odbiorcy ze wskazanych przez OSD grup taryfowych o mocy nie większej niż 110 kWh/h)</v>
      </c>
      <c r="D101" s="63"/>
      <c r="E101" s="54" t="e">
        <f>AG52</f>
        <v>#REF!</v>
      </c>
      <c r="F101" s="54" t="e">
        <f>IF(E101=0,0,E101/D101)</f>
        <v>#REF!</v>
      </c>
      <c r="G101" s="55" t="e">
        <f>1.23*AH52</f>
        <v>#REF!</v>
      </c>
      <c r="H101" s="56">
        <f>1.23*AI52</f>
        <v>0</v>
      </c>
      <c r="I101" s="54" t="e">
        <f>G101*F101</f>
        <v>#REF!</v>
      </c>
      <c r="J101" s="54" t="e">
        <f>H101*F101</f>
        <v>#REF!</v>
      </c>
      <c r="K101" s="54" t="e">
        <f>IF($M$44=0,0,I101/$M$44)</f>
        <v>#REF!</v>
      </c>
      <c r="L101" s="54" t="e">
        <f>IF($M$44=0,0,J101/$M$44)</f>
        <v>#REF!</v>
      </c>
      <c r="M101" s="57">
        <f>12*P38</f>
        <v>37602.931143851325</v>
      </c>
      <c r="N101" s="58" t="e">
        <f>IF(M101=0,0,K101/M101)</f>
        <v>#REF!</v>
      </c>
      <c r="O101" s="58" t="e">
        <f>IF(M101=0,0,L101/M101)</f>
        <v>#REF!</v>
      </c>
      <c r="P101" s="58" t="e">
        <f>IF(M101=0,0,(L101-K101)/M101)</f>
        <v>#REF!</v>
      </c>
    </row>
    <row r="102" spans="1:16" ht="14.25" customHeight="1" thickTop="1">
      <c r="B102" s="46"/>
      <c r="C102" s="47"/>
      <c r="D102" s="59"/>
      <c r="E102" s="59"/>
      <c r="F102" s="59"/>
      <c r="G102" s="59"/>
      <c r="I102" s="59"/>
      <c r="J102" s="59"/>
      <c r="K102" s="59"/>
      <c r="L102" s="59"/>
      <c r="M102" s="18"/>
    </row>
    <row r="103" spans="1:16">
      <c r="F103" s="37"/>
    </row>
    <row r="104" spans="1:16">
      <c r="F104" s="37"/>
    </row>
    <row r="105" spans="1:16">
      <c r="F105" s="37"/>
    </row>
    <row r="106" spans="1:16">
      <c r="F106" s="37"/>
    </row>
    <row r="107" spans="1:16">
      <c r="F107" s="37"/>
    </row>
    <row r="108" spans="1:16">
      <c r="F108" s="37"/>
    </row>
    <row r="109" spans="1:16">
      <c r="F109" s="37"/>
    </row>
    <row r="110" spans="1:16">
      <c r="F110" s="37"/>
    </row>
    <row r="111" spans="1:16">
      <c r="F111" s="37"/>
    </row>
    <row r="112" spans="1:16">
      <c r="F112" s="37"/>
    </row>
    <row r="113" spans="6:6">
      <c r="F113" s="37"/>
    </row>
    <row r="114" spans="6:6">
      <c r="F114" s="37"/>
    </row>
    <row r="115" spans="6:6">
      <c r="F115" s="37"/>
    </row>
    <row r="116" spans="6:6">
      <c r="F116" s="37"/>
    </row>
    <row r="117" spans="6:6">
      <c r="F117" s="37"/>
    </row>
    <row r="118" spans="6:6">
      <c r="F118" s="37"/>
    </row>
    <row r="119" spans="6:6">
      <c r="F119" s="37"/>
    </row>
    <row r="120" spans="6:6">
      <c r="F120" s="37"/>
    </row>
    <row r="121" spans="6:6">
      <c r="F121" s="37"/>
    </row>
    <row r="122" spans="6:6">
      <c r="F122" s="37"/>
    </row>
    <row r="123" spans="6:6">
      <c r="F123" s="37"/>
    </row>
    <row r="124" spans="6:6">
      <c r="F124" s="37"/>
    </row>
    <row r="125" spans="6:6">
      <c r="F125" s="37"/>
    </row>
    <row r="126" spans="6:6">
      <c r="F126" s="37"/>
    </row>
    <row r="127" spans="6:6">
      <c r="F127" s="37"/>
    </row>
    <row r="128" spans="6:6">
      <c r="F128" s="37"/>
    </row>
    <row r="129" spans="6:6">
      <c r="F129" s="37"/>
    </row>
    <row r="130" spans="6:6">
      <c r="F130" s="37"/>
    </row>
    <row r="131" spans="6:6">
      <c r="F131" s="37"/>
    </row>
    <row r="132" spans="6:6">
      <c r="F132" s="37"/>
    </row>
    <row r="133" spans="6:6">
      <c r="F133" s="37"/>
    </row>
    <row r="134" spans="6:6">
      <c r="F134" s="37"/>
    </row>
    <row r="135" spans="6:6">
      <c r="F135" s="37"/>
    </row>
    <row r="136" spans="6:6">
      <c r="F136" s="37"/>
    </row>
    <row r="137" spans="6:6">
      <c r="F137" s="37"/>
    </row>
    <row r="138" spans="6:6">
      <c r="F138" s="37"/>
    </row>
    <row r="139" spans="6:6">
      <c r="F139" s="37"/>
    </row>
    <row r="140" spans="6:6">
      <c r="F140" s="37"/>
    </row>
    <row r="141" spans="6:6">
      <c r="F141" s="37"/>
    </row>
    <row r="142" spans="6:6">
      <c r="F142" s="37"/>
    </row>
    <row r="143" spans="6:6">
      <c r="F143" s="37"/>
    </row>
    <row r="144" spans="6:6">
      <c r="F144" s="37"/>
    </row>
    <row r="145" spans="6:6">
      <c r="F145" s="37"/>
    </row>
    <row r="146" spans="6:6">
      <c r="F146" s="37"/>
    </row>
    <row r="147" spans="6:6">
      <c r="F147" s="37"/>
    </row>
    <row r="148" spans="6:6">
      <c r="F148" s="37"/>
    </row>
    <row r="149" spans="6:6">
      <c r="F149" s="37"/>
    </row>
    <row r="150" spans="6:6">
      <c r="F150" s="37"/>
    </row>
    <row r="151" spans="6:6">
      <c r="F151" s="37"/>
    </row>
    <row r="152" spans="6:6">
      <c r="F152" s="37"/>
    </row>
    <row r="153" spans="6:6">
      <c r="F153" s="37"/>
    </row>
    <row r="154" spans="6:6">
      <c r="F154" s="37"/>
    </row>
    <row r="155" spans="6:6">
      <c r="F155" s="37"/>
    </row>
    <row r="156" spans="6:6">
      <c r="F156" s="37"/>
    </row>
    <row r="157" spans="6:6">
      <c r="F157" s="37"/>
    </row>
    <row r="158" spans="6:6">
      <c r="F158" s="37"/>
    </row>
    <row r="159" spans="6:6">
      <c r="F159" s="37"/>
    </row>
    <row r="160" spans="6:6">
      <c r="F160" s="37"/>
    </row>
    <row r="161" spans="6:6">
      <c r="F161" s="37"/>
    </row>
    <row r="162" spans="6:6">
      <c r="F162" s="37"/>
    </row>
    <row r="163" spans="6:6">
      <c r="F163" s="37"/>
    </row>
    <row r="164" spans="6:6">
      <c r="F164" s="37"/>
    </row>
    <row r="165" spans="6:6">
      <c r="F165" s="37"/>
    </row>
    <row r="166" spans="6:6">
      <c r="F166" s="37"/>
    </row>
    <row r="167" spans="6:6">
      <c r="F167" s="37"/>
    </row>
    <row r="168" spans="6:6">
      <c r="F168" s="37"/>
    </row>
    <row r="169" spans="6:6">
      <c r="F169" s="37"/>
    </row>
    <row r="170" spans="6:6">
      <c r="F170" s="37"/>
    </row>
    <row r="171" spans="6:6">
      <c r="F171" s="37"/>
    </row>
    <row r="172" spans="6:6">
      <c r="F172" s="37"/>
    </row>
    <row r="173" spans="6:6">
      <c r="F173" s="37"/>
    </row>
    <row r="174" spans="6:6">
      <c r="F174" s="37"/>
    </row>
    <row r="175" spans="6:6">
      <c r="F175" s="37"/>
    </row>
    <row r="176" spans="6:6">
      <c r="F176" s="37"/>
    </row>
    <row r="177" spans="6:6">
      <c r="F177" s="37"/>
    </row>
    <row r="178" spans="6:6">
      <c r="F178" s="37"/>
    </row>
    <row r="179" spans="6:6">
      <c r="F179" s="37"/>
    </row>
    <row r="180" spans="6:6">
      <c r="F180" s="37"/>
    </row>
    <row r="181" spans="6:6">
      <c r="F181" s="37"/>
    </row>
    <row r="182" spans="6:6">
      <c r="F182" s="37"/>
    </row>
    <row r="183" spans="6:6">
      <c r="F183" s="37"/>
    </row>
    <row r="184" spans="6:6">
      <c r="F184" s="37"/>
    </row>
    <row r="185" spans="6:6">
      <c r="F185" s="37"/>
    </row>
    <row r="186" spans="6:6">
      <c r="F186" s="37"/>
    </row>
    <row r="187" spans="6:6">
      <c r="F187" s="37"/>
    </row>
    <row r="188" spans="6:6">
      <c r="F188" s="37"/>
    </row>
    <row r="189" spans="6:6">
      <c r="F189" s="37"/>
    </row>
    <row r="190" spans="6:6">
      <c r="F190" s="37"/>
    </row>
    <row r="191" spans="6:6">
      <c r="F191" s="37"/>
    </row>
    <row r="192" spans="6:6">
      <c r="F192" s="37"/>
    </row>
    <row r="193" spans="6:6">
      <c r="F193" s="37"/>
    </row>
    <row r="194" spans="6:6">
      <c r="F194" s="37"/>
    </row>
    <row r="195" spans="6:6">
      <c r="F195" s="37"/>
    </row>
    <row r="196" spans="6:6">
      <c r="F196" s="37"/>
    </row>
    <row r="197" spans="6:6">
      <c r="F197" s="37"/>
    </row>
    <row r="198" spans="6:6">
      <c r="F198" s="37"/>
    </row>
    <row r="199" spans="6:6">
      <c r="F199" s="37"/>
    </row>
    <row r="200" spans="6:6">
      <c r="F200" s="37"/>
    </row>
    <row r="201" spans="6:6">
      <c r="F201" s="37"/>
    </row>
    <row r="202" spans="6:6">
      <c r="F202" s="37"/>
    </row>
    <row r="203" spans="6:6">
      <c r="F203" s="37"/>
    </row>
    <row r="204" spans="6:6">
      <c r="F204" s="37"/>
    </row>
    <row r="205" spans="6:6">
      <c r="F205" s="37"/>
    </row>
    <row r="206" spans="6:6">
      <c r="F206" s="37"/>
    </row>
    <row r="207" spans="6:6">
      <c r="F207" s="37"/>
    </row>
    <row r="208" spans="6:6">
      <c r="F208" s="37"/>
    </row>
    <row r="209" spans="6:6">
      <c r="F209" s="37"/>
    </row>
    <row r="210" spans="6:6">
      <c r="F210" s="37"/>
    </row>
    <row r="211" spans="6:6">
      <c r="F211" s="37"/>
    </row>
    <row r="212" spans="6:6">
      <c r="F212" s="37"/>
    </row>
    <row r="213" spans="6:6">
      <c r="F213" s="37"/>
    </row>
    <row r="214" spans="6:6">
      <c r="F214" s="37"/>
    </row>
    <row r="215" spans="6:6">
      <c r="F215" s="37"/>
    </row>
    <row r="216" spans="6:6">
      <c r="F216" s="37"/>
    </row>
    <row r="217" spans="6:6">
      <c r="F217" s="37"/>
    </row>
    <row r="218" spans="6:6">
      <c r="F218" s="37"/>
    </row>
    <row r="219" spans="6:6">
      <c r="F219" s="37"/>
    </row>
    <row r="220" spans="6:6">
      <c r="F220" s="37"/>
    </row>
    <row r="221" spans="6:6">
      <c r="F221" s="37"/>
    </row>
    <row r="222" spans="6:6">
      <c r="F222" s="37"/>
    </row>
    <row r="223" spans="6:6">
      <c r="F223" s="37"/>
    </row>
    <row r="224" spans="6:6">
      <c r="F224" s="37"/>
    </row>
    <row r="225" spans="6:6">
      <c r="F225" s="37"/>
    </row>
    <row r="226" spans="6:6">
      <c r="F226" s="37"/>
    </row>
    <row r="227" spans="6:6">
      <c r="F227" s="37"/>
    </row>
    <row r="228" spans="6:6">
      <c r="F228" s="37"/>
    </row>
    <row r="229" spans="6:6">
      <c r="F229" s="37"/>
    </row>
    <row r="230" spans="6:6">
      <c r="F230" s="37"/>
    </row>
    <row r="231" spans="6:6">
      <c r="F231" s="37"/>
    </row>
    <row r="232" spans="6:6">
      <c r="F232" s="37"/>
    </row>
    <row r="233" spans="6:6">
      <c r="F233" s="37"/>
    </row>
    <row r="234" spans="6:6">
      <c r="F234" s="37"/>
    </row>
    <row r="235" spans="6:6">
      <c r="F235" s="37"/>
    </row>
    <row r="236" spans="6:6">
      <c r="F236" s="37"/>
    </row>
    <row r="237" spans="6:6">
      <c r="F237" s="37"/>
    </row>
    <row r="238" spans="6:6">
      <c r="F238" s="37"/>
    </row>
    <row r="239" spans="6:6">
      <c r="F239" s="37"/>
    </row>
    <row r="240" spans="6:6">
      <c r="F240" s="37"/>
    </row>
    <row r="241" spans="6:6">
      <c r="F241" s="37"/>
    </row>
    <row r="242" spans="6:6">
      <c r="F242" s="37"/>
    </row>
    <row r="243" spans="6:6">
      <c r="F243" s="37"/>
    </row>
    <row r="244" spans="6:6">
      <c r="F244" s="37"/>
    </row>
    <row r="245" spans="6:6">
      <c r="F245" s="37"/>
    </row>
    <row r="246" spans="6:6">
      <c r="F246" s="37"/>
    </row>
    <row r="247" spans="6:6">
      <c r="F247" s="37"/>
    </row>
    <row r="248" spans="6:6">
      <c r="F248" s="37"/>
    </row>
    <row r="249" spans="6:6">
      <c r="F249" s="37"/>
    </row>
    <row r="250" spans="6:6">
      <c r="F250" s="37"/>
    </row>
    <row r="251" spans="6:6">
      <c r="F251" s="37"/>
    </row>
    <row r="252" spans="6:6">
      <c r="F252" s="37"/>
    </row>
    <row r="253" spans="6:6">
      <c r="F253" s="37"/>
    </row>
    <row r="254" spans="6:6">
      <c r="F254" s="37"/>
    </row>
    <row r="255" spans="6:6">
      <c r="F255" s="37"/>
    </row>
    <row r="256" spans="6:6">
      <c r="F256" s="37"/>
    </row>
    <row r="257" spans="6:6">
      <c r="F257" s="37"/>
    </row>
    <row r="258" spans="6:6">
      <c r="F258" s="37"/>
    </row>
    <row r="259" spans="6:6">
      <c r="F259" s="37"/>
    </row>
    <row r="260" spans="6:6">
      <c r="F260" s="37"/>
    </row>
    <row r="261" spans="6:6">
      <c r="F261" s="37"/>
    </row>
    <row r="262" spans="6:6">
      <c r="F262" s="37"/>
    </row>
    <row r="263" spans="6:6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  <row r="534" spans="6:6">
      <c r="F534" s="37"/>
    </row>
    <row r="535" spans="6:6">
      <c r="F535" s="37"/>
    </row>
    <row r="536" spans="6:6">
      <c r="F536" s="37"/>
    </row>
    <row r="537" spans="6:6">
      <c r="F537" s="37"/>
    </row>
    <row r="538" spans="6:6">
      <c r="F538" s="37"/>
    </row>
    <row r="539" spans="6:6">
      <c r="F539" s="37"/>
    </row>
    <row r="540" spans="6:6">
      <c r="F540" s="37"/>
    </row>
    <row r="541" spans="6:6">
      <c r="F541" s="37"/>
    </row>
    <row r="542" spans="6:6">
      <c r="F542" s="37"/>
    </row>
    <row r="543" spans="6:6">
      <c r="F543" s="37"/>
    </row>
    <row r="544" spans="6:6">
      <c r="F544" s="37"/>
    </row>
    <row r="545" spans="6:6">
      <c r="F545" s="37"/>
    </row>
    <row r="546" spans="6:6">
      <c r="F546" s="37"/>
    </row>
    <row r="547" spans="6:6">
      <c r="F547" s="37"/>
    </row>
    <row r="548" spans="6:6">
      <c r="F548" s="37"/>
    </row>
    <row r="549" spans="6:6">
      <c r="F549" s="37"/>
    </row>
    <row r="550" spans="6:6">
      <c r="F550" s="37"/>
    </row>
    <row r="551" spans="6:6">
      <c r="F551" s="37"/>
    </row>
    <row r="552" spans="6:6">
      <c r="F552" s="37"/>
    </row>
    <row r="553" spans="6:6">
      <c r="F553" s="37"/>
    </row>
    <row r="554" spans="6:6">
      <c r="F554" s="37"/>
    </row>
    <row r="555" spans="6:6">
      <c r="F555" s="37"/>
    </row>
    <row r="556" spans="6:6">
      <c r="F556" s="37"/>
    </row>
    <row r="557" spans="6:6">
      <c r="F557" s="37"/>
    </row>
    <row r="558" spans="6:6">
      <c r="F558" s="37"/>
    </row>
    <row r="559" spans="6:6">
      <c r="F559" s="37"/>
    </row>
    <row r="560" spans="6:6">
      <c r="F560" s="37"/>
    </row>
    <row r="561" spans="6:6">
      <c r="F561" s="37"/>
    </row>
    <row r="562" spans="6:6">
      <c r="F562" s="37"/>
    </row>
    <row r="563" spans="6:6">
      <c r="F563" s="37"/>
    </row>
    <row r="564" spans="6:6">
      <c r="F564" s="37"/>
    </row>
    <row r="565" spans="6:6">
      <c r="F565" s="37"/>
    </row>
    <row r="566" spans="6:6">
      <c r="F566" s="37"/>
    </row>
    <row r="567" spans="6:6">
      <c r="F567" s="37"/>
    </row>
    <row r="568" spans="6:6">
      <c r="F568" s="37"/>
    </row>
    <row r="569" spans="6:6">
      <c r="F569" s="37"/>
    </row>
    <row r="570" spans="6:6">
      <c r="F570" s="37"/>
    </row>
    <row r="571" spans="6:6">
      <c r="F571" s="37"/>
    </row>
    <row r="572" spans="6:6">
      <c r="F572" s="37"/>
    </row>
    <row r="573" spans="6:6">
      <c r="F573" s="37"/>
    </row>
    <row r="574" spans="6:6">
      <c r="F574" s="37"/>
    </row>
    <row r="575" spans="6:6">
      <c r="F575" s="37"/>
    </row>
    <row r="576" spans="6:6">
      <c r="F576" s="37"/>
    </row>
    <row r="577" spans="6:6">
      <c r="F577" s="37"/>
    </row>
    <row r="578" spans="6:6">
      <c r="F578" s="37"/>
    </row>
    <row r="579" spans="6:6">
      <c r="F579" s="37"/>
    </row>
    <row r="580" spans="6:6">
      <c r="F580" s="37"/>
    </row>
    <row r="581" spans="6:6">
      <c r="F581" s="37"/>
    </row>
    <row r="582" spans="6:6">
      <c r="F582" s="37"/>
    </row>
    <row r="583" spans="6:6">
      <c r="F583" s="37"/>
    </row>
    <row r="584" spans="6:6">
      <c r="F584" s="37"/>
    </row>
    <row r="585" spans="6:6">
      <c r="F585" s="37"/>
    </row>
    <row r="586" spans="6:6">
      <c r="F586" s="37"/>
    </row>
    <row r="587" spans="6:6">
      <c r="F587" s="37"/>
    </row>
    <row r="588" spans="6:6">
      <c r="F588" s="37"/>
    </row>
    <row r="589" spans="6:6">
      <c r="F589" s="37"/>
    </row>
    <row r="590" spans="6:6">
      <c r="F590" s="37"/>
    </row>
    <row r="591" spans="6:6">
      <c r="F591" s="37"/>
    </row>
    <row r="592" spans="6:6">
      <c r="F592" s="37"/>
    </row>
    <row r="593" spans="6:6">
      <c r="F593" s="37"/>
    </row>
    <row r="594" spans="6:6">
      <c r="F594" s="37"/>
    </row>
    <row r="595" spans="6:6">
      <c r="F595" s="37"/>
    </row>
    <row r="596" spans="6:6">
      <c r="F596" s="37"/>
    </row>
    <row r="597" spans="6:6">
      <c r="F597" s="37"/>
    </row>
    <row r="598" spans="6:6">
      <c r="F598" s="37"/>
    </row>
    <row r="599" spans="6:6">
      <c r="F599" s="37"/>
    </row>
    <row r="600" spans="6:6">
      <c r="F600" s="37"/>
    </row>
    <row r="601" spans="6:6">
      <c r="F601" s="37"/>
    </row>
    <row r="602" spans="6:6">
      <c r="F602" s="37"/>
    </row>
    <row r="603" spans="6:6">
      <c r="F603" s="37"/>
    </row>
    <row r="604" spans="6:6">
      <c r="F604" s="37"/>
    </row>
    <row r="605" spans="6:6">
      <c r="F605" s="37"/>
    </row>
    <row r="606" spans="6:6">
      <c r="F606" s="37"/>
    </row>
    <row r="607" spans="6:6">
      <c r="F607" s="37"/>
    </row>
    <row r="608" spans="6:6">
      <c r="F608" s="37"/>
    </row>
    <row r="609" spans="6:6">
      <c r="F609" s="37"/>
    </row>
    <row r="610" spans="6:6">
      <c r="F610" s="37"/>
    </row>
    <row r="611" spans="6:6">
      <c r="F611" s="37"/>
    </row>
    <row r="612" spans="6:6">
      <c r="F612" s="37"/>
    </row>
    <row r="613" spans="6:6">
      <c r="F613" s="37"/>
    </row>
    <row r="614" spans="6:6">
      <c r="F614" s="37"/>
    </row>
    <row r="615" spans="6:6">
      <c r="F615" s="37"/>
    </row>
    <row r="616" spans="6:6">
      <c r="F616" s="37"/>
    </row>
    <row r="617" spans="6:6">
      <c r="F617" s="37"/>
    </row>
    <row r="618" spans="6:6">
      <c r="F618" s="37"/>
    </row>
    <row r="619" spans="6:6">
      <c r="F619" s="37"/>
    </row>
    <row r="620" spans="6:6">
      <c r="F620" s="37"/>
    </row>
    <row r="621" spans="6:6">
      <c r="F621" s="37"/>
    </row>
    <row r="622" spans="6:6">
      <c r="F622" s="37"/>
    </row>
    <row r="623" spans="6:6">
      <c r="F623" s="37"/>
    </row>
    <row r="624" spans="6:6">
      <c r="F624" s="37"/>
    </row>
    <row r="625" spans="6:6">
      <c r="F625" s="37"/>
    </row>
    <row r="626" spans="6:6">
      <c r="F626" s="37"/>
    </row>
    <row r="627" spans="6:6">
      <c r="F627" s="37"/>
    </row>
    <row r="628" spans="6:6">
      <c r="F628" s="37"/>
    </row>
    <row r="629" spans="6:6">
      <c r="F629" s="37"/>
    </row>
    <row r="630" spans="6:6">
      <c r="F630" s="37"/>
    </row>
    <row r="631" spans="6:6">
      <c r="F631" s="37"/>
    </row>
    <row r="632" spans="6:6">
      <c r="F632" s="37"/>
    </row>
    <row r="633" spans="6:6">
      <c r="F633" s="37"/>
    </row>
    <row r="634" spans="6:6">
      <c r="F634" s="37"/>
    </row>
    <row r="635" spans="6:6">
      <c r="F635" s="37"/>
    </row>
    <row r="636" spans="6:6">
      <c r="F636" s="37"/>
    </row>
    <row r="637" spans="6:6">
      <c r="F637" s="37"/>
    </row>
    <row r="638" spans="6:6">
      <c r="F638" s="37"/>
    </row>
    <row r="639" spans="6:6">
      <c r="F639" s="37"/>
    </row>
    <row r="640" spans="6:6">
      <c r="F640" s="37"/>
    </row>
    <row r="641" spans="6:6">
      <c r="F641" s="37"/>
    </row>
    <row r="642" spans="6:6">
      <c r="F642" s="37"/>
    </row>
    <row r="643" spans="6:6">
      <c r="F643" s="37"/>
    </row>
    <row r="644" spans="6:6">
      <c r="F644" s="37"/>
    </row>
    <row r="645" spans="6:6">
      <c r="F645" s="37"/>
    </row>
    <row r="646" spans="6:6">
      <c r="F646" s="37"/>
    </row>
    <row r="647" spans="6:6">
      <c r="F647" s="37"/>
    </row>
    <row r="648" spans="6:6">
      <c r="F648" s="37"/>
    </row>
    <row r="649" spans="6:6">
      <c r="F649" s="37"/>
    </row>
    <row r="650" spans="6:6">
      <c r="F650" s="37"/>
    </row>
    <row r="651" spans="6:6">
      <c r="F651" s="37"/>
    </row>
    <row r="652" spans="6:6">
      <c r="F652" s="37"/>
    </row>
    <row r="653" spans="6:6">
      <c r="F653" s="37"/>
    </row>
    <row r="654" spans="6:6">
      <c r="F654" s="37"/>
    </row>
    <row r="655" spans="6:6">
      <c r="F655" s="37"/>
    </row>
    <row r="656" spans="6:6">
      <c r="F656" s="37"/>
    </row>
    <row r="657" spans="6:6">
      <c r="F657" s="37"/>
    </row>
    <row r="658" spans="6:6">
      <c r="F658" s="37"/>
    </row>
    <row r="659" spans="6:6">
      <c r="F659" s="37"/>
    </row>
    <row r="660" spans="6:6">
      <c r="F660" s="37"/>
    </row>
    <row r="661" spans="6:6">
      <c r="F661" s="37"/>
    </row>
    <row r="662" spans="6:6">
      <c r="F662" s="37"/>
    </row>
    <row r="663" spans="6:6">
      <c r="F663" s="37"/>
    </row>
    <row r="664" spans="6:6">
      <c r="F664" s="37"/>
    </row>
    <row r="665" spans="6:6">
      <c r="F665" s="37"/>
    </row>
    <row r="666" spans="6:6">
      <c r="F666" s="37"/>
    </row>
    <row r="667" spans="6:6">
      <c r="F667" s="37"/>
    </row>
    <row r="668" spans="6:6">
      <c r="F668" s="37"/>
    </row>
    <row r="669" spans="6:6">
      <c r="F669" s="37"/>
    </row>
    <row r="670" spans="6:6">
      <c r="F670" s="37"/>
    </row>
    <row r="671" spans="6:6">
      <c r="F671" s="37"/>
    </row>
    <row r="672" spans="6:6">
      <c r="F672" s="37"/>
    </row>
    <row r="673" spans="6:6">
      <c r="F673" s="37"/>
    </row>
    <row r="674" spans="6:6">
      <c r="F674" s="37"/>
    </row>
    <row r="675" spans="6:6">
      <c r="F675" s="37"/>
    </row>
    <row r="676" spans="6:6">
      <c r="F676" s="37"/>
    </row>
    <row r="677" spans="6:6">
      <c r="F677" s="37"/>
    </row>
    <row r="678" spans="6:6">
      <c r="F678" s="37"/>
    </row>
    <row r="679" spans="6:6">
      <c r="F679" s="37"/>
    </row>
    <row r="680" spans="6:6">
      <c r="F680" s="37"/>
    </row>
    <row r="681" spans="6:6">
      <c r="F681" s="37"/>
    </row>
    <row r="682" spans="6:6">
      <c r="F682" s="37"/>
    </row>
    <row r="683" spans="6:6">
      <c r="F683" s="37"/>
    </row>
    <row r="684" spans="6:6">
      <c r="F684" s="37"/>
    </row>
    <row r="685" spans="6:6">
      <c r="F685" s="37"/>
    </row>
    <row r="686" spans="6:6">
      <c r="F686" s="37"/>
    </row>
    <row r="687" spans="6:6">
      <c r="F687" s="37"/>
    </row>
    <row r="688" spans="6:6">
      <c r="F688" s="37"/>
    </row>
    <row r="689" spans="6:6">
      <c r="F689" s="37"/>
    </row>
    <row r="690" spans="6:6">
      <c r="F690" s="37"/>
    </row>
    <row r="691" spans="6:6">
      <c r="F691" s="37"/>
    </row>
    <row r="692" spans="6:6">
      <c r="F692" s="37"/>
    </row>
    <row r="693" spans="6:6">
      <c r="F693" s="37"/>
    </row>
    <row r="694" spans="6:6">
      <c r="F694" s="37"/>
    </row>
    <row r="695" spans="6:6">
      <c r="F695" s="37"/>
    </row>
    <row r="696" spans="6:6">
      <c r="F696" s="37"/>
    </row>
    <row r="697" spans="6:6">
      <c r="F697" s="37"/>
    </row>
    <row r="698" spans="6:6">
      <c r="F698" s="37"/>
    </row>
    <row r="699" spans="6:6">
      <c r="F699" s="37"/>
    </row>
    <row r="700" spans="6:6">
      <c r="F700" s="37"/>
    </row>
    <row r="701" spans="6:6">
      <c r="F701" s="37"/>
    </row>
    <row r="702" spans="6:6">
      <c r="F702" s="37"/>
    </row>
    <row r="703" spans="6:6">
      <c r="F703" s="37"/>
    </row>
    <row r="704" spans="6:6">
      <c r="F704" s="37"/>
    </row>
    <row r="705" spans="6:6">
      <c r="F705" s="37"/>
    </row>
    <row r="706" spans="6:6">
      <c r="F706" s="37"/>
    </row>
    <row r="707" spans="6:6">
      <c r="F707" s="37"/>
    </row>
    <row r="708" spans="6:6">
      <c r="F708" s="37"/>
    </row>
    <row r="709" spans="6:6">
      <c r="F709" s="37"/>
    </row>
    <row r="710" spans="6:6">
      <c r="F710" s="37"/>
    </row>
    <row r="711" spans="6:6">
      <c r="F711" s="37"/>
    </row>
    <row r="712" spans="6:6">
      <c r="F712" s="37"/>
    </row>
    <row r="713" spans="6:6">
      <c r="F713" s="37"/>
    </row>
    <row r="714" spans="6:6">
      <c r="F714" s="37"/>
    </row>
    <row r="715" spans="6:6">
      <c r="F715" s="37"/>
    </row>
    <row r="716" spans="6:6">
      <c r="F716" s="37"/>
    </row>
    <row r="717" spans="6:6">
      <c r="F717" s="37"/>
    </row>
    <row r="718" spans="6:6">
      <c r="F718" s="37"/>
    </row>
    <row r="719" spans="6:6">
      <c r="F719" s="37"/>
    </row>
    <row r="720" spans="6:6">
      <c r="F720" s="37"/>
    </row>
    <row r="721" spans="6:6">
      <c r="F721" s="37"/>
    </row>
    <row r="722" spans="6:6">
      <c r="F722" s="37"/>
    </row>
    <row r="723" spans="6:6">
      <c r="F723" s="37"/>
    </row>
    <row r="724" spans="6:6">
      <c r="F724" s="37"/>
    </row>
    <row r="725" spans="6:6">
      <c r="F725" s="37"/>
    </row>
    <row r="726" spans="6:6">
      <c r="F726" s="37"/>
    </row>
    <row r="727" spans="6:6">
      <c r="F727" s="37"/>
    </row>
    <row r="728" spans="6:6">
      <c r="F728" s="37"/>
    </row>
    <row r="729" spans="6:6">
      <c r="F729" s="37"/>
    </row>
    <row r="730" spans="6:6">
      <c r="F730" s="37"/>
    </row>
    <row r="731" spans="6:6">
      <c r="F731" s="37"/>
    </row>
    <row r="732" spans="6:6">
      <c r="F732" s="37"/>
    </row>
    <row r="733" spans="6:6">
      <c r="F733" s="37"/>
    </row>
    <row r="734" spans="6:6">
      <c r="F734" s="37"/>
    </row>
    <row r="735" spans="6:6">
      <c r="F735" s="37"/>
    </row>
    <row r="736" spans="6:6">
      <c r="F736" s="37"/>
    </row>
    <row r="737" spans="6:6">
      <c r="F737" s="37"/>
    </row>
    <row r="738" spans="6:6">
      <c r="F738" s="37"/>
    </row>
    <row r="739" spans="6:6">
      <c r="F739" s="37"/>
    </row>
    <row r="740" spans="6:6">
      <c r="F740" s="37"/>
    </row>
    <row r="741" spans="6:6">
      <c r="F741" s="37"/>
    </row>
    <row r="742" spans="6:6">
      <c r="F742" s="37"/>
    </row>
    <row r="743" spans="6:6">
      <c r="F743" s="37"/>
    </row>
    <row r="744" spans="6:6">
      <c r="F744" s="37"/>
    </row>
    <row r="745" spans="6:6">
      <c r="F745" s="37"/>
    </row>
    <row r="746" spans="6:6">
      <c r="F746" s="37"/>
    </row>
    <row r="747" spans="6:6">
      <c r="F747" s="37"/>
    </row>
    <row r="748" spans="6:6">
      <c r="F748" s="37"/>
    </row>
    <row r="749" spans="6:6">
      <c r="F749" s="37"/>
    </row>
    <row r="750" spans="6:6">
      <c r="F750" s="37"/>
    </row>
    <row r="751" spans="6:6">
      <c r="F751" s="37"/>
    </row>
    <row r="752" spans="6:6">
      <c r="F752" s="37"/>
    </row>
    <row r="753" spans="6:6">
      <c r="F753" s="37"/>
    </row>
    <row r="754" spans="6:6">
      <c r="F754" s="37"/>
    </row>
    <row r="755" spans="6:6">
      <c r="F755" s="37"/>
    </row>
    <row r="756" spans="6:6">
      <c r="F756" s="37"/>
    </row>
    <row r="757" spans="6:6">
      <c r="F757" s="37"/>
    </row>
    <row r="758" spans="6:6">
      <c r="F758" s="37"/>
    </row>
    <row r="759" spans="6:6">
      <c r="F759" s="37"/>
    </row>
    <row r="760" spans="6:6">
      <c r="F760" s="37"/>
    </row>
    <row r="761" spans="6:6">
      <c r="F761" s="37"/>
    </row>
    <row r="762" spans="6:6">
      <c r="F762" s="37"/>
    </row>
    <row r="763" spans="6:6">
      <c r="F763" s="37"/>
    </row>
    <row r="764" spans="6:6">
      <c r="F764" s="37"/>
    </row>
    <row r="765" spans="6:6">
      <c r="F765" s="37"/>
    </row>
    <row r="766" spans="6:6">
      <c r="F766" s="37"/>
    </row>
    <row r="767" spans="6:6">
      <c r="F767" s="37"/>
    </row>
    <row r="768" spans="6:6">
      <c r="F768" s="37"/>
    </row>
    <row r="769" spans="6:6">
      <c r="F769" s="37"/>
    </row>
    <row r="770" spans="6:6">
      <c r="F770" s="37"/>
    </row>
    <row r="771" spans="6:6">
      <c r="F771" s="37"/>
    </row>
    <row r="772" spans="6:6">
      <c r="F772" s="37"/>
    </row>
    <row r="773" spans="6:6">
      <c r="F773" s="37"/>
    </row>
    <row r="774" spans="6:6">
      <c r="F774" s="37"/>
    </row>
    <row r="775" spans="6:6">
      <c r="F775" s="37"/>
    </row>
    <row r="776" spans="6:6">
      <c r="F776" s="37"/>
    </row>
    <row r="777" spans="6:6">
      <c r="F777" s="37"/>
    </row>
    <row r="778" spans="6:6">
      <c r="F778" s="37"/>
    </row>
    <row r="779" spans="6:6">
      <c r="F779" s="37"/>
    </row>
    <row r="780" spans="6:6">
      <c r="F780" s="37"/>
    </row>
    <row r="781" spans="6:6">
      <c r="F781" s="37"/>
    </row>
    <row r="782" spans="6:6">
      <c r="F782" s="37"/>
    </row>
    <row r="783" spans="6:6">
      <c r="F783" s="37"/>
    </row>
    <row r="784" spans="6:6">
      <c r="F784" s="37"/>
    </row>
    <row r="785" spans="6:6">
      <c r="F785" s="37"/>
    </row>
    <row r="786" spans="6:6">
      <c r="F786" s="37"/>
    </row>
    <row r="787" spans="6:6">
      <c r="F787" s="37"/>
    </row>
    <row r="788" spans="6:6">
      <c r="F788" s="37"/>
    </row>
    <row r="789" spans="6:6">
      <c r="F789" s="37"/>
    </row>
    <row r="790" spans="6:6">
      <c r="F790" s="37"/>
    </row>
    <row r="791" spans="6:6">
      <c r="F791" s="37"/>
    </row>
    <row r="792" spans="6:6">
      <c r="F792" s="37"/>
    </row>
    <row r="793" spans="6:6">
      <c r="F793" s="37"/>
    </row>
    <row r="794" spans="6:6">
      <c r="F794" s="37"/>
    </row>
    <row r="795" spans="6:6">
      <c r="F795" s="37"/>
    </row>
    <row r="796" spans="6:6">
      <c r="F796" s="37"/>
    </row>
    <row r="797" spans="6:6">
      <c r="F797" s="37"/>
    </row>
    <row r="798" spans="6:6">
      <c r="F798" s="37"/>
    </row>
    <row r="799" spans="6:6">
      <c r="F799" s="37"/>
    </row>
    <row r="800" spans="6:6">
      <c r="F800" s="37"/>
    </row>
    <row r="801" spans="6:6">
      <c r="F801" s="37"/>
    </row>
    <row r="802" spans="6:6">
      <c r="F802" s="37"/>
    </row>
    <row r="803" spans="6:6">
      <c r="F803" s="37"/>
    </row>
    <row r="804" spans="6:6">
      <c r="F804" s="37"/>
    </row>
    <row r="805" spans="6:6">
      <c r="F805" s="37"/>
    </row>
    <row r="806" spans="6:6">
      <c r="F806" s="37"/>
    </row>
    <row r="807" spans="6:6">
      <c r="F807" s="37"/>
    </row>
    <row r="808" spans="6:6">
      <c r="F808" s="37"/>
    </row>
    <row r="809" spans="6:6">
      <c r="F809" s="37"/>
    </row>
    <row r="810" spans="6:6">
      <c r="F810" s="37"/>
    </row>
    <row r="811" spans="6:6">
      <c r="F811" s="37"/>
    </row>
    <row r="812" spans="6:6">
      <c r="F812" s="37"/>
    </row>
    <row r="813" spans="6:6">
      <c r="F813" s="37"/>
    </row>
    <row r="814" spans="6:6">
      <c r="F814" s="37"/>
    </row>
    <row r="815" spans="6:6">
      <c r="F815" s="37"/>
    </row>
    <row r="816" spans="6:6">
      <c r="F816" s="37"/>
    </row>
    <row r="817" spans="6:6">
      <c r="F817" s="37"/>
    </row>
    <row r="818" spans="6:6">
      <c r="F818" s="37"/>
    </row>
    <row r="819" spans="6:6">
      <c r="F819" s="37"/>
    </row>
    <row r="820" spans="6:6">
      <c r="F820" s="37"/>
    </row>
    <row r="821" spans="6:6">
      <c r="F821" s="37"/>
    </row>
    <row r="822" spans="6:6">
      <c r="F822" s="37"/>
    </row>
    <row r="823" spans="6:6">
      <c r="F823" s="37"/>
    </row>
    <row r="824" spans="6:6">
      <c r="F824" s="37"/>
    </row>
    <row r="825" spans="6:6">
      <c r="F825" s="37"/>
    </row>
    <row r="826" spans="6:6">
      <c r="F826" s="37"/>
    </row>
    <row r="827" spans="6:6">
      <c r="F827" s="37"/>
    </row>
    <row r="828" spans="6:6">
      <c r="F828" s="37"/>
    </row>
    <row r="829" spans="6:6">
      <c r="F829" s="37"/>
    </row>
    <row r="830" spans="6:6">
      <c r="F830" s="37"/>
    </row>
    <row r="831" spans="6:6">
      <c r="F831" s="37"/>
    </row>
    <row r="832" spans="6:6">
      <c r="F832" s="37"/>
    </row>
    <row r="833" spans="6:6">
      <c r="F833" s="37"/>
    </row>
    <row r="834" spans="6:6">
      <c r="F834" s="37"/>
    </row>
    <row r="835" spans="6:6">
      <c r="F835" s="37"/>
    </row>
    <row r="836" spans="6:6">
      <c r="F836" s="37"/>
    </row>
    <row r="837" spans="6:6">
      <c r="F837" s="37"/>
    </row>
    <row r="838" spans="6:6">
      <c r="F838" s="37"/>
    </row>
    <row r="839" spans="6:6">
      <c r="F839" s="37"/>
    </row>
    <row r="840" spans="6:6">
      <c r="F840" s="37"/>
    </row>
    <row r="841" spans="6:6">
      <c r="F841" s="37"/>
    </row>
    <row r="842" spans="6:6">
      <c r="F842" s="37"/>
    </row>
    <row r="843" spans="6:6">
      <c r="F843" s="37"/>
    </row>
    <row r="844" spans="6:6">
      <c r="F844" s="37"/>
    </row>
    <row r="845" spans="6:6">
      <c r="F845" s="37"/>
    </row>
    <row r="846" spans="6:6">
      <c r="F846" s="37"/>
    </row>
    <row r="847" spans="6:6">
      <c r="F847" s="37"/>
    </row>
    <row r="848" spans="6:6">
      <c r="F848" s="37"/>
    </row>
    <row r="849" spans="6:6">
      <c r="F849" s="37"/>
    </row>
    <row r="850" spans="6:6">
      <c r="F850" s="37"/>
    </row>
    <row r="851" spans="6:6">
      <c r="F851" s="37"/>
    </row>
    <row r="852" spans="6:6">
      <c r="F852" s="37"/>
    </row>
    <row r="853" spans="6:6">
      <c r="F853" s="37"/>
    </row>
    <row r="854" spans="6:6">
      <c r="F854" s="37"/>
    </row>
    <row r="855" spans="6:6">
      <c r="F855" s="37"/>
    </row>
    <row r="856" spans="6:6">
      <c r="F856" s="37"/>
    </row>
    <row r="857" spans="6:6">
      <c r="F857" s="37"/>
    </row>
    <row r="858" spans="6:6">
      <c r="F858" s="37"/>
    </row>
    <row r="859" spans="6:6">
      <c r="F859" s="37"/>
    </row>
    <row r="860" spans="6:6">
      <c r="F860" s="37"/>
    </row>
    <row r="861" spans="6:6">
      <c r="F861" s="37"/>
    </row>
    <row r="862" spans="6:6">
      <c r="F862" s="37"/>
    </row>
    <row r="863" spans="6:6">
      <c r="F863" s="37"/>
    </row>
    <row r="864" spans="6:6">
      <c r="F864" s="37"/>
    </row>
    <row r="865" spans="6:6">
      <c r="F865" s="37"/>
    </row>
    <row r="866" spans="6:6">
      <c r="F866" s="37"/>
    </row>
    <row r="867" spans="6:6">
      <c r="F867" s="37"/>
    </row>
    <row r="868" spans="6:6">
      <c r="F868" s="37"/>
    </row>
    <row r="869" spans="6:6">
      <c r="F869" s="37"/>
    </row>
    <row r="870" spans="6:6">
      <c r="F870" s="37"/>
    </row>
    <row r="871" spans="6:6">
      <c r="F871" s="37"/>
    </row>
    <row r="872" spans="6:6">
      <c r="F872" s="37"/>
    </row>
    <row r="873" spans="6:6">
      <c r="F873" s="37"/>
    </row>
    <row r="874" spans="6:6">
      <c r="F874" s="37"/>
    </row>
    <row r="875" spans="6:6">
      <c r="F875" s="37"/>
    </row>
    <row r="876" spans="6:6">
      <c r="F876" s="37"/>
    </row>
    <row r="877" spans="6:6">
      <c r="F877" s="37"/>
    </row>
    <row r="878" spans="6:6">
      <c r="F878" s="37"/>
    </row>
    <row r="879" spans="6:6">
      <c r="F879" s="37"/>
    </row>
    <row r="880" spans="6:6">
      <c r="F880" s="37"/>
    </row>
    <row r="881" spans="6:6">
      <c r="F881" s="37"/>
    </row>
    <row r="882" spans="6:6">
      <c r="F882" s="37"/>
    </row>
    <row r="883" spans="6:6">
      <c r="F883" s="37"/>
    </row>
    <row r="884" spans="6:6">
      <c r="F884" s="37"/>
    </row>
    <row r="885" spans="6:6">
      <c r="F885" s="37"/>
    </row>
    <row r="886" spans="6:6">
      <c r="F886" s="37"/>
    </row>
    <row r="887" spans="6:6">
      <c r="F887" s="37"/>
    </row>
    <row r="888" spans="6:6">
      <c r="F888" s="37"/>
    </row>
    <row r="889" spans="6:6">
      <c r="F889" s="37"/>
    </row>
    <row r="890" spans="6:6">
      <c r="F890" s="37"/>
    </row>
    <row r="891" spans="6:6">
      <c r="F891" s="37"/>
    </row>
    <row r="892" spans="6:6">
      <c r="F892" s="37"/>
    </row>
    <row r="893" spans="6:6">
      <c r="F893" s="37"/>
    </row>
    <row r="894" spans="6:6">
      <c r="F894" s="37"/>
    </row>
    <row r="895" spans="6:6">
      <c r="F895" s="37"/>
    </row>
    <row r="896" spans="6:6">
      <c r="F896" s="37"/>
    </row>
    <row r="897" spans="6:6">
      <c r="F897" s="37"/>
    </row>
    <row r="898" spans="6:6">
      <c r="F898" s="37"/>
    </row>
    <row r="899" spans="6:6">
      <c r="F899" s="37"/>
    </row>
    <row r="900" spans="6:6">
      <c r="F900" s="37"/>
    </row>
    <row r="901" spans="6:6">
      <c r="F901" s="37"/>
    </row>
    <row r="902" spans="6:6">
      <c r="F902" s="37"/>
    </row>
    <row r="903" spans="6:6">
      <c r="F903" s="37"/>
    </row>
    <row r="904" spans="6:6">
      <c r="F904" s="37"/>
    </row>
    <row r="905" spans="6:6">
      <c r="F905" s="37"/>
    </row>
    <row r="906" spans="6:6">
      <c r="F906" s="37"/>
    </row>
    <row r="907" spans="6:6">
      <c r="F907" s="37"/>
    </row>
    <row r="908" spans="6:6">
      <c r="F908" s="37"/>
    </row>
    <row r="909" spans="6:6">
      <c r="F909" s="37"/>
    </row>
    <row r="910" spans="6:6">
      <c r="F910" s="37"/>
    </row>
    <row r="911" spans="6:6">
      <c r="F911" s="37"/>
    </row>
    <row r="912" spans="6:6">
      <c r="F912" s="37"/>
    </row>
    <row r="913" spans="6:6">
      <c r="F913" s="37"/>
    </row>
    <row r="914" spans="6:6">
      <c r="F914" s="37"/>
    </row>
    <row r="915" spans="6:6">
      <c r="F915" s="37"/>
    </row>
    <row r="916" spans="6:6">
      <c r="F916" s="37"/>
    </row>
    <row r="917" spans="6:6">
      <c r="F917" s="37"/>
    </row>
    <row r="918" spans="6:6">
      <c r="F918" s="37"/>
    </row>
    <row r="919" spans="6:6">
      <c r="F919" s="37"/>
    </row>
    <row r="920" spans="6:6">
      <c r="F920" s="37"/>
    </row>
    <row r="921" spans="6:6">
      <c r="F921" s="37"/>
    </row>
    <row r="922" spans="6:6">
      <c r="F922" s="37"/>
    </row>
    <row r="923" spans="6:6">
      <c r="F923" s="37"/>
    </row>
    <row r="924" spans="6:6">
      <c r="F924" s="37"/>
    </row>
    <row r="925" spans="6:6">
      <c r="F925" s="37"/>
    </row>
    <row r="926" spans="6:6">
      <c r="F926" s="37"/>
    </row>
    <row r="927" spans="6:6">
      <c r="F927" s="37"/>
    </row>
    <row r="928" spans="6:6">
      <c r="F928" s="37"/>
    </row>
    <row r="929" spans="6:6">
      <c r="F929" s="37"/>
    </row>
    <row r="930" spans="6:6">
      <c r="F930" s="37"/>
    </row>
    <row r="931" spans="6:6">
      <c r="F931" s="37"/>
    </row>
    <row r="932" spans="6:6">
      <c r="F932" s="37"/>
    </row>
    <row r="933" spans="6:6">
      <c r="F933" s="37"/>
    </row>
    <row r="934" spans="6:6">
      <c r="F934" s="37"/>
    </row>
    <row r="935" spans="6:6">
      <c r="F935" s="37"/>
    </row>
    <row r="936" spans="6:6">
      <c r="F936" s="37"/>
    </row>
    <row r="937" spans="6:6">
      <c r="F937" s="37"/>
    </row>
    <row r="938" spans="6:6">
      <c r="F938" s="37"/>
    </row>
    <row r="939" spans="6:6">
      <c r="F939" s="37"/>
    </row>
    <row r="940" spans="6:6">
      <c r="F940" s="37"/>
    </row>
    <row r="941" spans="6:6">
      <c r="F941" s="37"/>
    </row>
    <row r="942" spans="6:6">
      <c r="F942" s="37"/>
    </row>
    <row r="943" spans="6:6">
      <c r="F943" s="37"/>
    </row>
    <row r="944" spans="6:6">
      <c r="F944" s="37"/>
    </row>
    <row r="945" spans="6:6">
      <c r="F945" s="37"/>
    </row>
    <row r="946" spans="6:6">
      <c r="F946" s="37"/>
    </row>
    <row r="947" spans="6:6">
      <c r="F947" s="37"/>
    </row>
    <row r="948" spans="6:6">
      <c r="F948" s="37"/>
    </row>
    <row r="949" spans="6:6">
      <c r="F949" s="37"/>
    </row>
    <row r="950" spans="6:6">
      <c r="F950" s="37"/>
    </row>
    <row r="951" spans="6:6">
      <c r="F951" s="37"/>
    </row>
    <row r="952" spans="6:6">
      <c r="F952" s="37"/>
    </row>
    <row r="953" spans="6:6">
      <c r="F953" s="37"/>
    </row>
    <row r="954" spans="6:6">
      <c r="F954" s="37"/>
    </row>
    <row r="955" spans="6:6">
      <c r="F955" s="37"/>
    </row>
    <row r="956" spans="6:6">
      <c r="F956" s="37"/>
    </row>
    <row r="957" spans="6:6">
      <c r="F957" s="37"/>
    </row>
    <row r="958" spans="6:6">
      <c r="F958" s="37"/>
    </row>
    <row r="959" spans="6:6">
      <c r="F959" s="37"/>
    </row>
    <row r="960" spans="6:6">
      <c r="F960" s="37"/>
    </row>
    <row r="961" spans="6:6">
      <c r="F961" s="37"/>
    </row>
    <row r="962" spans="6:6">
      <c r="F962" s="37"/>
    </row>
    <row r="963" spans="6:6">
      <c r="F963" s="37"/>
    </row>
    <row r="964" spans="6:6">
      <c r="F964" s="37"/>
    </row>
    <row r="965" spans="6:6">
      <c r="F965" s="37"/>
    </row>
    <row r="966" spans="6:6">
      <c r="F966" s="37"/>
    </row>
    <row r="967" spans="6:6">
      <c r="F967" s="37"/>
    </row>
    <row r="968" spans="6:6">
      <c r="F968" s="37"/>
    </row>
    <row r="969" spans="6:6">
      <c r="F969" s="37"/>
    </row>
    <row r="970" spans="6:6">
      <c r="F970" s="37"/>
    </row>
    <row r="971" spans="6:6">
      <c r="F971" s="37"/>
    </row>
    <row r="972" spans="6:6">
      <c r="F972" s="37"/>
    </row>
    <row r="973" spans="6:6">
      <c r="F973" s="37"/>
    </row>
    <row r="974" spans="6:6">
      <c r="F974" s="37"/>
    </row>
    <row r="975" spans="6:6">
      <c r="F975" s="37"/>
    </row>
    <row r="976" spans="6:6">
      <c r="F976" s="37"/>
    </row>
    <row r="977" spans="6:6">
      <c r="F977" s="37"/>
    </row>
    <row r="978" spans="6:6">
      <c r="F978" s="37"/>
    </row>
    <row r="979" spans="6:6">
      <c r="F979" s="37"/>
    </row>
    <row r="980" spans="6:6">
      <c r="F980" s="37"/>
    </row>
    <row r="981" spans="6:6">
      <c r="F981" s="37"/>
    </row>
    <row r="982" spans="6:6">
      <c r="F982" s="37"/>
    </row>
    <row r="983" spans="6:6">
      <c r="F983" s="37"/>
    </row>
    <row r="984" spans="6:6">
      <c r="F984" s="37"/>
    </row>
    <row r="985" spans="6:6">
      <c r="F985" s="37"/>
    </row>
    <row r="986" spans="6:6">
      <c r="F986" s="37"/>
    </row>
    <row r="987" spans="6:6">
      <c r="F987" s="37"/>
    </row>
    <row r="988" spans="6:6">
      <c r="F988" s="37"/>
    </row>
    <row r="989" spans="6:6">
      <c r="F989" s="37"/>
    </row>
    <row r="990" spans="6:6">
      <c r="F990" s="37"/>
    </row>
    <row r="991" spans="6:6">
      <c r="F991" s="37"/>
    </row>
    <row r="992" spans="6:6">
      <c r="F992" s="37"/>
    </row>
    <row r="993" spans="6:6">
      <c r="F993" s="37"/>
    </row>
    <row r="994" spans="6:6">
      <c r="F994" s="37"/>
    </row>
    <row r="995" spans="6:6">
      <c r="F995" s="37"/>
    </row>
    <row r="996" spans="6:6">
      <c r="F996" s="37"/>
    </row>
    <row r="997" spans="6:6">
      <c r="F997" s="37"/>
    </row>
    <row r="998" spans="6:6">
      <c r="F998" s="37"/>
    </row>
    <row r="999" spans="6:6">
      <c r="F999" s="37"/>
    </row>
    <row r="1000" spans="6:6">
      <c r="F1000" s="37"/>
    </row>
    <row r="1001" spans="6:6">
      <c r="F1001" s="37"/>
    </row>
    <row r="1002" spans="6:6">
      <c r="F1002" s="37"/>
    </row>
    <row r="1003" spans="6:6">
      <c r="F1003" s="37"/>
    </row>
    <row r="1004" spans="6:6">
      <c r="F1004" s="37"/>
    </row>
    <row r="1005" spans="6:6">
      <c r="F1005" s="37"/>
    </row>
    <row r="1006" spans="6:6">
      <c r="F1006" s="37"/>
    </row>
    <row r="1007" spans="6:6">
      <c r="F1007" s="37"/>
    </row>
    <row r="1008" spans="6:6">
      <c r="F1008" s="37"/>
    </row>
    <row r="1009" spans="6:6">
      <c r="F1009" s="37"/>
    </row>
    <row r="1010" spans="6:6">
      <c r="F1010" s="37"/>
    </row>
    <row r="1011" spans="6:6">
      <c r="F1011" s="37"/>
    </row>
    <row r="1012" spans="6:6">
      <c r="F1012" s="37"/>
    </row>
    <row r="1013" spans="6:6">
      <c r="F1013" s="37"/>
    </row>
    <row r="1014" spans="6:6">
      <c r="F1014" s="37"/>
    </row>
    <row r="1015" spans="6:6">
      <c r="F1015" s="37"/>
    </row>
    <row r="1016" spans="6:6">
      <c r="F1016" s="37"/>
    </row>
    <row r="1017" spans="6:6">
      <c r="F1017" s="37"/>
    </row>
    <row r="1018" spans="6:6">
      <c r="F1018" s="37"/>
    </row>
    <row r="1019" spans="6:6">
      <c r="F1019" s="37"/>
    </row>
    <row r="1020" spans="6:6">
      <c r="F1020" s="37"/>
    </row>
    <row r="1021" spans="6:6">
      <c r="F1021" s="37"/>
    </row>
    <row r="1022" spans="6:6">
      <c r="F1022" s="37"/>
    </row>
    <row r="1023" spans="6:6">
      <c r="F1023" s="37"/>
    </row>
    <row r="1024" spans="6:6">
      <c r="F1024" s="37"/>
    </row>
    <row r="1025" spans="6:6">
      <c r="F1025" s="37"/>
    </row>
    <row r="1026" spans="6:6">
      <c r="F1026" s="37"/>
    </row>
    <row r="1027" spans="6:6">
      <c r="F1027" s="37"/>
    </row>
    <row r="1028" spans="6:6">
      <c r="F1028" s="37"/>
    </row>
    <row r="1029" spans="6:6">
      <c r="F1029" s="37"/>
    </row>
    <row r="1030" spans="6:6">
      <c r="F1030" s="37"/>
    </row>
    <row r="1031" spans="6:6">
      <c r="F1031" s="37"/>
    </row>
    <row r="1032" spans="6:6">
      <c r="F1032" s="37"/>
    </row>
    <row r="1033" spans="6:6">
      <c r="F1033" s="37"/>
    </row>
    <row r="1034" spans="6:6">
      <c r="F1034" s="37"/>
    </row>
    <row r="1035" spans="6:6">
      <c r="F1035" s="37"/>
    </row>
    <row r="1036" spans="6:6">
      <c r="F1036" s="37"/>
    </row>
    <row r="1037" spans="6:6">
      <c r="F1037" s="37"/>
    </row>
    <row r="1038" spans="6:6">
      <c r="F1038" s="37"/>
    </row>
    <row r="1039" spans="6:6">
      <c r="F1039" s="37"/>
    </row>
    <row r="1040" spans="6:6">
      <c r="F1040" s="37"/>
    </row>
    <row r="1041" spans="6:6">
      <c r="F1041" s="37"/>
    </row>
    <row r="1042" spans="6:6">
      <c r="F1042" s="37"/>
    </row>
    <row r="1043" spans="6:6">
      <c r="F1043" s="37"/>
    </row>
    <row r="1044" spans="6:6">
      <c r="F1044" s="37"/>
    </row>
    <row r="1045" spans="6:6">
      <c r="F1045" s="37"/>
    </row>
    <row r="1046" spans="6:6">
      <c r="F1046" s="37"/>
    </row>
    <row r="1047" spans="6:6">
      <c r="F1047" s="37"/>
    </row>
    <row r="1048" spans="6:6">
      <c r="F1048" s="37"/>
    </row>
    <row r="1049" spans="6:6">
      <c r="F1049" s="37"/>
    </row>
    <row r="1050" spans="6:6">
      <c r="F1050" s="37"/>
    </row>
    <row r="1051" spans="6:6">
      <c r="F1051" s="37"/>
    </row>
    <row r="1052" spans="6:6">
      <c r="F1052" s="37"/>
    </row>
    <row r="1053" spans="6:6">
      <c r="F1053" s="37"/>
    </row>
    <row r="1054" spans="6:6">
      <c r="F1054" s="37"/>
    </row>
    <row r="1055" spans="6:6">
      <c r="F1055" s="37"/>
    </row>
    <row r="1056" spans="6:6">
      <c r="F1056" s="37"/>
    </row>
    <row r="1057" spans="6:6">
      <c r="F1057" s="37"/>
    </row>
    <row r="1058" spans="6:6">
      <c r="F1058" s="37"/>
    </row>
    <row r="1059" spans="6:6">
      <c r="F1059" s="37"/>
    </row>
    <row r="1060" spans="6:6">
      <c r="F1060" s="37"/>
    </row>
    <row r="1061" spans="6:6">
      <c r="F1061" s="37"/>
    </row>
    <row r="1062" spans="6:6">
      <c r="F1062" s="37"/>
    </row>
    <row r="1063" spans="6:6">
      <c r="F1063" s="37"/>
    </row>
    <row r="1064" spans="6:6">
      <c r="F1064" s="37"/>
    </row>
    <row r="1065" spans="6:6">
      <c r="F1065" s="37"/>
    </row>
    <row r="1066" spans="6:6">
      <c r="F1066" s="37"/>
    </row>
    <row r="1067" spans="6:6">
      <c r="F1067" s="37"/>
    </row>
    <row r="1068" spans="6:6">
      <c r="F1068" s="37"/>
    </row>
    <row r="1069" spans="6:6">
      <c r="F1069" s="37"/>
    </row>
    <row r="1070" spans="6:6">
      <c r="F1070" s="37"/>
    </row>
    <row r="1071" spans="6:6">
      <c r="F1071" s="37"/>
    </row>
    <row r="1072" spans="6:6">
      <c r="F1072" s="37"/>
    </row>
    <row r="1073" spans="6:6">
      <c r="F1073" s="37"/>
    </row>
    <row r="1074" spans="6:6">
      <c r="F1074" s="37"/>
    </row>
    <row r="1075" spans="6:6">
      <c r="F1075" s="37"/>
    </row>
    <row r="1076" spans="6:6">
      <c r="F1076" s="37"/>
    </row>
    <row r="1077" spans="6:6">
      <c r="F1077" s="37"/>
    </row>
    <row r="1078" spans="6:6">
      <c r="F1078" s="37"/>
    </row>
    <row r="1079" spans="6:6">
      <c r="F1079" s="37"/>
    </row>
    <row r="1080" spans="6:6">
      <c r="F1080" s="37"/>
    </row>
    <row r="1081" spans="6:6">
      <c r="F1081" s="37"/>
    </row>
    <row r="1082" spans="6:6">
      <c r="F1082" s="37"/>
    </row>
    <row r="1083" spans="6:6">
      <c r="F1083" s="37"/>
    </row>
    <row r="1084" spans="6:6">
      <c r="F1084" s="37"/>
    </row>
    <row r="1085" spans="6:6">
      <c r="F1085" s="37"/>
    </row>
    <row r="1086" spans="6:6">
      <c r="F1086" s="37"/>
    </row>
    <row r="1087" spans="6:6">
      <c r="F1087" s="37"/>
    </row>
    <row r="1088" spans="6:6">
      <c r="F1088" s="37"/>
    </row>
    <row r="1089" spans="6:6">
      <c r="F1089" s="37"/>
    </row>
    <row r="1090" spans="6:6">
      <c r="F1090" s="37"/>
    </row>
    <row r="1091" spans="6:6">
      <c r="F1091" s="37"/>
    </row>
    <row r="1092" spans="6:6">
      <c r="F1092" s="37"/>
    </row>
    <row r="1093" spans="6:6">
      <c r="F1093" s="37"/>
    </row>
    <row r="1094" spans="6:6">
      <c r="F1094" s="37"/>
    </row>
    <row r="1095" spans="6:6">
      <c r="F1095" s="37"/>
    </row>
    <row r="1096" spans="6:6">
      <c r="F1096" s="37"/>
    </row>
    <row r="1097" spans="6:6">
      <c r="F1097" s="37"/>
    </row>
    <row r="1098" spans="6:6">
      <c r="F1098" s="37"/>
    </row>
    <row r="1099" spans="6:6">
      <c r="F1099" s="37"/>
    </row>
    <row r="1100" spans="6:6">
      <c r="F1100" s="37"/>
    </row>
    <row r="1101" spans="6:6">
      <c r="F1101" s="37"/>
    </row>
    <row r="1102" spans="6:6">
      <c r="F1102" s="37"/>
    </row>
    <row r="1103" spans="6:6">
      <c r="F1103" s="37"/>
    </row>
    <row r="1104" spans="6:6">
      <c r="F1104" s="37"/>
    </row>
    <row r="1105" spans="6:6">
      <c r="F1105" s="37"/>
    </row>
    <row r="1106" spans="6:6">
      <c r="F1106" s="37"/>
    </row>
    <row r="1107" spans="6:6">
      <c r="F1107" s="37"/>
    </row>
    <row r="1108" spans="6:6">
      <c r="F1108" s="37"/>
    </row>
    <row r="1109" spans="6:6">
      <c r="F1109" s="37"/>
    </row>
    <row r="1110" spans="6:6">
      <c r="F1110" s="37"/>
    </row>
    <row r="1111" spans="6:6">
      <c r="F1111" s="37"/>
    </row>
    <row r="1112" spans="6:6">
      <c r="F1112" s="37"/>
    </row>
    <row r="1113" spans="6:6">
      <c r="F1113" s="37"/>
    </row>
    <row r="1114" spans="6:6">
      <c r="F1114" s="37"/>
    </row>
    <row r="1115" spans="6:6">
      <c r="F1115" s="37"/>
    </row>
    <row r="1116" spans="6:6">
      <c r="F1116" s="37"/>
    </row>
    <row r="1117" spans="6:6">
      <c r="F1117" s="37"/>
    </row>
    <row r="1118" spans="6:6">
      <c r="F1118" s="37"/>
    </row>
    <row r="1119" spans="6:6">
      <c r="F1119" s="37"/>
    </row>
    <row r="1120" spans="6:6">
      <c r="F1120" s="37"/>
    </row>
    <row r="1121" spans="6:6">
      <c r="F1121" s="37"/>
    </row>
    <row r="1122" spans="6:6">
      <c r="F1122" s="37"/>
    </row>
    <row r="1123" spans="6:6">
      <c r="F1123" s="37"/>
    </row>
    <row r="1124" spans="6:6">
      <c r="F1124" s="37"/>
    </row>
    <row r="1125" spans="6:6">
      <c r="F1125" s="37"/>
    </row>
    <row r="1126" spans="6:6">
      <c r="F1126" s="37"/>
    </row>
    <row r="1127" spans="6:6">
      <c r="F1127" s="37"/>
    </row>
    <row r="1128" spans="6:6">
      <c r="F1128" s="37"/>
    </row>
    <row r="1129" spans="6:6">
      <c r="F1129" s="37"/>
    </row>
    <row r="1130" spans="6:6">
      <c r="F1130" s="37"/>
    </row>
    <row r="1131" spans="6:6">
      <c r="F1131" s="37"/>
    </row>
    <row r="1132" spans="6:6">
      <c r="F1132" s="37"/>
    </row>
    <row r="1133" spans="6:6">
      <c r="F1133" s="37"/>
    </row>
    <row r="1134" spans="6:6">
      <c r="F1134" s="37"/>
    </row>
    <row r="1135" spans="6:6">
      <c r="F1135" s="37"/>
    </row>
    <row r="1136" spans="6:6">
      <c r="F1136" s="37"/>
    </row>
    <row r="1137" spans="6:6">
      <c r="F1137" s="37"/>
    </row>
    <row r="1138" spans="6:6">
      <c r="F1138" s="37"/>
    </row>
    <row r="1139" spans="6:6">
      <c r="F1139" s="37"/>
    </row>
    <row r="1140" spans="6:6">
      <c r="F1140" s="37"/>
    </row>
    <row r="1141" spans="6:6">
      <c r="F1141" s="37"/>
    </row>
    <row r="1142" spans="6:6">
      <c r="F1142" s="37"/>
    </row>
    <row r="1143" spans="6:6">
      <c r="F1143" s="37"/>
    </row>
    <row r="1144" spans="6:6">
      <c r="F1144" s="37"/>
    </row>
    <row r="1145" spans="6:6">
      <c r="F1145" s="37"/>
    </row>
    <row r="1146" spans="6:6">
      <c r="F1146" s="37"/>
    </row>
    <row r="1147" spans="6:6">
      <c r="F1147" s="37"/>
    </row>
    <row r="1148" spans="6:6">
      <c r="F1148" s="37"/>
    </row>
    <row r="1149" spans="6:6">
      <c r="F1149" s="37"/>
    </row>
    <row r="1150" spans="6:6">
      <c r="F1150" s="37"/>
    </row>
    <row r="1151" spans="6:6">
      <c r="F1151" s="37"/>
    </row>
    <row r="1152" spans="6:6">
      <c r="F1152" s="37"/>
    </row>
    <row r="1153" spans="6:6">
      <c r="F1153" s="37"/>
    </row>
    <row r="1154" spans="6:6">
      <c r="F1154" s="37"/>
    </row>
    <row r="1155" spans="6:6">
      <c r="F1155" s="37"/>
    </row>
    <row r="1156" spans="6:6">
      <c r="F1156" s="37"/>
    </row>
    <row r="1157" spans="6:6">
      <c r="F1157" s="37"/>
    </row>
    <row r="1158" spans="6:6">
      <c r="F1158" s="37"/>
    </row>
    <row r="1159" spans="6:6">
      <c r="F1159" s="37"/>
    </row>
    <row r="1160" spans="6:6">
      <c r="F1160" s="37"/>
    </row>
    <row r="1161" spans="6:6">
      <c r="F1161" s="37"/>
    </row>
    <row r="1162" spans="6:6">
      <c r="F1162" s="37"/>
    </row>
    <row r="1163" spans="6:6">
      <c r="F1163" s="37"/>
    </row>
    <row r="1164" spans="6:6">
      <c r="F1164" s="37"/>
    </row>
    <row r="1165" spans="6:6">
      <c r="F1165" s="37"/>
    </row>
    <row r="1166" spans="6:6">
      <c r="F1166" s="37"/>
    </row>
    <row r="1167" spans="6:6">
      <c r="F1167" s="37"/>
    </row>
    <row r="1168" spans="6:6">
      <c r="F1168" s="37"/>
    </row>
    <row r="1169" spans="6:6">
      <c r="F1169" s="37"/>
    </row>
    <row r="1170" spans="6:6">
      <c r="F1170" s="37"/>
    </row>
    <row r="1171" spans="6:6">
      <c r="F1171" s="37"/>
    </row>
    <row r="1172" spans="6:6">
      <c r="F1172" s="37"/>
    </row>
    <row r="1173" spans="6:6">
      <c r="F1173" s="37"/>
    </row>
    <row r="1174" spans="6:6">
      <c r="F1174" s="37"/>
    </row>
    <row r="1175" spans="6:6">
      <c r="F1175" s="37"/>
    </row>
    <row r="1176" spans="6:6">
      <c r="F1176" s="37"/>
    </row>
    <row r="1177" spans="6:6">
      <c r="F1177" s="37"/>
    </row>
    <row r="1178" spans="6:6">
      <c r="F1178" s="37"/>
    </row>
    <row r="1179" spans="6:6">
      <c r="F1179" s="37"/>
    </row>
    <row r="1180" spans="6:6">
      <c r="F1180" s="37"/>
    </row>
    <row r="1181" spans="6:6">
      <c r="F1181" s="37"/>
    </row>
    <row r="1182" spans="6:6">
      <c r="F1182" s="37"/>
    </row>
    <row r="1183" spans="6:6">
      <c r="F1183" s="37"/>
    </row>
    <row r="1184" spans="6:6">
      <c r="F1184" s="37"/>
    </row>
    <row r="1185" spans="6:6">
      <c r="F1185" s="37"/>
    </row>
    <row r="1186" spans="6:6">
      <c r="F1186" s="37"/>
    </row>
    <row r="1187" spans="6:6">
      <c r="F1187" s="37"/>
    </row>
    <row r="1188" spans="6:6">
      <c r="F1188" s="37"/>
    </row>
    <row r="1189" spans="6:6">
      <c r="F1189" s="37"/>
    </row>
    <row r="1190" spans="6:6">
      <c r="F1190" s="37"/>
    </row>
    <row r="1191" spans="6:6">
      <c r="F1191" s="37"/>
    </row>
    <row r="1192" spans="6:6">
      <c r="F1192" s="37"/>
    </row>
    <row r="1193" spans="6:6">
      <c r="F1193" s="37"/>
    </row>
    <row r="1194" spans="6:6">
      <c r="F1194" s="37"/>
    </row>
    <row r="1195" spans="6:6">
      <c r="F1195" s="37"/>
    </row>
    <row r="1196" spans="6:6">
      <c r="F1196" s="37"/>
    </row>
    <row r="1197" spans="6:6">
      <c r="F1197" s="37"/>
    </row>
    <row r="1198" spans="6:6">
      <c r="F1198" s="37"/>
    </row>
    <row r="1199" spans="6:6">
      <c r="F1199" s="37"/>
    </row>
    <row r="1200" spans="6:6">
      <c r="F1200" s="37"/>
    </row>
    <row r="1201" spans="6:6">
      <c r="F1201" s="37"/>
    </row>
    <row r="1202" spans="6:6">
      <c r="F1202" s="37"/>
    </row>
    <row r="1203" spans="6:6">
      <c r="F1203" s="37"/>
    </row>
    <row r="1204" spans="6:6">
      <c r="F1204" s="37"/>
    </row>
    <row r="1205" spans="6:6">
      <c r="F1205" s="37"/>
    </row>
    <row r="1206" spans="6:6">
      <c r="F1206" s="37"/>
    </row>
    <row r="1207" spans="6:6">
      <c r="F1207" s="37"/>
    </row>
    <row r="1208" spans="6:6">
      <c r="F1208" s="37"/>
    </row>
    <row r="1209" spans="6:6">
      <c r="F1209" s="37"/>
    </row>
    <row r="1210" spans="6:6">
      <c r="F1210" s="37"/>
    </row>
    <row r="1211" spans="6:6">
      <c r="F1211" s="37"/>
    </row>
    <row r="1212" spans="6:6">
      <c r="F1212" s="37"/>
    </row>
    <row r="1213" spans="6:6">
      <c r="F1213" s="37"/>
    </row>
    <row r="1214" spans="6:6">
      <c r="F1214" s="37"/>
    </row>
    <row r="1215" spans="6:6">
      <c r="F1215" s="37"/>
    </row>
    <row r="1216" spans="6:6">
      <c r="F1216" s="37"/>
    </row>
    <row r="1217" spans="6:6">
      <c r="F1217" s="37"/>
    </row>
    <row r="1218" spans="6:6">
      <c r="F1218" s="37"/>
    </row>
    <row r="1219" spans="6:6">
      <c r="F1219" s="37"/>
    </row>
    <row r="1220" spans="6:6">
      <c r="F1220" s="37"/>
    </row>
    <row r="1221" spans="6:6">
      <c r="F1221" s="37"/>
    </row>
    <row r="1222" spans="6:6">
      <c r="F1222" s="37"/>
    </row>
    <row r="1223" spans="6:6">
      <c r="F1223" s="37"/>
    </row>
    <row r="1224" spans="6:6">
      <c r="F1224" s="37"/>
    </row>
    <row r="1225" spans="6:6">
      <c r="F1225" s="37"/>
    </row>
    <row r="1226" spans="6:6">
      <c r="F1226" s="37"/>
    </row>
    <row r="1227" spans="6:6">
      <c r="F1227" s="37"/>
    </row>
    <row r="1228" spans="6:6">
      <c r="F1228" s="37"/>
    </row>
    <row r="1229" spans="6:6">
      <c r="F1229" s="37"/>
    </row>
    <row r="1230" spans="6:6">
      <c r="F1230" s="37"/>
    </row>
    <row r="1231" spans="6:6">
      <c r="F1231" s="37"/>
    </row>
    <row r="1232" spans="6:6">
      <c r="F1232" s="37"/>
    </row>
    <row r="1233" spans="6:6">
      <c r="F1233" s="37"/>
    </row>
    <row r="1234" spans="6:6">
      <c r="F1234" s="37"/>
    </row>
    <row r="1235" spans="6:6">
      <c r="F1235" s="37"/>
    </row>
    <row r="1236" spans="6:6">
      <c r="F1236" s="37"/>
    </row>
    <row r="1237" spans="6:6">
      <c r="F1237" s="37"/>
    </row>
    <row r="1238" spans="6:6">
      <c r="F1238" s="37"/>
    </row>
    <row r="1239" spans="6:6">
      <c r="F1239" s="37"/>
    </row>
    <row r="1240" spans="6:6">
      <c r="F1240" s="37"/>
    </row>
    <row r="1241" spans="6:6">
      <c r="F1241" s="37"/>
    </row>
    <row r="1242" spans="6:6">
      <c r="F1242" s="37"/>
    </row>
    <row r="1243" spans="6:6">
      <c r="F1243" s="37"/>
    </row>
    <row r="1244" spans="6:6">
      <c r="F1244" s="37"/>
    </row>
    <row r="1245" spans="6:6">
      <c r="F1245" s="37"/>
    </row>
    <row r="1246" spans="6:6">
      <c r="F1246" s="37"/>
    </row>
    <row r="1247" spans="6:6">
      <c r="F1247" s="37"/>
    </row>
    <row r="1248" spans="6:6">
      <c r="F1248" s="37"/>
    </row>
    <row r="1249" spans="6:6">
      <c r="F1249" s="37"/>
    </row>
    <row r="1250" spans="6:6">
      <c r="F1250" s="37"/>
    </row>
    <row r="1251" spans="6:6">
      <c r="F1251" s="37"/>
    </row>
    <row r="1252" spans="6:6">
      <c r="F1252" s="37"/>
    </row>
    <row r="1253" spans="6:6">
      <c r="F1253" s="37"/>
    </row>
    <row r="1254" spans="6:6">
      <c r="F1254" s="37"/>
    </row>
    <row r="1255" spans="6:6">
      <c r="F1255" s="37"/>
    </row>
    <row r="1256" spans="6:6">
      <c r="F1256" s="37"/>
    </row>
    <row r="1257" spans="6:6">
      <c r="F1257" s="37"/>
    </row>
    <row r="1258" spans="6:6">
      <c r="F1258" s="37"/>
    </row>
    <row r="1259" spans="6:6">
      <c r="F1259" s="37"/>
    </row>
    <row r="1260" spans="6:6">
      <c r="F1260" s="37"/>
    </row>
    <row r="1261" spans="6:6">
      <c r="F1261" s="37"/>
    </row>
    <row r="1262" spans="6:6">
      <c r="F1262" s="37"/>
    </row>
    <row r="1263" spans="6:6">
      <c r="F1263" s="37"/>
    </row>
    <row r="1264" spans="6:6">
      <c r="F1264" s="37"/>
    </row>
    <row r="1265" spans="6:6">
      <c r="F1265" s="37"/>
    </row>
    <row r="1266" spans="6:6">
      <c r="F1266" s="37"/>
    </row>
    <row r="1267" spans="6:6">
      <c r="F1267" s="37"/>
    </row>
    <row r="1268" spans="6:6">
      <c r="F1268" s="37"/>
    </row>
    <row r="1269" spans="6:6">
      <c r="F1269" s="37"/>
    </row>
    <row r="1270" spans="6:6">
      <c r="F1270" s="37"/>
    </row>
    <row r="1271" spans="6:6">
      <c r="F1271" s="37"/>
    </row>
    <row r="1272" spans="6:6">
      <c r="F1272" s="37"/>
    </row>
    <row r="1273" spans="6:6">
      <c r="F1273" s="37"/>
    </row>
    <row r="1274" spans="6:6">
      <c r="F1274" s="37"/>
    </row>
    <row r="1275" spans="6:6">
      <c r="F1275" s="37"/>
    </row>
    <row r="1276" spans="6:6">
      <c r="F1276" s="37"/>
    </row>
    <row r="1277" spans="6:6">
      <c r="F1277" s="37"/>
    </row>
    <row r="1278" spans="6:6">
      <c r="F1278" s="37"/>
    </row>
    <row r="1279" spans="6:6">
      <c r="F1279" s="37"/>
    </row>
    <row r="1280" spans="6:6">
      <c r="F1280" s="37"/>
    </row>
    <row r="1281" spans="6:6">
      <c r="F1281" s="37"/>
    </row>
    <row r="1282" spans="6:6">
      <c r="F1282" s="37"/>
    </row>
    <row r="1283" spans="6:6">
      <c r="F1283" s="37"/>
    </row>
    <row r="1284" spans="6:6">
      <c r="F1284" s="37"/>
    </row>
    <row r="1285" spans="6:6">
      <c r="F1285" s="37"/>
    </row>
    <row r="1286" spans="6:6">
      <c r="F1286" s="37"/>
    </row>
    <row r="1287" spans="6:6">
      <c r="F1287" s="37"/>
    </row>
    <row r="1288" spans="6:6">
      <c r="F1288" s="37"/>
    </row>
    <row r="1289" spans="6:6">
      <c r="F1289" s="37"/>
    </row>
    <row r="1290" spans="6:6">
      <c r="F1290" s="37"/>
    </row>
    <row r="1291" spans="6:6">
      <c r="F1291" s="37"/>
    </row>
    <row r="1292" spans="6:6">
      <c r="F1292" s="37"/>
    </row>
    <row r="1293" spans="6:6">
      <c r="F1293" s="37"/>
    </row>
    <row r="1294" spans="6:6">
      <c r="F1294" s="37"/>
    </row>
    <row r="1295" spans="6:6">
      <c r="F1295" s="37"/>
    </row>
    <row r="1296" spans="6:6">
      <c r="F1296" s="37"/>
    </row>
    <row r="1297" spans="6:6">
      <c r="F1297" s="37"/>
    </row>
    <row r="1298" spans="6:6">
      <c r="F1298" s="37"/>
    </row>
    <row r="1299" spans="6:6">
      <c r="F1299" s="37"/>
    </row>
    <row r="1300" spans="6:6">
      <c r="F1300" s="37"/>
    </row>
    <row r="1301" spans="6:6">
      <c r="F1301" s="37"/>
    </row>
    <row r="1302" spans="6:6">
      <c r="F1302" s="37"/>
    </row>
    <row r="1303" spans="6:6">
      <c r="F1303" s="37"/>
    </row>
    <row r="1304" spans="6:6">
      <c r="F1304" s="37"/>
    </row>
    <row r="1305" spans="6:6">
      <c r="F1305" s="37"/>
    </row>
    <row r="1306" spans="6:6">
      <c r="F1306" s="37"/>
    </row>
    <row r="1307" spans="6:6">
      <c r="F1307" s="37"/>
    </row>
    <row r="1308" spans="6:6">
      <c r="F1308" s="37"/>
    </row>
    <row r="1309" spans="6:6">
      <c r="F1309" s="37"/>
    </row>
    <row r="1310" spans="6:6">
      <c r="F1310" s="37"/>
    </row>
    <row r="1311" spans="6:6">
      <c r="F1311" s="37"/>
    </row>
    <row r="1312" spans="6:6">
      <c r="F1312" s="37"/>
    </row>
    <row r="1313" spans="6:6">
      <c r="F1313" s="37"/>
    </row>
    <row r="1314" spans="6:6">
      <c r="F1314" s="37"/>
    </row>
    <row r="1315" spans="6:6">
      <c r="F1315" s="37"/>
    </row>
    <row r="1316" spans="6:6">
      <c r="F1316" s="37"/>
    </row>
    <row r="1317" spans="6:6">
      <c r="F1317" s="37"/>
    </row>
    <row r="1318" spans="6:6">
      <c r="F1318" s="37"/>
    </row>
    <row r="1319" spans="6:6">
      <c r="F1319" s="37"/>
    </row>
    <row r="1320" spans="6:6">
      <c r="F1320" s="37"/>
    </row>
    <row r="1321" spans="6:6">
      <c r="F1321" s="37"/>
    </row>
    <row r="1322" spans="6:6">
      <c r="F1322" s="37"/>
    </row>
    <row r="1323" spans="6:6">
      <c r="F1323" s="37"/>
    </row>
    <row r="1324" spans="6:6">
      <c r="F1324" s="37"/>
    </row>
    <row r="1325" spans="6:6">
      <c r="F1325" s="37"/>
    </row>
    <row r="1326" spans="6:6">
      <c r="F1326" s="37"/>
    </row>
    <row r="1327" spans="6:6">
      <c r="F1327" s="37"/>
    </row>
    <row r="1328" spans="6:6">
      <c r="F1328" s="37"/>
    </row>
    <row r="1329" spans="6:6">
      <c r="F1329" s="37"/>
    </row>
    <row r="1330" spans="6:6">
      <c r="F1330" s="37"/>
    </row>
    <row r="1331" spans="6:6">
      <c r="F1331" s="37"/>
    </row>
    <row r="1332" spans="6:6">
      <c r="F1332" s="37"/>
    </row>
    <row r="1333" spans="6:6">
      <c r="F1333" s="37"/>
    </row>
    <row r="1334" spans="6:6">
      <c r="F1334" s="37"/>
    </row>
    <row r="1335" spans="6:6">
      <c r="F1335" s="37"/>
    </row>
    <row r="1336" spans="6:6">
      <c r="F1336" s="37"/>
    </row>
    <row r="1337" spans="6:6">
      <c r="F1337" s="37"/>
    </row>
    <row r="1338" spans="6:6">
      <c r="F1338" s="37"/>
    </row>
    <row r="1339" spans="6:6">
      <c r="F1339" s="37"/>
    </row>
    <row r="1340" spans="6:6">
      <c r="F1340" s="37"/>
    </row>
    <row r="1341" spans="6:6">
      <c r="F1341" s="37"/>
    </row>
    <row r="1342" spans="6:6">
      <c r="F1342" s="37"/>
    </row>
    <row r="1343" spans="6:6">
      <c r="F1343" s="37"/>
    </row>
    <row r="1344" spans="6:6">
      <c r="F1344" s="37"/>
    </row>
    <row r="1345" spans="6:6">
      <c r="F1345" s="37"/>
    </row>
    <row r="1346" spans="6:6">
      <c r="F1346" s="37"/>
    </row>
    <row r="1347" spans="6:6">
      <c r="F1347" s="37"/>
    </row>
    <row r="1348" spans="6:6">
      <c r="F1348" s="37"/>
    </row>
    <row r="1349" spans="6:6">
      <c r="F1349" s="37"/>
    </row>
    <row r="1350" spans="6:6">
      <c r="F1350" s="37"/>
    </row>
    <row r="1351" spans="6:6">
      <c r="F1351" s="37"/>
    </row>
    <row r="1352" spans="6:6">
      <c r="F1352" s="37"/>
    </row>
    <row r="1353" spans="6:6">
      <c r="F1353" s="37"/>
    </row>
    <row r="1354" spans="6:6">
      <c r="F1354" s="37"/>
    </row>
    <row r="1355" spans="6:6">
      <c r="F1355" s="37"/>
    </row>
    <row r="1356" spans="6:6">
      <c r="F1356" s="37"/>
    </row>
    <row r="1357" spans="6:6">
      <c r="F1357" s="37"/>
    </row>
    <row r="1358" spans="6:6">
      <c r="F1358" s="37"/>
    </row>
    <row r="1359" spans="6:6">
      <c r="F1359" s="37"/>
    </row>
    <row r="1360" spans="6:6">
      <c r="F1360" s="37"/>
    </row>
    <row r="1361" spans="6:6">
      <c r="F1361" s="37"/>
    </row>
    <row r="1362" spans="6:6">
      <c r="F1362" s="37"/>
    </row>
    <row r="1363" spans="6:6">
      <c r="F1363" s="37"/>
    </row>
    <row r="1364" spans="6:6">
      <c r="F1364" s="37"/>
    </row>
    <row r="1365" spans="6:6">
      <c r="F1365" s="37"/>
    </row>
    <row r="1366" spans="6:6">
      <c r="F1366" s="37"/>
    </row>
    <row r="1367" spans="6:6">
      <c r="F1367" s="37"/>
    </row>
    <row r="1368" spans="6:6">
      <c r="F1368" s="37"/>
    </row>
    <row r="1369" spans="6:6">
      <c r="F1369" s="37"/>
    </row>
    <row r="1370" spans="6:6">
      <c r="F1370" s="37"/>
    </row>
    <row r="1371" spans="6:6">
      <c r="F1371" s="37"/>
    </row>
    <row r="1372" spans="6:6">
      <c r="F1372" s="37"/>
    </row>
    <row r="1373" spans="6:6">
      <c r="F1373" s="37"/>
    </row>
    <row r="1374" spans="6:6">
      <c r="F1374" s="37"/>
    </row>
    <row r="1375" spans="6:6">
      <c r="F1375" s="37"/>
    </row>
    <row r="1376" spans="6:6">
      <c r="F1376" s="37"/>
    </row>
    <row r="1377" spans="6:6">
      <c r="F1377" s="37"/>
    </row>
    <row r="1378" spans="6:6">
      <c r="F1378" s="37"/>
    </row>
    <row r="1379" spans="6:6">
      <c r="F1379" s="37"/>
    </row>
    <row r="1380" spans="6:6">
      <c r="F1380" s="37"/>
    </row>
    <row r="1381" spans="6:6">
      <c r="F1381" s="37"/>
    </row>
    <row r="1382" spans="6:6">
      <c r="F1382" s="37"/>
    </row>
    <row r="1383" spans="6:6">
      <c r="F1383" s="37"/>
    </row>
    <row r="1384" spans="6:6">
      <c r="F1384" s="37"/>
    </row>
    <row r="1385" spans="6:6">
      <c r="F1385" s="37"/>
    </row>
    <row r="1386" spans="6:6">
      <c r="F1386" s="37"/>
    </row>
    <row r="1387" spans="6:6">
      <c r="F1387" s="37"/>
    </row>
    <row r="1388" spans="6:6">
      <c r="F1388" s="37"/>
    </row>
    <row r="1389" spans="6:6">
      <c r="F1389" s="37"/>
    </row>
    <row r="1390" spans="6:6">
      <c r="F1390" s="37"/>
    </row>
    <row r="1391" spans="6:6">
      <c r="F1391" s="37"/>
    </row>
    <row r="1392" spans="6:6">
      <c r="F1392" s="37"/>
    </row>
    <row r="1393" spans="6:6">
      <c r="F1393" s="37"/>
    </row>
    <row r="1394" spans="6:6">
      <c r="F1394" s="37"/>
    </row>
    <row r="1395" spans="6:6">
      <c r="F1395" s="37"/>
    </row>
    <row r="1396" spans="6:6">
      <c r="F1396" s="37"/>
    </row>
    <row r="1397" spans="6:6">
      <c r="F1397" s="37"/>
    </row>
    <row r="1398" spans="6:6">
      <c r="F1398" s="37"/>
    </row>
    <row r="1399" spans="6:6">
      <c r="F1399" s="37"/>
    </row>
    <row r="1400" spans="6:6">
      <c r="F1400" s="37"/>
    </row>
    <row r="1401" spans="6:6">
      <c r="F1401" s="37"/>
    </row>
    <row r="1402" spans="6:6">
      <c r="F1402" s="37"/>
    </row>
    <row r="1403" spans="6:6">
      <c r="F1403" s="37"/>
    </row>
    <row r="1404" spans="6:6">
      <c r="F1404" s="37"/>
    </row>
    <row r="1405" spans="6:6">
      <c r="F1405" s="37"/>
    </row>
    <row r="1406" spans="6:6">
      <c r="F1406" s="37"/>
    </row>
    <row r="1407" spans="6:6">
      <c r="F1407" s="37"/>
    </row>
    <row r="1408" spans="6:6">
      <c r="F1408" s="37"/>
    </row>
    <row r="1409" spans="6:6">
      <c r="F1409" s="37"/>
    </row>
    <row r="1410" spans="6:6">
      <c r="F1410" s="37"/>
    </row>
    <row r="1411" spans="6:6">
      <c r="F1411" s="37"/>
    </row>
    <row r="1412" spans="6:6">
      <c r="F1412" s="37"/>
    </row>
    <row r="1413" spans="6:6">
      <c r="F1413" s="37"/>
    </row>
    <row r="1414" spans="6:6">
      <c r="F1414" s="37"/>
    </row>
    <row r="1415" spans="6:6">
      <c r="F1415" s="37"/>
    </row>
    <row r="1416" spans="6:6">
      <c r="F1416" s="37"/>
    </row>
    <row r="1417" spans="6:6">
      <c r="F1417" s="37"/>
    </row>
    <row r="1418" spans="6:6">
      <c r="F1418" s="37"/>
    </row>
    <row r="1419" spans="6:6">
      <c r="F1419" s="37"/>
    </row>
    <row r="1420" spans="6:6">
      <c r="F1420" s="37"/>
    </row>
    <row r="1421" spans="6:6">
      <c r="F1421" s="37"/>
    </row>
    <row r="1422" spans="6:6">
      <c r="F1422" s="37"/>
    </row>
    <row r="1423" spans="6:6">
      <c r="F1423" s="37"/>
    </row>
    <row r="1424" spans="6:6">
      <c r="F1424" s="37"/>
    </row>
    <row r="1425" spans="6:6">
      <c r="F1425" s="37"/>
    </row>
    <row r="1426" spans="6:6">
      <c r="F1426" s="37"/>
    </row>
    <row r="1427" spans="6:6">
      <c r="F1427" s="37"/>
    </row>
    <row r="1428" spans="6:6">
      <c r="F1428" s="37"/>
    </row>
    <row r="1429" spans="6:6">
      <c r="F1429" s="37"/>
    </row>
    <row r="1430" spans="6:6">
      <c r="F1430" s="37"/>
    </row>
    <row r="1431" spans="6:6">
      <c r="F1431" s="37"/>
    </row>
    <row r="1432" spans="6:6">
      <c r="F1432" s="37"/>
    </row>
    <row r="1433" spans="6:6">
      <c r="F1433" s="37"/>
    </row>
    <row r="1434" spans="6:6">
      <c r="F1434" s="37"/>
    </row>
    <row r="1435" spans="6:6">
      <c r="F1435" s="37"/>
    </row>
    <row r="1436" spans="6:6">
      <c r="F1436" s="37"/>
    </row>
    <row r="1437" spans="6:6">
      <c r="F1437" s="37"/>
    </row>
    <row r="1438" spans="6:6">
      <c r="F1438" s="37"/>
    </row>
    <row r="1439" spans="6:6">
      <c r="F1439" s="37"/>
    </row>
    <row r="1440" spans="6:6">
      <c r="F1440" s="37"/>
    </row>
    <row r="1441" spans="6:6">
      <c r="F1441" s="37"/>
    </row>
    <row r="1442" spans="6:6">
      <c r="F1442" s="37"/>
    </row>
    <row r="1443" spans="6:6">
      <c r="F1443" s="37"/>
    </row>
    <row r="1444" spans="6:6">
      <c r="F1444" s="37"/>
    </row>
    <row r="1445" spans="6:6">
      <c r="F1445" s="37"/>
    </row>
    <row r="1446" spans="6:6">
      <c r="F1446" s="37"/>
    </row>
    <row r="1447" spans="6:6">
      <c r="F1447" s="37"/>
    </row>
    <row r="1448" spans="6:6">
      <c r="F1448" s="37"/>
    </row>
    <row r="1449" spans="6:6">
      <c r="F1449" s="37"/>
    </row>
    <row r="1450" spans="6:6">
      <c r="F1450" s="37"/>
    </row>
    <row r="1451" spans="6:6">
      <c r="F1451" s="37"/>
    </row>
    <row r="1452" spans="6:6">
      <c r="F1452" s="37"/>
    </row>
    <row r="1453" spans="6:6">
      <c r="F1453" s="37"/>
    </row>
    <row r="1454" spans="6:6">
      <c r="F1454" s="37"/>
    </row>
    <row r="1455" spans="6:6">
      <c r="F1455" s="37"/>
    </row>
    <row r="1456" spans="6:6">
      <c r="F1456" s="37"/>
    </row>
    <row r="1457" spans="6:6">
      <c r="F1457" s="37"/>
    </row>
    <row r="1458" spans="6:6">
      <c r="F1458" s="37"/>
    </row>
    <row r="1459" spans="6:6">
      <c r="F1459" s="37"/>
    </row>
    <row r="1460" spans="6:6">
      <c r="F1460" s="37"/>
    </row>
    <row r="1461" spans="6:6">
      <c r="F1461" s="37"/>
    </row>
    <row r="1462" spans="6:6">
      <c r="F1462" s="37"/>
    </row>
    <row r="1463" spans="6:6">
      <c r="F1463" s="37"/>
    </row>
    <row r="1464" spans="6:6">
      <c r="F1464" s="37"/>
    </row>
    <row r="1465" spans="6:6">
      <c r="F1465" s="37"/>
    </row>
    <row r="1466" spans="6:6">
      <c r="F1466" s="37"/>
    </row>
    <row r="1467" spans="6:6">
      <c r="F1467" s="37"/>
    </row>
    <row r="1468" spans="6:6">
      <c r="F1468" s="37"/>
    </row>
    <row r="1469" spans="6:6">
      <c r="F1469" s="37"/>
    </row>
    <row r="1470" spans="6:6">
      <c r="F1470" s="37"/>
    </row>
    <row r="1471" spans="6:6">
      <c r="F1471" s="37"/>
    </row>
    <row r="1472" spans="6:6">
      <c r="F1472" s="37"/>
    </row>
    <row r="1473" spans="6:6">
      <c r="F1473" s="37"/>
    </row>
    <row r="1474" spans="6:6">
      <c r="F1474" s="37"/>
    </row>
    <row r="1475" spans="6:6">
      <c r="F1475" s="37"/>
    </row>
    <row r="1476" spans="6:6">
      <c r="F1476" s="37"/>
    </row>
    <row r="1477" spans="6:6">
      <c r="F1477" s="37"/>
    </row>
    <row r="1478" spans="6:6">
      <c r="F1478" s="37"/>
    </row>
    <row r="1479" spans="6:6">
      <c r="F1479" s="37"/>
    </row>
    <row r="1480" spans="6:6">
      <c r="F1480" s="37"/>
    </row>
    <row r="1481" spans="6:6">
      <c r="F1481" s="37"/>
    </row>
    <row r="1482" spans="6:6">
      <c r="F1482" s="37"/>
    </row>
    <row r="1483" spans="6:6">
      <c r="F1483" s="37"/>
    </row>
    <row r="1484" spans="6:6">
      <c r="F1484" s="37"/>
    </row>
    <row r="1485" spans="6:6">
      <c r="F1485" s="37"/>
    </row>
    <row r="1486" spans="6:6">
      <c r="F1486" s="37"/>
    </row>
    <row r="1487" spans="6:6">
      <c r="F1487" s="37"/>
    </row>
    <row r="1488" spans="6:6">
      <c r="F1488" s="37"/>
    </row>
    <row r="1489" spans="6:6">
      <c r="F1489" s="37"/>
    </row>
    <row r="1490" spans="6:6">
      <c r="F1490" s="37"/>
    </row>
    <row r="1491" spans="6:6">
      <c r="F1491" s="37"/>
    </row>
    <row r="1492" spans="6:6">
      <c r="F1492" s="37"/>
    </row>
    <row r="1493" spans="6:6">
      <c r="F1493" s="37"/>
    </row>
    <row r="1494" spans="6:6">
      <c r="F1494" s="37"/>
    </row>
    <row r="1495" spans="6:6">
      <c r="F1495" s="37"/>
    </row>
    <row r="1496" spans="6:6">
      <c r="F1496" s="37"/>
    </row>
    <row r="1497" spans="6:6">
      <c r="F1497" s="37"/>
    </row>
    <row r="1498" spans="6:6">
      <c r="F1498" s="37"/>
    </row>
    <row r="1499" spans="6:6">
      <c r="F1499" s="37"/>
    </row>
    <row r="1500" spans="6:6">
      <c r="F1500" s="37"/>
    </row>
    <row r="1501" spans="6:6">
      <c r="F1501" s="37"/>
    </row>
    <row r="1502" spans="6:6">
      <c r="F1502" s="37"/>
    </row>
    <row r="1503" spans="6:6">
      <c r="F1503" s="37"/>
    </row>
    <row r="1504" spans="6:6">
      <c r="F1504" s="37"/>
    </row>
    <row r="1505" spans="6:6">
      <c r="F1505" s="37"/>
    </row>
    <row r="1506" spans="6:6">
      <c r="F1506" s="37"/>
    </row>
    <row r="1507" spans="6:6">
      <c r="F1507" s="37"/>
    </row>
    <row r="1508" spans="6:6">
      <c r="F1508" s="37"/>
    </row>
    <row r="1509" spans="6:6">
      <c r="F1509" s="37"/>
    </row>
    <row r="1510" spans="6:6">
      <c r="F1510" s="37"/>
    </row>
    <row r="1511" spans="6:6">
      <c r="F1511" s="37"/>
    </row>
    <row r="1512" spans="6:6">
      <c r="F1512" s="37"/>
    </row>
    <row r="1513" spans="6:6">
      <c r="F1513" s="37"/>
    </row>
    <row r="1514" spans="6:6">
      <c r="F1514" s="37"/>
    </row>
    <row r="1515" spans="6:6">
      <c r="F1515" s="37"/>
    </row>
    <row r="1516" spans="6:6">
      <c r="F1516" s="37"/>
    </row>
    <row r="1517" spans="6:6">
      <c r="F1517" s="37"/>
    </row>
    <row r="1518" spans="6:6">
      <c r="F1518" s="37"/>
    </row>
    <row r="1519" spans="6:6">
      <c r="F1519" s="37"/>
    </row>
    <row r="1520" spans="6:6">
      <c r="F1520" s="37"/>
    </row>
    <row r="1521" spans="6:6">
      <c r="F1521" s="37"/>
    </row>
    <row r="1522" spans="6:6">
      <c r="F1522" s="37"/>
    </row>
    <row r="1523" spans="6:6">
      <c r="F1523" s="37"/>
    </row>
    <row r="1524" spans="6:6">
      <c r="F1524" s="37"/>
    </row>
    <row r="1525" spans="6:6">
      <c r="F1525" s="37"/>
    </row>
    <row r="1526" spans="6:6">
      <c r="F1526" s="37"/>
    </row>
    <row r="1527" spans="6:6">
      <c r="F1527" s="37"/>
    </row>
    <row r="1528" spans="6:6">
      <c r="F1528" s="37"/>
    </row>
    <row r="1529" spans="6:6">
      <c r="F1529" s="37"/>
    </row>
    <row r="1530" spans="6:6">
      <c r="F1530" s="37"/>
    </row>
    <row r="1531" spans="6:6">
      <c r="F1531" s="37"/>
    </row>
    <row r="1532" spans="6:6">
      <c r="F1532" s="37"/>
    </row>
    <row r="1533" spans="6:6">
      <c r="F1533" s="37"/>
    </row>
    <row r="1534" spans="6:6">
      <c r="F1534" s="37"/>
    </row>
    <row r="1535" spans="6:6">
      <c r="F1535" s="37"/>
    </row>
    <row r="1536" spans="6:6">
      <c r="F1536" s="37"/>
    </row>
    <row r="1537" spans="6:6">
      <c r="F1537" s="37"/>
    </row>
    <row r="1538" spans="6:6">
      <c r="F1538" s="37"/>
    </row>
    <row r="1539" spans="6:6">
      <c r="F1539" s="37"/>
    </row>
    <row r="1540" spans="6:6">
      <c r="F1540" s="37"/>
    </row>
    <row r="1541" spans="6:6">
      <c r="F1541" s="37"/>
    </row>
    <row r="1542" spans="6:6">
      <c r="F1542" s="37"/>
    </row>
    <row r="1543" spans="6:6">
      <c r="F1543" s="37"/>
    </row>
    <row r="1544" spans="6:6">
      <c r="F1544" s="37"/>
    </row>
    <row r="1545" spans="6:6">
      <c r="F1545" s="37"/>
    </row>
    <row r="1546" spans="6:6">
      <c r="F1546" s="37"/>
    </row>
    <row r="1547" spans="6:6">
      <c r="F1547" s="37"/>
    </row>
    <row r="1548" spans="6:6">
      <c r="F1548" s="37"/>
    </row>
    <row r="1549" spans="6:6">
      <c r="F1549" s="37"/>
    </row>
    <row r="1550" spans="6:6">
      <c r="F1550" s="37"/>
    </row>
    <row r="1551" spans="6:6">
      <c r="F1551" s="37"/>
    </row>
    <row r="1552" spans="6:6">
      <c r="F1552" s="37"/>
    </row>
    <row r="1553" spans="6:6">
      <c r="F1553" s="37"/>
    </row>
    <row r="1554" spans="6:6">
      <c r="F1554" s="37"/>
    </row>
    <row r="1555" spans="6:6">
      <c r="F1555" s="37"/>
    </row>
    <row r="1556" spans="6:6">
      <c r="F1556" s="37"/>
    </row>
    <row r="1557" spans="6:6">
      <c r="F1557" s="37"/>
    </row>
    <row r="1558" spans="6:6">
      <c r="F1558" s="37"/>
    </row>
    <row r="1559" spans="6:6">
      <c r="F1559" s="37"/>
    </row>
    <row r="1560" spans="6:6">
      <c r="F1560" s="37"/>
    </row>
    <row r="1561" spans="6:6">
      <c r="F1561" s="37"/>
    </row>
    <row r="1562" spans="6:6">
      <c r="F1562" s="37"/>
    </row>
    <row r="1563" spans="6:6">
      <c r="F1563" s="37"/>
    </row>
    <row r="1564" spans="6:6">
      <c r="F1564" s="37"/>
    </row>
    <row r="1565" spans="6:6">
      <c r="F1565" s="37"/>
    </row>
    <row r="1566" spans="6:6">
      <c r="F1566" s="37"/>
    </row>
    <row r="1567" spans="6:6">
      <c r="F1567" s="37"/>
    </row>
    <row r="1568" spans="6:6">
      <c r="F1568" s="37"/>
    </row>
    <row r="1569" spans="6:6">
      <c r="F1569" s="37"/>
    </row>
    <row r="1570" spans="6:6">
      <c r="F1570" s="37"/>
    </row>
    <row r="1571" spans="6:6">
      <c r="F1571" s="37"/>
    </row>
    <row r="1572" spans="6:6">
      <c r="F1572" s="37"/>
    </row>
    <row r="1573" spans="6:6">
      <c r="F1573" s="37"/>
    </row>
    <row r="1574" spans="6:6">
      <c r="F1574" s="37"/>
    </row>
    <row r="1575" spans="6:6">
      <c r="F1575" s="37"/>
    </row>
    <row r="1576" spans="6:6">
      <c r="F1576" s="37"/>
    </row>
    <row r="1577" spans="6:6">
      <c r="F1577" s="37"/>
    </row>
    <row r="1578" spans="6:6">
      <c r="F1578" s="37"/>
    </row>
    <row r="1579" spans="6:6">
      <c r="F1579" s="37"/>
    </row>
    <row r="1580" spans="6:6">
      <c r="F1580" s="37"/>
    </row>
    <row r="1581" spans="6:6">
      <c r="F1581" s="37"/>
    </row>
    <row r="1582" spans="6:6">
      <c r="F1582" s="37"/>
    </row>
    <row r="1583" spans="6:6">
      <c r="F1583" s="37"/>
    </row>
    <row r="1584" spans="6:6">
      <c r="F1584" s="37"/>
    </row>
    <row r="1585" spans="6:6">
      <c r="F1585" s="37"/>
    </row>
    <row r="1586" spans="6:6">
      <c r="F1586" s="37"/>
    </row>
    <row r="1587" spans="6:6">
      <c r="F1587" s="37"/>
    </row>
    <row r="1588" spans="6:6">
      <c r="F1588" s="37"/>
    </row>
    <row r="1589" spans="6:6">
      <c r="F1589" s="37"/>
    </row>
    <row r="1590" spans="6:6">
      <c r="F1590" s="37"/>
    </row>
    <row r="1591" spans="6:6">
      <c r="F1591" s="37"/>
    </row>
    <row r="1592" spans="6:6">
      <c r="F1592" s="37"/>
    </row>
    <row r="1593" spans="6:6">
      <c r="F1593" s="37"/>
    </row>
    <row r="1594" spans="6:6">
      <c r="F1594" s="37"/>
    </row>
    <row r="1595" spans="6:6">
      <c r="F1595" s="37"/>
    </row>
    <row r="1596" spans="6:6">
      <c r="F1596" s="37"/>
    </row>
    <row r="1597" spans="6:6">
      <c r="F1597" s="37"/>
    </row>
    <row r="1598" spans="6:6">
      <c r="F1598" s="37"/>
    </row>
    <row r="1599" spans="6:6">
      <c r="F1599" s="37"/>
    </row>
    <row r="1600" spans="6:6">
      <c r="F1600" s="37"/>
    </row>
    <row r="1601" spans="6:6">
      <c r="F1601" s="37"/>
    </row>
    <row r="1602" spans="6:6">
      <c r="F1602" s="37"/>
    </row>
    <row r="1603" spans="6:6">
      <c r="F1603" s="37"/>
    </row>
    <row r="1604" spans="6:6">
      <c r="F1604" s="37"/>
    </row>
    <row r="1605" spans="6:6">
      <c r="F1605" s="37"/>
    </row>
    <row r="1606" spans="6:6">
      <c r="F1606" s="37"/>
    </row>
    <row r="1607" spans="6:6">
      <c r="F1607" s="37"/>
    </row>
    <row r="1608" spans="6:6">
      <c r="F1608" s="37"/>
    </row>
    <row r="1609" spans="6:6">
      <c r="F1609" s="37"/>
    </row>
    <row r="1610" spans="6:6">
      <c r="F1610" s="37"/>
    </row>
    <row r="1611" spans="6:6">
      <c r="F1611" s="37"/>
    </row>
    <row r="1612" spans="6:6">
      <c r="F1612" s="37"/>
    </row>
    <row r="1613" spans="6:6">
      <c r="F1613" s="37"/>
    </row>
    <row r="1614" spans="6:6">
      <c r="F1614" s="37"/>
    </row>
    <row r="1615" spans="6:6">
      <c r="F1615" s="37"/>
    </row>
    <row r="1616" spans="6:6">
      <c r="F1616" s="37"/>
    </row>
    <row r="1617" spans="6:6">
      <c r="F1617" s="37"/>
    </row>
    <row r="1618" spans="6:6">
      <c r="F1618" s="37"/>
    </row>
    <row r="1619" spans="6:6">
      <c r="F1619" s="37"/>
    </row>
    <row r="1620" spans="6:6">
      <c r="F1620" s="37"/>
    </row>
    <row r="1621" spans="6:6">
      <c r="F1621" s="37"/>
    </row>
    <row r="1622" spans="6:6">
      <c r="F1622" s="37"/>
    </row>
    <row r="1623" spans="6:6">
      <c r="F1623" s="37"/>
    </row>
    <row r="1624" spans="6:6">
      <c r="F1624" s="37"/>
    </row>
    <row r="1625" spans="6:6">
      <c r="F1625" s="37"/>
    </row>
    <row r="1626" spans="6:6">
      <c r="F1626" s="37"/>
    </row>
    <row r="1627" spans="6:6">
      <c r="F1627" s="37"/>
    </row>
    <row r="1628" spans="6:6">
      <c r="F1628" s="37"/>
    </row>
    <row r="1629" spans="6:6">
      <c r="F1629" s="37"/>
    </row>
    <row r="1630" spans="6:6">
      <c r="F1630" s="37"/>
    </row>
    <row r="1631" spans="6:6">
      <c r="F1631" s="37"/>
    </row>
    <row r="1632" spans="6:6">
      <c r="F1632" s="37"/>
    </row>
    <row r="1633" spans="6:6">
      <c r="F1633" s="37"/>
    </row>
    <row r="1634" spans="6:6">
      <c r="F1634" s="37"/>
    </row>
    <row r="1635" spans="6:6">
      <c r="F1635" s="37"/>
    </row>
    <row r="1636" spans="6:6">
      <c r="F1636" s="37"/>
    </row>
    <row r="1637" spans="6:6">
      <c r="F1637" s="37"/>
    </row>
    <row r="1638" spans="6:6">
      <c r="F1638" s="37"/>
    </row>
    <row r="1639" spans="6:6">
      <c r="F1639" s="37"/>
    </row>
    <row r="1640" spans="6:6">
      <c r="F1640" s="37"/>
    </row>
    <row r="1641" spans="6:6">
      <c r="F1641" s="37"/>
    </row>
    <row r="1642" spans="6:6">
      <c r="F1642" s="37"/>
    </row>
    <row r="1643" spans="6:6">
      <c r="F1643" s="37"/>
    </row>
    <row r="1644" spans="6:6">
      <c r="F1644" s="37"/>
    </row>
    <row r="1645" spans="6:6">
      <c r="F1645" s="37"/>
    </row>
    <row r="1646" spans="6:6">
      <c r="F1646" s="37"/>
    </row>
    <row r="1647" spans="6:6">
      <c r="F1647" s="37"/>
    </row>
    <row r="1648" spans="6:6">
      <c r="F1648" s="37"/>
    </row>
    <row r="1649" spans="6:6">
      <c r="F1649" s="37"/>
    </row>
    <row r="1650" spans="6:6">
      <c r="F1650" s="37"/>
    </row>
    <row r="1651" spans="6:6">
      <c r="F1651" s="37"/>
    </row>
    <row r="1652" spans="6:6">
      <c r="F1652" s="37"/>
    </row>
    <row r="1653" spans="6:6">
      <c r="F1653" s="37"/>
    </row>
    <row r="1654" spans="6:6">
      <c r="F1654" s="37"/>
    </row>
    <row r="1655" spans="6:6">
      <c r="F1655" s="37"/>
    </row>
    <row r="1656" spans="6:6">
      <c r="F1656" s="37"/>
    </row>
    <row r="1657" spans="6:6">
      <c r="F1657" s="37"/>
    </row>
    <row r="1658" spans="6:6">
      <c r="F1658" s="37"/>
    </row>
    <row r="1659" spans="6:6">
      <c r="F1659" s="37"/>
    </row>
    <row r="1660" spans="6:6">
      <c r="F1660" s="37"/>
    </row>
    <row r="1661" spans="6:6">
      <c r="F1661" s="37"/>
    </row>
    <row r="1662" spans="6:6">
      <c r="F1662" s="37"/>
    </row>
    <row r="1663" spans="6:6">
      <c r="F1663" s="37"/>
    </row>
    <row r="1664" spans="6:6">
      <c r="F1664" s="37"/>
    </row>
    <row r="1665" spans="6:6">
      <c r="F1665" s="37"/>
    </row>
    <row r="1666" spans="6:6">
      <c r="F1666" s="37"/>
    </row>
    <row r="1667" spans="6:6">
      <c r="F1667" s="37"/>
    </row>
    <row r="1668" spans="6:6">
      <c r="F1668" s="37"/>
    </row>
    <row r="1669" spans="6:6">
      <c r="F1669" s="37"/>
    </row>
    <row r="1670" spans="6:6">
      <c r="F1670" s="37"/>
    </row>
    <row r="1671" spans="6:6">
      <c r="F1671" s="37"/>
    </row>
    <row r="1672" spans="6:6">
      <c r="F1672" s="37"/>
    </row>
    <row r="1673" spans="6:6">
      <c r="F1673" s="37"/>
    </row>
    <row r="1674" spans="6:6">
      <c r="F1674" s="37"/>
    </row>
    <row r="1675" spans="6:6">
      <c r="F1675" s="37"/>
    </row>
    <row r="1676" spans="6:6">
      <c r="F1676" s="37"/>
    </row>
    <row r="1677" spans="6:6">
      <c r="F1677" s="37"/>
    </row>
    <row r="1678" spans="6:6">
      <c r="F1678" s="37"/>
    </row>
    <row r="1679" spans="6:6">
      <c r="F1679" s="37"/>
    </row>
    <row r="1680" spans="6:6">
      <c r="F1680" s="37"/>
    </row>
    <row r="1681" spans="6:6">
      <c r="F1681" s="37"/>
    </row>
    <row r="1682" spans="6:6">
      <c r="F1682" s="37"/>
    </row>
    <row r="1683" spans="6:6">
      <c r="F1683" s="37"/>
    </row>
    <row r="1684" spans="6:6">
      <c r="F1684" s="37"/>
    </row>
    <row r="1685" spans="6:6">
      <c r="F1685" s="37"/>
    </row>
    <row r="1686" spans="6:6">
      <c r="F1686" s="37"/>
    </row>
    <row r="1687" spans="6:6">
      <c r="F1687" s="37"/>
    </row>
    <row r="1688" spans="6:6">
      <c r="F1688" s="37"/>
    </row>
    <row r="1689" spans="6:6">
      <c r="F1689" s="37"/>
    </row>
    <row r="1690" spans="6:6">
      <c r="F1690" s="37"/>
    </row>
    <row r="1691" spans="6:6">
      <c r="F1691" s="37"/>
    </row>
    <row r="1692" spans="6:6">
      <c r="F1692" s="37"/>
    </row>
    <row r="1693" spans="6:6">
      <c r="F1693" s="37"/>
    </row>
    <row r="1694" spans="6:6">
      <c r="F1694" s="37"/>
    </row>
    <row r="1695" spans="6:6">
      <c r="F1695" s="37"/>
    </row>
    <row r="1696" spans="6:6">
      <c r="F1696" s="37"/>
    </row>
    <row r="1697" spans="6:6">
      <c r="F1697" s="37"/>
    </row>
    <row r="1698" spans="6:6">
      <c r="F1698" s="37"/>
    </row>
    <row r="1699" spans="6:6">
      <c r="F1699" s="37"/>
    </row>
    <row r="1700" spans="6:6">
      <c r="F1700" s="37"/>
    </row>
    <row r="1701" spans="6:6">
      <c r="F1701" s="37"/>
    </row>
    <row r="1702" spans="6:6">
      <c r="F1702" s="37"/>
    </row>
    <row r="1703" spans="6:6">
      <c r="F1703" s="37"/>
    </row>
    <row r="1704" spans="6:6">
      <c r="F1704" s="37"/>
    </row>
    <row r="1705" spans="6:6">
      <c r="F1705" s="37"/>
    </row>
    <row r="1706" spans="6:6">
      <c r="F1706" s="37"/>
    </row>
    <row r="1707" spans="6:6">
      <c r="F1707" s="37"/>
    </row>
    <row r="1708" spans="6:6">
      <c r="F1708" s="37"/>
    </row>
    <row r="1709" spans="6:6">
      <c r="F1709" s="37"/>
    </row>
    <row r="1710" spans="6:6">
      <c r="F1710" s="37"/>
    </row>
    <row r="1711" spans="6:6">
      <c r="F1711" s="37"/>
    </row>
    <row r="1712" spans="6:6">
      <c r="F1712" s="37"/>
    </row>
    <row r="1713" spans="6:6">
      <c r="F1713" s="37"/>
    </row>
    <row r="1714" spans="6:6">
      <c r="F1714" s="37"/>
    </row>
    <row r="1715" spans="6:6">
      <c r="F1715" s="37"/>
    </row>
    <row r="1716" spans="6:6">
      <c r="F1716" s="37"/>
    </row>
    <row r="1717" spans="6:6">
      <c r="F1717" s="37"/>
    </row>
    <row r="1718" spans="6:6">
      <c r="F1718" s="37"/>
    </row>
    <row r="1719" spans="6:6">
      <c r="F1719" s="37"/>
    </row>
    <row r="1720" spans="6:6">
      <c r="F1720" s="37"/>
    </row>
    <row r="1721" spans="6:6">
      <c r="F1721" s="37"/>
    </row>
    <row r="1722" spans="6:6">
      <c r="F1722" s="37"/>
    </row>
    <row r="1723" spans="6:6">
      <c r="F1723" s="37"/>
    </row>
    <row r="1724" spans="6:6">
      <c r="F1724" s="37"/>
    </row>
    <row r="1725" spans="6:6">
      <c r="F1725" s="37"/>
    </row>
    <row r="1726" spans="6:6">
      <c r="F1726" s="37"/>
    </row>
    <row r="1727" spans="6:6">
      <c r="F1727" s="37"/>
    </row>
    <row r="1728" spans="6:6">
      <c r="F1728" s="37"/>
    </row>
    <row r="1729" spans="6:6">
      <c r="F1729" s="37"/>
    </row>
    <row r="1730" spans="6:6">
      <c r="F1730" s="37"/>
    </row>
    <row r="1731" spans="6:6">
      <c r="F1731" s="37"/>
    </row>
    <row r="1732" spans="6:6">
      <c r="F1732" s="37"/>
    </row>
    <row r="1733" spans="6:6">
      <c r="F1733" s="37"/>
    </row>
    <row r="1734" spans="6:6">
      <c r="F1734" s="37"/>
    </row>
    <row r="1735" spans="6:6">
      <c r="F1735" s="37"/>
    </row>
    <row r="1736" spans="6:6">
      <c r="F1736" s="37"/>
    </row>
    <row r="1737" spans="6:6">
      <c r="F1737" s="37"/>
    </row>
    <row r="1738" spans="6:6">
      <c r="F1738" s="37"/>
    </row>
    <row r="1739" spans="6:6">
      <c r="F1739" s="37"/>
    </row>
    <row r="1740" spans="6:6">
      <c r="F1740" s="37"/>
    </row>
    <row r="1741" spans="6:6">
      <c r="F1741" s="37"/>
    </row>
    <row r="1742" spans="6:6">
      <c r="F1742" s="37"/>
    </row>
    <row r="1743" spans="6:6">
      <c r="F1743" s="37"/>
    </row>
    <row r="1744" spans="6:6">
      <c r="F1744" s="37"/>
    </row>
    <row r="1745" spans="6:6">
      <c r="F1745" s="37"/>
    </row>
    <row r="1746" spans="6:6">
      <c r="F1746" s="37"/>
    </row>
    <row r="1747" spans="6:6">
      <c r="F1747" s="37"/>
    </row>
    <row r="1748" spans="6:6">
      <c r="F1748" s="37"/>
    </row>
    <row r="1749" spans="6:6">
      <c r="F1749" s="37"/>
    </row>
    <row r="1750" spans="6:6">
      <c r="F1750" s="37"/>
    </row>
    <row r="1751" spans="6:6">
      <c r="F1751" s="37"/>
    </row>
    <row r="1752" spans="6:6">
      <c r="F1752" s="37"/>
    </row>
    <row r="1753" spans="6:6">
      <c r="F1753" s="37"/>
    </row>
    <row r="1754" spans="6:6">
      <c r="F1754" s="37"/>
    </row>
    <row r="1755" spans="6:6">
      <c r="F1755" s="37"/>
    </row>
    <row r="1756" spans="6:6">
      <c r="F1756" s="37"/>
    </row>
    <row r="1757" spans="6:6">
      <c r="F1757" s="37"/>
    </row>
    <row r="1758" spans="6:6">
      <c r="F1758" s="37"/>
    </row>
    <row r="1759" spans="6:6">
      <c r="F1759" s="37"/>
    </row>
    <row r="1760" spans="6:6">
      <c r="F1760" s="37"/>
    </row>
    <row r="1761" spans="6:6">
      <c r="F1761" s="37"/>
    </row>
    <row r="1762" spans="6:6">
      <c r="F1762" s="37"/>
    </row>
    <row r="1763" spans="6:6">
      <c r="F1763" s="37"/>
    </row>
    <row r="1764" spans="6:6">
      <c r="F1764" s="37"/>
    </row>
    <row r="1765" spans="6:6">
      <c r="F1765" s="37"/>
    </row>
    <row r="1766" spans="6:6">
      <c r="F1766" s="37"/>
    </row>
    <row r="1767" spans="6:6">
      <c r="F1767" s="37"/>
    </row>
    <row r="1768" spans="6:6">
      <c r="F1768" s="37"/>
    </row>
    <row r="1769" spans="6:6">
      <c r="F1769" s="37"/>
    </row>
    <row r="1770" spans="6:6">
      <c r="F1770" s="37"/>
    </row>
    <row r="1771" spans="6:6">
      <c r="F1771" s="37"/>
    </row>
    <row r="1772" spans="6:6">
      <c r="F1772" s="37"/>
    </row>
    <row r="1773" spans="6:6">
      <c r="F1773" s="37"/>
    </row>
    <row r="1774" spans="6:6">
      <c r="F1774" s="37"/>
    </row>
    <row r="1775" spans="6:6">
      <c r="F1775" s="37"/>
    </row>
    <row r="1776" spans="6:6">
      <c r="F1776" s="37"/>
    </row>
    <row r="1777" spans="6:6">
      <c r="F1777" s="37"/>
    </row>
    <row r="1778" spans="6:6">
      <c r="F1778" s="37"/>
    </row>
    <row r="1779" spans="6:6">
      <c r="F1779" s="37"/>
    </row>
    <row r="1780" spans="6:6">
      <c r="F1780" s="37"/>
    </row>
    <row r="1781" spans="6:6">
      <c r="F1781" s="37"/>
    </row>
    <row r="1782" spans="6:6">
      <c r="F1782" s="37"/>
    </row>
    <row r="1783" spans="6:6">
      <c r="F1783" s="37"/>
    </row>
    <row r="1784" spans="6:6">
      <c r="F1784" s="37"/>
    </row>
    <row r="1785" spans="6:6">
      <c r="F1785" s="37"/>
    </row>
    <row r="1786" spans="6:6">
      <c r="F1786" s="37"/>
    </row>
    <row r="1787" spans="6:6">
      <c r="F1787" s="37"/>
    </row>
    <row r="1788" spans="6:6">
      <c r="F1788" s="37"/>
    </row>
    <row r="1789" spans="6:6">
      <c r="F1789" s="37"/>
    </row>
    <row r="1790" spans="6:6">
      <c r="F1790" s="37"/>
    </row>
    <row r="1791" spans="6:6">
      <c r="F1791" s="37"/>
    </row>
    <row r="1792" spans="6:6">
      <c r="F1792" s="37"/>
    </row>
    <row r="1793" spans="6:6">
      <c r="F1793" s="37"/>
    </row>
    <row r="1794" spans="6:6">
      <c r="F1794" s="37"/>
    </row>
    <row r="1795" spans="6:6">
      <c r="F1795" s="37"/>
    </row>
    <row r="1796" spans="6:6">
      <c r="F1796" s="37"/>
    </row>
    <row r="1797" spans="6:6">
      <c r="F1797" s="37"/>
    </row>
    <row r="1798" spans="6:6">
      <c r="F1798" s="37"/>
    </row>
    <row r="1799" spans="6:6">
      <c r="F1799" s="37"/>
    </row>
    <row r="1800" spans="6:6">
      <c r="F1800" s="37"/>
    </row>
    <row r="1801" spans="6:6">
      <c r="F1801" s="37"/>
    </row>
    <row r="1802" spans="6:6">
      <c r="F1802" s="37"/>
    </row>
    <row r="1803" spans="6:6">
      <c r="F1803" s="37"/>
    </row>
    <row r="1804" spans="6:6">
      <c r="F1804" s="37"/>
    </row>
    <row r="1805" spans="6:6">
      <c r="F1805" s="37"/>
    </row>
    <row r="1806" spans="6:6">
      <c r="F1806" s="37"/>
    </row>
    <row r="1807" spans="6:6">
      <c r="F1807" s="37"/>
    </row>
    <row r="1808" spans="6:6">
      <c r="F1808" s="37"/>
    </row>
    <row r="1809" spans="6:6">
      <c r="F1809" s="37"/>
    </row>
    <row r="1810" spans="6:6">
      <c r="F1810" s="37"/>
    </row>
    <row r="1811" spans="6:6">
      <c r="F1811" s="37"/>
    </row>
    <row r="1812" spans="6:6">
      <c r="F1812" s="37"/>
    </row>
    <row r="1813" spans="6:6">
      <c r="F1813" s="37"/>
    </row>
    <row r="1814" spans="6:6">
      <c r="F1814" s="37"/>
    </row>
    <row r="1815" spans="6:6">
      <c r="F1815" s="37"/>
    </row>
    <row r="1816" spans="6:6">
      <c r="F1816" s="37"/>
    </row>
    <row r="1817" spans="6:6">
      <c r="F1817" s="37"/>
    </row>
    <row r="1818" spans="6:6">
      <c r="F1818" s="37"/>
    </row>
    <row r="1819" spans="6:6">
      <c r="F1819" s="37"/>
    </row>
    <row r="1820" spans="6:6">
      <c r="F1820" s="37"/>
    </row>
    <row r="1821" spans="6:6">
      <c r="F1821" s="37"/>
    </row>
    <row r="1822" spans="6:6">
      <c r="F1822" s="37"/>
    </row>
    <row r="1823" spans="6:6">
      <c r="F1823" s="37"/>
    </row>
    <row r="1824" spans="6:6">
      <c r="F1824" s="37"/>
    </row>
    <row r="1825" spans="6:6">
      <c r="F1825" s="37"/>
    </row>
    <row r="1826" spans="6:6">
      <c r="F1826" s="37"/>
    </row>
    <row r="1827" spans="6:6">
      <c r="F1827" s="37"/>
    </row>
    <row r="1828" spans="6:6">
      <c r="F1828" s="37"/>
    </row>
    <row r="1829" spans="6:6">
      <c r="F1829" s="37"/>
    </row>
    <row r="1830" spans="6:6">
      <c r="F1830" s="37"/>
    </row>
    <row r="1831" spans="6:6">
      <c r="F1831" s="37"/>
    </row>
    <row r="1832" spans="6:6">
      <c r="F1832" s="37"/>
    </row>
    <row r="1833" spans="6:6">
      <c r="F1833" s="37"/>
    </row>
    <row r="1834" spans="6:6">
      <c r="F1834" s="37"/>
    </row>
    <row r="1835" spans="6:6">
      <c r="F1835" s="37"/>
    </row>
    <row r="1836" spans="6:6">
      <c r="F1836" s="37"/>
    </row>
    <row r="1837" spans="6:6">
      <c r="F1837" s="37"/>
    </row>
    <row r="1838" spans="6:6">
      <c r="F1838" s="37"/>
    </row>
    <row r="1839" spans="6:6">
      <c r="F1839" s="37"/>
    </row>
    <row r="1840" spans="6:6">
      <c r="F1840" s="37"/>
    </row>
    <row r="1841" spans="6:6">
      <c r="F1841" s="37"/>
    </row>
    <row r="1842" spans="6:6">
      <c r="F1842" s="37"/>
    </row>
    <row r="1843" spans="6:6">
      <c r="F1843" s="37"/>
    </row>
    <row r="1844" spans="6:6">
      <c r="F1844" s="37"/>
    </row>
    <row r="1845" spans="6:6">
      <c r="F1845" s="37"/>
    </row>
    <row r="1846" spans="6:6">
      <c r="F1846" s="37"/>
    </row>
    <row r="1847" spans="6:6">
      <c r="F1847" s="37"/>
    </row>
    <row r="1848" spans="6:6">
      <c r="F1848" s="37"/>
    </row>
    <row r="1849" spans="6:6">
      <c r="F1849" s="37"/>
    </row>
    <row r="1850" spans="6:6">
      <c r="F1850" s="37"/>
    </row>
    <row r="1851" spans="6:6">
      <c r="F1851" s="37"/>
    </row>
    <row r="1852" spans="6:6">
      <c r="F1852" s="37"/>
    </row>
    <row r="1853" spans="6:6">
      <c r="F1853" s="37"/>
    </row>
    <row r="1854" spans="6:6">
      <c r="F1854" s="37"/>
    </row>
    <row r="1855" spans="6:6">
      <c r="F1855" s="37"/>
    </row>
    <row r="1856" spans="6:6">
      <c r="F1856" s="37"/>
    </row>
    <row r="1857" spans="6:6">
      <c r="F1857" s="37"/>
    </row>
    <row r="1858" spans="6:6">
      <c r="F1858" s="37"/>
    </row>
    <row r="1859" spans="6:6">
      <c r="F1859" s="37"/>
    </row>
    <row r="1860" spans="6:6">
      <c r="F1860" s="37"/>
    </row>
    <row r="1861" spans="6:6">
      <c r="F1861" s="37"/>
    </row>
    <row r="1862" spans="6:6">
      <c r="F1862" s="37"/>
    </row>
    <row r="1863" spans="6:6">
      <c r="F1863" s="37"/>
    </row>
    <row r="1864" spans="6:6">
      <c r="F1864" s="37"/>
    </row>
    <row r="1865" spans="6:6">
      <c r="F1865" s="37"/>
    </row>
    <row r="1866" spans="6:6">
      <c r="F1866" s="37"/>
    </row>
    <row r="1867" spans="6:6">
      <c r="F1867" s="37"/>
    </row>
    <row r="1868" spans="6:6">
      <c r="F1868" s="37"/>
    </row>
    <row r="1869" spans="6:6">
      <c r="F1869" s="37"/>
    </row>
    <row r="1870" spans="6:6">
      <c r="F1870" s="37"/>
    </row>
    <row r="1871" spans="6:6">
      <c r="F1871" s="37"/>
    </row>
    <row r="1872" spans="6:6">
      <c r="F1872" s="37"/>
    </row>
    <row r="1873" spans="6:6">
      <c r="F1873" s="37"/>
    </row>
    <row r="1874" spans="6:6">
      <c r="F1874" s="37"/>
    </row>
    <row r="1875" spans="6:6">
      <c r="F1875" s="37"/>
    </row>
    <row r="1876" spans="6:6">
      <c r="F1876" s="37"/>
    </row>
    <row r="1877" spans="6:6">
      <c r="F1877" s="37"/>
    </row>
    <row r="1878" spans="6:6">
      <c r="F1878" s="37"/>
    </row>
    <row r="1879" spans="6:6">
      <c r="F1879" s="37"/>
    </row>
    <row r="1880" spans="6:6">
      <c r="F1880" s="37"/>
    </row>
    <row r="1881" spans="6:6">
      <c r="F1881" s="37"/>
    </row>
    <row r="1882" spans="6:6">
      <c r="F1882" s="37"/>
    </row>
    <row r="1883" spans="6:6">
      <c r="F1883" s="37"/>
    </row>
    <row r="1884" spans="6:6">
      <c r="F1884" s="37"/>
    </row>
    <row r="1885" spans="6:6">
      <c r="F1885" s="37"/>
    </row>
    <row r="1886" spans="6:6">
      <c r="F1886" s="37"/>
    </row>
    <row r="1887" spans="6:6">
      <c r="F1887" s="37"/>
    </row>
    <row r="1888" spans="6:6">
      <c r="F1888" s="37"/>
    </row>
    <row r="1889" spans="6:6">
      <c r="F1889" s="37"/>
    </row>
    <row r="1890" spans="6:6">
      <c r="F1890" s="37"/>
    </row>
    <row r="1891" spans="6:6">
      <c r="F1891" s="37"/>
    </row>
    <row r="1892" spans="6:6">
      <c r="F1892" s="37"/>
    </row>
    <row r="1893" spans="6:6">
      <c r="F1893" s="37"/>
    </row>
    <row r="1894" spans="6:6">
      <c r="F1894" s="37"/>
    </row>
    <row r="1895" spans="6:6">
      <c r="F1895" s="37"/>
    </row>
    <row r="1896" spans="6:6">
      <c r="F1896" s="37"/>
    </row>
    <row r="1897" spans="6:6">
      <c r="F1897" s="37"/>
    </row>
    <row r="1898" spans="6:6">
      <c r="F1898" s="37"/>
    </row>
    <row r="1899" spans="6:6">
      <c r="F1899" s="37"/>
    </row>
    <row r="1900" spans="6:6">
      <c r="F1900" s="37"/>
    </row>
    <row r="1901" spans="6:6">
      <c r="F1901" s="37"/>
    </row>
    <row r="1902" spans="6:6">
      <c r="F1902" s="37"/>
    </row>
    <row r="1903" spans="6:6">
      <c r="F1903" s="37"/>
    </row>
    <row r="1904" spans="6:6">
      <c r="F1904" s="37"/>
    </row>
    <row r="1905" spans="6:6">
      <c r="F1905" s="37"/>
    </row>
    <row r="1906" spans="6:6">
      <c r="F1906" s="37"/>
    </row>
    <row r="1907" spans="6:6">
      <c r="F1907" s="37"/>
    </row>
    <row r="1908" spans="6:6">
      <c r="F1908" s="37"/>
    </row>
    <row r="1909" spans="6:6">
      <c r="F1909" s="37"/>
    </row>
    <row r="1910" spans="6:6">
      <c r="F1910" s="37"/>
    </row>
    <row r="1911" spans="6:6">
      <c r="F1911" s="37"/>
    </row>
    <row r="1912" spans="6:6">
      <c r="F1912" s="37"/>
    </row>
    <row r="1913" spans="6:6">
      <c r="F1913" s="37"/>
    </row>
    <row r="1914" spans="6:6">
      <c r="F1914" s="37"/>
    </row>
    <row r="1915" spans="6:6">
      <c r="F1915" s="37"/>
    </row>
    <row r="1916" spans="6:6">
      <c r="F1916" s="37"/>
    </row>
    <row r="1917" spans="6:6">
      <c r="F1917" s="37"/>
    </row>
    <row r="1918" spans="6:6">
      <c r="F1918" s="37"/>
    </row>
    <row r="1919" spans="6:6">
      <c r="F1919" s="37"/>
    </row>
    <row r="1920" spans="6:6">
      <c r="F1920" s="37"/>
    </row>
    <row r="1921" spans="6:6">
      <c r="F1921" s="37"/>
    </row>
    <row r="1922" spans="6:6">
      <c r="F1922" s="37"/>
    </row>
    <row r="1923" spans="6:6">
      <c r="F1923" s="37"/>
    </row>
    <row r="1924" spans="6:6">
      <c r="F1924" s="37"/>
    </row>
    <row r="1925" spans="6:6">
      <c r="F1925" s="37"/>
    </row>
    <row r="1926" spans="6:6">
      <c r="F1926" s="37"/>
    </row>
    <row r="1927" spans="6:6">
      <c r="F1927" s="37"/>
    </row>
    <row r="1928" spans="6:6">
      <c r="F1928" s="37"/>
    </row>
    <row r="1929" spans="6:6">
      <c r="F1929" s="37"/>
    </row>
    <row r="1930" spans="6:6">
      <c r="F1930" s="37"/>
    </row>
    <row r="1931" spans="6:6">
      <c r="F1931" s="37"/>
    </row>
    <row r="1932" spans="6:6">
      <c r="F1932" s="37"/>
    </row>
    <row r="1933" spans="6:6">
      <c r="F1933" s="37"/>
    </row>
    <row r="1934" spans="6:6">
      <c r="F1934" s="37"/>
    </row>
    <row r="1935" spans="6:6">
      <c r="F1935" s="37"/>
    </row>
    <row r="1936" spans="6:6">
      <c r="F1936" s="37"/>
    </row>
    <row r="1937" spans="6:6">
      <c r="F1937" s="37"/>
    </row>
    <row r="1938" spans="6:6">
      <c r="F1938" s="37"/>
    </row>
    <row r="1939" spans="6:6">
      <c r="F1939" s="37"/>
    </row>
    <row r="1940" spans="6:6">
      <c r="F1940" s="37"/>
    </row>
    <row r="1941" spans="6:6">
      <c r="F1941" s="37"/>
    </row>
    <row r="1942" spans="6:6">
      <c r="F1942" s="37"/>
    </row>
    <row r="1943" spans="6:6">
      <c r="F1943" s="37"/>
    </row>
    <row r="1944" spans="6:6">
      <c r="F1944" s="37"/>
    </row>
    <row r="1945" spans="6:6">
      <c r="F1945" s="37"/>
    </row>
    <row r="1946" spans="6:6">
      <c r="F1946" s="37"/>
    </row>
    <row r="1947" spans="6:6">
      <c r="F1947" s="37"/>
    </row>
    <row r="1948" spans="6:6">
      <c r="F1948" s="37"/>
    </row>
    <row r="1949" spans="6:6">
      <c r="F1949" s="37"/>
    </row>
    <row r="1950" spans="6:6">
      <c r="F1950" s="37"/>
    </row>
    <row r="1951" spans="6:6">
      <c r="F1951" s="37"/>
    </row>
    <row r="1952" spans="6:6">
      <c r="F1952" s="37"/>
    </row>
    <row r="1953" spans="6:6">
      <c r="F1953" s="37"/>
    </row>
    <row r="1954" spans="6:6">
      <c r="F1954" s="37"/>
    </row>
    <row r="1955" spans="6:6">
      <c r="F1955" s="37"/>
    </row>
    <row r="1956" spans="6:6">
      <c r="F1956" s="37"/>
    </row>
    <row r="1957" spans="6:6">
      <c r="F1957" s="37"/>
    </row>
    <row r="1958" spans="6:6">
      <c r="F1958" s="37"/>
    </row>
    <row r="1959" spans="6:6">
      <c r="F1959" s="37"/>
    </row>
    <row r="1960" spans="6:6">
      <c r="F1960" s="37"/>
    </row>
    <row r="1961" spans="6:6">
      <c r="F1961" s="37"/>
    </row>
    <row r="1962" spans="6:6">
      <c r="F1962" s="37"/>
    </row>
    <row r="1963" spans="6:6">
      <c r="F1963" s="37"/>
    </row>
    <row r="1964" spans="6:6">
      <c r="F1964" s="37"/>
    </row>
    <row r="1965" spans="6:6">
      <c r="F1965" s="37"/>
    </row>
    <row r="1966" spans="6:6">
      <c r="F1966" s="37"/>
    </row>
    <row r="1967" spans="6:6">
      <c r="F1967" s="37"/>
    </row>
    <row r="1968" spans="6:6">
      <c r="F1968" s="37"/>
    </row>
    <row r="1969" spans="6:6">
      <c r="F1969" s="37"/>
    </row>
    <row r="1970" spans="6:6">
      <c r="F1970" s="37"/>
    </row>
    <row r="1971" spans="6:6">
      <c r="F1971" s="37"/>
    </row>
    <row r="1972" spans="6:6">
      <c r="F1972" s="37"/>
    </row>
    <row r="1973" spans="6:6">
      <c r="F1973" s="37"/>
    </row>
    <row r="1974" spans="6:6">
      <c r="F1974" s="37"/>
    </row>
    <row r="1975" spans="6:6">
      <c r="F1975" s="37"/>
    </row>
    <row r="1976" spans="6:6">
      <c r="F1976" s="37"/>
    </row>
    <row r="1977" spans="6:6">
      <c r="F1977" s="37"/>
    </row>
    <row r="1978" spans="6:6">
      <c r="F1978" s="37"/>
    </row>
    <row r="1979" spans="6:6">
      <c r="F1979" s="37"/>
    </row>
    <row r="1980" spans="6:6">
      <c r="F1980" s="37"/>
    </row>
    <row r="1981" spans="6:6">
      <c r="F1981" s="37"/>
    </row>
    <row r="1982" spans="6:6">
      <c r="F1982" s="37"/>
    </row>
    <row r="1983" spans="6:6">
      <c r="F1983" s="37"/>
    </row>
    <row r="1984" spans="6:6">
      <c r="F1984" s="37"/>
    </row>
    <row r="1985" spans="6:6">
      <c r="F1985" s="37"/>
    </row>
    <row r="1986" spans="6:6">
      <c r="F1986" s="37"/>
    </row>
    <row r="1987" spans="6:6">
      <c r="F1987" s="37"/>
    </row>
    <row r="1988" spans="6:6">
      <c r="F1988" s="37"/>
    </row>
    <row r="1989" spans="6:6">
      <c r="F1989" s="37"/>
    </row>
    <row r="1990" spans="6:6">
      <c r="F1990" s="37"/>
    </row>
    <row r="1991" spans="6:6">
      <c r="F1991" s="37"/>
    </row>
    <row r="1992" spans="6:6">
      <c r="F1992" s="37"/>
    </row>
    <row r="1993" spans="6:6">
      <c r="F1993" s="37"/>
    </row>
    <row r="1994" spans="6:6">
      <c r="F1994" s="37"/>
    </row>
    <row r="1995" spans="6:6">
      <c r="F1995" s="37"/>
    </row>
    <row r="1996" spans="6:6">
      <c r="F1996" s="37"/>
    </row>
    <row r="1997" spans="6:6">
      <c r="F1997" s="37"/>
    </row>
    <row r="1998" spans="6:6">
      <c r="F1998" s="37"/>
    </row>
    <row r="1999" spans="6:6">
      <c r="F1999" s="37"/>
    </row>
    <row r="2000" spans="6:6">
      <c r="F2000" s="37"/>
    </row>
    <row r="2001" spans="6:6">
      <c r="F2001" s="37"/>
    </row>
    <row r="2002" spans="6:6">
      <c r="F2002" s="37"/>
    </row>
    <row r="2003" spans="6:6">
      <c r="F2003" s="37"/>
    </row>
    <row r="2004" spans="6:6">
      <c r="F2004" s="37"/>
    </row>
    <row r="2005" spans="6:6">
      <c r="F2005" s="37"/>
    </row>
    <row r="2006" spans="6:6">
      <c r="F2006" s="37"/>
    </row>
    <row r="2007" spans="6:6">
      <c r="F2007" s="37"/>
    </row>
    <row r="2008" spans="6:6">
      <c r="F2008" s="37"/>
    </row>
    <row r="2009" spans="6:6">
      <c r="F2009" s="37"/>
    </row>
    <row r="2010" spans="6:6">
      <c r="F2010" s="37"/>
    </row>
    <row r="2011" spans="6:6">
      <c r="F2011" s="37"/>
    </row>
    <row r="2012" spans="6:6">
      <c r="F2012" s="37"/>
    </row>
    <row r="2013" spans="6:6">
      <c r="F2013" s="37"/>
    </row>
    <row r="2014" spans="6:6">
      <c r="F2014" s="37"/>
    </row>
    <row r="2015" spans="6:6">
      <c r="F2015" s="37"/>
    </row>
    <row r="2016" spans="6:6">
      <c r="F2016" s="37"/>
    </row>
    <row r="2017" spans="6:6">
      <c r="F2017" s="37"/>
    </row>
    <row r="2018" spans="6:6">
      <c r="F2018" s="37"/>
    </row>
    <row r="2019" spans="6:6">
      <c r="F2019" s="37"/>
    </row>
    <row r="2020" spans="6:6">
      <c r="F2020" s="37"/>
    </row>
    <row r="2021" spans="6:6">
      <c r="F2021" s="37"/>
    </row>
    <row r="2022" spans="6:6">
      <c r="F2022" s="37"/>
    </row>
    <row r="2023" spans="6:6">
      <c r="F2023" s="37"/>
    </row>
    <row r="2024" spans="6:6">
      <c r="F2024" s="37"/>
    </row>
    <row r="2025" spans="6:6">
      <c r="F2025" s="37"/>
    </row>
    <row r="2026" spans="6:6">
      <c r="F2026" s="37"/>
    </row>
    <row r="2027" spans="6:6">
      <c r="F2027" s="37"/>
    </row>
    <row r="2028" spans="6:6">
      <c r="F2028" s="37"/>
    </row>
    <row r="2029" spans="6:6">
      <c r="F2029" s="37"/>
    </row>
    <row r="2030" spans="6:6">
      <c r="F2030" s="37"/>
    </row>
    <row r="2031" spans="6:6">
      <c r="F2031" s="37"/>
    </row>
    <row r="2032" spans="6:6">
      <c r="F2032" s="37"/>
    </row>
    <row r="2033" spans="6:6">
      <c r="F2033" s="37"/>
    </row>
    <row r="2034" spans="6:6">
      <c r="F2034" s="37"/>
    </row>
    <row r="2035" spans="6:6">
      <c r="F2035" s="37"/>
    </row>
    <row r="2036" spans="6:6">
      <c r="F2036" s="37"/>
    </row>
    <row r="2037" spans="6:6">
      <c r="F2037" s="37"/>
    </row>
    <row r="2038" spans="6:6">
      <c r="F2038" s="37"/>
    </row>
    <row r="2039" spans="6:6">
      <c r="F2039" s="37"/>
    </row>
    <row r="2040" spans="6:6">
      <c r="F2040" s="37"/>
    </row>
    <row r="2041" spans="6:6">
      <c r="F2041" s="37"/>
    </row>
    <row r="2042" spans="6:6">
      <c r="F2042" s="37"/>
    </row>
    <row r="2043" spans="6:6">
      <c r="F2043" s="37"/>
    </row>
    <row r="2044" spans="6:6">
      <c r="F2044" s="37"/>
    </row>
    <row r="2045" spans="6:6">
      <c r="F2045" s="37"/>
    </row>
    <row r="2046" spans="6:6">
      <c r="F2046" s="37"/>
    </row>
    <row r="2047" spans="6:6">
      <c r="F2047" s="37"/>
    </row>
    <row r="2048" spans="6:6">
      <c r="F2048" s="37"/>
    </row>
    <row r="2049" spans="6:6">
      <c r="F2049" s="37"/>
    </row>
    <row r="2050" spans="6:6">
      <c r="F2050" s="37"/>
    </row>
    <row r="2051" spans="6:6">
      <c r="F2051" s="37"/>
    </row>
    <row r="2052" spans="6:6">
      <c r="F2052" s="37"/>
    </row>
    <row r="2053" spans="6:6">
      <c r="F2053" s="37"/>
    </row>
    <row r="2054" spans="6:6">
      <c r="F2054" s="37"/>
    </row>
    <row r="2055" spans="6:6">
      <c r="F2055" s="37"/>
    </row>
    <row r="2056" spans="6:6">
      <c r="F2056" s="37"/>
    </row>
    <row r="2057" spans="6:6">
      <c r="F2057" s="37"/>
    </row>
    <row r="2058" spans="6:6">
      <c r="F2058" s="37"/>
    </row>
    <row r="2059" spans="6:6">
      <c r="F2059" s="37"/>
    </row>
    <row r="2060" spans="6:6">
      <c r="F2060" s="37"/>
    </row>
    <row r="2061" spans="6:6">
      <c r="F2061" s="37"/>
    </row>
    <row r="2062" spans="6:6">
      <c r="F2062" s="37"/>
    </row>
    <row r="2063" spans="6:6">
      <c r="F2063" s="37"/>
    </row>
    <row r="2064" spans="6:6">
      <c r="F2064" s="37"/>
    </row>
    <row r="2065" spans="6:6">
      <c r="F2065" s="37"/>
    </row>
    <row r="2066" spans="6:6">
      <c r="F2066" s="37"/>
    </row>
    <row r="2067" spans="6:6">
      <c r="F2067" s="37"/>
    </row>
    <row r="2068" spans="6:6">
      <c r="F2068" s="37"/>
    </row>
    <row r="2069" spans="6:6">
      <c r="F2069" s="37"/>
    </row>
    <row r="2070" spans="6:6">
      <c r="F2070" s="37"/>
    </row>
    <row r="2071" spans="6:6">
      <c r="F2071" s="37"/>
    </row>
    <row r="2072" spans="6:6">
      <c r="F2072" s="37"/>
    </row>
    <row r="2073" spans="6:6">
      <c r="F2073" s="37"/>
    </row>
    <row r="2074" spans="6:6">
      <c r="F2074" s="37"/>
    </row>
    <row r="2075" spans="6:6">
      <c r="F2075" s="37"/>
    </row>
    <row r="2076" spans="6:6">
      <c r="F2076" s="37"/>
    </row>
    <row r="2077" spans="6:6">
      <c r="F2077" s="37"/>
    </row>
    <row r="2078" spans="6:6">
      <c r="F2078" s="37"/>
    </row>
    <row r="2079" spans="6:6">
      <c r="F2079" s="37"/>
    </row>
    <row r="2080" spans="6:6">
      <c r="F2080" s="37"/>
    </row>
    <row r="2081" spans="6:6">
      <c r="F2081" s="37"/>
    </row>
    <row r="2082" spans="6:6">
      <c r="F2082" s="37"/>
    </row>
    <row r="2083" spans="6:6">
      <c r="F2083" s="37"/>
    </row>
    <row r="2084" spans="6:6">
      <c r="F2084" s="37"/>
    </row>
    <row r="2085" spans="6:6">
      <c r="F2085" s="37"/>
    </row>
    <row r="2086" spans="6:6">
      <c r="F2086" s="37"/>
    </row>
    <row r="2087" spans="6:6">
      <c r="F2087" s="37"/>
    </row>
    <row r="2088" spans="6:6">
      <c r="F2088" s="37"/>
    </row>
    <row r="2089" spans="6:6">
      <c r="F2089" s="37"/>
    </row>
    <row r="2090" spans="6:6">
      <c r="F2090" s="37"/>
    </row>
    <row r="2091" spans="6:6">
      <c r="F2091" s="37"/>
    </row>
    <row r="2092" spans="6:6">
      <c r="F2092" s="37"/>
    </row>
    <row r="2093" spans="6:6">
      <c r="F2093" s="37"/>
    </row>
    <row r="2094" spans="6:6">
      <c r="F2094" s="37"/>
    </row>
    <row r="2095" spans="6:6">
      <c r="F2095" s="37"/>
    </row>
    <row r="2096" spans="6:6">
      <c r="F2096" s="37"/>
    </row>
    <row r="2097" spans="6:6">
      <c r="F2097" s="37"/>
    </row>
    <row r="2098" spans="6:6">
      <c r="F2098" s="37"/>
    </row>
    <row r="2099" spans="6:6">
      <c r="F2099" s="37"/>
    </row>
    <row r="2100" spans="6:6">
      <c r="F2100" s="37"/>
    </row>
    <row r="2101" spans="6:6">
      <c r="F2101" s="37"/>
    </row>
    <row r="2102" spans="6:6">
      <c r="F2102" s="37"/>
    </row>
    <row r="2103" spans="6:6">
      <c r="F2103" s="37"/>
    </row>
    <row r="2104" spans="6:6">
      <c r="F2104" s="37"/>
    </row>
    <row r="2105" spans="6:6">
      <c r="F2105" s="37"/>
    </row>
    <row r="2106" spans="6:6">
      <c r="F2106" s="37"/>
    </row>
    <row r="2107" spans="6:6">
      <c r="F2107" s="37"/>
    </row>
    <row r="2108" spans="6:6">
      <c r="F2108" s="37"/>
    </row>
    <row r="2109" spans="6:6">
      <c r="F2109" s="37"/>
    </row>
    <row r="2110" spans="6:6">
      <c r="F2110" s="37"/>
    </row>
    <row r="2111" spans="6:6">
      <c r="F2111" s="37"/>
    </row>
    <row r="2112" spans="6:6">
      <c r="F2112" s="37"/>
    </row>
    <row r="2113" spans="6:6">
      <c r="F2113" s="37"/>
    </row>
    <row r="2114" spans="6:6">
      <c r="F2114" s="37"/>
    </row>
    <row r="2115" spans="6:6">
      <c r="F2115" s="37"/>
    </row>
    <row r="2116" spans="6:6">
      <c r="F2116" s="37"/>
    </row>
    <row r="2117" spans="6:6">
      <c r="F2117" s="37"/>
    </row>
    <row r="2118" spans="6:6">
      <c r="F2118" s="37"/>
    </row>
    <row r="2119" spans="6:6">
      <c r="F2119" s="37"/>
    </row>
    <row r="2120" spans="6:6">
      <c r="F2120" s="37"/>
    </row>
    <row r="2121" spans="6:6">
      <c r="F2121" s="37"/>
    </row>
    <row r="2122" spans="6:6">
      <c r="F2122" s="37"/>
    </row>
    <row r="2123" spans="6:6">
      <c r="F2123" s="37"/>
    </row>
    <row r="2124" spans="6:6">
      <c r="F2124" s="37"/>
    </row>
    <row r="2125" spans="6:6">
      <c r="F2125" s="37"/>
    </row>
    <row r="2126" spans="6:6">
      <c r="F2126" s="37"/>
    </row>
    <row r="2127" spans="6:6">
      <c r="F2127" s="37"/>
    </row>
    <row r="2128" spans="6:6">
      <c r="F2128" s="37"/>
    </row>
    <row r="2129" spans="6:6">
      <c r="F2129" s="37"/>
    </row>
    <row r="2130" spans="6:6">
      <c r="F2130" s="37"/>
    </row>
    <row r="2131" spans="6:6">
      <c r="F2131" s="37"/>
    </row>
    <row r="2132" spans="6:6">
      <c r="F2132" s="37"/>
    </row>
    <row r="2133" spans="6:6">
      <c r="F2133" s="37"/>
    </row>
    <row r="2134" spans="6:6">
      <c r="F2134" s="37"/>
    </row>
    <row r="2135" spans="6:6">
      <c r="F2135" s="37"/>
    </row>
    <row r="2136" spans="6:6">
      <c r="F2136" s="37"/>
    </row>
    <row r="2137" spans="6:6">
      <c r="F2137" s="37"/>
    </row>
    <row r="2138" spans="6:6">
      <c r="F2138" s="37"/>
    </row>
    <row r="2139" spans="6:6">
      <c r="F2139" s="37"/>
    </row>
    <row r="2140" spans="6:6">
      <c r="F2140" s="37"/>
    </row>
    <row r="2141" spans="6:6">
      <c r="F2141" s="37"/>
    </row>
    <row r="2142" spans="6:6">
      <c r="F2142" s="37"/>
    </row>
    <row r="2143" spans="6:6">
      <c r="F2143" s="37"/>
    </row>
    <row r="2144" spans="6:6">
      <c r="F2144" s="37"/>
    </row>
    <row r="2145" spans="6:6">
      <c r="F2145" s="37"/>
    </row>
    <row r="2146" spans="6:6">
      <c r="F2146" s="37"/>
    </row>
    <row r="2147" spans="6:6">
      <c r="F2147" s="37"/>
    </row>
    <row r="2148" spans="6:6">
      <c r="F2148" s="37"/>
    </row>
    <row r="2149" spans="6:6">
      <c r="F2149" s="37"/>
    </row>
    <row r="2150" spans="6:6">
      <c r="F2150" s="37"/>
    </row>
    <row r="2151" spans="6:6">
      <c r="F2151" s="37"/>
    </row>
    <row r="2152" spans="6:6">
      <c r="F2152" s="37"/>
    </row>
    <row r="2153" spans="6:6">
      <c r="F2153" s="37"/>
    </row>
    <row r="2154" spans="6:6">
      <c r="F2154" s="37"/>
    </row>
    <row r="2155" spans="6:6">
      <c r="F2155" s="37"/>
    </row>
    <row r="2156" spans="6:6">
      <c r="F2156" s="37"/>
    </row>
    <row r="2157" spans="6:6">
      <c r="F2157" s="37"/>
    </row>
    <row r="2158" spans="6:6">
      <c r="F2158" s="37"/>
    </row>
    <row r="2159" spans="6:6">
      <c r="F2159" s="37"/>
    </row>
    <row r="2160" spans="6:6">
      <c r="F2160" s="37"/>
    </row>
    <row r="2161" spans="6:6">
      <c r="F2161" s="37"/>
    </row>
    <row r="2162" spans="6:6">
      <c r="F2162" s="37"/>
    </row>
    <row r="2163" spans="6:6">
      <c r="F2163" s="37"/>
    </row>
    <row r="2164" spans="6:6">
      <c r="F2164" s="37"/>
    </row>
    <row r="2165" spans="6:6">
      <c r="F2165" s="37"/>
    </row>
    <row r="2166" spans="6:6">
      <c r="F2166" s="37"/>
    </row>
    <row r="2167" spans="6:6">
      <c r="F2167" s="37"/>
    </row>
    <row r="2168" spans="6:6">
      <c r="F2168" s="37"/>
    </row>
    <row r="2169" spans="6:6">
      <c r="F2169" s="37"/>
    </row>
    <row r="2170" spans="6:6">
      <c r="F2170" s="37"/>
    </row>
    <row r="2171" spans="6:6">
      <c r="F2171" s="37"/>
    </row>
    <row r="2172" spans="6:6">
      <c r="F2172" s="37"/>
    </row>
    <row r="2173" spans="6:6">
      <c r="F2173" s="37"/>
    </row>
    <row r="2174" spans="6:6">
      <c r="F2174" s="37"/>
    </row>
    <row r="2175" spans="6:6">
      <c r="F2175" s="37"/>
    </row>
    <row r="2176" spans="6:6">
      <c r="F2176" s="37"/>
    </row>
    <row r="2177" spans="6:6">
      <c r="F2177" s="37"/>
    </row>
    <row r="2178" spans="6:6">
      <c r="F2178" s="37"/>
    </row>
    <row r="2179" spans="6:6">
      <c r="F2179" s="37"/>
    </row>
    <row r="2180" spans="6:6">
      <c r="F2180" s="37"/>
    </row>
    <row r="2181" spans="6:6">
      <c r="F2181" s="37"/>
    </row>
    <row r="2182" spans="6:6">
      <c r="F2182" s="37"/>
    </row>
    <row r="2183" spans="6:6">
      <c r="F2183" s="37"/>
    </row>
    <row r="2184" spans="6:6">
      <c r="F2184" s="37"/>
    </row>
    <row r="2185" spans="6:6">
      <c r="F2185" s="37"/>
    </row>
    <row r="2186" spans="6:6">
      <c r="F2186" s="37"/>
    </row>
    <row r="2187" spans="6:6">
      <c r="F2187" s="37"/>
    </row>
    <row r="2188" spans="6:6">
      <c r="F2188" s="37"/>
    </row>
    <row r="2189" spans="6:6">
      <c r="F2189" s="37"/>
    </row>
    <row r="2190" spans="6:6">
      <c r="F2190" s="37"/>
    </row>
    <row r="2191" spans="6:6">
      <c r="F2191" s="37"/>
    </row>
    <row r="2192" spans="6:6">
      <c r="F2192" s="37"/>
    </row>
    <row r="2193" spans="6:6">
      <c r="F2193" s="37"/>
    </row>
    <row r="2194" spans="6:6">
      <c r="F2194" s="37"/>
    </row>
    <row r="2195" spans="6:6">
      <c r="F2195" s="37"/>
    </row>
    <row r="2196" spans="6:6">
      <c r="F2196" s="37"/>
    </row>
    <row r="2197" spans="6:6">
      <c r="F2197" s="37"/>
    </row>
    <row r="2198" spans="6:6">
      <c r="F2198" s="37"/>
    </row>
    <row r="2199" spans="6:6">
      <c r="F2199" s="37"/>
    </row>
    <row r="2200" spans="6:6">
      <c r="F2200" s="37"/>
    </row>
    <row r="2201" spans="6:6">
      <c r="F2201" s="37"/>
    </row>
    <row r="2202" spans="6:6">
      <c r="F2202" s="37"/>
    </row>
    <row r="2203" spans="6:6">
      <c r="F2203" s="37"/>
    </row>
    <row r="2204" spans="6:6">
      <c r="F2204" s="37"/>
    </row>
    <row r="2205" spans="6:6">
      <c r="F2205" s="37"/>
    </row>
    <row r="2206" spans="6:6">
      <c r="F2206" s="37"/>
    </row>
    <row r="2207" spans="6:6">
      <c r="F2207" s="37"/>
    </row>
    <row r="2208" spans="6:6">
      <c r="F2208" s="37"/>
    </row>
    <row r="2209" spans="6:6">
      <c r="F2209" s="37"/>
    </row>
    <row r="2210" spans="6:6">
      <c r="F2210" s="37"/>
    </row>
    <row r="2211" spans="6:6">
      <c r="F2211" s="37"/>
    </row>
    <row r="2212" spans="6:6">
      <c r="F2212" s="37"/>
    </row>
    <row r="2213" spans="6:6">
      <c r="F2213" s="37"/>
    </row>
    <row r="2214" spans="6:6">
      <c r="F2214" s="37"/>
    </row>
    <row r="2215" spans="6:6">
      <c r="F2215" s="37"/>
    </row>
    <row r="2216" spans="6:6">
      <c r="F2216" s="37"/>
    </row>
    <row r="2217" spans="6:6">
      <c r="F2217" s="37"/>
    </row>
    <row r="2218" spans="6:6">
      <c r="F2218" s="37"/>
    </row>
    <row r="2219" spans="6:6">
      <c r="F2219" s="37"/>
    </row>
    <row r="2220" spans="6:6">
      <c r="F2220" s="37"/>
    </row>
    <row r="2221" spans="6:6">
      <c r="F2221" s="37"/>
    </row>
    <row r="2222" spans="6:6">
      <c r="F2222" s="37"/>
    </row>
    <row r="2223" spans="6:6">
      <c r="F2223" s="37"/>
    </row>
    <row r="2224" spans="6:6">
      <c r="F2224" s="37"/>
    </row>
    <row r="2225" spans="6:6">
      <c r="F2225" s="37"/>
    </row>
    <row r="2226" spans="6:6">
      <c r="F2226" s="37"/>
    </row>
    <row r="2227" spans="6:6">
      <c r="F2227" s="37"/>
    </row>
    <row r="2228" spans="6:6">
      <c r="F2228" s="37"/>
    </row>
    <row r="2229" spans="6:6">
      <c r="F2229" s="37"/>
    </row>
    <row r="2230" spans="6:6">
      <c r="F2230" s="37"/>
    </row>
    <row r="2231" spans="6:6">
      <c r="F2231" s="37"/>
    </row>
    <row r="2232" spans="6:6">
      <c r="F2232" s="37"/>
    </row>
    <row r="2233" spans="6:6">
      <c r="F2233" s="37"/>
    </row>
    <row r="2234" spans="6:6">
      <c r="F2234" s="37"/>
    </row>
    <row r="2235" spans="6:6">
      <c r="F2235" s="37"/>
    </row>
    <row r="2236" spans="6:6">
      <c r="F2236" s="37"/>
    </row>
    <row r="2237" spans="6:6">
      <c r="F2237" s="37"/>
    </row>
    <row r="2238" spans="6:6">
      <c r="F2238" s="37"/>
    </row>
    <row r="2239" spans="6:6">
      <c r="F2239" s="37"/>
    </row>
    <row r="2240" spans="6:6">
      <c r="F2240" s="37"/>
    </row>
    <row r="2241" spans="6:6">
      <c r="F2241" s="37"/>
    </row>
    <row r="2242" spans="6:6">
      <c r="F2242" s="37"/>
    </row>
    <row r="2243" spans="6:6">
      <c r="F2243" s="37"/>
    </row>
    <row r="2244" spans="6:6">
      <c r="F2244" s="37"/>
    </row>
    <row r="2245" spans="6:6">
      <c r="F2245" s="37"/>
    </row>
    <row r="2246" spans="6:6">
      <c r="F2246" s="37"/>
    </row>
    <row r="2247" spans="6:6">
      <c r="F2247" s="37"/>
    </row>
    <row r="2248" spans="6:6">
      <c r="F2248" s="37"/>
    </row>
    <row r="2249" spans="6:6">
      <c r="F2249" s="37"/>
    </row>
    <row r="2250" spans="6:6">
      <c r="F2250" s="37"/>
    </row>
    <row r="2251" spans="6:6">
      <c r="F2251" s="37"/>
    </row>
    <row r="2252" spans="6:6">
      <c r="F2252" s="37"/>
    </row>
    <row r="2253" spans="6:6">
      <c r="F2253" s="37"/>
    </row>
    <row r="2254" spans="6:6">
      <c r="F2254" s="37"/>
    </row>
    <row r="2255" spans="6:6">
      <c r="F2255" s="37"/>
    </row>
    <row r="2256" spans="6:6">
      <c r="F2256" s="37"/>
    </row>
    <row r="2257" spans="6:6">
      <c r="F2257" s="37"/>
    </row>
    <row r="2258" spans="6:6">
      <c r="F2258" s="37"/>
    </row>
    <row r="2259" spans="6:6">
      <c r="F2259" s="37"/>
    </row>
    <row r="2260" spans="6:6">
      <c r="F2260" s="37"/>
    </row>
    <row r="2261" spans="6:6">
      <c r="F2261" s="37"/>
    </row>
    <row r="2262" spans="6:6">
      <c r="F2262" s="37"/>
    </row>
    <row r="2263" spans="6:6">
      <c r="F2263" s="37"/>
    </row>
    <row r="2264" spans="6:6">
      <c r="F2264" s="37"/>
    </row>
    <row r="2265" spans="6:6">
      <c r="F2265" s="37"/>
    </row>
    <row r="2266" spans="6:6">
      <c r="F2266" s="37"/>
    </row>
    <row r="2267" spans="6:6">
      <c r="F2267" s="37"/>
    </row>
    <row r="2268" spans="6:6">
      <c r="F2268" s="37"/>
    </row>
    <row r="2269" spans="6:6">
      <c r="F2269" s="37"/>
    </row>
    <row r="2270" spans="6:6">
      <c r="F2270" s="37"/>
    </row>
    <row r="2271" spans="6:6">
      <c r="F2271" s="37"/>
    </row>
    <row r="2272" spans="6:6">
      <c r="F2272" s="37"/>
    </row>
    <row r="2273" spans="6:6">
      <c r="F2273" s="37"/>
    </row>
    <row r="2274" spans="6:6">
      <c r="F2274" s="37"/>
    </row>
    <row r="2275" spans="6:6">
      <c r="F2275" s="37"/>
    </row>
    <row r="2276" spans="6:6">
      <c r="F2276" s="37"/>
    </row>
    <row r="2277" spans="6:6">
      <c r="F2277" s="37"/>
    </row>
    <row r="2278" spans="6:6">
      <c r="F2278" s="37"/>
    </row>
    <row r="2279" spans="6:6">
      <c r="F2279" s="37"/>
    </row>
    <row r="2280" spans="6:6">
      <c r="F2280" s="37"/>
    </row>
    <row r="2281" spans="6:6">
      <c r="F2281" s="37"/>
    </row>
    <row r="2282" spans="6:6">
      <c r="F2282" s="37"/>
    </row>
    <row r="2283" spans="6:6">
      <c r="F2283" s="37"/>
    </row>
    <row r="2284" spans="6:6">
      <c r="F2284" s="37"/>
    </row>
    <row r="2285" spans="6:6">
      <c r="F2285" s="37"/>
    </row>
    <row r="2286" spans="6:6">
      <c r="F2286" s="37"/>
    </row>
    <row r="2287" spans="6:6">
      <c r="F2287" s="37"/>
    </row>
    <row r="2288" spans="6:6">
      <c r="F2288" s="37"/>
    </row>
    <row r="2289" spans="6:6">
      <c r="F2289" s="37"/>
    </row>
    <row r="2290" spans="6:6">
      <c r="F2290" s="37"/>
    </row>
    <row r="2291" spans="6:6">
      <c r="F2291" s="37"/>
    </row>
    <row r="2292" spans="6:6">
      <c r="F2292" s="37"/>
    </row>
    <row r="2293" spans="6:6">
      <c r="F2293" s="37"/>
    </row>
    <row r="2294" spans="6:6">
      <c r="F2294" s="37"/>
    </row>
    <row r="2295" spans="6:6">
      <c r="F2295" s="37"/>
    </row>
    <row r="2296" spans="6:6">
      <c r="F2296" s="37"/>
    </row>
    <row r="2297" spans="6:6">
      <c r="F2297" s="37"/>
    </row>
    <row r="2298" spans="6:6">
      <c r="F2298" s="37"/>
    </row>
    <row r="2299" spans="6:6">
      <c r="F2299" s="37"/>
    </row>
    <row r="2300" spans="6:6">
      <c r="F2300" s="37"/>
    </row>
    <row r="2301" spans="6:6">
      <c r="F2301" s="37"/>
    </row>
    <row r="2302" spans="6:6">
      <c r="F2302" s="37"/>
    </row>
    <row r="2303" spans="6:6">
      <c r="F2303" s="37"/>
    </row>
    <row r="2304" spans="6:6">
      <c r="F2304" s="37"/>
    </row>
    <row r="2305" spans="6:6">
      <c r="F2305" s="37"/>
    </row>
    <row r="2306" spans="6:6">
      <c r="F2306" s="37"/>
    </row>
    <row r="2307" spans="6:6">
      <c r="F2307" s="37"/>
    </row>
    <row r="2308" spans="6:6">
      <c r="F2308" s="37"/>
    </row>
    <row r="2309" spans="6:6">
      <c r="F2309" s="37"/>
    </row>
    <row r="2310" spans="6:6">
      <c r="F2310" s="37"/>
    </row>
    <row r="2311" spans="6:6">
      <c r="F2311" s="37"/>
    </row>
    <row r="2312" spans="6:6">
      <c r="F2312" s="37"/>
    </row>
    <row r="2313" spans="6:6">
      <c r="F2313" s="37"/>
    </row>
    <row r="2314" spans="6:6">
      <c r="F2314" s="37"/>
    </row>
    <row r="2315" spans="6:6">
      <c r="F2315" s="37"/>
    </row>
    <row r="2316" spans="6:6">
      <c r="F2316" s="37"/>
    </row>
    <row r="2317" spans="6:6">
      <c r="F2317" s="37"/>
    </row>
    <row r="2318" spans="6:6">
      <c r="F2318" s="37"/>
    </row>
    <row r="2319" spans="6:6">
      <c r="F2319" s="37"/>
    </row>
    <row r="2320" spans="6:6">
      <c r="F2320" s="37"/>
    </row>
    <row r="2321" spans="6:6">
      <c r="F2321" s="37"/>
    </row>
    <row r="2322" spans="6:6">
      <c r="F2322" s="37"/>
    </row>
    <row r="2323" spans="6:6">
      <c r="F2323" s="37"/>
    </row>
    <row r="2324" spans="6:6">
      <c r="F2324" s="37"/>
    </row>
    <row r="2325" spans="6:6">
      <c r="F2325" s="37"/>
    </row>
    <row r="2326" spans="6:6">
      <c r="F2326" s="37"/>
    </row>
    <row r="2327" spans="6:6">
      <c r="F2327" s="37"/>
    </row>
    <row r="2328" spans="6:6">
      <c r="F2328" s="37"/>
    </row>
    <row r="2329" spans="6:6">
      <c r="F2329" s="37"/>
    </row>
    <row r="2330" spans="6:6">
      <c r="F2330" s="37"/>
    </row>
    <row r="2331" spans="6:6">
      <c r="F2331" s="37"/>
    </row>
    <row r="2332" spans="6:6">
      <c r="F2332" s="37"/>
    </row>
    <row r="2333" spans="6:6">
      <c r="F2333" s="37"/>
    </row>
    <row r="2334" spans="6:6">
      <c r="F2334" s="37"/>
    </row>
    <row r="2335" spans="6:6">
      <c r="F2335" s="37"/>
    </row>
    <row r="2336" spans="6:6">
      <c r="F2336" s="37"/>
    </row>
    <row r="2337" spans="6:6">
      <c r="F2337" s="37"/>
    </row>
    <row r="2338" spans="6:6">
      <c r="F2338" s="37"/>
    </row>
    <row r="2339" spans="6:6">
      <c r="F2339" s="37"/>
    </row>
    <row r="2340" spans="6:6">
      <c r="F2340" s="37"/>
    </row>
    <row r="2341" spans="6:6">
      <c r="F2341" s="37"/>
    </row>
    <row r="2342" spans="6:6">
      <c r="F2342" s="37"/>
    </row>
    <row r="2343" spans="6:6">
      <c r="F2343" s="37"/>
    </row>
    <row r="2344" spans="6:6">
      <c r="F2344" s="37"/>
    </row>
    <row r="2345" spans="6:6">
      <c r="F2345" s="37"/>
    </row>
    <row r="2346" spans="6:6">
      <c r="F2346" s="37"/>
    </row>
    <row r="2347" spans="6:6">
      <c r="F2347" s="37"/>
    </row>
    <row r="2348" spans="6:6">
      <c r="F2348" s="37"/>
    </row>
    <row r="2349" spans="6:6">
      <c r="F2349" s="37"/>
    </row>
    <row r="2350" spans="6:6">
      <c r="F2350" s="37"/>
    </row>
    <row r="2351" spans="6:6">
      <c r="F2351" s="37"/>
    </row>
    <row r="2352" spans="6:6">
      <c r="F2352" s="37"/>
    </row>
    <row r="2353" spans="6:6">
      <c r="F2353" s="37"/>
    </row>
    <row r="2354" spans="6:6">
      <c r="F2354" s="37"/>
    </row>
    <row r="2355" spans="6:6">
      <c r="F2355" s="37"/>
    </row>
    <row r="2356" spans="6:6">
      <c r="F2356" s="37"/>
    </row>
    <row r="2357" spans="6:6">
      <c r="F2357" s="37"/>
    </row>
    <row r="2358" spans="6:6">
      <c r="F2358" s="37"/>
    </row>
    <row r="2359" spans="6:6">
      <c r="F2359" s="37"/>
    </row>
    <row r="2360" spans="6:6">
      <c r="F2360" s="37"/>
    </row>
    <row r="2361" spans="6:6">
      <c r="F2361" s="37"/>
    </row>
    <row r="2362" spans="6:6">
      <c r="F2362" s="37"/>
    </row>
    <row r="2363" spans="6:6">
      <c r="F2363" s="37"/>
    </row>
    <row r="2364" spans="6:6">
      <c r="F2364" s="37"/>
    </row>
    <row r="2365" spans="6:6">
      <c r="F2365" s="37"/>
    </row>
    <row r="2366" spans="6:6">
      <c r="F2366" s="37"/>
    </row>
    <row r="2367" spans="6:6">
      <c r="F2367" s="37"/>
    </row>
    <row r="2368" spans="6:6">
      <c r="F2368" s="37"/>
    </row>
    <row r="2369" spans="6:6">
      <c r="F2369" s="37"/>
    </row>
    <row r="2370" spans="6:6">
      <c r="F2370" s="37"/>
    </row>
    <row r="2371" spans="6:6">
      <c r="F2371" s="37"/>
    </row>
    <row r="2372" spans="6:6">
      <c r="F2372" s="37"/>
    </row>
    <row r="2373" spans="6:6">
      <c r="F2373" s="37"/>
    </row>
    <row r="2374" spans="6:6">
      <c r="F2374" s="37"/>
    </row>
    <row r="2375" spans="6:6">
      <c r="F2375" s="37"/>
    </row>
    <row r="2376" spans="6:6">
      <c r="F2376" s="37"/>
    </row>
    <row r="2377" spans="6:6">
      <c r="F2377" s="37"/>
    </row>
    <row r="2378" spans="6:6">
      <c r="F2378" s="37"/>
    </row>
    <row r="2379" spans="6:6">
      <c r="F2379" s="37"/>
    </row>
    <row r="2380" spans="6:6">
      <c r="F2380" s="37"/>
    </row>
    <row r="2381" spans="6:6">
      <c r="F2381" s="37"/>
    </row>
    <row r="2382" spans="6:6">
      <c r="F2382" s="37"/>
    </row>
    <row r="2383" spans="6:6">
      <c r="F2383" s="37"/>
    </row>
    <row r="2384" spans="6:6">
      <c r="F2384" s="37"/>
    </row>
    <row r="2385" spans="6:6">
      <c r="F2385" s="37"/>
    </row>
    <row r="2386" spans="6:6">
      <c r="F2386" s="37"/>
    </row>
    <row r="2387" spans="6:6">
      <c r="F2387" s="37"/>
    </row>
    <row r="2388" spans="6:6">
      <c r="F2388" s="37"/>
    </row>
    <row r="2389" spans="6:6">
      <c r="F2389" s="37"/>
    </row>
    <row r="2390" spans="6:6">
      <c r="F2390" s="37"/>
    </row>
    <row r="2391" spans="6:6">
      <c r="F2391" s="37"/>
    </row>
    <row r="2392" spans="6:6">
      <c r="F2392" s="37"/>
    </row>
    <row r="2393" spans="6:6">
      <c r="F2393" s="37"/>
    </row>
    <row r="2394" spans="6:6">
      <c r="F2394" s="37"/>
    </row>
    <row r="2395" spans="6:6">
      <c r="F2395" s="37"/>
    </row>
    <row r="2396" spans="6:6">
      <c r="F2396" s="37"/>
    </row>
    <row r="2397" spans="6:6">
      <c r="F2397" s="37"/>
    </row>
    <row r="2398" spans="6:6">
      <c r="F2398" s="37"/>
    </row>
    <row r="2399" spans="6:6">
      <c r="F2399" s="37"/>
    </row>
    <row r="2400" spans="6:6">
      <c r="F2400" s="37"/>
    </row>
    <row r="2401" spans="6:6">
      <c r="F2401" s="37"/>
    </row>
    <row r="2402" spans="6:6">
      <c r="F2402" s="37"/>
    </row>
    <row r="2403" spans="6:6">
      <c r="F2403" s="37"/>
    </row>
    <row r="2404" spans="6:6">
      <c r="F2404" s="37"/>
    </row>
    <row r="2405" spans="6:6">
      <c r="F2405" s="37"/>
    </row>
    <row r="2406" spans="6:6">
      <c r="F2406" s="37"/>
    </row>
    <row r="2407" spans="6:6">
      <c r="F2407" s="37"/>
    </row>
    <row r="2408" spans="6:6">
      <c r="F2408" s="37"/>
    </row>
    <row r="2409" spans="6:6">
      <c r="F2409" s="37"/>
    </row>
    <row r="2410" spans="6:6">
      <c r="F2410" s="37"/>
    </row>
    <row r="2411" spans="6:6">
      <c r="F2411" s="37"/>
    </row>
    <row r="2412" spans="6:6">
      <c r="F2412" s="37"/>
    </row>
    <row r="2413" spans="6:6">
      <c r="F2413" s="37"/>
    </row>
    <row r="2414" spans="6:6">
      <c r="F2414" s="37"/>
    </row>
    <row r="2415" spans="6:6">
      <c r="F2415" s="37"/>
    </row>
    <row r="2416" spans="6:6">
      <c r="F2416" s="37"/>
    </row>
    <row r="2417" spans="6:6">
      <c r="F2417" s="37"/>
    </row>
    <row r="2418" spans="6:6">
      <c r="F2418" s="37"/>
    </row>
    <row r="2419" spans="6:6">
      <c r="F2419" s="37"/>
    </row>
    <row r="2420" spans="6:6">
      <c r="F2420" s="37"/>
    </row>
    <row r="2421" spans="6:6">
      <c r="F2421" s="37"/>
    </row>
    <row r="2422" spans="6:6">
      <c r="F2422" s="37"/>
    </row>
    <row r="2423" spans="6:6">
      <c r="F2423" s="37"/>
    </row>
    <row r="2424" spans="6:6">
      <c r="F2424" s="37"/>
    </row>
    <row r="2425" spans="6:6">
      <c r="F2425" s="37"/>
    </row>
    <row r="2426" spans="6:6">
      <c r="F2426" s="37"/>
    </row>
    <row r="2427" spans="6:6">
      <c r="F2427" s="37"/>
    </row>
    <row r="2428" spans="6:6">
      <c r="F2428" s="37"/>
    </row>
    <row r="2429" spans="6:6">
      <c r="F2429" s="37"/>
    </row>
    <row r="2430" spans="6:6">
      <c r="F2430" s="37"/>
    </row>
    <row r="2431" spans="6:6">
      <c r="F2431" s="37"/>
    </row>
    <row r="2432" spans="6:6">
      <c r="F2432" s="37"/>
    </row>
    <row r="2433" spans="6:6">
      <c r="F2433" s="37"/>
    </row>
    <row r="2434" spans="6:6">
      <c r="F2434" s="37"/>
    </row>
    <row r="2435" spans="6:6">
      <c r="F2435" s="37"/>
    </row>
    <row r="2436" spans="6:6">
      <c r="F2436" s="37"/>
    </row>
    <row r="2437" spans="6:6">
      <c r="F2437" s="37"/>
    </row>
    <row r="2438" spans="6:6">
      <c r="F2438" s="37"/>
    </row>
    <row r="2439" spans="6:6">
      <c r="F2439" s="37"/>
    </row>
    <row r="2440" spans="6:6">
      <c r="F2440" s="37"/>
    </row>
    <row r="2441" spans="6:6">
      <c r="F2441" s="37"/>
    </row>
    <row r="2442" spans="6:6">
      <c r="F2442" s="37"/>
    </row>
    <row r="2443" spans="6:6">
      <c r="F2443" s="37"/>
    </row>
    <row r="2444" spans="6:6">
      <c r="F2444" s="37"/>
    </row>
    <row r="2445" spans="6:6">
      <c r="F2445" s="37"/>
    </row>
    <row r="2446" spans="6:6">
      <c r="F2446" s="37"/>
    </row>
    <row r="2447" spans="6:6">
      <c r="F2447" s="37"/>
    </row>
    <row r="2448" spans="6:6">
      <c r="F2448" s="37"/>
    </row>
    <row r="2449" spans="6:6">
      <c r="F2449" s="37"/>
    </row>
    <row r="2450" spans="6:6">
      <c r="F2450" s="37"/>
    </row>
    <row r="2451" spans="6:6">
      <c r="F2451" s="37"/>
    </row>
    <row r="2452" spans="6:6">
      <c r="F2452" s="37"/>
    </row>
    <row r="2453" spans="6:6">
      <c r="F2453" s="37"/>
    </row>
    <row r="2454" spans="6:6">
      <c r="F2454" s="37"/>
    </row>
    <row r="2455" spans="6:6">
      <c r="F2455" s="37"/>
    </row>
    <row r="2456" spans="6:6">
      <c r="F2456" s="37"/>
    </row>
    <row r="2457" spans="6:6">
      <c r="F2457" s="37"/>
    </row>
    <row r="2458" spans="6:6">
      <c r="F2458" s="37"/>
    </row>
    <row r="2459" spans="6:6">
      <c r="F2459" s="37"/>
    </row>
    <row r="2460" spans="6:6">
      <c r="F2460" s="37"/>
    </row>
    <row r="2461" spans="6:6">
      <c r="F2461" s="37"/>
    </row>
    <row r="2462" spans="6:6">
      <c r="F2462" s="37"/>
    </row>
    <row r="2463" spans="6:6">
      <c r="F2463" s="37"/>
    </row>
    <row r="2464" spans="6:6">
      <c r="F2464" s="37"/>
    </row>
    <row r="2465" spans="6:6">
      <c r="F2465" s="37"/>
    </row>
    <row r="2466" spans="6:6">
      <c r="F2466" s="37"/>
    </row>
    <row r="2467" spans="6:6">
      <c r="F2467" s="37"/>
    </row>
    <row r="2468" spans="6:6">
      <c r="F2468" s="37"/>
    </row>
    <row r="2469" spans="6:6">
      <c r="F2469" s="37"/>
    </row>
    <row r="2470" spans="6:6">
      <c r="F2470" s="37"/>
    </row>
    <row r="2471" spans="6:6">
      <c r="F2471" s="37"/>
    </row>
    <row r="2472" spans="6:6">
      <c r="F2472" s="37"/>
    </row>
    <row r="2473" spans="6:6">
      <c r="F2473" s="37"/>
    </row>
    <row r="2474" spans="6:6">
      <c r="F2474" s="37"/>
    </row>
    <row r="2475" spans="6:6">
      <c r="F2475" s="37"/>
    </row>
    <row r="2476" spans="6:6">
      <c r="F2476" s="37"/>
    </row>
    <row r="2477" spans="6:6">
      <c r="F2477" s="37"/>
    </row>
    <row r="2478" spans="6:6">
      <c r="F2478" s="37"/>
    </row>
    <row r="2479" spans="6:6">
      <c r="F2479" s="37"/>
    </row>
    <row r="2480" spans="6:6">
      <c r="F2480" s="37"/>
    </row>
    <row r="2481" spans="6:6">
      <c r="F2481" s="37"/>
    </row>
    <row r="2482" spans="6:6">
      <c r="F2482" s="37"/>
    </row>
    <row r="2483" spans="6:6">
      <c r="F2483" s="37"/>
    </row>
    <row r="2484" spans="6:6">
      <c r="F2484" s="37"/>
    </row>
    <row r="2485" spans="6:6">
      <c r="F2485" s="37"/>
    </row>
    <row r="2486" spans="6:6">
      <c r="F2486" s="37"/>
    </row>
    <row r="2487" spans="6:6">
      <c r="F2487" s="37"/>
    </row>
    <row r="2488" spans="6:6">
      <c r="F2488" s="37"/>
    </row>
    <row r="2489" spans="6:6">
      <c r="F2489" s="37"/>
    </row>
    <row r="2490" spans="6:6">
      <c r="F2490" s="37"/>
    </row>
    <row r="2491" spans="6:6">
      <c r="F2491" s="37"/>
    </row>
    <row r="2492" spans="6:6">
      <c r="F2492" s="37"/>
    </row>
    <row r="2493" spans="6:6">
      <c r="F2493" s="37"/>
    </row>
    <row r="2494" spans="6:6">
      <c r="F2494" s="37"/>
    </row>
    <row r="2495" spans="6:6">
      <c r="F2495" s="37"/>
    </row>
    <row r="2496" spans="6:6">
      <c r="F2496" s="37"/>
    </row>
    <row r="2497" spans="6:6">
      <c r="F2497" s="37"/>
    </row>
    <row r="2498" spans="6:6">
      <c r="F2498" s="37"/>
    </row>
    <row r="2499" spans="6:6">
      <c r="F2499" s="37"/>
    </row>
    <row r="2500" spans="6:6">
      <c r="F2500" s="37"/>
    </row>
    <row r="2501" spans="6:6">
      <c r="F2501" s="37"/>
    </row>
    <row r="2502" spans="6:6">
      <c r="F2502" s="37"/>
    </row>
    <row r="2503" spans="6:6">
      <c r="F2503" s="37"/>
    </row>
    <row r="2504" spans="6:6">
      <c r="F2504" s="37"/>
    </row>
    <row r="2505" spans="6:6">
      <c r="F2505" s="37"/>
    </row>
    <row r="2506" spans="6:6">
      <c r="F2506" s="37"/>
    </row>
    <row r="2507" spans="6:6">
      <c r="F2507" s="37"/>
    </row>
    <row r="2508" spans="6:6">
      <c r="F2508" s="37"/>
    </row>
    <row r="2509" spans="6:6">
      <c r="F2509" s="37"/>
    </row>
    <row r="2510" spans="6:6">
      <c r="F2510" s="37"/>
    </row>
    <row r="2511" spans="6:6">
      <c r="F2511" s="37"/>
    </row>
    <row r="2512" spans="6:6">
      <c r="F2512" s="37"/>
    </row>
    <row r="2513" spans="6:6">
      <c r="F2513" s="37"/>
    </row>
    <row r="2514" spans="6:6">
      <c r="F2514" s="37"/>
    </row>
    <row r="2515" spans="6:6">
      <c r="F2515" s="37"/>
    </row>
    <row r="2516" spans="6:6">
      <c r="F2516" s="37"/>
    </row>
    <row r="2517" spans="6:6">
      <c r="F2517" s="37"/>
    </row>
    <row r="2518" spans="6:6">
      <c r="F2518" s="37"/>
    </row>
    <row r="2519" spans="6:6">
      <c r="F2519" s="37"/>
    </row>
    <row r="2520" spans="6:6">
      <c r="F2520" s="37"/>
    </row>
    <row r="2521" spans="6:6">
      <c r="F2521" s="37"/>
    </row>
    <row r="2522" spans="6:6">
      <c r="F2522" s="37"/>
    </row>
    <row r="2523" spans="6:6">
      <c r="F2523" s="37"/>
    </row>
    <row r="2524" spans="6:6">
      <c r="F2524" s="37"/>
    </row>
    <row r="2525" spans="6:6">
      <c r="F2525" s="37"/>
    </row>
    <row r="2526" spans="6:6">
      <c r="F2526" s="37"/>
    </row>
    <row r="2527" spans="6:6">
      <c r="F2527" s="37"/>
    </row>
    <row r="2528" spans="6:6">
      <c r="F2528" s="37"/>
    </row>
    <row r="2529" spans="6:6">
      <c r="F2529" s="37"/>
    </row>
    <row r="2530" spans="6:6">
      <c r="F2530" s="37"/>
    </row>
    <row r="2531" spans="6:6">
      <c r="F2531" s="37"/>
    </row>
    <row r="2532" spans="6:6">
      <c r="F2532" s="37"/>
    </row>
    <row r="2533" spans="6:6">
      <c r="F2533" s="37"/>
    </row>
    <row r="2534" spans="6:6">
      <c r="F2534" s="37"/>
    </row>
    <row r="2535" spans="6:6">
      <c r="F2535" s="37"/>
    </row>
    <row r="2536" spans="6:6">
      <c r="F2536" s="37"/>
    </row>
    <row r="2537" spans="6:6">
      <c r="F2537" s="37"/>
    </row>
    <row r="2538" spans="6:6">
      <c r="F2538" s="37"/>
    </row>
    <row r="2539" spans="6:6">
      <c r="F2539" s="37"/>
    </row>
    <row r="2540" spans="6:6">
      <c r="F2540" s="37"/>
    </row>
    <row r="2541" spans="6:6">
      <c r="F2541" s="37"/>
    </row>
    <row r="2542" spans="6:6">
      <c r="F2542" s="37"/>
    </row>
    <row r="2543" spans="6:6">
      <c r="F2543" s="37"/>
    </row>
    <row r="2544" spans="6:6">
      <c r="F2544" s="37"/>
    </row>
    <row r="2545" spans="6:6">
      <c r="F2545" s="37"/>
    </row>
    <row r="2546" spans="6:6">
      <c r="F2546" s="37"/>
    </row>
    <row r="2547" spans="6:6">
      <c r="F2547" s="37"/>
    </row>
    <row r="2548" spans="6:6">
      <c r="F2548" s="37"/>
    </row>
    <row r="2549" spans="6:6">
      <c r="F2549" s="37"/>
    </row>
    <row r="2550" spans="6:6">
      <c r="F2550" s="37"/>
    </row>
    <row r="2551" spans="6:6">
      <c r="F2551" s="37"/>
    </row>
    <row r="2552" spans="6:6">
      <c r="F2552" s="37"/>
    </row>
    <row r="2553" spans="6:6">
      <c r="F2553" s="37"/>
    </row>
    <row r="2554" spans="6:6">
      <c r="F2554" s="37"/>
    </row>
    <row r="2555" spans="6:6">
      <c r="F2555" s="37"/>
    </row>
    <row r="2556" spans="6:6">
      <c r="F2556" s="37"/>
    </row>
    <row r="2557" spans="6:6">
      <c r="F2557" s="37"/>
    </row>
    <row r="2558" spans="6:6">
      <c r="F2558" s="37"/>
    </row>
    <row r="2559" spans="6:6">
      <c r="F2559" s="37"/>
    </row>
    <row r="2560" spans="6:6">
      <c r="F2560" s="37"/>
    </row>
    <row r="2561" spans="6:6">
      <c r="F2561" s="37"/>
    </row>
    <row r="2562" spans="6:6">
      <c r="F2562" s="37"/>
    </row>
    <row r="2563" spans="6:6">
      <c r="F2563" s="37"/>
    </row>
    <row r="2564" spans="6:6">
      <c r="F2564" s="37"/>
    </row>
    <row r="2565" spans="6:6">
      <c r="F2565" s="37"/>
    </row>
    <row r="2566" spans="6:6">
      <c r="F2566" s="37"/>
    </row>
    <row r="2567" spans="6:6">
      <c r="F2567" s="37"/>
    </row>
    <row r="2568" spans="6:6">
      <c r="F2568" s="37"/>
    </row>
    <row r="2569" spans="6:6">
      <c r="F2569" s="37"/>
    </row>
    <row r="2570" spans="6:6">
      <c r="F2570" s="37"/>
    </row>
    <row r="2571" spans="6:6">
      <c r="F2571" s="37"/>
    </row>
    <row r="2572" spans="6:6">
      <c r="F2572" s="37"/>
    </row>
    <row r="2573" spans="6:6">
      <c r="F2573" s="37"/>
    </row>
    <row r="2574" spans="6:6">
      <c r="F2574" s="37"/>
    </row>
    <row r="2575" spans="6:6">
      <c r="F2575" s="37"/>
    </row>
    <row r="2576" spans="6:6">
      <c r="F2576" s="37"/>
    </row>
    <row r="2577" spans="6:6">
      <c r="F2577" s="37"/>
    </row>
    <row r="2578" spans="6:6">
      <c r="F2578" s="37"/>
    </row>
    <row r="2579" spans="6:6">
      <c r="F2579" s="37"/>
    </row>
    <row r="2580" spans="6:6">
      <c r="F2580" s="37"/>
    </row>
    <row r="2581" spans="6:6">
      <c r="F2581" s="37"/>
    </row>
    <row r="2582" spans="6:6">
      <c r="F2582" s="37"/>
    </row>
    <row r="2583" spans="6:6">
      <c r="F2583" s="37"/>
    </row>
    <row r="2584" spans="6:6">
      <c r="F2584" s="37"/>
    </row>
    <row r="2585" spans="6:6">
      <c r="F2585" s="37"/>
    </row>
    <row r="2586" spans="6:6">
      <c r="F2586" s="37"/>
    </row>
    <row r="2587" spans="6:6">
      <c r="F2587" s="37"/>
    </row>
    <row r="2588" spans="6:6">
      <c r="F2588" s="37"/>
    </row>
    <row r="2589" spans="6:6">
      <c r="F2589" s="37"/>
    </row>
    <row r="2590" spans="6:6">
      <c r="F2590" s="37"/>
    </row>
    <row r="2591" spans="6:6">
      <c r="F2591" s="37"/>
    </row>
    <row r="2592" spans="6:6">
      <c r="F2592" s="37"/>
    </row>
    <row r="2593" spans="6:6">
      <c r="F2593" s="37"/>
    </row>
    <row r="2594" spans="6:6">
      <c r="F2594" s="37"/>
    </row>
    <row r="2595" spans="6:6">
      <c r="F2595" s="37"/>
    </row>
    <row r="2596" spans="6:6">
      <c r="F2596" s="37"/>
    </row>
    <row r="2597" spans="6:6">
      <c r="F2597" s="37"/>
    </row>
    <row r="2598" spans="6:6">
      <c r="F2598" s="37"/>
    </row>
    <row r="2599" spans="6:6">
      <c r="F2599" s="37"/>
    </row>
    <row r="2600" spans="6:6">
      <c r="F2600" s="37"/>
    </row>
    <row r="2601" spans="6:6">
      <c r="F2601" s="37"/>
    </row>
    <row r="2602" spans="6:6">
      <c r="F2602" s="37"/>
    </row>
    <row r="2603" spans="6:6">
      <c r="F2603" s="37"/>
    </row>
    <row r="2604" spans="6:6">
      <c r="F2604" s="37"/>
    </row>
    <row r="2605" spans="6:6">
      <c r="F2605" s="37"/>
    </row>
    <row r="2606" spans="6:6">
      <c r="F2606" s="37"/>
    </row>
    <row r="2607" spans="6:6">
      <c r="F2607" s="37"/>
    </row>
    <row r="2608" spans="6:6">
      <c r="F2608" s="37"/>
    </row>
    <row r="2609" spans="6:6">
      <c r="F2609" s="37"/>
    </row>
    <row r="2610" spans="6:6">
      <c r="F2610" s="37"/>
    </row>
    <row r="2611" spans="6:6">
      <c r="F2611" s="37"/>
    </row>
    <row r="2612" spans="6:6">
      <c r="F2612" s="37"/>
    </row>
    <row r="2613" spans="6:6">
      <c r="F2613" s="37"/>
    </row>
    <row r="2614" spans="6:6">
      <c r="F2614" s="37"/>
    </row>
    <row r="2615" spans="6:6">
      <c r="F2615" s="37"/>
    </row>
    <row r="2616" spans="6:6">
      <c r="F2616" s="37"/>
    </row>
    <row r="2617" spans="6:6">
      <c r="F2617" s="37"/>
    </row>
    <row r="2618" spans="6:6">
      <c r="F2618" s="37"/>
    </row>
    <row r="2619" spans="6:6">
      <c r="F2619" s="37"/>
    </row>
    <row r="2620" spans="6:6">
      <c r="F2620" s="37"/>
    </row>
    <row r="2621" spans="6:6">
      <c r="F2621" s="37"/>
    </row>
    <row r="2622" spans="6:6">
      <c r="F2622" s="37"/>
    </row>
    <row r="2623" spans="6:6">
      <c r="F2623" s="37"/>
    </row>
    <row r="2624" spans="6:6">
      <c r="F2624" s="37"/>
    </row>
    <row r="2625" spans="6:6">
      <c r="F2625" s="37"/>
    </row>
    <row r="2626" spans="6:6">
      <c r="F2626" s="37"/>
    </row>
    <row r="2627" spans="6:6">
      <c r="F2627" s="37"/>
    </row>
    <row r="2628" spans="6:6">
      <c r="F2628" s="37"/>
    </row>
    <row r="2629" spans="6:6">
      <c r="F2629" s="37"/>
    </row>
    <row r="2630" spans="6:6">
      <c r="F2630" s="37"/>
    </row>
    <row r="2631" spans="6:6">
      <c r="F2631" s="37"/>
    </row>
    <row r="2632" spans="6:6">
      <c r="F2632" s="37"/>
    </row>
    <row r="2633" spans="6:6">
      <c r="F2633" s="37"/>
    </row>
    <row r="2634" spans="6:6">
      <c r="F2634" s="37"/>
    </row>
    <row r="2635" spans="6:6">
      <c r="F2635" s="37"/>
    </row>
    <row r="2636" spans="6:6">
      <c r="F2636" s="37"/>
    </row>
    <row r="2637" spans="6:6">
      <c r="F2637" s="37"/>
    </row>
    <row r="2638" spans="6:6">
      <c r="F2638" s="37"/>
    </row>
    <row r="2639" spans="6:6">
      <c r="F2639" s="37"/>
    </row>
    <row r="2640" spans="6:6">
      <c r="F2640" s="37"/>
    </row>
    <row r="2641" spans="6:6">
      <c r="F2641" s="37"/>
    </row>
    <row r="2642" spans="6:6">
      <c r="F2642" s="37"/>
    </row>
    <row r="2643" spans="6:6">
      <c r="F2643" s="37"/>
    </row>
    <row r="2644" spans="6:6">
      <c r="F2644" s="37"/>
    </row>
    <row r="2645" spans="6:6">
      <c r="F2645" s="37"/>
    </row>
    <row r="2646" spans="6:6">
      <c r="F2646" s="37"/>
    </row>
    <row r="2647" spans="6:6">
      <c r="F2647" s="37"/>
    </row>
    <row r="2648" spans="6:6">
      <c r="F2648" s="37"/>
    </row>
    <row r="2649" spans="6:6">
      <c r="F2649" s="37"/>
    </row>
    <row r="2650" spans="6:6">
      <c r="F2650" s="37"/>
    </row>
    <row r="2651" spans="6:6">
      <c r="F2651" s="37"/>
    </row>
    <row r="2652" spans="6:6">
      <c r="F2652" s="37"/>
    </row>
    <row r="2653" spans="6:6">
      <c r="F2653" s="37"/>
    </row>
    <row r="2654" spans="6:6">
      <c r="F2654" s="37"/>
    </row>
    <row r="2655" spans="6:6">
      <c r="F2655" s="37"/>
    </row>
    <row r="2656" spans="6:6">
      <c r="F2656" s="37"/>
    </row>
    <row r="2657" spans="6:6">
      <c r="F2657" s="37"/>
    </row>
    <row r="2658" spans="6:6">
      <c r="F2658" s="37"/>
    </row>
    <row r="2659" spans="6:6">
      <c r="F2659" s="37"/>
    </row>
    <row r="2660" spans="6:6">
      <c r="F2660" s="37"/>
    </row>
    <row r="2661" spans="6:6">
      <c r="F2661" s="37"/>
    </row>
    <row r="2662" spans="6:6">
      <c r="F2662" s="37"/>
    </row>
    <row r="2663" spans="6:6">
      <c r="F2663" s="37"/>
    </row>
    <row r="2664" spans="6:6">
      <c r="F2664" s="37"/>
    </row>
    <row r="2665" spans="6:6">
      <c r="F2665" s="37"/>
    </row>
    <row r="2666" spans="6:6">
      <c r="F2666" s="37"/>
    </row>
    <row r="2667" spans="6:6">
      <c r="F2667" s="37"/>
    </row>
    <row r="2668" spans="6:6">
      <c r="F2668" s="37"/>
    </row>
    <row r="2669" spans="6:6">
      <c r="F2669" s="37"/>
    </row>
    <row r="2670" spans="6:6">
      <c r="F2670" s="37"/>
    </row>
    <row r="2671" spans="6:6">
      <c r="F2671" s="37"/>
    </row>
    <row r="2672" spans="6:6">
      <c r="F2672" s="37"/>
    </row>
    <row r="2673" spans="6:6">
      <c r="F2673" s="37"/>
    </row>
    <row r="2674" spans="6:6">
      <c r="F2674" s="37"/>
    </row>
    <row r="2675" spans="6:6">
      <c r="F2675" s="37"/>
    </row>
    <row r="2676" spans="6:6">
      <c r="F2676" s="37"/>
    </row>
    <row r="2677" spans="6:6">
      <c r="F2677" s="37"/>
    </row>
    <row r="2678" spans="6:6">
      <c r="F2678" s="37"/>
    </row>
    <row r="2679" spans="6:6">
      <c r="F2679" s="37"/>
    </row>
    <row r="2680" spans="6:6">
      <c r="F2680" s="37"/>
    </row>
    <row r="2681" spans="6:6">
      <c r="F2681" s="37"/>
    </row>
    <row r="2682" spans="6:6">
      <c r="F2682" s="37"/>
    </row>
    <row r="2683" spans="6:6">
      <c r="F2683" s="37"/>
    </row>
    <row r="2684" spans="6:6">
      <c r="F2684" s="37"/>
    </row>
    <row r="2685" spans="6:6">
      <c r="F2685" s="37"/>
    </row>
    <row r="2686" spans="6:6">
      <c r="F2686" s="37"/>
    </row>
    <row r="2687" spans="6:6">
      <c r="F2687" s="37"/>
    </row>
    <row r="2688" spans="6:6">
      <c r="F2688" s="37"/>
    </row>
    <row r="2689" spans="6:6">
      <c r="F2689" s="37"/>
    </row>
    <row r="2690" spans="6:6">
      <c r="F2690" s="37"/>
    </row>
    <row r="2691" spans="6:6">
      <c r="F2691" s="37"/>
    </row>
    <row r="2692" spans="6:6">
      <c r="F2692" s="37"/>
    </row>
    <row r="2693" spans="6:6">
      <c r="F2693" s="37"/>
    </row>
    <row r="2694" spans="6:6">
      <c r="F2694" s="37"/>
    </row>
    <row r="2695" spans="6:6">
      <c r="F2695" s="37"/>
    </row>
    <row r="2696" spans="6:6">
      <c r="F2696" s="37"/>
    </row>
    <row r="2697" spans="6:6">
      <c r="F2697" s="37"/>
    </row>
    <row r="2698" spans="6:6">
      <c r="F2698" s="37"/>
    </row>
    <row r="2699" spans="6:6">
      <c r="F2699" s="37"/>
    </row>
    <row r="2700" spans="6:6">
      <c r="F2700" s="37"/>
    </row>
    <row r="2701" spans="6:6">
      <c r="F2701" s="37"/>
    </row>
    <row r="2702" spans="6:6">
      <c r="F2702" s="37"/>
    </row>
    <row r="2703" spans="6:6">
      <c r="F2703" s="37"/>
    </row>
    <row r="2704" spans="6:6">
      <c r="F2704" s="37"/>
    </row>
    <row r="2705" spans="6:6">
      <c r="F2705" s="37"/>
    </row>
    <row r="2706" spans="6:6">
      <c r="F2706" s="37"/>
    </row>
    <row r="2707" spans="6:6">
      <c r="F2707" s="37"/>
    </row>
    <row r="2708" spans="6:6">
      <c r="F2708" s="37"/>
    </row>
    <row r="2709" spans="6:6">
      <c r="F2709" s="37"/>
    </row>
    <row r="2710" spans="6:6">
      <c r="F2710" s="37"/>
    </row>
    <row r="2711" spans="6:6">
      <c r="F2711" s="37"/>
    </row>
    <row r="2712" spans="6:6">
      <c r="F2712" s="37"/>
    </row>
    <row r="2713" spans="6:6">
      <c r="F2713" s="37"/>
    </row>
    <row r="2714" spans="6:6">
      <c r="F2714" s="37"/>
    </row>
    <row r="2715" spans="6:6">
      <c r="F2715" s="37"/>
    </row>
    <row r="2716" spans="6:6">
      <c r="F2716" s="37"/>
    </row>
    <row r="2717" spans="6:6">
      <c r="F2717" s="37"/>
    </row>
    <row r="2718" spans="6:6">
      <c r="F2718" s="37"/>
    </row>
    <row r="2719" spans="6:6">
      <c r="F2719" s="37"/>
    </row>
    <row r="2720" spans="6:6">
      <c r="F2720" s="37"/>
    </row>
    <row r="2721" spans="6:6">
      <c r="F2721" s="37"/>
    </row>
    <row r="2722" spans="6:6">
      <c r="F2722" s="37"/>
    </row>
    <row r="2723" spans="6:6">
      <c r="F2723" s="37"/>
    </row>
    <row r="2724" spans="6:6">
      <c r="F2724" s="37"/>
    </row>
    <row r="2725" spans="6:6">
      <c r="F2725" s="37"/>
    </row>
    <row r="2726" spans="6:6">
      <c r="F2726" s="37"/>
    </row>
    <row r="2727" spans="6:6">
      <c r="F2727" s="37"/>
    </row>
    <row r="2728" spans="6:6">
      <c r="F2728" s="37"/>
    </row>
    <row r="2729" spans="6:6">
      <c r="F2729" s="37"/>
    </row>
    <row r="2730" spans="6:6">
      <c r="F2730" s="37"/>
    </row>
    <row r="2731" spans="6:6">
      <c r="F2731" s="37"/>
    </row>
    <row r="2732" spans="6:6">
      <c r="F2732" s="37"/>
    </row>
    <row r="2733" spans="6:6">
      <c r="F2733" s="37"/>
    </row>
    <row r="2734" spans="6:6">
      <c r="F2734" s="37"/>
    </row>
    <row r="2735" spans="6:6">
      <c r="F2735" s="37"/>
    </row>
    <row r="2736" spans="6:6">
      <c r="F2736" s="37"/>
    </row>
    <row r="2737" spans="6:6">
      <c r="F2737" s="37"/>
    </row>
    <row r="2738" spans="6:6">
      <c r="F2738" s="37"/>
    </row>
    <row r="2739" spans="6:6">
      <c r="F2739" s="37"/>
    </row>
    <row r="2740" spans="6:6">
      <c r="F2740" s="37"/>
    </row>
    <row r="2741" spans="6:6">
      <c r="F2741" s="37"/>
    </row>
    <row r="2742" spans="6:6">
      <c r="F2742" s="37"/>
    </row>
    <row r="2743" spans="6:6">
      <c r="F2743" s="37"/>
    </row>
    <row r="2744" spans="6:6">
      <c r="F2744" s="37"/>
    </row>
    <row r="2745" spans="6:6">
      <c r="F2745" s="37"/>
    </row>
    <row r="2746" spans="6:6">
      <c r="F2746" s="37"/>
    </row>
    <row r="2747" spans="6:6">
      <c r="F2747" s="37"/>
    </row>
    <row r="2748" spans="6:6">
      <c r="F2748" s="37"/>
    </row>
    <row r="2749" spans="6:6">
      <c r="F2749" s="37"/>
    </row>
    <row r="2750" spans="6:6">
      <c r="F2750" s="37"/>
    </row>
    <row r="2751" spans="6:6">
      <c r="F2751" s="37"/>
    </row>
    <row r="2752" spans="6:6">
      <c r="F2752" s="37"/>
    </row>
    <row r="2753" spans="6:6">
      <c r="F2753" s="37"/>
    </row>
    <row r="2754" spans="6:6">
      <c r="F2754" s="37"/>
    </row>
    <row r="2755" spans="6:6">
      <c r="F2755" s="37"/>
    </row>
    <row r="2756" spans="6:6">
      <c r="F2756" s="37"/>
    </row>
    <row r="2757" spans="6:6">
      <c r="F2757" s="37"/>
    </row>
    <row r="2758" spans="6:6">
      <c r="F2758" s="37"/>
    </row>
    <row r="2759" spans="6:6">
      <c r="F2759" s="37"/>
    </row>
    <row r="2760" spans="6:6">
      <c r="F2760" s="37"/>
    </row>
    <row r="2761" spans="6:6">
      <c r="F2761" s="37"/>
    </row>
    <row r="2762" spans="6:6">
      <c r="F2762" s="37"/>
    </row>
    <row r="2763" spans="6:6">
      <c r="F2763" s="37"/>
    </row>
    <row r="2764" spans="6:6">
      <c r="F2764" s="37"/>
    </row>
    <row r="2765" spans="6:6">
      <c r="F2765" s="37"/>
    </row>
    <row r="2766" spans="6:6">
      <c r="F2766" s="37"/>
    </row>
    <row r="2767" spans="6:6">
      <c r="F2767" s="37"/>
    </row>
    <row r="2768" spans="6:6">
      <c r="F2768" s="37"/>
    </row>
    <row r="2769" spans="6:6">
      <c r="F2769" s="37"/>
    </row>
    <row r="2770" spans="6:6">
      <c r="F2770" s="37"/>
    </row>
    <row r="2771" spans="6:6">
      <c r="F2771" s="37"/>
    </row>
    <row r="2772" spans="6:6">
      <c r="F2772" s="37"/>
    </row>
    <row r="2773" spans="6:6">
      <c r="F2773" s="37"/>
    </row>
    <row r="2774" spans="6:6">
      <c r="F2774" s="37"/>
    </row>
    <row r="2775" spans="6:6">
      <c r="F2775" s="37"/>
    </row>
    <row r="2776" spans="6:6">
      <c r="F2776" s="37"/>
    </row>
    <row r="2777" spans="6:6">
      <c r="F2777" s="37"/>
    </row>
    <row r="2778" spans="6:6">
      <c r="F2778" s="37"/>
    </row>
    <row r="2779" spans="6:6">
      <c r="F2779" s="37"/>
    </row>
    <row r="2780" spans="6:6">
      <c r="F2780" s="37"/>
    </row>
    <row r="2781" spans="6:6">
      <c r="F2781" s="37"/>
    </row>
    <row r="2782" spans="6:6">
      <c r="F2782" s="37"/>
    </row>
    <row r="2783" spans="6:6">
      <c r="F2783" s="37"/>
    </row>
    <row r="2784" spans="6:6">
      <c r="F2784" s="37"/>
    </row>
    <row r="2785" spans="6:6">
      <c r="F2785" s="37"/>
    </row>
    <row r="2786" spans="6:6">
      <c r="F2786" s="37"/>
    </row>
    <row r="2787" spans="6:6">
      <c r="F2787" s="37"/>
    </row>
    <row r="2788" spans="6:6">
      <c r="F2788" s="37"/>
    </row>
    <row r="2789" spans="6:6">
      <c r="F2789" s="37"/>
    </row>
    <row r="2790" spans="6:6">
      <c r="F2790" s="37"/>
    </row>
    <row r="2791" spans="6:6">
      <c r="F2791" s="37"/>
    </row>
    <row r="2792" spans="6:6">
      <c r="F2792" s="37"/>
    </row>
    <row r="2793" spans="6:6">
      <c r="F2793" s="37"/>
    </row>
    <row r="2794" spans="6:6">
      <c r="F2794" s="37"/>
    </row>
    <row r="2795" spans="6:6">
      <c r="F2795" s="37"/>
    </row>
    <row r="2796" spans="6:6">
      <c r="F2796" s="37"/>
    </row>
    <row r="2797" spans="6:6">
      <c r="F2797" s="37"/>
    </row>
    <row r="2798" spans="6:6">
      <c r="F2798" s="37"/>
    </row>
    <row r="2799" spans="6:6">
      <c r="F2799" s="37"/>
    </row>
    <row r="2800" spans="6:6">
      <c r="F2800" s="37"/>
    </row>
    <row r="2801" spans="6:6">
      <c r="F2801" s="37"/>
    </row>
    <row r="2802" spans="6:6">
      <c r="F2802" s="37"/>
    </row>
    <row r="2803" spans="6:6">
      <c r="F2803" s="37"/>
    </row>
    <row r="2804" spans="6:6">
      <c r="F2804" s="37"/>
    </row>
    <row r="2805" spans="6:6">
      <c r="F2805" s="37"/>
    </row>
    <row r="2806" spans="6:6">
      <c r="F2806" s="37"/>
    </row>
    <row r="2807" spans="6:6">
      <c r="F2807" s="37"/>
    </row>
    <row r="2808" spans="6:6">
      <c r="F2808" s="37"/>
    </row>
    <row r="2809" spans="6:6">
      <c r="F2809" s="37"/>
    </row>
    <row r="2810" spans="6:6">
      <c r="F2810" s="37"/>
    </row>
    <row r="2811" spans="6:6">
      <c r="F2811" s="37"/>
    </row>
    <row r="2812" spans="6:6">
      <c r="F2812" s="37"/>
    </row>
    <row r="2813" spans="6:6">
      <c r="F2813" s="37"/>
    </row>
    <row r="2814" spans="6:6">
      <c r="F2814" s="37"/>
    </row>
    <row r="2815" spans="6:6">
      <c r="F2815" s="37"/>
    </row>
    <row r="2816" spans="6:6">
      <c r="F2816" s="37"/>
    </row>
    <row r="2817" spans="6:6">
      <c r="F2817" s="37"/>
    </row>
    <row r="2818" spans="6:6">
      <c r="F2818" s="37"/>
    </row>
    <row r="2819" spans="6:6">
      <c r="F2819" s="37"/>
    </row>
    <row r="2820" spans="6:6">
      <c r="F2820" s="37"/>
    </row>
    <row r="2821" spans="6:6">
      <c r="F2821" s="37"/>
    </row>
    <row r="2822" spans="6:6">
      <c r="F2822" s="37"/>
    </row>
    <row r="2823" spans="6:6">
      <c r="F2823" s="37"/>
    </row>
    <row r="2824" spans="6:6">
      <c r="F2824" s="37"/>
    </row>
    <row r="2825" spans="6:6">
      <c r="F2825" s="37"/>
    </row>
    <row r="2826" spans="6:6">
      <c r="F2826" s="37"/>
    </row>
    <row r="2827" spans="6:6">
      <c r="F2827" s="37"/>
    </row>
    <row r="2828" spans="6:6">
      <c r="F2828" s="37"/>
    </row>
    <row r="2829" spans="6:6">
      <c r="F2829" s="37"/>
    </row>
    <row r="2830" spans="6:6">
      <c r="F2830" s="37"/>
    </row>
    <row r="2831" spans="6:6">
      <c r="F2831" s="37"/>
    </row>
    <row r="2832" spans="6:6">
      <c r="F2832" s="37"/>
    </row>
    <row r="2833" spans="6:6">
      <c r="F2833" s="37"/>
    </row>
    <row r="2834" spans="6:6">
      <c r="F2834" s="37"/>
    </row>
    <row r="2835" spans="6:6">
      <c r="F2835" s="37"/>
    </row>
    <row r="2836" spans="6:6">
      <c r="F2836" s="37"/>
    </row>
    <row r="2837" spans="6:6">
      <c r="F2837" s="37"/>
    </row>
    <row r="2838" spans="6:6">
      <c r="F2838" s="37"/>
    </row>
    <row r="2839" spans="6:6">
      <c r="F2839" s="37"/>
    </row>
    <row r="2840" spans="6:6">
      <c r="F2840" s="37"/>
    </row>
    <row r="2841" spans="6:6">
      <c r="F2841" s="37"/>
    </row>
    <row r="2842" spans="6:6">
      <c r="F2842" s="37"/>
    </row>
    <row r="2843" spans="6:6">
      <c r="F2843" s="37"/>
    </row>
    <row r="2844" spans="6:6">
      <c r="F2844" s="37"/>
    </row>
    <row r="2845" spans="6:6">
      <c r="F2845" s="37"/>
    </row>
    <row r="2846" spans="6:6">
      <c r="F2846" s="37"/>
    </row>
    <row r="2847" spans="6:6">
      <c r="F2847" s="37"/>
    </row>
    <row r="2848" spans="6:6">
      <c r="F2848" s="37"/>
    </row>
    <row r="2849" spans="6:6">
      <c r="F2849" s="37"/>
    </row>
    <row r="2850" spans="6:6">
      <c r="F2850" s="37"/>
    </row>
    <row r="2851" spans="6:6">
      <c r="F2851" s="37"/>
    </row>
    <row r="2852" spans="6:6">
      <c r="F2852" s="37"/>
    </row>
    <row r="2853" spans="6:6">
      <c r="F2853" s="37"/>
    </row>
    <row r="2854" spans="6:6">
      <c r="F2854" s="37"/>
    </row>
    <row r="2855" spans="6:6">
      <c r="F2855" s="37"/>
    </row>
    <row r="2856" spans="6:6">
      <c r="F2856" s="37"/>
    </row>
    <row r="2857" spans="6:6">
      <c r="F2857" s="37"/>
    </row>
    <row r="2858" spans="6:6">
      <c r="F2858" s="37"/>
    </row>
    <row r="2859" spans="6:6">
      <c r="F2859" s="37"/>
    </row>
    <row r="2860" spans="6:6">
      <c r="F2860" s="37"/>
    </row>
    <row r="2861" spans="6:6">
      <c r="F2861" s="37"/>
    </row>
    <row r="2862" spans="6:6">
      <c r="F2862" s="37"/>
    </row>
    <row r="2863" spans="6:6">
      <c r="F2863" s="37"/>
    </row>
    <row r="2864" spans="6:6">
      <c r="F2864" s="37"/>
    </row>
    <row r="2865" spans="6:6">
      <c r="F2865" s="37"/>
    </row>
    <row r="2866" spans="6:6">
      <c r="F2866" s="37"/>
    </row>
    <row r="2867" spans="6:6">
      <c r="F2867" s="37"/>
    </row>
    <row r="2868" spans="6:6">
      <c r="F2868" s="37"/>
    </row>
    <row r="2869" spans="6:6">
      <c r="F2869" s="37"/>
    </row>
    <row r="2870" spans="6:6">
      <c r="F2870" s="37"/>
    </row>
    <row r="2871" spans="6:6">
      <c r="F2871" s="37"/>
    </row>
    <row r="2872" spans="6:6">
      <c r="F2872" s="37"/>
    </row>
    <row r="2873" spans="6:6">
      <c r="F2873" s="37"/>
    </row>
    <row r="2874" spans="6:6">
      <c r="F2874" s="37"/>
    </row>
    <row r="2875" spans="6:6">
      <c r="F2875" s="37"/>
    </row>
    <row r="2876" spans="6:6">
      <c r="F2876" s="37"/>
    </row>
    <row r="2877" spans="6:6">
      <c r="F2877" s="37"/>
    </row>
    <row r="2878" spans="6:6">
      <c r="F2878" s="37"/>
    </row>
    <row r="2879" spans="6:6">
      <c r="F2879" s="37"/>
    </row>
    <row r="2880" spans="6:6">
      <c r="F2880" s="37"/>
    </row>
    <row r="2881" spans="6:6">
      <c r="F2881" s="37"/>
    </row>
    <row r="2882" spans="6:6">
      <c r="F2882" s="37"/>
    </row>
    <row r="2883" spans="6:6">
      <c r="F2883" s="37"/>
    </row>
    <row r="2884" spans="6:6">
      <c r="F2884" s="37"/>
    </row>
    <row r="2885" spans="6:6">
      <c r="F2885" s="37"/>
    </row>
    <row r="2886" spans="6:6">
      <c r="F2886" s="37"/>
    </row>
    <row r="2887" spans="6:6">
      <c r="F2887" s="37"/>
    </row>
    <row r="2888" spans="6:6">
      <c r="F2888" s="37"/>
    </row>
    <row r="2889" spans="6:6">
      <c r="F2889" s="37"/>
    </row>
    <row r="2890" spans="6:6">
      <c r="F2890" s="37"/>
    </row>
    <row r="2891" spans="6:6">
      <c r="F2891" s="37"/>
    </row>
    <row r="2892" spans="6:6">
      <c r="F2892" s="37"/>
    </row>
    <row r="2893" spans="6:6">
      <c r="F2893" s="37"/>
    </row>
    <row r="2894" spans="6:6">
      <c r="F2894" s="37"/>
    </row>
    <row r="2895" spans="6:6">
      <c r="F2895" s="37"/>
    </row>
    <row r="2896" spans="6:6">
      <c r="F2896" s="37"/>
    </row>
    <row r="2897" spans="6:6">
      <c r="F2897" s="37"/>
    </row>
    <row r="2898" spans="6:6">
      <c r="F2898" s="37"/>
    </row>
    <row r="2899" spans="6:6">
      <c r="F2899" s="37"/>
    </row>
    <row r="2900" spans="6:6">
      <c r="F2900" s="37"/>
    </row>
    <row r="2901" spans="6:6">
      <c r="F2901" s="37"/>
    </row>
    <row r="2902" spans="6:6">
      <c r="F2902" s="37"/>
    </row>
    <row r="2903" spans="6:6">
      <c r="F2903" s="37"/>
    </row>
    <row r="2904" spans="6:6">
      <c r="F2904" s="37"/>
    </row>
    <row r="2905" spans="6:6">
      <c r="F2905" s="37"/>
    </row>
    <row r="2906" spans="6:6">
      <c r="F2906" s="37"/>
    </row>
    <row r="2907" spans="6:6">
      <c r="F2907" s="37"/>
    </row>
    <row r="2908" spans="6:6">
      <c r="F2908" s="37"/>
    </row>
    <row r="2909" spans="6:6">
      <c r="F2909" s="37"/>
    </row>
    <row r="2910" spans="6:6">
      <c r="F2910" s="37"/>
    </row>
    <row r="2911" spans="6:6">
      <c r="F2911" s="37"/>
    </row>
    <row r="2912" spans="6:6">
      <c r="F2912" s="37"/>
    </row>
    <row r="2913" spans="6:6">
      <c r="F2913" s="37"/>
    </row>
    <row r="2914" spans="6:6">
      <c r="F2914" s="37"/>
    </row>
    <row r="2915" spans="6:6">
      <c r="F2915" s="37"/>
    </row>
    <row r="2916" spans="6:6">
      <c r="F2916" s="37"/>
    </row>
    <row r="2917" spans="6:6">
      <c r="F2917" s="37"/>
    </row>
    <row r="2918" spans="6:6">
      <c r="F2918" s="37"/>
    </row>
    <row r="2919" spans="6:6">
      <c r="F2919" s="37"/>
    </row>
    <row r="2920" spans="6:6">
      <c r="F2920" s="37"/>
    </row>
    <row r="2921" spans="6:6">
      <c r="F2921" s="37"/>
    </row>
    <row r="2922" spans="6:6">
      <c r="F2922" s="37"/>
    </row>
    <row r="2923" spans="6:6">
      <c r="F2923" s="37"/>
    </row>
    <row r="2924" spans="6:6">
      <c r="F2924" s="37"/>
    </row>
    <row r="2925" spans="6:6">
      <c r="F2925" s="37"/>
    </row>
    <row r="2926" spans="6:6">
      <c r="F2926" s="37"/>
    </row>
    <row r="2927" spans="6:6">
      <c r="F2927" s="37"/>
    </row>
    <row r="2928" spans="6:6">
      <c r="F2928" s="37"/>
    </row>
    <row r="2929" spans="6:6">
      <c r="F2929" s="37"/>
    </row>
    <row r="2930" spans="6:6">
      <c r="F2930" s="37"/>
    </row>
    <row r="2931" spans="6:6">
      <c r="F2931" s="37"/>
    </row>
    <row r="2932" spans="6:6">
      <c r="F2932" s="37"/>
    </row>
    <row r="2933" spans="6:6">
      <c r="F2933" s="37"/>
    </row>
    <row r="2934" spans="6:6">
      <c r="F2934" s="37"/>
    </row>
    <row r="2935" spans="6:6">
      <c r="F2935" s="37"/>
    </row>
    <row r="2936" spans="6:6">
      <c r="F2936" s="37"/>
    </row>
    <row r="2937" spans="6:6">
      <c r="F2937" s="37"/>
    </row>
    <row r="2938" spans="6:6">
      <c r="F2938" s="37"/>
    </row>
    <row r="2939" spans="6:6">
      <c r="F2939" s="37"/>
    </row>
    <row r="2940" spans="6:6">
      <c r="F2940" s="37"/>
    </row>
    <row r="2941" spans="6:6">
      <c r="F2941" s="37"/>
    </row>
    <row r="2942" spans="6:6">
      <c r="F2942" s="37"/>
    </row>
    <row r="2943" spans="6:6">
      <c r="F2943" s="37"/>
    </row>
    <row r="2944" spans="6:6">
      <c r="F2944" s="37"/>
    </row>
    <row r="2945" spans="6:6">
      <c r="F2945" s="37"/>
    </row>
    <row r="2946" spans="6:6">
      <c r="F2946" s="37"/>
    </row>
    <row r="2947" spans="6:6">
      <c r="F2947" s="37"/>
    </row>
    <row r="2948" spans="6:6">
      <c r="F2948" s="37"/>
    </row>
    <row r="2949" spans="6:6">
      <c r="F2949" s="37"/>
    </row>
    <row r="2950" spans="6:6">
      <c r="F2950" s="37"/>
    </row>
    <row r="2951" spans="6:6">
      <c r="F2951" s="37"/>
    </row>
    <row r="2952" spans="6:6">
      <c r="F2952" s="37"/>
    </row>
    <row r="2953" spans="6:6">
      <c r="F2953" s="37"/>
    </row>
    <row r="2954" spans="6:6">
      <c r="F2954" s="37"/>
    </row>
    <row r="2955" spans="6:6">
      <c r="F2955" s="37"/>
    </row>
    <row r="2956" spans="6:6">
      <c r="F2956" s="37"/>
    </row>
    <row r="2957" spans="6:6">
      <c r="F2957" s="37"/>
    </row>
    <row r="2958" spans="6:6">
      <c r="F2958" s="37"/>
    </row>
    <row r="2959" spans="6:6">
      <c r="F2959" s="37"/>
    </row>
    <row r="2960" spans="6:6">
      <c r="F2960" s="37"/>
    </row>
    <row r="2961" spans="6:6">
      <c r="F2961" s="37"/>
    </row>
    <row r="2962" spans="6:6">
      <c r="F2962" s="37"/>
    </row>
    <row r="2963" spans="6:6">
      <c r="F2963" s="37"/>
    </row>
    <row r="2964" spans="6:6">
      <c r="F2964" s="37"/>
    </row>
    <row r="2965" spans="6:6">
      <c r="F2965" s="37"/>
    </row>
    <row r="2966" spans="6:6">
      <c r="F2966" s="37"/>
    </row>
    <row r="2967" spans="6:6">
      <c r="F2967" s="37"/>
    </row>
    <row r="2968" spans="6:6">
      <c r="F2968" s="37"/>
    </row>
    <row r="2969" spans="6:6">
      <c r="F2969" s="37"/>
    </row>
    <row r="2970" spans="6:6">
      <c r="F2970" s="37"/>
    </row>
    <row r="2971" spans="6:6">
      <c r="F2971" s="37"/>
    </row>
    <row r="2972" spans="6:6">
      <c r="F2972" s="37"/>
    </row>
    <row r="2973" spans="6:6">
      <c r="F2973" s="37"/>
    </row>
    <row r="2974" spans="6:6">
      <c r="F2974" s="37"/>
    </row>
    <row r="2975" spans="6:6">
      <c r="F2975" s="37"/>
    </row>
    <row r="2976" spans="6:6">
      <c r="F2976" s="37"/>
    </row>
    <row r="2977" spans="6:6">
      <c r="F2977" s="37"/>
    </row>
    <row r="2978" spans="6:6">
      <c r="F2978" s="37"/>
    </row>
    <row r="2979" spans="6:6">
      <c r="F2979" s="37"/>
    </row>
    <row r="2980" spans="6:6">
      <c r="F2980" s="37"/>
    </row>
    <row r="2981" spans="6:6">
      <c r="F2981" s="37"/>
    </row>
    <row r="2982" spans="6:6">
      <c r="F2982" s="37"/>
    </row>
    <row r="2983" spans="6:6">
      <c r="F2983" s="37"/>
    </row>
    <row r="2984" spans="6:6">
      <c r="F2984" s="37"/>
    </row>
    <row r="2985" spans="6:6">
      <c r="F2985" s="37"/>
    </row>
    <row r="2986" spans="6:6">
      <c r="F2986" s="37"/>
    </row>
    <row r="2987" spans="6:6">
      <c r="F2987" s="37"/>
    </row>
    <row r="2988" spans="6:6">
      <c r="F2988" s="37"/>
    </row>
    <row r="2989" spans="6:6">
      <c r="F2989" s="37"/>
    </row>
    <row r="2990" spans="6:6">
      <c r="F2990" s="37"/>
    </row>
    <row r="2991" spans="6:6">
      <c r="F2991" s="37"/>
    </row>
    <row r="2992" spans="6:6">
      <c r="F2992" s="37"/>
    </row>
    <row r="2993" spans="6:6">
      <c r="F2993" s="37"/>
    </row>
    <row r="2994" spans="6:6">
      <c r="F2994" s="37"/>
    </row>
    <row r="2995" spans="6:6">
      <c r="F2995" s="37"/>
    </row>
    <row r="2996" spans="6:6">
      <c r="F2996" s="37"/>
    </row>
    <row r="2997" spans="6:6">
      <c r="F2997" s="37"/>
    </row>
    <row r="2998" spans="6:6">
      <c r="F2998" s="37"/>
    </row>
    <row r="2999" spans="6:6">
      <c r="F2999" s="37"/>
    </row>
    <row r="3000" spans="6:6">
      <c r="F3000" s="37"/>
    </row>
    <row r="3001" spans="6:6">
      <c r="F3001" s="37"/>
    </row>
    <row r="3002" spans="6:6">
      <c r="F3002" s="37"/>
    </row>
    <row r="3003" spans="6:6">
      <c r="F3003" s="37"/>
    </row>
    <row r="3004" spans="6:6">
      <c r="F3004" s="37"/>
    </row>
    <row r="3005" spans="6:6">
      <c r="F3005" s="37"/>
    </row>
    <row r="3006" spans="6:6">
      <c r="F3006" s="37"/>
    </row>
    <row r="3007" spans="6:6">
      <c r="F3007" s="37"/>
    </row>
    <row r="3008" spans="6:6">
      <c r="F3008" s="37"/>
    </row>
    <row r="3009" spans="6:6">
      <c r="F3009" s="37"/>
    </row>
    <row r="3010" spans="6:6">
      <c r="F3010" s="37"/>
    </row>
    <row r="3011" spans="6:6">
      <c r="F3011" s="37"/>
    </row>
    <row r="3012" spans="6:6">
      <c r="F3012" s="37"/>
    </row>
    <row r="3013" spans="6:6">
      <c r="F3013" s="37"/>
    </row>
    <row r="3014" spans="6:6">
      <c r="F3014" s="37"/>
    </row>
    <row r="3015" spans="6:6">
      <c r="F3015" s="37"/>
    </row>
    <row r="3016" spans="6:6">
      <c r="F3016" s="37"/>
    </row>
    <row r="3017" spans="6:6">
      <c r="F3017" s="37"/>
    </row>
    <row r="3018" spans="6:6">
      <c r="F3018" s="37"/>
    </row>
    <row r="3019" spans="6:6">
      <c r="F3019" s="37"/>
    </row>
    <row r="3020" spans="6:6">
      <c r="F3020" s="37"/>
    </row>
    <row r="3021" spans="6:6">
      <c r="F3021" s="37"/>
    </row>
    <row r="3022" spans="6:6">
      <c r="F3022" s="37"/>
    </row>
    <row r="3023" spans="6:6">
      <c r="F3023" s="37"/>
    </row>
    <row r="3024" spans="6:6">
      <c r="F3024" s="37"/>
    </row>
    <row r="3025" spans="6:6">
      <c r="F3025" s="37"/>
    </row>
    <row r="3026" spans="6:6">
      <c r="F3026" s="37"/>
    </row>
    <row r="3027" spans="6:6">
      <c r="F3027" s="37"/>
    </row>
    <row r="3028" spans="6:6">
      <c r="F3028" s="37"/>
    </row>
  </sheetData>
  <mergeCells count="113">
    <mergeCell ref="Q52:Q54"/>
    <mergeCell ref="B69:B70"/>
    <mergeCell ref="B57:B58"/>
    <mergeCell ref="C63:C64"/>
    <mergeCell ref="M52:M54"/>
    <mergeCell ref="N52:N54"/>
    <mergeCell ref="F52:F54"/>
    <mergeCell ref="G52:G54"/>
    <mergeCell ref="C57:C58"/>
    <mergeCell ref="K52:K54"/>
    <mergeCell ref="I52:I54"/>
    <mergeCell ref="B63:B64"/>
    <mergeCell ref="C52:C54"/>
    <mergeCell ref="D52:D54"/>
    <mergeCell ref="B52:B54"/>
    <mergeCell ref="E52:E54"/>
    <mergeCell ref="J52:J54"/>
    <mergeCell ref="B75:B76"/>
    <mergeCell ref="C75:C76"/>
    <mergeCell ref="B81:B82"/>
    <mergeCell ref="C81:C82"/>
    <mergeCell ref="C69:C70"/>
    <mergeCell ref="G75:G76"/>
    <mergeCell ref="H75:H76"/>
    <mergeCell ref="D49:D50"/>
    <mergeCell ref="E49:E50"/>
    <mergeCell ref="B49:B51"/>
    <mergeCell ref="C3:G3"/>
    <mergeCell ref="C12:E12"/>
    <mergeCell ref="C5:F5"/>
    <mergeCell ref="C4:F4"/>
    <mergeCell ref="G49:G50"/>
    <mergeCell ref="I49:I50"/>
    <mergeCell ref="C49:C51"/>
    <mergeCell ref="D48:G48"/>
    <mergeCell ref="F49:F50"/>
    <mergeCell ref="H48:K48"/>
    <mergeCell ref="H49:H50"/>
    <mergeCell ref="K49:K50"/>
    <mergeCell ref="J49:J50"/>
    <mergeCell ref="L46:O46"/>
    <mergeCell ref="L48:O48"/>
    <mergeCell ref="Q49:Q50"/>
    <mergeCell ref="T48:W48"/>
    <mergeCell ref="T49:T50"/>
    <mergeCell ref="L49:L50"/>
    <mergeCell ref="M49:M50"/>
    <mergeCell ref="N49:N50"/>
    <mergeCell ref="P48:S48"/>
    <mergeCell ref="W49:W50"/>
    <mergeCell ref="U49:U50"/>
    <mergeCell ref="V49:V50"/>
    <mergeCell ref="S49:S50"/>
    <mergeCell ref="R49:R50"/>
    <mergeCell ref="O49:O50"/>
    <mergeCell ref="P49:P50"/>
    <mergeCell ref="AC49:AC50"/>
    <mergeCell ref="AD49:AD50"/>
    <mergeCell ref="AE49:AE50"/>
    <mergeCell ref="AB52:AB54"/>
    <mergeCell ref="AC52:AC54"/>
    <mergeCell ref="AA49:AA50"/>
    <mergeCell ref="AD52:AD54"/>
    <mergeCell ref="AE52:AE54"/>
    <mergeCell ref="AF48:AI48"/>
    <mergeCell ref="AF49:AF50"/>
    <mergeCell ref="AG49:AG50"/>
    <mergeCell ref="AH49:AH50"/>
    <mergeCell ref="AI49:AI50"/>
    <mergeCell ref="AI52:AI54"/>
    <mergeCell ref="AH52:AH54"/>
    <mergeCell ref="AF52:AF54"/>
    <mergeCell ref="AG52:AG54"/>
    <mergeCell ref="AB48:AE48"/>
    <mergeCell ref="AB49:AB50"/>
    <mergeCell ref="X52:X54"/>
    <mergeCell ref="Y52:Y54"/>
    <mergeCell ref="X48:AA48"/>
    <mergeCell ref="X49:X50"/>
    <mergeCell ref="Y49:Y50"/>
    <mergeCell ref="Z49:Z50"/>
    <mergeCell ref="G69:G70"/>
    <mergeCell ref="H69:H70"/>
    <mergeCell ref="Z52:Z54"/>
    <mergeCell ref="AA52:AA54"/>
    <mergeCell ref="U52:U54"/>
    <mergeCell ref="G57:G58"/>
    <mergeCell ref="H57:H58"/>
    <mergeCell ref="H52:H54"/>
    <mergeCell ref="G63:G64"/>
    <mergeCell ref="H63:H64"/>
    <mergeCell ref="W52:W54"/>
    <mergeCell ref="R52:R54"/>
    <mergeCell ref="V52:V54"/>
    <mergeCell ref="S52:S54"/>
    <mergeCell ref="T52:T54"/>
    <mergeCell ref="L52:L54"/>
    <mergeCell ref="O52:O54"/>
    <mergeCell ref="P52:P54"/>
    <mergeCell ref="B99:B100"/>
    <mergeCell ref="C99:C100"/>
    <mergeCell ref="B93:B94"/>
    <mergeCell ref="C93:C94"/>
    <mergeCell ref="G93:G94"/>
    <mergeCell ref="H93:H94"/>
    <mergeCell ref="G81:G82"/>
    <mergeCell ref="H81:H82"/>
    <mergeCell ref="G87:G88"/>
    <mergeCell ref="H87:H88"/>
    <mergeCell ref="G99:G100"/>
    <mergeCell ref="H99:H100"/>
    <mergeCell ref="B87:B88"/>
    <mergeCell ref="C87:C88"/>
  </mergeCells>
  <phoneticPr fontId="0" type="noConversion"/>
  <pageMargins left="0.28000000000000003" right="0.17" top="0.74" bottom="0.43" header="0.5" footer="0.31"/>
  <pageSetup paperSize="8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22"/>
  <sheetViews>
    <sheetView topLeftCell="A7" workbookViewId="0">
      <selection activeCell="A3" sqref="A3:H19"/>
    </sheetView>
  </sheetViews>
  <sheetFormatPr defaultColWidth="9.140625" defaultRowHeight="12.75"/>
  <cols>
    <col min="1" max="2" width="9.140625" style="67"/>
    <col min="3" max="3" width="4" style="67" customWidth="1"/>
    <col min="4" max="4" width="21" style="67" customWidth="1"/>
    <col min="5" max="5" width="10" style="67" customWidth="1"/>
    <col min="6" max="6" width="14" style="67" customWidth="1"/>
    <col min="7" max="7" width="15.85546875" style="67" customWidth="1"/>
    <col min="8" max="8" width="16.28515625" style="67" customWidth="1"/>
    <col min="9" max="16384" width="9.140625" style="67"/>
  </cols>
  <sheetData>
    <row r="1" spans="1:15">
      <c r="B1" s="66" t="str">
        <f>"Rozkład dochodu do dyspozycji gospodarstw domowych w Polsce w "&amp;Rok_DSP&amp;" r., mediana w zł na osobę na miesiąc"</f>
        <v>Rozkład dochodu do dyspozycji gospodarstw domowych w Polsce w 2019 r., mediana w zł na osobę na miesiąc</v>
      </c>
    </row>
    <row r="2" spans="1:15" ht="13.5" thickBot="1">
      <c r="F2" s="68">
        <v>0</v>
      </c>
      <c r="G2" s="68">
        <v>20000</v>
      </c>
      <c r="H2" s="68">
        <v>100000</v>
      </c>
    </row>
    <row r="3" spans="1:15" ht="51" customHeight="1" thickTop="1" thickBot="1">
      <c r="A3" s="184" t="str">
        <f>"ID TERYT"</f>
        <v>ID TERYT</v>
      </c>
      <c r="B3" s="185" t="s">
        <v>60</v>
      </c>
      <c r="C3" s="186" t="s">
        <v>51</v>
      </c>
      <c r="D3" s="187" t="s">
        <v>61</v>
      </c>
      <c r="E3" s="187" t="s">
        <v>62</v>
      </c>
      <c r="F3" s="188" t="s">
        <v>63</v>
      </c>
      <c r="G3" s="188" t="s">
        <v>64</v>
      </c>
      <c r="H3" s="189" t="s">
        <v>65</v>
      </c>
      <c r="I3" s="134" t="s">
        <v>94</v>
      </c>
      <c r="J3" s="135" t="s">
        <v>95</v>
      </c>
      <c r="K3" s="136" t="s">
        <v>96</v>
      </c>
      <c r="M3" s="88"/>
      <c r="N3" s="88"/>
      <c r="O3" s="88"/>
    </row>
    <row r="4" spans="1:15">
      <c r="A4" s="190" t="str">
        <f>'demografia gminy'!$A$7</f>
        <v>02</v>
      </c>
      <c r="B4" s="69" t="s">
        <v>40</v>
      </c>
      <c r="C4" s="70">
        <v>1</v>
      </c>
      <c r="D4" s="71" t="s">
        <v>66</v>
      </c>
      <c r="E4" s="90">
        <v>1902.99</v>
      </c>
      <c r="F4" s="90">
        <f t="shared" ref="F4:H5" si="0">ROUND(I4*$E4,2)</f>
        <v>1635.14</v>
      </c>
      <c r="G4" s="90">
        <f t="shared" si="0"/>
        <v>2022.88</v>
      </c>
      <c r="H4" s="91">
        <f t="shared" si="0"/>
        <v>2255.02</v>
      </c>
      <c r="I4" s="132">
        <f>641/746</f>
        <v>0.85924932975871315</v>
      </c>
      <c r="J4" s="71">
        <f>793/746</f>
        <v>1.0630026809651474</v>
      </c>
      <c r="K4" s="133">
        <f>884/746</f>
        <v>1.1849865951742626</v>
      </c>
    </row>
    <row r="5" spans="1:15">
      <c r="A5" s="191" t="str">
        <f>'demografia gminy'!$A$216</f>
        <v>04</v>
      </c>
      <c r="B5" s="72" t="s">
        <v>46</v>
      </c>
      <c r="C5" s="73">
        <v>2</v>
      </c>
      <c r="D5" s="74" t="s">
        <v>67</v>
      </c>
      <c r="E5" s="92">
        <v>1722.8</v>
      </c>
      <c r="F5" s="92">
        <f t="shared" si="0"/>
        <v>1457.96</v>
      </c>
      <c r="G5" s="92">
        <f t="shared" si="0"/>
        <v>1728.04</v>
      </c>
      <c r="H5" s="93">
        <f t="shared" si="0"/>
        <v>2165.96</v>
      </c>
      <c r="I5" s="128">
        <f>556/657</f>
        <v>0.84627092846270924</v>
      </c>
      <c r="J5" s="74">
        <f>659/657</f>
        <v>1.0030441400304415</v>
      </c>
      <c r="K5" s="129">
        <f>826/657</f>
        <v>1.2572298325722984</v>
      </c>
    </row>
    <row r="6" spans="1:15">
      <c r="A6" s="191" t="str">
        <f>'demografia gminy'!$A$388</f>
        <v>06</v>
      </c>
      <c r="B6" s="72" t="s">
        <v>57</v>
      </c>
      <c r="C6" s="73">
        <v>3</v>
      </c>
      <c r="D6" s="74" t="s">
        <v>68</v>
      </c>
      <c r="E6" s="92">
        <v>1497.96</v>
      </c>
      <c r="F6" s="92">
        <f t="shared" ref="F6:F18" si="1">ROUND(I6*$E6,2)</f>
        <v>1397.8</v>
      </c>
      <c r="G6" s="92">
        <f t="shared" ref="G6:G18" si="2">ROUND(J6*$E6,2)</f>
        <v>1680.48</v>
      </c>
      <c r="H6" s="93">
        <f t="shared" ref="H6:H18" si="3">ROUND(K6*$E6,2)</f>
        <v>1811.8</v>
      </c>
      <c r="I6" s="128">
        <f>628/673</f>
        <v>0.93313521545319467</v>
      </c>
      <c r="J6" s="74">
        <f>755/673</f>
        <v>1.1218424962852898</v>
      </c>
      <c r="K6" s="129">
        <f>814/673</f>
        <v>1.2095096582466567</v>
      </c>
    </row>
    <row r="7" spans="1:15">
      <c r="A7" s="191" t="str">
        <f>'demografia gminy'!$A$629</f>
        <v>08</v>
      </c>
      <c r="B7" s="72" t="s">
        <v>19</v>
      </c>
      <c r="C7" s="73">
        <v>4</v>
      </c>
      <c r="D7" s="74" t="s">
        <v>69</v>
      </c>
      <c r="E7" s="92">
        <v>1755.78</v>
      </c>
      <c r="F7" s="92">
        <f t="shared" si="1"/>
        <v>1600.71</v>
      </c>
      <c r="G7" s="92">
        <f t="shared" si="2"/>
        <v>1723.27</v>
      </c>
      <c r="H7" s="93">
        <f t="shared" si="3"/>
        <v>2080.92</v>
      </c>
      <c r="I7" s="128">
        <f>640/702</f>
        <v>0.9116809116809117</v>
      </c>
      <c r="J7" s="74">
        <f>689/702</f>
        <v>0.98148148148148151</v>
      </c>
      <c r="K7" s="129">
        <f>832/702</f>
        <v>1.1851851851851851</v>
      </c>
    </row>
    <row r="8" spans="1:15">
      <c r="A8" s="191" t="str">
        <f>'demografia gminy'!$A$732</f>
        <v>10</v>
      </c>
      <c r="B8" s="72" t="s">
        <v>39</v>
      </c>
      <c r="C8" s="73">
        <v>5</v>
      </c>
      <c r="D8" s="74" t="s">
        <v>70</v>
      </c>
      <c r="E8" s="92">
        <v>1750.05</v>
      </c>
      <c r="F8" s="92">
        <f t="shared" si="1"/>
        <v>1444.37</v>
      </c>
      <c r="G8" s="92">
        <f t="shared" si="2"/>
        <v>1913.39</v>
      </c>
      <c r="H8" s="93">
        <f t="shared" si="3"/>
        <v>2058.06</v>
      </c>
      <c r="I8" s="128">
        <f>619/750</f>
        <v>0.82533333333333336</v>
      </c>
      <c r="J8" s="74">
        <f>820/750</f>
        <v>1.0933333333333333</v>
      </c>
      <c r="K8" s="129">
        <f>882/750</f>
        <v>1.1759999999999999</v>
      </c>
    </row>
    <row r="9" spans="1:15">
      <c r="A9" s="191" t="str">
        <f>'demografia gminy'!$A$938</f>
        <v>12</v>
      </c>
      <c r="B9" s="72" t="s">
        <v>71</v>
      </c>
      <c r="C9" s="73">
        <v>6</v>
      </c>
      <c r="D9" s="74" t="s">
        <v>72</v>
      </c>
      <c r="E9" s="92">
        <v>1742.81</v>
      </c>
      <c r="F9" s="92">
        <f t="shared" si="1"/>
        <v>1473.95</v>
      </c>
      <c r="G9" s="92">
        <f t="shared" si="2"/>
        <v>1735.61</v>
      </c>
      <c r="H9" s="93">
        <f t="shared" si="3"/>
        <v>2400.56</v>
      </c>
      <c r="I9" s="128">
        <f>614/726</f>
        <v>0.84573002754820936</v>
      </c>
      <c r="J9" s="74">
        <f>723/726</f>
        <v>0.99586776859504134</v>
      </c>
      <c r="K9" s="129">
        <f>1000/726</f>
        <v>1.3774104683195592</v>
      </c>
    </row>
    <row r="10" spans="1:15">
      <c r="A10" s="191" t="str">
        <f>'demografia gminy'!$A$1147</f>
        <v>14</v>
      </c>
      <c r="B10" s="72" t="s">
        <v>45</v>
      </c>
      <c r="C10" s="73">
        <v>7</v>
      </c>
      <c r="D10" s="74" t="s">
        <v>73</v>
      </c>
      <c r="E10" s="92">
        <v>2043.59</v>
      </c>
      <c r="F10" s="92">
        <f t="shared" si="1"/>
        <v>1478.44</v>
      </c>
      <c r="G10" s="92">
        <f t="shared" si="2"/>
        <v>2014.97</v>
      </c>
      <c r="H10" s="93">
        <f t="shared" si="3"/>
        <v>2768.5</v>
      </c>
      <c r="I10" s="128">
        <f>620/857</f>
        <v>0.72345390898483075</v>
      </c>
      <c r="J10" s="74">
        <f>845/857</f>
        <v>0.9859976662777129</v>
      </c>
      <c r="K10" s="129">
        <f>1161/857</f>
        <v>1.3547257876312719</v>
      </c>
    </row>
    <row r="11" spans="1:15">
      <c r="A11" s="191" t="str">
        <f>'demografia gminy'!$A$1524</f>
        <v>16</v>
      </c>
      <c r="B11" s="72" t="s">
        <v>74</v>
      </c>
      <c r="C11" s="73">
        <v>8</v>
      </c>
      <c r="D11" s="74" t="s">
        <v>75</v>
      </c>
      <c r="E11" s="92">
        <v>1613.4</v>
      </c>
      <c r="F11" s="92">
        <f t="shared" si="1"/>
        <v>1454.47</v>
      </c>
      <c r="G11" s="92">
        <f t="shared" si="2"/>
        <v>1808.54</v>
      </c>
      <c r="H11" s="93">
        <f t="shared" si="3"/>
        <v>1945.33</v>
      </c>
      <c r="I11" s="128">
        <f>723/802</f>
        <v>0.90149625935162092</v>
      </c>
      <c r="J11" s="74">
        <f>899/802</f>
        <v>1.1209476309226933</v>
      </c>
      <c r="K11" s="129">
        <f>967/802</f>
        <v>1.2057356608478802</v>
      </c>
    </row>
    <row r="12" spans="1:15">
      <c r="A12" s="191" t="str">
        <f>'demografia gminy'!$A$1614</f>
        <v>18</v>
      </c>
      <c r="B12" s="72" t="s">
        <v>76</v>
      </c>
      <c r="C12" s="73">
        <v>9</v>
      </c>
      <c r="D12" s="74" t="s">
        <v>77</v>
      </c>
      <c r="E12" s="92">
        <v>1433</v>
      </c>
      <c r="F12" s="92">
        <f t="shared" si="1"/>
        <v>1251.58</v>
      </c>
      <c r="G12" s="92">
        <f t="shared" si="2"/>
        <v>1761.4</v>
      </c>
      <c r="H12" s="93">
        <f t="shared" si="3"/>
        <v>1841.77</v>
      </c>
      <c r="I12" s="128">
        <f>545/624</f>
        <v>0.8733974358974359</v>
      </c>
      <c r="J12" s="74">
        <f>767/624</f>
        <v>1.2291666666666667</v>
      </c>
      <c r="K12" s="129">
        <f>802/624</f>
        <v>1.2852564102564104</v>
      </c>
    </row>
    <row r="13" spans="1:15">
      <c r="A13" s="191" t="str">
        <f>'demografia gminy'!$A$1802</f>
        <v>20</v>
      </c>
      <c r="B13" s="72" t="s">
        <v>55</v>
      </c>
      <c r="C13" s="73">
        <v>10</v>
      </c>
      <c r="D13" s="74" t="s">
        <v>78</v>
      </c>
      <c r="E13" s="92">
        <v>1703.41</v>
      </c>
      <c r="F13" s="92">
        <f t="shared" si="1"/>
        <v>1507.26</v>
      </c>
      <c r="G13" s="92">
        <f t="shared" si="2"/>
        <v>1935.69</v>
      </c>
      <c r="H13" s="93">
        <f t="shared" si="3"/>
        <v>2100.87</v>
      </c>
      <c r="I13" s="128">
        <f>584/660</f>
        <v>0.88484848484848488</v>
      </c>
      <c r="J13" s="74">
        <f>750/660</f>
        <v>1.1363636363636365</v>
      </c>
      <c r="K13" s="129">
        <f>814/660</f>
        <v>1.2333333333333334</v>
      </c>
    </row>
    <row r="14" spans="1:15">
      <c r="A14" s="191" t="str">
        <f>'demografia gminy'!$A$1942</f>
        <v>22</v>
      </c>
      <c r="B14" s="72" t="s">
        <v>33</v>
      </c>
      <c r="C14" s="73">
        <v>11</v>
      </c>
      <c r="D14" s="74" t="s">
        <v>79</v>
      </c>
      <c r="E14" s="92">
        <v>1805.19</v>
      </c>
      <c r="F14" s="92">
        <f t="shared" si="1"/>
        <v>1284.5999999999999</v>
      </c>
      <c r="G14" s="92">
        <f t="shared" si="2"/>
        <v>2038.97</v>
      </c>
      <c r="H14" s="93">
        <f t="shared" si="3"/>
        <v>2253.4699999999998</v>
      </c>
      <c r="I14" s="128">
        <f>533/749</f>
        <v>0.71161548731642188</v>
      </c>
      <c r="J14" s="74">
        <f>846/749</f>
        <v>1.1295060080106809</v>
      </c>
      <c r="K14" s="129">
        <f>935/749</f>
        <v>1.2483311081441923</v>
      </c>
    </row>
    <row r="15" spans="1:15">
      <c r="A15" s="191" t="str">
        <f>'demografia gminy'!$A$2090</f>
        <v>24</v>
      </c>
      <c r="B15" s="72" t="s">
        <v>80</v>
      </c>
      <c r="C15" s="73">
        <v>12</v>
      </c>
      <c r="D15" s="74" t="s">
        <v>81</v>
      </c>
      <c r="E15" s="92">
        <v>1835.71</v>
      </c>
      <c r="F15" s="92">
        <f t="shared" si="1"/>
        <v>1671</v>
      </c>
      <c r="G15" s="92">
        <f t="shared" si="2"/>
        <v>1909.71</v>
      </c>
      <c r="H15" s="93">
        <f t="shared" si="3"/>
        <v>1881.07</v>
      </c>
      <c r="I15" s="128">
        <f>700/769</f>
        <v>0.91027308192457734</v>
      </c>
      <c r="J15" s="74">
        <f>800/769</f>
        <v>1.0403120936280885</v>
      </c>
      <c r="K15" s="129">
        <f>788/769</f>
        <v>1.024707412223667</v>
      </c>
    </row>
    <row r="16" spans="1:15">
      <c r="A16" s="191" t="str">
        <f>'demografia gminy'!$A$2282</f>
        <v>26</v>
      </c>
      <c r="B16" s="72" t="s">
        <v>58</v>
      </c>
      <c r="C16" s="73">
        <v>13</v>
      </c>
      <c r="D16" s="74" t="s">
        <v>82</v>
      </c>
      <c r="E16" s="92">
        <v>1582.65</v>
      </c>
      <c r="F16" s="92">
        <f t="shared" si="1"/>
        <v>1371.29</v>
      </c>
      <c r="G16" s="92">
        <f t="shared" si="2"/>
        <v>1985.23</v>
      </c>
      <c r="H16" s="93">
        <f t="shared" si="3"/>
        <v>1942.46</v>
      </c>
      <c r="I16" s="128">
        <f>545/629</f>
        <v>0.8664546899841018</v>
      </c>
      <c r="J16" s="74">
        <f>789/629</f>
        <v>1.2543720190779015</v>
      </c>
      <c r="K16" s="129">
        <f>772/629</f>
        <v>1.2273449920508743</v>
      </c>
    </row>
    <row r="17" spans="1:11">
      <c r="A17" s="191" t="str">
        <f>'demografia gminy'!$A$2405</f>
        <v>28</v>
      </c>
      <c r="B17" s="72" t="s">
        <v>32</v>
      </c>
      <c r="C17" s="73">
        <v>14</v>
      </c>
      <c r="D17" s="74" t="s">
        <v>83</v>
      </c>
      <c r="E17" s="92">
        <v>1561.11</v>
      </c>
      <c r="F17" s="92">
        <f t="shared" si="1"/>
        <v>1365.97</v>
      </c>
      <c r="G17" s="92">
        <f t="shared" si="2"/>
        <v>1783.8</v>
      </c>
      <c r="H17" s="93">
        <f t="shared" si="3"/>
        <v>2077.65</v>
      </c>
      <c r="I17" s="128">
        <f>595/680</f>
        <v>0.875</v>
      </c>
      <c r="J17" s="74">
        <f>777/680</f>
        <v>1.1426470588235293</v>
      </c>
      <c r="K17" s="129">
        <f>905/680</f>
        <v>1.3308823529411764</v>
      </c>
    </row>
    <row r="18" spans="1:11">
      <c r="A18" s="191" t="str">
        <f>'demografia gminy'!$A$2549</f>
        <v>30</v>
      </c>
      <c r="B18" s="72" t="s">
        <v>34</v>
      </c>
      <c r="C18" s="73">
        <v>15</v>
      </c>
      <c r="D18" s="74" t="s">
        <v>84</v>
      </c>
      <c r="E18" s="92">
        <v>1770</v>
      </c>
      <c r="F18" s="92">
        <f t="shared" si="1"/>
        <v>1552.76</v>
      </c>
      <c r="G18" s="92">
        <f t="shared" si="2"/>
        <v>1974.9</v>
      </c>
      <c r="H18" s="93">
        <f t="shared" si="3"/>
        <v>2216.8200000000002</v>
      </c>
      <c r="I18" s="128">
        <f>629/717</f>
        <v>0.87726638772663879</v>
      </c>
      <c r="J18" s="74">
        <f>800/717</f>
        <v>1.1157601115760112</v>
      </c>
      <c r="K18" s="129">
        <f>898/717</f>
        <v>1.2524407252440726</v>
      </c>
    </row>
    <row r="19" spans="1:11" ht="13.5" thickBot="1">
      <c r="A19" s="192" t="str">
        <f>'demografia gminy'!$A$2819</f>
        <v>32</v>
      </c>
      <c r="B19" s="75" t="s">
        <v>41</v>
      </c>
      <c r="C19" s="76">
        <v>16</v>
      </c>
      <c r="D19" s="77" t="s">
        <v>85</v>
      </c>
      <c r="E19" s="94">
        <v>1750.91</v>
      </c>
      <c r="F19" s="94">
        <f>ROUND(I19*$E19,2)</f>
        <v>1358.62</v>
      </c>
      <c r="G19" s="94">
        <f>ROUND(J19*$E19,2)</f>
        <v>1837.35</v>
      </c>
      <c r="H19" s="95">
        <f>ROUND(K19*$E19,2)</f>
        <v>2293.91</v>
      </c>
      <c r="I19" s="130">
        <f>613/790</f>
        <v>0.77594936708860762</v>
      </c>
      <c r="J19" s="77">
        <f>829/790</f>
        <v>1.049367088607595</v>
      </c>
      <c r="K19" s="131">
        <f>1035/790</f>
        <v>1.3101265822784811</v>
      </c>
    </row>
    <row r="20" spans="1:11" ht="13.5" thickTop="1"/>
    <row r="22" spans="1:11">
      <c r="G22" s="8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G6761"/>
  <sheetViews>
    <sheetView zoomScaleNormal="100" workbookViewId="0">
      <selection activeCell="B2" sqref="B2"/>
    </sheetView>
  </sheetViews>
  <sheetFormatPr defaultColWidth="9.140625" defaultRowHeight="12"/>
  <cols>
    <col min="1" max="1" width="9.28515625" style="142" customWidth="1"/>
    <col min="2" max="2" width="9.140625" style="147"/>
    <col min="3" max="3" width="30.140625" style="143" customWidth="1"/>
    <col min="4" max="4" width="13.85546875" style="143" customWidth="1"/>
    <col min="5" max="5" width="34.7109375" style="143" customWidth="1"/>
    <col min="6" max="7" width="9.140625" style="143"/>
    <col min="8" max="8" width="9.28515625" style="143" customWidth="1"/>
    <col min="9" max="16384" width="9.140625" style="143"/>
  </cols>
  <sheetData>
    <row r="1" spans="1:5" ht="12.75" customHeight="1">
      <c r="B1" s="29" t="str">
        <f>"LUDNOŚĆ WEDŁUG WOJEWÓDZTW, POWIATÓW I GMIN W WOJEWÓDZTWACH W "&amp;Rok_DSP&amp;" R."</f>
        <v>LUDNOŚĆ WEDŁUG WOJEWÓDZTW, POWIATÓW I GMIN W WOJEWÓDZTWACH W 2019 R.</v>
      </c>
    </row>
    <row r="2" spans="1:5" ht="12.75" customHeight="1">
      <c r="A2" s="144"/>
      <c r="B2" s="145"/>
      <c r="C2" s="146"/>
      <c r="D2" s="146"/>
    </row>
    <row r="3" spans="1:5" ht="9" customHeight="1" thickBot="1"/>
    <row r="4" spans="1:5" ht="16.5" customHeight="1" thickTop="1">
      <c r="A4" s="241" t="s">
        <v>97</v>
      </c>
      <c r="B4" s="247" t="s">
        <v>60</v>
      </c>
      <c r="C4" s="243" t="s">
        <v>7311</v>
      </c>
      <c r="D4" s="245" t="s">
        <v>6</v>
      </c>
    </row>
    <row r="5" spans="1:5" ht="36.75" customHeight="1" thickBot="1">
      <c r="A5" s="242"/>
      <c r="B5" s="254"/>
      <c r="C5" s="244"/>
      <c r="D5" s="246"/>
    </row>
    <row r="6" spans="1:5" ht="12" customHeight="1" thickTop="1">
      <c r="A6" s="148"/>
      <c r="B6" s="149"/>
      <c r="C6" s="150" t="str">
        <f>IF(OR($A6="",ISERROR(VALUE(LEFT($A6,6)))),"",IF(LEN($A6)=2,"WOJ. ",IF(LEN($A6)=4,IF(VALUE(RIGHT($A6,2))&gt;60,"","Powiat "),IF(VALUE(RIGHT($A6,1))=1,"m. ",IF(VALUE(RIGHT($A6,1))=2,"gm. w. ",IF(VALUE(RIGHT($A6,1))=8,"dz. ","gm. m.-w. ")))))&amp;IF(LEN($A6)=2,TRIM(UPPER(VLOOKUP($A6,GUS_tabl_1!$A$7:$B$22,2,FALSE))),IF(ISERROR(FIND("..",TRIM(VLOOKUP(IF(AND(LEN($A6)=4,VALUE(RIGHT($A6,2))&gt;60),$A6&amp;"01 1",$A6),IF(AND(LEN($A6)=4,VALUE(RIGHT($A6,2))&lt;60),GUS_tabl_2!$A$8:$B$464,GUS_tabl_21!$A$5:$B$4886),2,FALSE)))),TRIM(VLOOKUP(IF(AND(LEN($A6)=4,VALUE(RIGHT($A6,2))&gt;60),$A6&amp;"01 1",$A6),IF(AND(LEN($A6)=4,VALUE(RIGHT($A6,2))&lt;60),GUS_tabl_2!$A$8:$B$464,GUS_tabl_21!$A$5:$B$4886),2,FALSE)),LEFT(TRIM(VLOOKUP(IF(AND(LEN($A6)=4,VALUE(RIGHT($A6,2))&gt;60),$A6&amp;"01 1",$A6),IF(AND(LEN($A6)=4,VALUE(RIGHT($A6,2))&lt;60),GUS_tabl_2!$A$8:$B$464,GUS_tabl_21!$A$5:$B$4886),2,FALSE)),SUM(FIND("..",TRIM(VLOOKUP(IF(AND(LEN($A6)=4,VALUE(RIGHT($A6,2))&gt;60),$A6&amp;"01 1",$A6),IF(AND(LEN($A6)=4,VALUE(RIGHT($A6,2))&lt;60),GUS_tabl_2!$A$8:$B$464,GUS_tabl_21!$A$5:$B$4886),2,FALSE))),-1)))))</f>
        <v/>
      </c>
      <c r="D6" s="169" t="str">
        <f>IF(OR($A6="",ISERROR(VALUE(LEFT($A6,6)))),"",IF(LEN($A6)=2,SUMIF($A7:$A$2965,$A6&amp;"??",$D7:$D$2965),IF(AND(LEN($A6)=4,VALUE(RIGHT($A6,2))&lt;=60),SUMIF($A7:$A$2965,$A6&amp;"????",$D7:$D$2965),VLOOKUP(IF(LEN($A6)=4,$A6&amp;"01 1",$A6),GUS_tabl_21!$A$5:$F$4886,6,FALSE))))</f>
        <v/>
      </c>
      <c r="E6" s="151"/>
    </row>
    <row r="7" spans="1:5" s="29" customFormat="1" ht="12" customHeight="1">
      <c r="A7" s="152" t="str">
        <f>"02"</f>
        <v>02</v>
      </c>
      <c r="B7" s="153"/>
      <c r="C7" s="154" t="str">
        <f>IF(OR($A7="",ISERROR(VALUE(LEFT($A7,6)))),"",IF(LEN($A7)=2,"WOJ. ",IF(LEN($A7)=4,IF(VALUE(RIGHT($A7,2))&gt;60,"","Powiat "),IF(VALUE(RIGHT($A7,1))=1,"m. ",IF(VALUE(RIGHT($A7,1))=2,"gm. w. ",IF(VALUE(RIGHT($A7,1))=8,"dz. ","gm. m.-w. ")))))&amp;IF(LEN($A7)=2,TRIM(UPPER(VLOOKUP($A7,GUS_tabl_1!$A$7:$B$22,2,FALSE))),IF(ISERROR(FIND("..",TRIM(VLOOKUP(IF(AND(LEN($A7)=4,VALUE(RIGHT($A7,2))&gt;60),$A7&amp;"01 1",$A7),IF(AND(LEN($A7)=4,VALUE(RIGHT($A7,2))&lt;60),GUS_tabl_2!$A$8:$B$464,GUS_tabl_21!$A$5:$B$4886),2,FALSE)))),TRIM(VLOOKUP(IF(AND(LEN($A7)=4,VALUE(RIGHT($A7,2))&gt;60),$A7&amp;"01 1",$A7),IF(AND(LEN($A7)=4,VALUE(RIGHT($A7,2))&lt;60),GUS_tabl_2!$A$8:$B$464,GUS_tabl_21!$A$5:$B$4886),2,FALSE)),LEFT(TRIM(VLOOKUP(IF(AND(LEN($A7)=4,VALUE(RIGHT($A7,2))&gt;60),$A7&amp;"01 1",$A7),IF(AND(LEN($A7)=4,VALUE(RIGHT($A7,2))&lt;60),GUS_tabl_2!$A$8:$B$464,GUS_tabl_21!$A$5:$B$4886),2,FALSE)),SUM(FIND("..",TRIM(VLOOKUP(IF(AND(LEN($A7)=4,VALUE(RIGHT($A7,2))&gt;60),$A7&amp;"01 1",$A7),IF(AND(LEN($A7)=4,VALUE(RIGHT($A7,2))&lt;60),GUS_tabl_2!$A$8:$B$464,GUS_tabl_21!$A$5:$B$4886),2,FALSE))),-1)))))</f>
        <v>WOJ. DOLNOŚLĄSKIE</v>
      </c>
      <c r="D7" s="140">
        <f>IF(OR($A7="",ISERROR(VALUE(LEFT($A7,6)))),"",IF(LEN($A7)=2,SUMIF($A8:$A$2965,$A7&amp;"??",$D8:$D$2965),IF(AND(LEN($A7)=4,VALUE(RIGHT($A7,2))&lt;=60),SUMIF($A8:$A$2965,$A7&amp;"????",$D8:$D$2965),VLOOKUP(IF(LEN($A7)=4,$A7&amp;"01 1",$A7),GUS_tabl_21!$A$5:$F$4886,6,FALSE))))</f>
        <v>2900163</v>
      </c>
    </row>
    <row r="8" spans="1:5" s="29" customFormat="1" ht="12" customHeight="1">
      <c r="A8" s="152"/>
      <c r="B8" s="153"/>
      <c r="C8" s="154" t="str">
        <f>IF(OR($A8="",ISERROR(VALUE(LEFT($A8,6)))),"",IF(LEN($A8)=2,"WOJ. ",IF(LEN($A8)=4,IF(VALUE(RIGHT($A8,2))&gt;60,"","Powiat "),IF(VALUE(RIGHT($A8,1))=1,"m. ",IF(VALUE(RIGHT($A8,1))=2,"gm. w. ",IF(VALUE(RIGHT($A8,1))=8,"dz. ","gm. m.-w. ")))))&amp;IF(LEN($A8)=2,TRIM(UPPER(VLOOKUP($A8,GUS_tabl_1!$A$7:$B$22,2,FALSE))),IF(ISERROR(FIND("..",TRIM(VLOOKUP(IF(AND(LEN($A8)=4,VALUE(RIGHT($A8,2))&gt;60),$A8&amp;"01 1",$A8),IF(AND(LEN($A8)=4,VALUE(RIGHT($A8,2))&lt;60),GUS_tabl_2!$A$8:$B$464,GUS_tabl_21!$A$5:$B$4886),2,FALSE)))),TRIM(VLOOKUP(IF(AND(LEN($A8)=4,VALUE(RIGHT($A8,2))&gt;60),$A8&amp;"01 1",$A8),IF(AND(LEN($A8)=4,VALUE(RIGHT($A8,2))&lt;60),GUS_tabl_2!$A$8:$B$464,GUS_tabl_21!$A$5:$B$4886),2,FALSE)),LEFT(TRIM(VLOOKUP(IF(AND(LEN($A8)=4,VALUE(RIGHT($A8,2))&gt;60),$A8&amp;"01 1",$A8),IF(AND(LEN($A8)=4,VALUE(RIGHT($A8,2))&lt;60),GUS_tabl_2!$A$8:$B$464,GUS_tabl_21!$A$5:$B$4886),2,FALSE)),SUM(FIND("..",TRIM(VLOOKUP(IF(AND(LEN($A8)=4,VALUE(RIGHT($A8,2))&gt;60),$A8&amp;"01 1",$A8),IF(AND(LEN($A8)=4,VALUE(RIGHT($A8,2))&lt;60),GUS_tabl_2!$A$8:$B$464,GUS_tabl_21!$A$5:$B$4886),2,FALSE))),-1)))))</f>
        <v/>
      </c>
      <c r="D8" s="140" t="str">
        <f>IF(OR($A8="",ISERROR(VALUE(LEFT($A8,6)))),"",IF(LEN($A8)=2,SUMIF($A9:$A$2965,$A8&amp;"??",$D9:$D$2965),IF(AND(LEN($A8)=4,VALUE(RIGHT($A8,2))&lt;=60),SUMIF($A9:$A$2965,$A8&amp;"????",$D9:$D$2965),VLOOKUP(IF(LEN($A8)=4,$A8&amp;"01 1",$A8),GUS_tabl_21!$A$5:$F$4886,6,FALSE))))</f>
        <v/>
      </c>
    </row>
    <row r="9" spans="1:5" s="29" customFormat="1" ht="12" customHeight="1">
      <c r="A9" s="152" t="str">
        <f>"0201"</f>
        <v>0201</v>
      </c>
      <c r="B9" s="153" t="s">
        <v>40</v>
      </c>
      <c r="C9" s="154" t="str">
        <f>IF(OR($A9="",ISERROR(VALUE(LEFT($A9,6)))),"",IF(LEN($A9)=2,"WOJ. ",IF(LEN($A9)=4,IF(VALUE(RIGHT($A9,2))&gt;60,"","Powiat "),IF(VALUE(RIGHT($A9,1))=1,"m. ",IF(VALUE(RIGHT($A9,1))=2,"gm. w. ",IF(VALUE(RIGHT($A9,1))=8,"dz. ","gm. m.-w. ")))))&amp;IF(LEN($A9)=2,TRIM(UPPER(VLOOKUP($A9,GUS_tabl_1!$A$7:$B$22,2,FALSE))),IF(ISERROR(FIND("..",TRIM(VLOOKUP(IF(AND(LEN($A9)=4,VALUE(RIGHT($A9,2))&gt;60),$A9&amp;"01 1",$A9),IF(AND(LEN($A9)=4,VALUE(RIGHT($A9,2))&lt;60),GUS_tabl_2!$A$8:$B$464,GUS_tabl_21!$A$5:$B$4886),2,FALSE)))),TRIM(VLOOKUP(IF(AND(LEN($A9)=4,VALUE(RIGHT($A9,2))&gt;60),$A9&amp;"01 1",$A9),IF(AND(LEN($A9)=4,VALUE(RIGHT($A9,2))&lt;60),GUS_tabl_2!$A$8:$B$464,GUS_tabl_21!$A$5:$B$4886),2,FALSE)),LEFT(TRIM(VLOOKUP(IF(AND(LEN($A9)=4,VALUE(RIGHT($A9,2))&gt;60),$A9&amp;"01 1",$A9),IF(AND(LEN($A9)=4,VALUE(RIGHT($A9,2))&lt;60),GUS_tabl_2!$A$8:$B$464,GUS_tabl_21!$A$5:$B$4886),2,FALSE)),SUM(FIND("..",TRIM(VLOOKUP(IF(AND(LEN($A9)=4,VALUE(RIGHT($A9,2))&gt;60),$A9&amp;"01 1",$A9),IF(AND(LEN($A9)=4,VALUE(RIGHT($A9,2))&lt;60),GUS_tabl_2!$A$8:$B$464,GUS_tabl_21!$A$5:$B$4886),2,FALSE))),-1)))))</f>
        <v>Powiat bolesławiecki</v>
      </c>
      <c r="D9" s="140">
        <f>IF(OR($A9="",ISERROR(VALUE(LEFT($A9,6)))),"",IF(LEN($A9)=2,SUMIF($A10:$A$2965,$A9&amp;"??",$D10:$D$2965),IF(AND(LEN($A9)=4,VALUE(RIGHT($A9,2))&lt;=60),SUMIF($A10:$A$2965,$A9&amp;"????",$D10:$D$2965),VLOOKUP(IF(LEN($A9)=4,$A9&amp;"01 1",$A9),GUS_tabl_21!$A$5:$F$4886,6,FALSE))))</f>
        <v>90103</v>
      </c>
    </row>
    <row r="10" spans="1:5" s="29" customFormat="1" ht="12" customHeight="1">
      <c r="A10" s="155" t="str">
        <f>"020101 1"</f>
        <v>020101 1</v>
      </c>
      <c r="B10" s="153" t="s">
        <v>40</v>
      </c>
      <c r="C10" s="156" t="str">
        <f>IF(OR($A10="",ISERROR(VALUE(LEFT($A10,6)))),"",IF(LEN($A10)=2,"WOJ. ",IF(LEN($A10)=4,IF(VALUE(RIGHT($A10,2))&gt;60,"","Powiat "),IF(VALUE(RIGHT($A10,1))=1,"m. ",IF(VALUE(RIGHT($A10,1))=2,"gm. w. ",IF(VALUE(RIGHT($A10,1))=8,"dz. ","gm. m.-w. ")))))&amp;IF(LEN($A10)=2,TRIM(UPPER(VLOOKUP($A10,GUS_tabl_1!$A$7:$B$22,2,FALSE))),IF(ISERROR(FIND("..",TRIM(VLOOKUP(IF(AND(LEN($A10)=4,VALUE(RIGHT($A10,2))&gt;60),$A10&amp;"01 1",$A10),IF(AND(LEN($A10)=4,VALUE(RIGHT($A10,2))&lt;60),GUS_tabl_2!$A$8:$B$464,GUS_tabl_21!$A$5:$B$4886),2,FALSE)))),TRIM(VLOOKUP(IF(AND(LEN($A10)=4,VALUE(RIGHT($A10,2))&gt;60),$A10&amp;"01 1",$A10),IF(AND(LEN($A10)=4,VALUE(RIGHT($A10,2))&lt;60),GUS_tabl_2!$A$8:$B$464,GUS_tabl_21!$A$5:$B$4886),2,FALSE)),LEFT(TRIM(VLOOKUP(IF(AND(LEN($A10)=4,VALUE(RIGHT($A10,2))&gt;60),$A10&amp;"01 1",$A10),IF(AND(LEN($A10)=4,VALUE(RIGHT($A10,2))&lt;60),GUS_tabl_2!$A$8:$B$464,GUS_tabl_21!$A$5:$B$4886),2,FALSE)),SUM(FIND("..",TRIM(VLOOKUP(IF(AND(LEN($A10)=4,VALUE(RIGHT($A10,2))&gt;60),$A10&amp;"01 1",$A10),IF(AND(LEN($A10)=4,VALUE(RIGHT($A10,2))&lt;60),GUS_tabl_2!$A$8:$B$464,GUS_tabl_21!$A$5:$B$4886),2,FALSE))),-1)))))</f>
        <v>m. Bolesławiec</v>
      </c>
      <c r="D10" s="141">
        <f>IF(OR($A10="",ISERROR(VALUE(LEFT($A10,6)))),"",IF(LEN($A10)=2,SUMIF($A11:$A$2965,$A10&amp;"??",$D11:$D$2965),IF(AND(LEN($A10)=4,VALUE(RIGHT($A10,2))&lt;=60),SUMIF($A11:$A$2965,$A10&amp;"????",$D11:$D$2965),VLOOKUP(IF(LEN($A10)=4,$A10&amp;"01 1",$A10),GUS_tabl_21!$A$5:$F$4886,6,FALSE))))</f>
        <v>38872</v>
      </c>
    </row>
    <row r="11" spans="1:5" s="29" customFormat="1" ht="12" customHeight="1">
      <c r="A11" s="155" t="str">
        <f>"020102 2"</f>
        <v>020102 2</v>
      </c>
      <c r="B11" s="153" t="s">
        <v>40</v>
      </c>
      <c r="C11" s="156" t="str">
        <f>IF(OR($A11="",ISERROR(VALUE(LEFT($A11,6)))),"",IF(LEN($A11)=2,"WOJ. ",IF(LEN($A11)=4,IF(VALUE(RIGHT($A11,2))&gt;60,"","Powiat "),IF(VALUE(RIGHT($A11,1))=1,"m. ",IF(VALUE(RIGHT($A11,1))=2,"gm. w. ",IF(VALUE(RIGHT($A11,1))=8,"dz. ","gm. m.-w. ")))))&amp;IF(LEN($A11)=2,TRIM(UPPER(VLOOKUP($A11,GUS_tabl_1!$A$7:$B$22,2,FALSE))),IF(ISERROR(FIND("..",TRIM(VLOOKUP(IF(AND(LEN($A11)=4,VALUE(RIGHT($A11,2))&gt;60),$A11&amp;"01 1",$A11),IF(AND(LEN($A11)=4,VALUE(RIGHT($A11,2))&lt;60),GUS_tabl_2!$A$8:$B$464,GUS_tabl_21!$A$5:$B$4886),2,FALSE)))),TRIM(VLOOKUP(IF(AND(LEN($A11)=4,VALUE(RIGHT($A11,2))&gt;60),$A11&amp;"01 1",$A11),IF(AND(LEN($A11)=4,VALUE(RIGHT($A11,2))&lt;60),GUS_tabl_2!$A$8:$B$464,GUS_tabl_21!$A$5:$B$4886),2,FALSE)),LEFT(TRIM(VLOOKUP(IF(AND(LEN($A11)=4,VALUE(RIGHT($A11,2))&gt;60),$A11&amp;"01 1",$A11),IF(AND(LEN($A11)=4,VALUE(RIGHT($A11,2))&lt;60),GUS_tabl_2!$A$8:$B$464,GUS_tabl_21!$A$5:$B$4886),2,FALSE)),SUM(FIND("..",TRIM(VLOOKUP(IF(AND(LEN($A11)=4,VALUE(RIGHT($A11,2))&gt;60),$A11&amp;"01 1",$A11),IF(AND(LEN($A11)=4,VALUE(RIGHT($A11,2))&lt;60),GUS_tabl_2!$A$8:$B$464,GUS_tabl_21!$A$5:$B$4886),2,FALSE))),-1)))))</f>
        <v>gm. w. Bolesławiec</v>
      </c>
      <c r="D11" s="141">
        <f>IF(OR($A11="",ISERROR(VALUE(LEFT($A11,6)))),"",IF(LEN($A11)=2,SUMIF($A12:$A$2965,$A11&amp;"??",$D12:$D$2965),IF(AND(LEN($A11)=4,VALUE(RIGHT($A11,2))&lt;=60),SUMIF($A12:$A$2965,$A11&amp;"????",$D12:$D$2965),VLOOKUP(IF(LEN($A11)=4,$A11&amp;"01 1",$A11),GUS_tabl_21!$A$5:$F$4886,6,FALSE))))</f>
        <v>14699</v>
      </c>
    </row>
    <row r="12" spans="1:5" s="29" customFormat="1" ht="12" customHeight="1">
      <c r="A12" s="155" t="str">
        <f>"020103 2"</f>
        <v>020103 2</v>
      </c>
      <c r="B12" s="153" t="s">
        <v>40</v>
      </c>
      <c r="C12" s="156" t="str">
        <f>IF(OR($A12="",ISERROR(VALUE(LEFT($A12,6)))),"",IF(LEN($A12)=2,"WOJ. ",IF(LEN($A12)=4,IF(VALUE(RIGHT($A12,2))&gt;60,"","Powiat "),IF(VALUE(RIGHT($A12,1))=1,"m. ",IF(VALUE(RIGHT($A12,1))=2,"gm. w. ",IF(VALUE(RIGHT($A12,1))=8,"dz. ","gm. m.-w. ")))))&amp;IF(LEN($A12)=2,TRIM(UPPER(VLOOKUP($A12,GUS_tabl_1!$A$7:$B$22,2,FALSE))),IF(ISERROR(FIND("..",TRIM(VLOOKUP(IF(AND(LEN($A12)=4,VALUE(RIGHT($A12,2))&gt;60),$A12&amp;"01 1",$A12),IF(AND(LEN($A12)=4,VALUE(RIGHT($A12,2))&lt;60),GUS_tabl_2!$A$8:$B$464,GUS_tabl_21!$A$5:$B$4886),2,FALSE)))),TRIM(VLOOKUP(IF(AND(LEN($A12)=4,VALUE(RIGHT($A12,2))&gt;60),$A12&amp;"01 1",$A12),IF(AND(LEN($A12)=4,VALUE(RIGHT($A12,2))&lt;60),GUS_tabl_2!$A$8:$B$464,GUS_tabl_21!$A$5:$B$4886),2,FALSE)),LEFT(TRIM(VLOOKUP(IF(AND(LEN($A12)=4,VALUE(RIGHT($A12,2))&gt;60),$A12&amp;"01 1",$A12),IF(AND(LEN($A12)=4,VALUE(RIGHT($A12,2))&lt;60),GUS_tabl_2!$A$8:$B$464,GUS_tabl_21!$A$5:$B$4886),2,FALSE)),SUM(FIND("..",TRIM(VLOOKUP(IF(AND(LEN($A12)=4,VALUE(RIGHT($A12,2))&gt;60),$A12&amp;"01 1",$A12),IF(AND(LEN($A12)=4,VALUE(RIGHT($A12,2))&lt;60),GUS_tabl_2!$A$8:$B$464,GUS_tabl_21!$A$5:$B$4886),2,FALSE))),-1)))))</f>
        <v>gm. w. Gromadka</v>
      </c>
      <c r="D12" s="141">
        <f>IF(OR($A12="",ISERROR(VALUE(LEFT($A12,6)))),"",IF(LEN($A12)=2,SUMIF($A13:$A$2965,$A12&amp;"??",$D13:$D$2965),IF(AND(LEN($A12)=4,VALUE(RIGHT($A12,2))&lt;=60),SUMIF($A13:$A$2965,$A12&amp;"????",$D13:$D$2965),VLOOKUP(IF(LEN($A12)=4,$A12&amp;"01 1",$A12),GUS_tabl_21!$A$5:$F$4886,6,FALSE))))</f>
        <v>5337</v>
      </c>
    </row>
    <row r="13" spans="1:5" s="29" customFormat="1" ht="12" customHeight="1">
      <c r="A13" s="155" t="str">
        <f>"020104 3"</f>
        <v>020104 3</v>
      </c>
      <c r="B13" s="153" t="s">
        <v>40</v>
      </c>
      <c r="C13" s="156" t="str">
        <f>IF(OR($A13="",ISERROR(VALUE(LEFT($A13,6)))),"",IF(LEN($A13)=2,"WOJ. ",IF(LEN($A13)=4,IF(VALUE(RIGHT($A13,2))&gt;60,"","Powiat "),IF(VALUE(RIGHT($A13,1))=1,"m. ",IF(VALUE(RIGHT($A13,1))=2,"gm. w. ",IF(VALUE(RIGHT($A13,1))=8,"dz. ","gm. m.-w. ")))))&amp;IF(LEN($A13)=2,TRIM(UPPER(VLOOKUP($A13,GUS_tabl_1!$A$7:$B$22,2,FALSE))),IF(ISERROR(FIND("..",TRIM(VLOOKUP(IF(AND(LEN($A13)=4,VALUE(RIGHT($A13,2))&gt;60),$A13&amp;"01 1",$A13),IF(AND(LEN($A13)=4,VALUE(RIGHT($A13,2))&lt;60),GUS_tabl_2!$A$8:$B$464,GUS_tabl_21!$A$5:$B$4886),2,FALSE)))),TRIM(VLOOKUP(IF(AND(LEN($A13)=4,VALUE(RIGHT($A13,2))&gt;60),$A13&amp;"01 1",$A13),IF(AND(LEN($A13)=4,VALUE(RIGHT($A13,2))&lt;60),GUS_tabl_2!$A$8:$B$464,GUS_tabl_21!$A$5:$B$4886),2,FALSE)),LEFT(TRIM(VLOOKUP(IF(AND(LEN($A13)=4,VALUE(RIGHT($A13,2))&gt;60),$A13&amp;"01 1",$A13),IF(AND(LEN($A13)=4,VALUE(RIGHT($A13,2))&lt;60),GUS_tabl_2!$A$8:$B$464,GUS_tabl_21!$A$5:$B$4886),2,FALSE)),SUM(FIND("..",TRIM(VLOOKUP(IF(AND(LEN($A13)=4,VALUE(RIGHT($A13,2))&gt;60),$A13&amp;"01 1",$A13),IF(AND(LEN($A13)=4,VALUE(RIGHT($A13,2))&lt;60),GUS_tabl_2!$A$8:$B$464,GUS_tabl_21!$A$5:$B$4886),2,FALSE))),-1)))))</f>
        <v>gm. m.-w. Nowogrodziec</v>
      </c>
      <c r="D13" s="141">
        <f>IF(OR($A13="",ISERROR(VALUE(LEFT($A13,6)))),"",IF(LEN($A13)=2,SUMIF($A14:$A$2965,$A13&amp;"??",$D14:$D$2965),IF(AND(LEN($A13)=4,VALUE(RIGHT($A13,2))&lt;=60),SUMIF($A14:$A$2965,$A13&amp;"????",$D14:$D$2965),VLOOKUP(IF(LEN($A13)=4,$A13&amp;"01 1",$A13),GUS_tabl_21!$A$5:$F$4886,6,FALSE))))</f>
        <v>15214</v>
      </c>
    </row>
    <row r="14" spans="1:5" s="29" customFormat="1" ht="12" customHeight="1">
      <c r="A14" s="155" t="str">
        <f>"020105 2"</f>
        <v>020105 2</v>
      </c>
      <c r="B14" s="153" t="s">
        <v>40</v>
      </c>
      <c r="C14" s="156" t="str">
        <f>IF(OR($A14="",ISERROR(VALUE(LEFT($A14,6)))),"",IF(LEN($A14)=2,"WOJ. ",IF(LEN($A14)=4,IF(VALUE(RIGHT($A14,2))&gt;60,"","Powiat "),IF(VALUE(RIGHT($A14,1))=1,"m. ",IF(VALUE(RIGHT($A14,1))=2,"gm. w. ",IF(VALUE(RIGHT($A14,1))=8,"dz. ","gm. m.-w. ")))))&amp;IF(LEN($A14)=2,TRIM(UPPER(VLOOKUP($A14,GUS_tabl_1!$A$7:$B$22,2,FALSE))),IF(ISERROR(FIND("..",TRIM(VLOOKUP(IF(AND(LEN($A14)=4,VALUE(RIGHT($A14,2))&gt;60),$A14&amp;"01 1",$A14),IF(AND(LEN($A14)=4,VALUE(RIGHT($A14,2))&lt;60),GUS_tabl_2!$A$8:$B$464,GUS_tabl_21!$A$5:$B$4886),2,FALSE)))),TRIM(VLOOKUP(IF(AND(LEN($A14)=4,VALUE(RIGHT($A14,2))&gt;60),$A14&amp;"01 1",$A14),IF(AND(LEN($A14)=4,VALUE(RIGHT($A14,2))&lt;60),GUS_tabl_2!$A$8:$B$464,GUS_tabl_21!$A$5:$B$4886),2,FALSE)),LEFT(TRIM(VLOOKUP(IF(AND(LEN($A14)=4,VALUE(RIGHT($A14,2))&gt;60),$A14&amp;"01 1",$A14),IF(AND(LEN($A14)=4,VALUE(RIGHT($A14,2))&lt;60),GUS_tabl_2!$A$8:$B$464,GUS_tabl_21!$A$5:$B$4886),2,FALSE)),SUM(FIND("..",TRIM(VLOOKUP(IF(AND(LEN($A14)=4,VALUE(RIGHT($A14,2))&gt;60),$A14&amp;"01 1",$A14),IF(AND(LEN($A14)=4,VALUE(RIGHT($A14,2))&lt;60),GUS_tabl_2!$A$8:$B$464,GUS_tabl_21!$A$5:$B$4886),2,FALSE))),-1)))))</f>
        <v>gm. w. Osiecznica</v>
      </c>
      <c r="D14" s="141">
        <f>IF(OR($A14="",ISERROR(VALUE(LEFT($A14,6)))),"",IF(LEN($A14)=2,SUMIF($A15:$A$2965,$A14&amp;"??",$D15:$D$2965),IF(AND(LEN($A14)=4,VALUE(RIGHT($A14,2))&lt;=60),SUMIF($A15:$A$2965,$A14&amp;"????",$D15:$D$2965),VLOOKUP(IF(LEN($A14)=4,$A14&amp;"01 1",$A14),GUS_tabl_21!$A$5:$F$4886,6,FALSE))))</f>
        <v>7349</v>
      </c>
    </row>
    <row r="15" spans="1:5" s="29" customFormat="1" ht="12" customHeight="1">
      <c r="A15" s="155" t="str">
        <f>"020106 2"</f>
        <v>020106 2</v>
      </c>
      <c r="B15" s="153" t="s">
        <v>40</v>
      </c>
      <c r="C15" s="156" t="str">
        <f>IF(OR($A15="",ISERROR(VALUE(LEFT($A15,6)))),"",IF(LEN($A15)=2,"WOJ. ",IF(LEN($A15)=4,IF(VALUE(RIGHT($A15,2))&gt;60,"","Powiat "),IF(VALUE(RIGHT($A15,1))=1,"m. ",IF(VALUE(RIGHT($A15,1))=2,"gm. w. ",IF(VALUE(RIGHT($A15,1))=8,"dz. ","gm. m.-w. ")))))&amp;IF(LEN($A15)=2,TRIM(UPPER(VLOOKUP($A15,GUS_tabl_1!$A$7:$B$22,2,FALSE))),IF(ISERROR(FIND("..",TRIM(VLOOKUP(IF(AND(LEN($A15)=4,VALUE(RIGHT($A15,2))&gt;60),$A15&amp;"01 1",$A15),IF(AND(LEN($A15)=4,VALUE(RIGHT($A15,2))&lt;60),GUS_tabl_2!$A$8:$B$464,GUS_tabl_21!$A$5:$B$4886),2,FALSE)))),TRIM(VLOOKUP(IF(AND(LEN($A15)=4,VALUE(RIGHT($A15,2))&gt;60),$A15&amp;"01 1",$A15),IF(AND(LEN($A15)=4,VALUE(RIGHT($A15,2))&lt;60),GUS_tabl_2!$A$8:$B$464,GUS_tabl_21!$A$5:$B$4886),2,FALSE)),LEFT(TRIM(VLOOKUP(IF(AND(LEN($A15)=4,VALUE(RIGHT($A15,2))&gt;60),$A15&amp;"01 1",$A15),IF(AND(LEN($A15)=4,VALUE(RIGHT($A15,2))&lt;60),GUS_tabl_2!$A$8:$B$464,GUS_tabl_21!$A$5:$B$4886),2,FALSE)),SUM(FIND("..",TRIM(VLOOKUP(IF(AND(LEN($A15)=4,VALUE(RIGHT($A15,2))&gt;60),$A15&amp;"01 1",$A15),IF(AND(LEN($A15)=4,VALUE(RIGHT($A15,2))&lt;60),GUS_tabl_2!$A$8:$B$464,GUS_tabl_21!$A$5:$B$4886),2,FALSE))),-1)))))</f>
        <v>gm. w. Warta Bolesławiecka</v>
      </c>
      <c r="D15" s="141">
        <f>IF(OR($A15="",ISERROR(VALUE(LEFT($A15,6)))),"",IF(LEN($A15)=2,SUMIF($A16:$A$2965,$A15&amp;"??",$D16:$D$2965),IF(AND(LEN($A15)=4,VALUE(RIGHT($A15,2))&lt;=60),SUMIF($A16:$A$2965,$A15&amp;"????",$D16:$D$2965),VLOOKUP(IF(LEN($A15)=4,$A15&amp;"01 1",$A15),GUS_tabl_21!$A$5:$F$4886,6,FALSE))))</f>
        <v>8632</v>
      </c>
    </row>
    <row r="16" spans="1:5" s="29" customFormat="1" ht="12" customHeight="1">
      <c r="A16" s="152" t="str">
        <f>"0202"</f>
        <v>0202</v>
      </c>
      <c r="B16" s="153" t="s">
        <v>40</v>
      </c>
      <c r="C16" s="154" t="str">
        <f>IF(OR($A16="",ISERROR(VALUE(LEFT($A16,6)))),"",IF(LEN($A16)=2,"WOJ. ",IF(LEN($A16)=4,IF(VALUE(RIGHT($A16,2))&gt;60,"","Powiat "),IF(VALUE(RIGHT($A16,1))=1,"m. ",IF(VALUE(RIGHT($A16,1))=2,"gm. w. ",IF(VALUE(RIGHT($A16,1))=8,"dz. ","gm. m.-w. ")))))&amp;IF(LEN($A16)=2,TRIM(UPPER(VLOOKUP($A16,GUS_tabl_1!$A$7:$B$22,2,FALSE))),IF(ISERROR(FIND("..",TRIM(VLOOKUP(IF(AND(LEN($A16)=4,VALUE(RIGHT($A16,2))&gt;60),$A16&amp;"01 1",$A16),IF(AND(LEN($A16)=4,VALUE(RIGHT($A16,2))&lt;60),GUS_tabl_2!$A$8:$B$464,GUS_tabl_21!$A$5:$B$4886),2,FALSE)))),TRIM(VLOOKUP(IF(AND(LEN($A16)=4,VALUE(RIGHT($A16,2))&gt;60),$A16&amp;"01 1",$A16),IF(AND(LEN($A16)=4,VALUE(RIGHT($A16,2))&lt;60),GUS_tabl_2!$A$8:$B$464,GUS_tabl_21!$A$5:$B$4886),2,FALSE)),LEFT(TRIM(VLOOKUP(IF(AND(LEN($A16)=4,VALUE(RIGHT($A16,2))&gt;60),$A16&amp;"01 1",$A16),IF(AND(LEN($A16)=4,VALUE(RIGHT($A16,2))&lt;60),GUS_tabl_2!$A$8:$B$464,GUS_tabl_21!$A$5:$B$4886),2,FALSE)),SUM(FIND("..",TRIM(VLOOKUP(IF(AND(LEN($A16)=4,VALUE(RIGHT($A16,2))&gt;60),$A16&amp;"01 1",$A16),IF(AND(LEN($A16)=4,VALUE(RIGHT($A16,2))&lt;60),GUS_tabl_2!$A$8:$B$464,GUS_tabl_21!$A$5:$B$4886),2,FALSE))),-1)))))</f>
        <v>Powiat dzierżoniowski</v>
      </c>
      <c r="D16" s="140">
        <f>IF(OR($A16="",ISERROR(VALUE(LEFT($A16,6)))),"",IF(LEN($A16)=2,SUMIF($A17:$A$2965,$A16&amp;"??",$D17:$D$2965),IF(AND(LEN($A16)=4,VALUE(RIGHT($A16,2))&lt;=60),SUMIF($A17:$A$2965,$A16&amp;"????",$D17:$D$2965),VLOOKUP(IF(LEN($A16)=4,$A16&amp;"01 1",$A16),GUS_tabl_21!$A$5:$F$4886,6,FALSE))))</f>
        <v>100813</v>
      </c>
    </row>
    <row r="17" spans="1:4" s="29" customFormat="1" ht="12" customHeight="1">
      <c r="A17" s="155" t="str">
        <f>"020201 1"</f>
        <v>020201 1</v>
      </c>
      <c r="B17" s="153" t="s">
        <v>40</v>
      </c>
      <c r="C17" s="156" t="str">
        <f>IF(OR($A17="",ISERROR(VALUE(LEFT($A17,6)))),"",IF(LEN($A17)=2,"WOJ. ",IF(LEN($A17)=4,IF(VALUE(RIGHT($A17,2))&gt;60,"","Powiat "),IF(VALUE(RIGHT($A17,1))=1,"m. ",IF(VALUE(RIGHT($A17,1))=2,"gm. w. ",IF(VALUE(RIGHT($A17,1))=8,"dz. ","gm. m.-w. ")))))&amp;IF(LEN($A17)=2,TRIM(UPPER(VLOOKUP($A17,GUS_tabl_1!$A$7:$B$22,2,FALSE))),IF(ISERROR(FIND("..",TRIM(VLOOKUP(IF(AND(LEN($A17)=4,VALUE(RIGHT($A17,2))&gt;60),$A17&amp;"01 1",$A17),IF(AND(LEN($A17)=4,VALUE(RIGHT($A17,2))&lt;60),GUS_tabl_2!$A$8:$B$464,GUS_tabl_21!$A$5:$B$4886),2,FALSE)))),TRIM(VLOOKUP(IF(AND(LEN($A17)=4,VALUE(RIGHT($A17,2))&gt;60),$A17&amp;"01 1",$A17),IF(AND(LEN($A17)=4,VALUE(RIGHT($A17,2))&lt;60),GUS_tabl_2!$A$8:$B$464,GUS_tabl_21!$A$5:$B$4886),2,FALSE)),LEFT(TRIM(VLOOKUP(IF(AND(LEN($A17)=4,VALUE(RIGHT($A17,2))&gt;60),$A17&amp;"01 1",$A17),IF(AND(LEN($A17)=4,VALUE(RIGHT($A17,2))&lt;60),GUS_tabl_2!$A$8:$B$464,GUS_tabl_21!$A$5:$B$4886),2,FALSE)),SUM(FIND("..",TRIM(VLOOKUP(IF(AND(LEN($A17)=4,VALUE(RIGHT($A17,2))&gt;60),$A17&amp;"01 1",$A17),IF(AND(LEN($A17)=4,VALUE(RIGHT($A17,2))&lt;60),GUS_tabl_2!$A$8:$B$464,GUS_tabl_21!$A$5:$B$4886),2,FALSE))),-1)))))</f>
        <v>m. Bielawa</v>
      </c>
      <c r="D17" s="141">
        <f>IF(OR($A17="",ISERROR(VALUE(LEFT($A17,6)))),"",IF(LEN($A17)=2,SUMIF($A18:$A$2965,$A17&amp;"??",$D18:$D$2965),IF(AND(LEN($A17)=4,VALUE(RIGHT($A17,2))&lt;=60),SUMIF($A18:$A$2965,$A17&amp;"????",$D18:$D$2965),VLOOKUP(IF(LEN($A17)=4,$A17&amp;"01 1",$A17),GUS_tabl_21!$A$5:$F$4886,6,FALSE))))</f>
        <v>29872</v>
      </c>
    </row>
    <row r="18" spans="1:4" s="29" customFormat="1" ht="12" customHeight="1">
      <c r="A18" s="155" t="str">
        <f>"020202 1"</f>
        <v>020202 1</v>
      </c>
      <c r="B18" s="153" t="s">
        <v>40</v>
      </c>
      <c r="C18" s="156" t="str">
        <f>IF(OR($A18="",ISERROR(VALUE(LEFT($A18,6)))),"",IF(LEN($A18)=2,"WOJ. ",IF(LEN($A18)=4,IF(VALUE(RIGHT($A18,2))&gt;60,"","Powiat "),IF(VALUE(RIGHT($A18,1))=1,"m. ",IF(VALUE(RIGHT($A18,1))=2,"gm. w. ",IF(VALUE(RIGHT($A18,1))=8,"dz. ","gm. m.-w. ")))))&amp;IF(LEN($A18)=2,TRIM(UPPER(VLOOKUP($A18,GUS_tabl_1!$A$7:$B$22,2,FALSE))),IF(ISERROR(FIND("..",TRIM(VLOOKUP(IF(AND(LEN($A18)=4,VALUE(RIGHT($A18,2))&gt;60),$A18&amp;"01 1",$A18),IF(AND(LEN($A18)=4,VALUE(RIGHT($A18,2))&lt;60),GUS_tabl_2!$A$8:$B$464,GUS_tabl_21!$A$5:$B$4886),2,FALSE)))),TRIM(VLOOKUP(IF(AND(LEN($A18)=4,VALUE(RIGHT($A18,2))&gt;60),$A18&amp;"01 1",$A18),IF(AND(LEN($A18)=4,VALUE(RIGHT($A18,2))&lt;60),GUS_tabl_2!$A$8:$B$464,GUS_tabl_21!$A$5:$B$4886),2,FALSE)),LEFT(TRIM(VLOOKUP(IF(AND(LEN($A18)=4,VALUE(RIGHT($A18,2))&gt;60),$A18&amp;"01 1",$A18),IF(AND(LEN($A18)=4,VALUE(RIGHT($A18,2))&lt;60),GUS_tabl_2!$A$8:$B$464,GUS_tabl_21!$A$5:$B$4886),2,FALSE)),SUM(FIND("..",TRIM(VLOOKUP(IF(AND(LEN($A18)=4,VALUE(RIGHT($A18,2))&gt;60),$A18&amp;"01 1",$A18),IF(AND(LEN($A18)=4,VALUE(RIGHT($A18,2))&lt;60),GUS_tabl_2!$A$8:$B$464,GUS_tabl_21!$A$5:$B$4886),2,FALSE))),-1)))))</f>
        <v>m. Dzierżoniów</v>
      </c>
      <c r="D18" s="141">
        <f>IF(OR($A18="",ISERROR(VALUE(LEFT($A18,6)))),"",IF(LEN($A18)=2,SUMIF($A19:$A$2965,$A18&amp;"??",$D19:$D$2965),IF(AND(LEN($A18)=4,VALUE(RIGHT($A18,2))&lt;=60),SUMIF($A19:$A$2965,$A18&amp;"????",$D19:$D$2965),VLOOKUP(IF(LEN($A18)=4,$A18&amp;"01 1",$A18),GUS_tabl_21!$A$5:$F$4886,6,FALSE))))</f>
        <v>33137</v>
      </c>
    </row>
    <row r="19" spans="1:4" s="29" customFormat="1" ht="12" customHeight="1">
      <c r="A19" s="155" t="str">
        <f>"020203 3"</f>
        <v>020203 3</v>
      </c>
      <c r="B19" s="153" t="s">
        <v>40</v>
      </c>
      <c r="C19" s="156" t="str">
        <f>IF(OR($A19="",ISERROR(VALUE(LEFT($A19,6)))),"",IF(LEN($A19)=2,"WOJ. ",IF(LEN($A19)=4,IF(VALUE(RIGHT($A19,2))&gt;60,"","Powiat "),IF(VALUE(RIGHT($A19,1))=1,"m. ",IF(VALUE(RIGHT($A19,1))=2,"gm. w. ",IF(VALUE(RIGHT($A19,1))=8,"dz. ","gm. m.-w. ")))))&amp;IF(LEN($A19)=2,TRIM(UPPER(VLOOKUP($A19,GUS_tabl_1!$A$7:$B$22,2,FALSE))),IF(ISERROR(FIND("..",TRIM(VLOOKUP(IF(AND(LEN($A19)=4,VALUE(RIGHT($A19,2))&gt;60),$A19&amp;"01 1",$A19),IF(AND(LEN($A19)=4,VALUE(RIGHT($A19,2))&lt;60),GUS_tabl_2!$A$8:$B$464,GUS_tabl_21!$A$5:$B$4886),2,FALSE)))),TRIM(VLOOKUP(IF(AND(LEN($A19)=4,VALUE(RIGHT($A19,2))&gt;60),$A19&amp;"01 1",$A19),IF(AND(LEN($A19)=4,VALUE(RIGHT($A19,2))&lt;60),GUS_tabl_2!$A$8:$B$464,GUS_tabl_21!$A$5:$B$4886),2,FALSE)),LEFT(TRIM(VLOOKUP(IF(AND(LEN($A19)=4,VALUE(RIGHT($A19,2))&gt;60),$A19&amp;"01 1",$A19),IF(AND(LEN($A19)=4,VALUE(RIGHT($A19,2))&lt;60),GUS_tabl_2!$A$8:$B$464,GUS_tabl_21!$A$5:$B$4886),2,FALSE)),SUM(FIND("..",TRIM(VLOOKUP(IF(AND(LEN($A19)=4,VALUE(RIGHT($A19,2))&gt;60),$A19&amp;"01 1",$A19),IF(AND(LEN($A19)=4,VALUE(RIGHT($A19,2))&lt;60),GUS_tabl_2!$A$8:$B$464,GUS_tabl_21!$A$5:$B$4886),2,FALSE))),-1)))))</f>
        <v>gm. m.-w. Pieszyce</v>
      </c>
      <c r="D19" s="141">
        <f>IF(OR($A19="",ISERROR(VALUE(LEFT($A19,6)))),"",IF(LEN($A19)=2,SUMIF($A20:$A$2965,$A19&amp;"??",$D20:$D$2965),IF(AND(LEN($A19)=4,VALUE(RIGHT($A19,2))&lt;=60),SUMIF($A20:$A$2965,$A19&amp;"????",$D20:$D$2965),VLOOKUP(IF(LEN($A19)=4,$A19&amp;"01 1",$A19),GUS_tabl_21!$A$5:$F$4886,6,FALSE))))</f>
        <v>9410</v>
      </c>
    </row>
    <row r="20" spans="1:4" s="29" customFormat="1" ht="12" customHeight="1">
      <c r="A20" s="155" t="str">
        <f>"020204 1"</f>
        <v>020204 1</v>
      </c>
      <c r="B20" s="153" t="s">
        <v>40</v>
      </c>
      <c r="C20" s="156" t="str">
        <f>IF(OR($A20="",ISERROR(VALUE(LEFT($A20,6)))),"",IF(LEN($A20)=2,"WOJ. ",IF(LEN($A20)=4,IF(VALUE(RIGHT($A20,2))&gt;60,"","Powiat "),IF(VALUE(RIGHT($A20,1))=1,"m. ",IF(VALUE(RIGHT($A20,1))=2,"gm. w. ",IF(VALUE(RIGHT($A20,1))=8,"dz. ","gm. m.-w. ")))))&amp;IF(LEN($A20)=2,TRIM(UPPER(VLOOKUP($A20,GUS_tabl_1!$A$7:$B$22,2,FALSE))),IF(ISERROR(FIND("..",TRIM(VLOOKUP(IF(AND(LEN($A20)=4,VALUE(RIGHT($A20,2))&gt;60),$A20&amp;"01 1",$A20),IF(AND(LEN($A20)=4,VALUE(RIGHT($A20,2))&lt;60),GUS_tabl_2!$A$8:$B$464,GUS_tabl_21!$A$5:$B$4886),2,FALSE)))),TRIM(VLOOKUP(IF(AND(LEN($A20)=4,VALUE(RIGHT($A20,2))&gt;60),$A20&amp;"01 1",$A20),IF(AND(LEN($A20)=4,VALUE(RIGHT($A20,2))&lt;60),GUS_tabl_2!$A$8:$B$464,GUS_tabl_21!$A$5:$B$4886),2,FALSE)),LEFT(TRIM(VLOOKUP(IF(AND(LEN($A20)=4,VALUE(RIGHT($A20,2))&gt;60),$A20&amp;"01 1",$A20),IF(AND(LEN($A20)=4,VALUE(RIGHT($A20,2))&lt;60),GUS_tabl_2!$A$8:$B$464,GUS_tabl_21!$A$5:$B$4886),2,FALSE)),SUM(FIND("..",TRIM(VLOOKUP(IF(AND(LEN($A20)=4,VALUE(RIGHT($A20,2))&gt;60),$A20&amp;"01 1",$A20),IF(AND(LEN($A20)=4,VALUE(RIGHT($A20,2))&lt;60),GUS_tabl_2!$A$8:$B$464,GUS_tabl_21!$A$5:$B$4886),2,FALSE))),-1)))))</f>
        <v>m. Piława Górna</v>
      </c>
      <c r="D20" s="141">
        <f>IF(OR($A20="",ISERROR(VALUE(LEFT($A20,6)))),"",IF(LEN($A20)=2,SUMIF($A21:$A$2965,$A20&amp;"??",$D21:$D$2965),IF(AND(LEN($A20)=4,VALUE(RIGHT($A20,2))&lt;=60),SUMIF($A21:$A$2965,$A20&amp;"????",$D21:$D$2965),VLOOKUP(IF(LEN($A20)=4,$A20&amp;"01 1",$A20),GUS_tabl_21!$A$5:$F$4886,6,FALSE))))</f>
        <v>6394</v>
      </c>
    </row>
    <row r="21" spans="1:4" s="29" customFormat="1" ht="12" customHeight="1">
      <c r="A21" s="155" t="str">
        <f>"020205 2"</f>
        <v>020205 2</v>
      </c>
      <c r="B21" s="153" t="s">
        <v>40</v>
      </c>
      <c r="C21" s="156" t="str">
        <f>IF(OR($A21="",ISERROR(VALUE(LEFT($A21,6)))),"",IF(LEN($A21)=2,"WOJ. ",IF(LEN($A21)=4,IF(VALUE(RIGHT($A21,2))&gt;60,"","Powiat "),IF(VALUE(RIGHT($A21,1))=1,"m. ",IF(VALUE(RIGHT($A21,1))=2,"gm. w. ",IF(VALUE(RIGHT($A21,1))=8,"dz. ","gm. m.-w. ")))))&amp;IF(LEN($A21)=2,TRIM(UPPER(VLOOKUP($A21,GUS_tabl_1!$A$7:$B$22,2,FALSE))),IF(ISERROR(FIND("..",TRIM(VLOOKUP(IF(AND(LEN($A21)=4,VALUE(RIGHT($A21,2))&gt;60),$A21&amp;"01 1",$A21),IF(AND(LEN($A21)=4,VALUE(RIGHT($A21,2))&lt;60),GUS_tabl_2!$A$8:$B$464,GUS_tabl_21!$A$5:$B$4886),2,FALSE)))),TRIM(VLOOKUP(IF(AND(LEN($A21)=4,VALUE(RIGHT($A21,2))&gt;60),$A21&amp;"01 1",$A21),IF(AND(LEN($A21)=4,VALUE(RIGHT($A21,2))&lt;60),GUS_tabl_2!$A$8:$B$464,GUS_tabl_21!$A$5:$B$4886),2,FALSE)),LEFT(TRIM(VLOOKUP(IF(AND(LEN($A21)=4,VALUE(RIGHT($A21,2))&gt;60),$A21&amp;"01 1",$A21),IF(AND(LEN($A21)=4,VALUE(RIGHT($A21,2))&lt;60),GUS_tabl_2!$A$8:$B$464,GUS_tabl_21!$A$5:$B$4886),2,FALSE)),SUM(FIND("..",TRIM(VLOOKUP(IF(AND(LEN($A21)=4,VALUE(RIGHT($A21,2))&gt;60),$A21&amp;"01 1",$A21),IF(AND(LEN($A21)=4,VALUE(RIGHT($A21,2))&lt;60),GUS_tabl_2!$A$8:$B$464,GUS_tabl_21!$A$5:$B$4886),2,FALSE))),-1)))))</f>
        <v>gm. w. Dzierżoniów</v>
      </c>
      <c r="D21" s="141">
        <f>IF(OR($A21="",ISERROR(VALUE(LEFT($A21,6)))),"",IF(LEN($A21)=2,SUMIF($A22:$A$2965,$A21&amp;"??",$D22:$D$2965),IF(AND(LEN($A21)=4,VALUE(RIGHT($A21,2))&lt;=60),SUMIF($A22:$A$2965,$A21&amp;"????",$D22:$D$2965),VLOOKUP(IF(LEN($A21)=4,$A21&amp;"01 1",$A21),GUS_tabl_21!$A$5:$F$4886,6,FALSE))))</f>
        <v>9092</v>
      </c>
    </row>
    <row r="22" spans="1:4" s="29" customFormat="1" ht="12" customHeight="1">
      <c r="A22" s="155" t="str">
        <f>"020206 2"</f>
        <v>020206 2</v>
      </c>
      <c r="B22" s="153" t="s">
        <v>40</v>
      </c>
      <c r="C22" s="156" t="str">
        <f>IF(OR($A22="",ISERROR(VALUE(LEFT($A22,6)))),"",IF(LEN($A22)=2,"WOJ. ",IF(LEN($A22)=4,IF(VALUE(RIGHT($A22,2))&gt;60,"","Powiat "),IF(VALUE(RIGHT($A22,1))=1,"m. ",IF(VALUE(RIGHT($A22,1))=2,"gm. w. ",IF(VALUE(RIGHT($A22,1))=8,"dz. ","gm. m.-w. ")))))&amp;IF(LEN($A22)=2,TRIM(UPPER(VLOOKUP($A22,GUS_tabl_1!$A$7:$B$22,2,FALSE))),IF(ISERROR(FIND("..",TRIM(VLOOKUP(IF(AND(LEN($A22)=4,VALUE(RIGHT($A22,2))&gt;60),$A22&amp;"01 1",$A22),IF(AND(LEN($A22)=4,VALUE(RIGHT($A22,2))&lt;60),GUS_tabl_2!$A$8:$B$464,GUS_tabl_21!$A$5:$B$4886),2,FALSE)))),TRIM(VLOOKUP(IF(AND(LEN($A22)=4,VALUE(RIGHT($A22,2))&gt;60),$A22&amp;"01 1",$A22),IF(AND(LEN($A22)=4,VALUE(RIGHT($A22,2))&lt;60),GUS_tabl_2!$A$8:$B$464,GUS_tabl_21!$A$5:$B$4886),2,FALSE)),LEFT(TRIM(VLOOKUP(IF(AND(LEN($A22)=4,VALUE(RIGHT($A22,2))&gt;60),$A22&amp;"01 1",$A22),IF(AND(LEN($A22)=4,VALUE(RIGHT($A22,2))&lt;60),GUS_tabl_2!$A$8:$B$464,GUS_tabl_21!$A$5:$B$4886),2,FALSE)),SUM(FIND("..",TRIM(VLOOKUP(IF(AND(LEN($A22)=4,VALUE(RIGHT($A22,2))&gt;60),$A22&amp;"01 1",$A22),IF(AND(LEN($A22)=4,VALUE(RIGHT($A22,2))&lt;60),GUS_tabl_2!$A$8:$B$464,GUS_tabl_21!$A$5:$B$4886),2,FALSE))),-1)))))</f>
        <v>gm. w. Łagiewniki</v>
      </c>
      <c r="D22" s="141">
        <f>IF(OR($A22="",ISERROR(VALUE(LEFT($A22,6)))),"",IF(LEN($A22)=2,SUMIF($A23:$A$2965,$A22&amp;"??",$D23:$D$2965),IF(AND(LEN($A22)=4,VALUE(RIGHT($A22,2))&lt;=60),SUMIF($A23:$A$2965,$A22&amp;"????",$D23:$D$2965),VLOOKUP(IF(LEN($A22)=4,$A22&amp;"01 1",$A22),GUS_tabl_21!$A$5:$F$4886,6,FALSE))))</f>
        <v>7438</v>
      </c>
    </row>
    <row r="23" spans="1:4" s="29" customFormat="1" ht="12" customHeight="1">
      <c r="A23" s="155" t="str">
        <f>"020207 3"</f>
        <v>020207 3</v>
      </c>
      <c r="B23" s="153" t="s">
        <v>40</v>
      </c>
      <c r="C23" s="156" t="str">
        <f>IF(OR($A23="",ISERROR(VALUE(LEFT($A23,6)))),"",IF(LEN($A23)=2,"WOJ. ",IF(LEN($A23)=4,IF(VALUE(RIGHT($A23,2))&gt;60,"","Powiat "),IF(VALUE(RIGHT($A23,1))=1,"m. ",IF(VALUE(RIGHT($A23,1))=2,"gm. w. ",IF(VALUE(RIGHT($A23,1))=8,"dz. ","gm. m.-w. ")))))&amp;IF(LEN($A23)=2,TRIM(UPPER(VLOOKUP($A23,GUS_tabl_1!$A$7:$B$22,2,FALSE))),IF(ISERROR(FIND("..",TRIM(VLOOKUP(IF(AND(LEN($A23)=4,VALUE(RIGHT($A23,2))&gt;60),$A23&amp;"01 1",$A23),IF(AND(LEN($A23)=4,VALUE(RIGHT($A23,2))&lt;60),GUS_tabl_2!$A$8:$B$464,GUS_tabl_21!$A$5:$B$4886),2,FALSE)))),TRIM(VLOOKUP(IF(AND(LEN($A23)=4,VALUE(RIGHT($A23,2))&gt;60),$A23&amp;"01 1",$A23),IF(AND(LEN($A23)=4,VALUE(RIGHT($A23,2))&lt;60),GUS_tabl_2!$A$8:$B$464,GUS_tabl_21!$A$5:$B$4886),2,FALSE)),LEFT(TRIM(VLOOKUP(IF(AND(LEN($A23)=4,VALUE(RIGHT($A23,2))&gt;60),$A23&amp;"01 1",$A23),IF(AND(LEN($A23)=4,VALUE(RIGHT($A23,2))&lt;60),GUS_tabl_2!$A$8:$B$464,GUS_tabl_21!$A$5:$B$4886),2,FALSE)),SUM(FIND("..",TRIM(VLOOKUP(IF(AND(LEN($A23)=4,VALUE(RIGHT($A23,2))&gt;60),$A23&amp;"01 1",$A23),IF(AND(LEN($A23)=4,VALUE(RIGHT($A23,2))&lt;60),GUS_tabl_2!$A$8:$B$464,GUS_tabl_21!$A$5:$B$4886),2,FALSE))),-1)))))</f>
        <v>gm. m.-w. Niemcza</v>
      </c>
      <c r="D23" s="141">
        <f>IF(OR($A23="",ISERROR(VALUE(LEFT($A23,6)))),"",IF(LEN($A23)=2,SUMIF($A24:$A$2965,$A23&amp;"??",$D24:$D$2965),IF(AND(LEN($A23)=4,VALUE(RIGHT($A23,2))&lt;=60),SUMIF($A24:$A$2965,$A23&amp;"????",$D24:$D$2965),VLOOKUP(IF(LEN($A23)=4,$A23&amp;"01 1",$A23),GUS_tabl_21!$A$5:$F$4886,6,FALSE))))</f>
        <v>5470</v>
      </c>
    </row>
    <row r="24" spans="1:4" s="29" customFormat="1" ht="12" customHeight="1">
      <c r="A24" s="152" t="str">
        <f>"0203"</f>
        <v>0203</v>
      </c>
      <c r="B24" s="153" t="s">
        <v>40</v>
      </c>
      <c r="C24" s="154" t="str">
        <f>IF(OR($A24="",ISERROR(VALUE(LEFT($A24,6)))),"",IF(LEN($A24)=2,"WOJ. ",IF(LEN($A24)=4,IF(VALUE(RIGHT($A24,2))&gt;60,"","Powiat "),IF(VALUE(RIGHT($A24,1))=1,"m. ",IF(VALUE(RIGHT($A24,1))=2,"gm. w. ",IF(VALUE(RIGHT($A24,1))=8,"dz. ","gm. m.-w. ")))))&amp;IF(LEN($A24)=2,TRIM(UPPER(VLOOKUP($A24,GUS_tabl_1!$A$7:$B$22,2,FALSE))),IF(ISERROR(FIND("..",TRIM(VLOOKUP(IF(AND(LEN($A24)=4,VALUE(RIGHT($A24,2))&gt;60),$A24&amp;"01 1",$A24),IF(AND(LEN($A24)=4,VALUE(RIGHT($A24,2))&lt;60),GUS_tabl_2!$A$8:$B$464,GUS_tabl_21!$A$5:$B$4886),2,FALSE)))),TRIM(VLOOKUP(IF(AND(LEN($A24)=4,VALUE(RIGHT($A24,2))&gt;60),$A24&amp;"01 1",$A24),IF(AND(LEN($A24)=4,VALUE(RIGHT($A24,2))&lt;60),GUS_tabl_2!$A$8:$B$464,GUS_tabl_21!$A$5:$B$4886),2,FALSE)),LEFT(TRIM(VLOOKUP(IF(AND(LEN($A24)=4,VALUE(RIGHT($A24,2))&gt;60),$A24&amp;"01 1",$A24),IF(AND(LEN($A24)=4,VALUE(RIGHT($A24,2))&lt;60),GUS_tabl_2!$A$8:$B$464,GUS_tabl_21!$A$5:$B$4886),2,FALSE)),SUM(FIND("..",TRIM(VLOOKUP(IF(AND(LEN($A24)=4,VALUE(RIGHT($A24,2))&gt;60),$A24&amp;"01 1",$A24),IF(AND(LEN($A24)=4,VALUE(RIGHT($A24,2))&lt;60),GUS_tabl_2!$A$8:$B$464,GUS_tabl_21!$A$5:$B$4886),2,FALSE))),-1)))))</f>
        <v>Powiat głogowski</v>
      </c>
      <c r="D24" s="140">
        <f>IF(OR($A24="",ISERROR(VALUE(LEFT($A24,6)))),"",IF(LEN($A24)=2,SUMIF($A25:$A$2965,$A24&amp;"??",$D25:$D$2965),IF(AND(LEN($A24)=4,VALUE(RIGHT($A24,2))&lt;=60),SUMIF($A25:$A$2965,$A24&amp;"????",$D25:$D$2965),VLOOKUP(IF(LEN($A24)=4,$A24&amp;"01 1",$A24),GUS_tabl_21!$A$5:$F$4886,6,FALSE))))</f>
        <v>89102</v>
      </c>
    </row>
    <row r="25" spans="1:4" s="29" customFormat="1" ht="12" customHeight="1">
      <c r="A25" s="155" t="str">
        <f>"020301 1"</f>
        <v>020301 1</v>
      </c>
      <c r="B25" s="153" t="s">
        <v>40</v>
      </c>
      <c r="C25" s="156" t="str">
        <f>IF(OR($A25="",ISERROR(VALUE(LEFT($A25,6)))),"",IF(LEN($A25)=2,"WOJ. ",IF(LEN($A25)=4,IF(VALUE(RIGHT($A25,2))&gt;60,"","Powiat "),IF(VALUE(RIGHT($A25,1))=1,"m. ",IF(VALUE(RIGHT($A25,1))=2,"gm. w. ",IF(VALUE(RIGHT($A25,1))=8,"dz. ","gm. m.-w. ")))))&amp;IF(LEN($A25)=2,TRIM(UPPER(VLOOKUP($A25,GUS_tabl_1!$A$7:$B$22,2,FALSE))),IF(ISERROR(FIND("..",TRIM(VLOOKUP(IF(AND(LEN($A25)=4,VALUE(RIGHT($A25,2))&gt;60),$A25&amp;"01 1",$A25),IF(AND(LEN($A25)=4,VALUE(RIGHT($A25,2))&lt;60),GUS_tabl_2!$A$8:$B$464,GUS_tabl_21!$A$5:$B$4886),2,FALSE)))),TRIM(VLOOKUP(IF(AND(LEN($A25)=4,VALUE(RIGHT($A25,2))&gt;60),$A25&amp;"01 1",$A25),IF(AND(LEN($A25)=4,VALUE(RIGHT($A25,2))&lt;60),GUS_tabl_2!$A$8:$B$464,GUS_tabl_21!$A$5:$B$4886),2,FALSE)),LEFT(TRIM(VLOOKUP(IF(AND(LEN($A25)=4,VALUE(RIGHT($A25,2))&gt;60),$A25&amp;"01 1",$A25),IF(AND(LEN($A25)=4,VALUE(RIGHT($A25,2))&lt;60),GUS_tabl_2!$A$8:$B$464,GUS_tabl_21!$A$5:$B$4886),2,FALSE)),SUM(FIND("..",TRIM(VLOOKUP(IF(AND(LEN($A25)=4,VALUE(RIGHT($A25,2))&gt;60),$A25&amp;"01 1",$A25),IF(AND(LEN($A25)=4,VALUE(RIGHT($A25,2))&lt;60),GUS_tabl_2!$A$8:$B$464,GUS_tabl_21!$A$5:$B$4886),2,FALSE))),-1)))))</f>
        <v>m. Głogów</v>
      </c>
      <c r="D25" s="141">
        <f>IF(OR($A25="",ISERROR(VALUE(LEFT($A25,6)))),"",IF(LEN($A25)=2,SUMIF($A26:$A$2965,$A25&amp;"??",$D26:$D$2965),IF(AND(LEN($A25)=4,VALUE(RIGHT($A25,2))&lt;=60),SUMIF($A26:$A$2965,$A25&amp;"????",$D26:$D$2965),VLOOKUP(IF(LEN($A25)=4,$A25&amp;"01 1",$A25),GUS_tabl_21!$A$5:$F$4886,6,FALSE))))</f>
        <v>66980</v>
      </c>
    </row>
    <row r="26" spans="1:4" s="29" customFormat="1" ht="12" customHeight="1">
      <c r="A26" s="155" t="str">
        <f>"020302 2"</f>
        <v>020302 2</v>
      </c>
      <c r="B26" s="153" t="s">
        <v>40</v>
      </c>
      <c r="C26" s="156" t="str">
        <f>IF(OR($A26="",ISERROR(VALUE(LEFT($A26,6)))),"",IF(LEN($A26)=2,"WOJ. ",IF(LEN($A26)=4,IF(VALUE(RIGHT($A26,2))&gt;60,"","Powiat "),IF(VALUE(RIGHT($A26,1))=1,"m. ",IF(VALUE(RIGHT($A26,1))=2,"gm. w. ",IF(VALUE(RIGHT($A26,1))=8,"dz. ","gm. m.-w. ")))))&amp;IF(LEN($A26)=2,TRIM(UPPER(VLOOKUP($A26,GUS_tabl_1!$A$7:$B$22,2,FALSE))),IF(ISERROR(FIND("..",TRIM(VLOOKUP(IF(AND(LEN($A26)=4,VALUE(RIGHT($A26,2))&gt;60),$A26&amp;"01 1",$A26),IF(AND(LEN($A26)=4,VALUE(RIGHT($A26,2))&lt;60),GUS_tabl_2!$A$8:$B$464,GUS_tabl_21!$A$5:$B$4886),2,FALSE)))),TRIM(VLOOKUP(IF(AND(LEN($A26)=4,VALUE(RIGHT($A26,2))&gt;60),$A26&amp;"01 1",$A26),IF(AND(LEN($A26)=4,VALUE(RIGHT($A26,2))&lt;60),GUS_tabl_2!$A$8:$B$464,GUS_tabl_21!$A$5:$B$4886),2,FALSE)),LEFT(TRIM(VLOOKUP(IF(AND(LEN($A26)=4,VALUE(RIGHT($A26,2))&gt;60),$A26&amp;"01 1",$A26),IF(AND(LEN($A26)=4,VALUE(RIGHT($A26,2))&lt;60),GUS_tabl_2!$A$8:$B$464,GUS_tabl_21!$A$5:$B$4886),2,FALSE)),SUM(FIND("..",TRIM(VLOOKUP(IF(AND(LEN($A26)=4,VALUE(RIGHT($A26,2))&gt;60),$A26&amp;"01 1",$A26),IF(AND(LEN($A26)=4,VALUE(RIGHT($A26,2))&lt;60),GUS_tabl_2!$A$8:$B$464,GUS_tabl_21!$A$5:$B$4886),2,FALSE))),-1)))))</f>
        <v>gm. w. Głogów</v>
      </c>
      <c r="D26" s="141">
        <f>IF(OR($A26="",ISERROR(VALUE(LEFT($A26,6)))),"",IF(LEN($A26)=2,SUMIF($A27:$A$2965,$A26&amp;"??",$D27:$D$2965),IF(AND(LEN($A26)=4,VALUE(RIGHT($A26,2))&lt;=60),SUMIF($A27:$A$2965,$A26&amp;"????",$D27:$D$2965),VLOOKUP(IF(LEN($A26)=4,$A26&amp;"01 1",$A26),GUS_tabl_21!$A$5:$F$4886,6,FALSE))))</f>
        <v>6791</v>
      </c>
    </row>
    <row r="27" spans="1:4" s="29" customFormat="1" ht="12" customHeight="1">
      <c r="A27" s="155" t="str">
        <f>"020303 2"</f>
        <v>020303 2</v>
      </c>
      <c r="B27" s="153" t="s">
        <v>40</v>
      </c>
      <c r="C27" s="156" t="str">
        <f>IF(OR($A27="",ISERROR(VALUE(LEFT($A27,6)))),"",IF(LEN($A27)=2,"WOJ. ",IF(LEN($A27)=4,IF(VALUE(RIGHT($A27,2))&gt;60,"","Powiat "),IF(VALUE(RIGHT($A27,1))=1,"m. ",IF(VALUE(RIGHT($A27,1))=2,"gm. w. ",IF(VALUE(RIGHT($A27,1))=8,"dz. ","gm. m.-w. ")))))&amp;IF(LEN($A27)=2,TRIM(UPPER(VLOOKUP($A27,GUS_tabl_1!$A$7:$B$22,2,FALSE))),IF(ISERROR(FIND("..",TRIM(VLOOKUP(IF(AND(LEN($A27)=4,VALUE(RIGHT($A27,2))&gt;60),$A27&amp;"01 1",$A27),IF(AND(LEN($A27)=4,VALUE(RIGHT($A27,2))&lt;60),GUS_tabl_2!$A$8:$B$464,GUS_tabl_21!$A$5:$B$4886),2,FALSE)))),TRIM(VLOOKUP(IF(AND(LEN($A27)=4,VALUE(RIGHT($A27,2))&gt;60),$A27&amp;"01 1",$A27),IF(AND(LEN($A27)=4,VALUE(RIGHT($A27,2))&lt;60),GUS_tabl_2!$A$8:$B$464,GUS_tabl_21!$A$5:$B$4886),2,FALSE)),LEFT(TRIM(VLOOKUP(IF(AND(LEN($A27)=4,VALUE(RIGHT($A27,2))&gt;60),$A27&amp;"01 1",$A27),IF(AND(LEN($A27)=4,VALUE(RIGHT($A27,2))&lt;60),GUS_tabl_2!$A$8:$B$464,GUS_tabl_21!$A$5:$B$4886),2,FALSE)),SUM(FIND("..",TRIM(VLOOKUP(IF(AND(LEN($A27)=4,VALUE(RIGHT($A27,2))&gt;60),$A27&amp;"01 1",$A27),IF(AND(LEN($A27)=4,VALUE(RIGHT($A27,2))&lt;60),GUS_tabl_2!$A$8:$B$464,GUS_tabl_21!$A$5:$B$4886),2,FALSE))),-1)))))</f>
        <v>gm. w. Jerzmanowa</v>
      </c>
      <c r="D27" s="141">
        <f>IF(OR($A27="",ISERROR(VALUE(LEFT($A27,6)))),"",IF(LEN($A27)=2,SUMIF($A28:$A$2965,$A27&amp;"??",$D28:$D$2965),IF(AND(LEN($A27)=4,VALUE(RIGHT($A27,2))&lt;=60),SUMIF($A28:$A$2965,$A27&amp;"????",$D28:$D$2965),VLOOKUP(IF(LEN($A27)=4,$A27&amp;"01 1",$A27),GUS_tabl_21!$A$5:$F$4886,6,FALSE))))</f>
        <v>5156</v>
      </c>
    </row>
    <row r="28" spans="1:4" s="29" customFormat="1" ht="12" customHeight="1">
      <c r="A28" s="155" t="str">
        <f>"020304 2"</f>
        <v>020304 2</v>
      </c>
      <c r="B28" s="153" t="s">
        <v>40</v>
      </c>
      <c r="C28" s="156" t="str">
        <f>IF(OR($A28="",ISERROR(VALUE(LEFT($A28,6)))),"",IF(LEN($A28)=2,"WOJ. ",IF(LEN($A28)=4,IF(VALUE(RIGHT($A28,2))&gt;60,"","Powiat "),IF(VALUE(RIGHT($A28,1))=1,"m. ",IF(VALUE(RIGHT($A28,1))=2,"gm. w. ",IF(VALUE(RIGHT($A28,1))=8,"dz. ","gm. m.-w. ")))))&amp;IF(LEN($A28)=2,TRIM(UPPER(VLOOKUP($A28,GUS_tabl_1!$A$7:$B$22,2,FALSE))),IF(ISERROR(FIND("..",TRIM(VLOOKUP(IF(AND(LEN($A28)=4,VALUE(RIGHT($A28,2))&gt;60),$A28&amp;"01 1",$A28),IF(AND(LEN($A28)=4,VALUE(RIGHT($A28,2))&lt;60),GUS_tabl_2!$A$8:$B$464,GUS_tabl_21!$A$5:$B$4886),2,FALSE)))),TRIM(VLOOKUP(IF(AND(LEN($A28)=4,VALUE(RIGHT($A28,2))&gt;60),$A28&amp;"01 1",$A28),IF(AND(LEN($A28)=4,VALUE(RIGHT($A28,2))&lt;60),GUS_tabl_2!$A$8:$B$464,GUS_tabl_21!$A$5:$B$4886),2,FALSE)),LEFT(TRIM(VLOOKUP(IF(AND(LEN($A28)=4,VALUE(RIGHT($A28,2))&gt;60),$A28&amp;"01 1",$A28),IF(AND(LEN($A28)=4,VALUE(RIGHT($A28,2))&lt;60),GUS_tabl_2!$A$8:$B$464,GUS_tabl_21!$A$5:$B$4886),2,FALSE)),SUM(FIND("..",TRIM(VLOOKUP(IF(AND(LEN($A28)=4,VALUE(RIGHT($A28,2))&gt;60),$A28&amp;"01 1",$A28),IF(AND(LEN($A28)=4,VALUE(RIGHT($A28,2))&lt;60),GUS_tabl_2!$A$8:$B$464,GUS_tabl_21!$A$5:$B$4886),2,FALSE))),-1)))))</f>
        <v>gm. w. Kotla</v>
      </c>
      <c r="D28" s="141">
        <f>IF(OR($A28="",ISERROR(VALUE(LEFT($A28,6)))),"",IF(LEN($A28)=2,SUMIF($A29:$A$2965,$A28&amp;"??",$D29:$D$2965),IF(AND(LEN($A28)=4,VALUE(RIGHT($A28,2))&lt;=60),SUMIF($A29:$A$2965,$A28&amp;"????",$D29:$D$2965),VLOOKUP(IF(LEN($A28)=4,$A28&amp;"01 1",$A28),GUS_tabl_21!$A$5:$F$4886,6,FALSE))))</f>
        <v>4455</v>
      </c>
    </row>
    <row r="29" spans="1:4" s="29" customFormat="1" ht="12" customHeight="1">
      <c r="A29" s="155" t="str">
        <f>"020305 2"</f>
        <v>020305 2</v>
      </c>
      <c r="B29" s="153" t="s">
        <v>40</v>
      </c>
      <c r="C29" s="156" t="str">
        <f>IF(OR($A29="",ISERROR(VALUE(LEFT($A29,6)))),"",IF(LEN($A29)=2,"WOJ. ",IF(LEN($A29)=4,IF(VALUE(RIGHT($A29,2))&gt;60,"","Powiat "),IF(VALUE(RIGHT($A29,1))=1,"m. ",IF(VALUE(RIGHT($A29,1))=2,"gm. w. ",IF(VALUE(RIGHT($A29,1))=8,"dz. ","gm. m.-w. ")))))&amp;IF(LEN($A29)=2,TRIM(UPPER(VLOOKUP($A29,GUS_tabl_1!$A$7:$B$22,2,FALSE))),IF(ISERROR(FIND("..",TRIM(VLOOKUP(IF(AND(LEN($A29)=4,VALUE(RIGHT($A29,2))&gt;60),$A29&amp;"01 1",$A29),IF(AND(LEN($A29)=4,VALUE(RIGHT($A29,2))&lt;60),GUS_tabl_2!$A$8:$B$464,GUS_tabl_21!$A$5:$B$4886),2,FALSE)))),TRIM(VLOOKUP(IF(AND(LEN($A29)=4,VALUE(RIGHT($A29,2))&gt;60),$A29&amp;"01 1",$A29),IF(AND(LEN($A29)=4,VALUE(RIGHT($A29,2))&lt;60),GUS_tabl_2!$A$8:$B$464,GUS_tabl_21!$A$5:$B$4886),2,FALSE)),LEFT(TRIM(VLOOKUP(IF(AND(LEN($A29)=4,VALUE(RIGHT($A29,2))&gt;60),$A29&amp;"01 1",$A29),IF(AND(LEN($A29)=4,VALUE(RIGHT($A29,2))&lt;60),GUS_tabl_2!$A$8:$B$464,GUS_tabl_21!$A$5:$B$4886),2,FALSE)),SUM(FIND("..",TRIM(VLOOKUP(IF(AND(LEN($A29)=4,VALUE(RIGHT($A29,2))&gt;60),$A29&amp;"01 1",$A29),IF(AND(LEN($A29)=4,VALUE(RIGHT($A29,2))&lt;60),GUS_tabl_2!$A$8:$B$464,GUS_tabl_21!$A$5:$B$4886),2,FALSE))),-1)))))</f>
        <v>gm. w. Pęcław</v>
      </c>
      <c r="D29" s="141">
        <f>IF(OR($A29="",ISERROR(VALUE(LEFT($A29,6)))),"",IF(LEN($A29)=2,SUMIF($A30:$A$2965,$A29&amp;"??",$D30:$D$2965),IF(AND(LEN($A29)=4,VALUE(RIGHT($A29,2))&lt;=60),SUMIF($A30:$A$2965,$A29&amp;"????",$D30:$D$2965),VLOOKUP(IF(LEN($A29)=4,$A29&amp;"01 1",$A29),GUS_tabl_21!$A$5:$F$4886,6,FALSE))))</f>
        <v>2259</v>
      </c>
    </row>
    <row r="30" spans="1:4" s="29" customFormat="1" ht="12" customHeight="1">
      <c r="A30" s="155" t="str">
        <f>"020306 2"</f>
        <v>020306 2</v>
      </c>
      <c r="B30" s="153" t="s">
        <v>40</v>
      </c>
      <c r="C30" s="156" t="str">
        <f>IF(OR($A30="",ISERROR(VALUE(LEFT($A30,6)))),"",IF(LEN($A30)=2,"WOJ. ",IF(LEN($A30)=4,IF(VALUE(RIGHT($A30,2))&gt;60,"","Powiat "),IF(VALUE(RIGHT($A30,1))=1,"m. ",IF(VALUE(RIGHT($A30,1))=2,"gm. w. ",IF(VALUE(RIGHT($A30,1))=8,"dz. ","gm. m.-w. ")))))&amp;IF(LEN($A30)=2,TRIM(UPPER(VLOOKUP($A30,GUS_tabl_1!$A$7:$B$22,2,FALSE))),IF(ISERROR(FIND("..",TRIM(VLOOKUP(IF(AND(LEN($A30)=4,VALUE(RIGHT($A30,2))&gt;60),$A30&amp;"01 1",$A30),IF(AND(LEN($A30)=4,VALUE(RIGHT($A30,2))&lt;60),GUS_tabl_2!$A$8:$B$464,GUS_tabl_21!$A$5:$B$4886),2,FALSE)))),TRIM(VLOOKUP(IF(AND(LEN($A30)=4,VALUE(RIGHT($A30,2))&gt;60),$A30&amp;"01 1",$A30),IF(AND(LEN($A30)=4,VALUE(RIGHT($A30,2))&lt;60),GUS_tabl_2!$A$8:$B$464,GUS_tabl_21!$A$5:$B$4886),2,FALSE)),LEFT(TRIM(VLOOKUP(IF(AND(LEN($A30)=4,VALUE(RIGHT($A30,2))&gt;60),$A30&amp;"01 1",$A30),IF(AND(LEN($A30)=4,VALUE(RIGHT($A30,2))&lt;60),GUS_tabl_2!$A$8:$B$464,GUS_tabl_21!$A$5:$B$4886),2,FALSE)),SUM(FIND("..",TRIM(VLOOKUP(IF(AND(LEN($A30)=4,VALUE(RIGHT($A30,2))&gt;60),$A30&amp;"01 1",$A30),IF(AND(LEN($A30)=4,VALUE(RIGHT($A30,2))&lt;60),GUS_tabl_2!$A$8:$B$464,GUS_tabl_21!$A$5:$B$4886),2,FALSE))),-1)))))</f>
        <v>gm. w. Żukowice</v>
      </c>
      <c r="D30" s="141">
        <f>IF(OR($A30="",ISERROR(VALUE(LEFT($A30,6)))),"",IF(LEN($A30)=2,SUMIF($A31:$A$2965,$A30&amp;"??",$D31:$D$2965),IF(AND(LEN($A30)=4,VALUE(RIGHT($A30,2))&lt;=60),SUMIF($A31:$A$2965,$A30&amp;"????",$D31:$D$2965),VLOOKUP(IF(LEN($A30)=4,$A30&amp;"01 1",$A30),GUS_tabl_21!$A$5:$F$4886,6,FALSE))))</f>
        <v>3461</v>
      </c>
    </row>
    <row r="31" spans="1:4" s="29" customFormat="1" ht="12" customHeight="1">
      <c r="A31" s="152" t="str">
        <f>"0204"</f>
        <v>0204</v>
      </c>
      <c r="B31" s="153" t="s">
        <v>40</v>
      </c>
      <c r="C31" s="154" t="str">
        <f>IF(OR($A31="",ISERROR(VALUE(LEFT($A31,6)))),"",IF(LEN($A31)=2,"WOJ. ",IF(LEN($A31)=4,IF(VALUE(RIGHT($A31,2))&gt;60,"","Powiat "),IF(VALUE(RIGHT($A31,1))=1,"m. ",IF(VALUE(RIGHT($A31,1))=2,"gm. w. ",IF(VALUE(RIGHT($A31,1))=8,"dz. ","gm. m.-w. ")))))&amp;IF(LEN($A31)=2,TRIM(UPPER(VLOOKUP($A31,GUS_tabl_1!$A$7:$B$22,2,FALSE))),IF(ISERROR(FIND("..",TRIM(VLOOKUP(IF(AND(LEN($A31)=4,VALUE(RIGHT($A31,2))&gt;60),$A31&amp;"01 1",$A31),IF(AND(LEN($A31)=4,VALUE(RIGHT($A31,2))&lt;60),GUS_tabl_2!$A$8:$B$464,GUS_tabl_21!$A$5:$B$4886),2,FALSE)))),TRIM(VLOOKUP(IF(AND(LEN($A31)=4,VALUE(RIGHT($A31,2))&gt;60),$A31&amp;"01 1",$A31),IF(AND(LEN($A31)=4,VALUE(RIGHT($A31,2))&lt;60),GUS_tabl_2!$A$8:$B$464,GUS_tabl_21!$A$5:$B$4886),2,FALSE)),LEFT(TRIM(VLOOKUP(IF(AND(LEN($A31)=4,VALUE(RIGHT($A31,2))&gt;60),$A31&amp;"01 1",$A31),IF(AND(LEN($A31)=4,VALUE(RIGHT($A31,2))&lt;60),GUS_tabl_2!$A$8:$B$464,GUS_tabl_21!$A$5:$B$4886),2,FALSE)),SUM(FIND("..",TRIM(VLOOKUP(IF(AND(LEN($A31)=4,VALUE(RIGHT($A31,2))&gt;60),$A31&amp;"01 1",$A31),IF(AND(LEN($A31)=4,VALUE(RIGHT($A31,2))&lt;60),GUS_tabl_2!$A$8:$B$464,GUS_tabl_21!$A$5:$B$4886),2,FALSE))),-1)))))</f>
        <v>Powiat górowski</v>
      </c>
      <c r="D31" s="140">
        <f>IF(OR($A31="",ISERROR(VALUE(LEFT($A31,6)))),"",IF(LEN($A31)=2,SUMIF($A32:$A$2965,$A31&amp;"??",$D32:$D$2965),IF(AND(LEN($A31)=4,VALUE(RIGHT($A31,2))&lt;=60),SUMIF($A32:$A$2965,$A31&amp;"????",$D32:$D$2965),VLOOKUP(IF(LEN($A31)=4,$A31&amp;"01 1",$A31),GUS_tabl_21!$A$5:$F$4886,6,FALSE))))</f>
        <v>34870</v>
      </c>
    </row>
    <row r="32" spans="1:4" s="29" customFormat="1" ht="12" customHeight="1">
      <c r="A32" s="155" t="str">
        <f>"020401 3"</f>
        <v>020401 3</v>
      </c>
      <c r="B32" s="153" t="s">
        <v>40</v>
      </c>
      <c r="C32" s="156" t="str">
        <f>IF(OR($A32="",ISERROR(VALUE(LEFT($A32,6)))),"",IF(LEN($A32)=2,"WOJ. ",IF(LEN($A32)=4,IF(VALUE(RIGHT($A32,2))&gt;60,"","Powiat "),IF(VALUE(RIGHT($A32,1))=1,"m. ",IF(VALUE(RIGHT($A32,1))=2,"gm. w. ",IF(VALUE(RIGHT($A32,1))=8,"dz. ","gm. m.-w. ")))))&amp;IF(LEN($A32)=2,TRIM(UPPER(VLOOKUP($A32,GUS_tabl_1!$A$7:$B$22,2,FALSE))),IF(ISERROR(FIND("..",TRIM(VLOOKUP(IF(AND(LEN($A32)=4,VALUE(RIGHT($A32,2))&gt;60),$A32&amp;"01 1",$A32),IF(AND(LEN($A32)=4,VALUE(RIGHT($A32,2))&lt;60),GUS_tabl_2!$A$8:$B$464,GUS_tabl_21!$A$5:$B$4886),2,FALSE)))),TRIM(VLOOKUP(IF(AND(LEN($A32)=4,VALUE(RIGHT($A32,2))&gt;60),$A32&amp;"01 1",$A32),IF(AND(LEN($A32)=4,VALUE(RIGHT($A32,2))&lt;60),GUS_tabl_2!$A$8:$B$464,GUS_tabl_21!$A$5:$B$4886),2,FALSE)),LEFT(TRIM(VLOOKUP(IF(AND(LEN($A32)=4,VALUE(RIGHT($A32,2))&gt;60),$A32&amp;"01 1",$A32),IF(AND(LEN($A32)=4,VALUE(RIGHT($A32,2))&lt;60),GUS_tabl_2!$A$8:$B$464,GUS_tabl_21!$A$5:$B$4886),2,FALSE)),SUM(FIND("..",TRIM(VLOOKUP(IF(AND(LEN($A32)=4,VALUE(RIGHT($A32,2))&gt;60),$A32&amp;"01 1",$A32),IF(AND(LEN($A32)=4,VALUE(RIGHT($A32,2))&lt;60),GUS_tabl_2!$A$8:$B$464,GUS_tabl_21!$A$5:$B$4886),2,FALSE))),-1)))))</f>
        <v>gm. m.-w. Góra</v>
      </c>
      <c r="D32" s="141">
        <f>IF(OR($A32="",ISERROR(VALUE(LEFT($A32,6)))),"",IF(LEN($A32)=2,SUMIF($A33:$A$2965,$A32&amp;"??",$D33:$D$2965),IF(AND(LEN($A32)=4,VALUE(RIGHT($A32,2))&lt;=60),SUMIF($A33:$A$2965,$A32&amp;"????",$D33:$D$2965),VLOOKUP(IF(LEN($A32)=4,$A32&amp;"01 1",$A32),GUS_tabl_21!$A$5:$F$4886,6,FALSE))))</f>
        <v>19878</v>
      </c>
    </row>
    <row r="33" spans="1:4" s="29" customFormat="1" ht="12" customHeight="1">
      <c r="A33" s="155" t="str">
        <f>"020402 2"</f>
        <v>020402 2</v>
      </c>
      <c r="B33" s="153" t="s">
        <v>40</v>
      </c>
      <c r="C33" s="156" t="str">
        <f>IF(OR($A33="",ISERROR(VALUE(LEFT($A33,6)))),"",IF(LEN($A33)=2,"WOJ. ",IF(LEN($A33)=4,IF(VALUE(RIGHT($A33,2))&gt;60,"","Powiat "),IF(VALUE(RIGHT($A33,1))=1,"m. ",IF(VALUE(RIGHT($A33,1))=2,"gm. w. ",IF(VALUE(RIGHT($A33,1))=8,"dz. ","gm. m.-w. ")))))&amp;IF(LEN($A33)=2,TRIM(UPPER(VLOOKUP($A33,GUS_tabl_1!$A$7:$B$22,2,FALSE))),IF(ISERROR(FIND("..",TRIM(VLOOKUP(IF(AND(LEN($A33)=4,VALUE(RIGHT($A33,2))&gt;60),$A33&amp;"01 1",$A33),IF(AND(LEN($A33)=4,VALUE(RIGHT($A33,2))&lt;60),GUS_tabl_2!$A$8:$B$464,GUS_tabl_21!$A$5:$B$4886),2,FALSE)))),TRIM(VLOOKUP(IF(AND(LEN($A33)=4,VALUE(RIGHT($A33,2))&gt;60),$A33&amp;"01 1",$A33),IF(AND(LEN($A33)=4,VALUE(RIGHT($A33,2))&lt;60),GUS_tabl_2!$A$8:$B$464,GUS_tabl_21!$A$5:$B$4886),2,FALSE)),LEFT(TRIM(VLOOKUP(IF(AND(LEN($A33)=4,VALUE(RIGHT($A33,2))&gt;60),$A33&amp;"01 1",$A33),IF(AND(LEN($A33)=4,VALUE(RIGHT($A33,2))&lt;60),GUS_tabl_2!$A$8:$B$464,GUS_tabl_21!$A$5:$B$4886),2,FALSE)),SUM(FIND("..",TRIM(VLOOKUP(IF(AND(LEN($A33)=4,VALUE(RIGHT($A33,2))&gt;60),$A33&amp;"01 1",$A33),IF(AND(LEN($A33)=4,VALUE(RIGHT($A33,2))&lt;60),GUS_tabl_2!$A$8:$B$464,GUS_tabl_21!$A$5:$B$4886),2,FALSE))),-1)))))</f>
        <v>gm. w. Jemielno</v>
      </c>
      <c r="D33" s="141">
        <f>IF(OR($A33="",ISERROR(VALUE(LEFT($A33,6)))),"",IF(LEN($A33)=2,SUMIF($A34:$A$2965,$A33&amp;"??",$D34:$D$2965),IF(AND(LEN($A33)=4,VALUE(RIGHT($A33,2))&lt;=60),SUMIF($A34:$A$2965,$A33&amp;"????",$D34:$D$2965),VLOOKUP(IF(LEN($A33)=4,$A33&amp;"01 1",$A33),GUS_tabl_21!$A$5:$F$4886,6,FALSE))))</f>
        <v>2997</v>
      </c>
    </row>
    <row r="34" spans="1:4" s="29" customFormat="1" ht="12" customHeight="1">
      <c r="A34" s="155" t="str">
        <f>"020403 2"</f>
        <v>020403 2</v>
      </c>
      <c r="B34" s="153" t="s">
        <v>40</v>
      </c>
      <c r="C34" s="156" t="str">
        <f>IF(OR($A34="",ISERROR(VALUE(LEFT($A34,6)))),"",IF(LEN($A34)=2,"WOJ. ",IF(LEN($A34)=4,IF(VALUE(RIGHT($A34,2))&gt;60,"","Powiat "),IF(VALUE(RIGHT($A34,1))=1,"m. ",IF(VALUE(RIGHT($A34,1))=2,"gm. w. ",IF(VALUE(RIGHT($A34,1))=8,"dz. ","gm. m.-w. ")))))&amp;IF(LEN($A34)=2,TRIM(UPPER(VLOOKUP($A34,GUS_tabl_1!$A$7:$B$22,2,FALSE))),IF(ISERROR(FIND("..",TRIM(VLOOKUP(IF(AND(LEN($A34)=4,VALUE(RIGHT($A34,2))&gt;60),$A34&amp;"01 1",$A34),IF(AND(LEN($A34)=4,VALUE(RIGHT($A34,2))&lt;60),GUS_tabl_2!$A$8:$B$464,GUS_tabl_21!$A$5:$B$4886),2,FALSE)))),TRIM(VLOOKUP(IF(AND(LEN($A34)=4,VALUE(RIGHT($A34,2))&gt;60),$A34&amp;"01 1",$A34),IF(AND(LEN($A34)=4,VALUE(RIGHT($A34,2))&lt;60),GUS_tabl_2!$A$8:$B$464,GUS_tabl_21!$A$5:$B$4886),2,FALSE)),LEFT(TRIM(VLOOKUP(IF(AND(LEN($A34)=4,VALUE(RIGHT($A34,2))&gt;60),$A34&amp;"01 1",$A34),IF(AND(LEN($A34)=4,VALUE(RIGHT($A34,2))&lt;60),GUS_tabl_2!$A$8:$B$464,GUS_tabl_21!$A$5:$B$4886),2,FALSE)),SUM(FIND("..",TRIM(VLOOKUP(IF(AND(LEN($A34)=4,VALUE(RIGHT($A34,2))&gt;60),$A34&amp;"01 1",$A34),IF(AND(LEN($A34)=4,VALUE(RIGHT($A34,2))&lt;60),GUS_tabl_2!$A$8:$B$464,GUS_tabl_21!$A$5:$B$4886),2,FALSE))),-1)))))</f>
        <v>gm. w. Niechlów</v>
      </c>
      <c r="D34" s="141">
        <f>IF(OR($A34="",ISERROR(VALUE(LEFT($A34,6)))),"",IF(LEN($A34)=2,SUMIF($A35:$A$2965,$A34&amp;"??",$D35:$D$2965),IF(AND(LEN($A34)=4,VALUE(RIGHT($A34,2))&lt;=60),SUMIF($A35:$A$2965,$A34&amp;"????",$D35:$D$2965),VLOOKUP(IF(LEN($A34)=4,$A34&amp;"01 1",$A34),GUS_tabl_21!$A$5:$F$4886,6,FALSE))))</f>
        <v>4840</v>
      </c>
    </row>
    <row r="35" spans="1:4" s="29" customFormat="1" ht="12" customHeight="1">
      <c r="A35" s="155" t="str">
        <f>"020404 3"</f>
        <v>020404 3</v>
      </c>
      <c r="B35" s="153" t="s">
        <v>40</v>
      </c>
      <c r="C35" s="156" t="str">
        <f>IF(OR($A35="",ISERROR(VALUE(LEFT($A35,6)))),"",IF(LEN($A35)=2,"WOJ. ",IF(LEN($A35)=4,IF(VALUE(RIGHT($A35,2))&gt;60,"","Powiat "),IF(VALUE(RIGHT($A35,1))=1,"m. ",IF(VALUE(RIGHT($A35,1))=2,"gm. w. ",IF(VALUE(RIGHT($A35,1))=8,"dz. ","gm. m.-w. ")))))&amp;IF(LEN($A35)=2,TRIM(UPPER(VLOOKUP($A35,GUS_tabl_1!$A$7:$B$22,2,FALSE))),IF(ISERROR(FIND("..",TRIM(VLOOKUP(IF(AND(LEN($A35)=4,VALUE(RIGHT($A35,2))&gt;60),$A35&amp;"01 1",$A35),IF(AND(LEN($A35)=4,VALUE(RIGHT($A35,2))&lt;60),GUS_tabl_2!$A$8:$B$464,GUS_tabl_21!$A$5:$B$4886),2,FALSE)))),TRIM(VLOOKUP(IF(AND(LEN($A35)=4,VALUE(RIGHT($A35,2))&gt;60),$A35&amp;"01 1",$A35),IF(AND(LEN($A35)=4,VALUE(RIGHT($A35,2))&lt;60),GUS_tabl_2!$A$8:$B$464,GUS_tabl_21!$A$5:$B$4886),2,FALSE)),LEFT(TRIM(VLOOKUP(IF(AND(LEN($A35)=4,VALUE(RIGHT($A35,2))&gt;60),$A35&amp;"01 1",$A35),IF(AND(LEN($A35)=4,VALUE(RIGHT($A35,2))&lt;60),GUS_tabl_2!$A$8:$B$464,GUS_tabl_21!$A$5:$B$4886),2,FALSE)),SUM(FIND("..",TRIM(VLOOKUP(IF(AND(LEN($A35)=4,VALUE(RIGHT($A35,2))&gt;60),$A35&amp;"01 1",$A35),IF(AND(LEN($A35)=4,VALUE(RIGHT($A35,2))&lt;60),GUS_tabl_2!$A$8:$B$464,GUS_tabl_21!$A$5:$B$4886),2,FALSE))),-1)))))</f>
        <v>gm. m.-w. Wąsosz</v>
      </c>
      <c r="D35" s="141">
        <f>IF(OR($A35="",ISERROR(VALUE(LEFT($A35,6)))),"",IF(LEN($A35)=2,SUMIF($A36:$A$2965,$A35&amp;"??",$D36:$D$2965),IF(AND(LEN($A35)=4,VALUE(RIGHT($A35,2))&lt;=60),SUMIF($A36:$A$2965,$A35&amp;"????",$D36:$D$2965),VLOOKUP(IF(LEN($A35)=4,$A35&amp;"01 1",$A35),GUS_tabl_21!$A$5:$F$4886,6,FALSE))))</f>
        <v>7155</v>
      </c>
    </row>
    <row r="36" spans="1:4" s="29" customFormat="1" ht="12" customHeight="1">
      <c r="A36" s="152" t="str">
        <f>"0205"</f>
        <v>0205</v>
      </c>
      <c r="B36" s="153" t="s">
        <v>40</v>
      </c>
      <c r="C36" s="154" t="str">
        <f>IF(OR($A36="",ISERROR(VALUE(LEFT($A36,6)))),"",IF(LEN($A36)=2,"WOJ. ",IF(LEN($A36)=4,IF(VALUE(RIGHT($A36,2))&gt;60,"","Powiat "),IF(VALUE(RIGHT($A36,1))=1,"m. ",IF(VALUE(RIGHT($A36,1))=2,"gm. w. ",IF(VALUE(RIGHT($A36,1))=8,"dz. ","gm. m.-w. ")))))&amp;IF(LEN($A36)=2,TRIM(UPPER(VLOOKUP($A36,GUS_tabl_1!$A$7:$B$22,2,FALSE))),IF(ISERROR(FIND("..",TRIM(VLOOKUP(IF(AND(LEN($A36)=4,VALUE(RIGHT($A36,2))&gt;60),$A36&amp;"01 1",$A36),IF(AND(LEN($A36)=4,VALUE(RIGHT($A36,2))&lt;60),GUS_tabl_2!$A$8:$B$464,GUS_tabl_21!$A$5:$B$4886),2,FALSE)))),TRIM(VLOOKUP(IF(AND(LEN($A36)=4,VALUE(RIGHT($A36,2))&gt;60),$A36&amp;"01 1",$A36),IF(AND(LEN($A36)=4,VALUE(RIGHT($A36,2))&lt;60),GUS_tabl_2!$A$8:$B$464,GUS_tabl_21!$A$5:$B$4886),2,FALSE)),LEFT(TRIM(VLOOKUP(IF(AND(LEN($A36)=4,VALUE(RIGHT($A36,2))&gt;60),$A36&amp;"01 1",$A36),IF(AND(LEN($A36)=4,VALUE(RIGHT($A36,2))&lt;60),GUS_tabl_2!$A$8:$B$464,GUS_tabl_21!$A$5:$B$4886),2,FALSE)),SUM(FIND("..",TRIM(VLOOKUP(IF(AND(LEN($A36)=4,VALUE(RIGHT($A36,2))&gt;60),$A36&amp;"01 1",$A36),IF(AND(LEN($A36)=4,VALUE(RIGHT($A36,2))&lt;60),GUS_tabl_2!$A$8:$B$464,GUS_tabl_21!$A$5:$B$4886),2,FALSE))),-1)))))</f>
        <v>Powiat jaworski</v>
      </c>
      <c r="D36" s="140">
        <f>IF(OR($A36="",ISERROR(VALUE(LEFT($A36,6)))),"",IF(LEN($A36)=2,SUMIF($A37:$A$2965,$A36&amp;"??",$D37:$D$2965),IF(AND(LEN($A36)=4,VALUE(RIGHT($A36,2))&lt;=60),SUMIF($A37:$A$2965,$A36&amp;"????",$D37:$D$2965),VLOOKUP(IF(LEN($A36)=4,$A36&amp;"01 1",$A36),GUS_tabl_21!$A$5:$F$4886,6,FALSE))))</f>
        <v>50116</v>
      </c>
    </row>
    <row r="37" spans="1:4" s="29" customFormat="1" ht="12" customHeight="1">
      <c r="A37" s="155" t="str">
        <f>"020501 1"</f>
        <v>020501 1</v>
      </c>
      <c r="B37" s="153" t="s">
        <v>40</v>
      </c>
      <c r="C37" s="156" t="str">
        <f>IF(OR($A37="",ISERROR(VALUE(LEFT($A37,6)))),"",IF(LEN($A37)=2,"WOJ. ",IF(LEN($A37)=4,IF(VALUE(RIGHT($A37,2))&gt;60,"","Powiat "),IF(VALUE(RIGHT($A37,1))=1,"m. ",IF(VALUE(RIGHT($A37,1))=2,"gm. w. ",IF(VALUE(RIGHT($A37,1))=8,"dz. ","gm. m.-w. ")))))&amp;IF(LEN($A37)=2,TRIM(UPPER(VLOOKUP($A37,GUS_tabl_1!$A$7:$B$22,2,FALSE))),IF(ISERROR(FIND("..",TRIM(VLOOKUP(IF(AND(LEN($A37)=4,VALUE(RIGHT($A37,2))&gt;60),$A37&amp;"01 1",$A37),IF(AND(LEN($A37)=4,VALUE(RIGHT($A37,2))&lt;60),GUS_tabl_2!$A$8:$B$464,GUS_tabl_21!$A$5:$B$4886),2,FALSE)))),TRIM(VLOOKUP(IF(AND(LEN($A37)=4,VALUE(RIGHT($A37,2))&gt;60),$A37&amp;"01 1",$A37),IF(AND(LEN($A37)=4,VALUE(RIGHT($A37,2))&lt;60),GUS_tabl_2!$A$8:$B$464,GUS_tabl_21!$A$5:$B$4886),2,FALSE)),LEFT(TRIM(VLOOKUP(IF(AND(LEN($A37)=4,VALUE(RIGHT($A37,2))&gt;60),$A37&amp;"01 1",$A37),IF(AND(LEN($A37)=4,VALUE(RIGHT($A37,2))&lt;60),GUS_tabl_2!$A$8:$B$464,GUS_tabl_21!$A$5:$B$4886),2,FALSE)),SUM(FIND("..",TRIM(VLOOKUP(IF(AND(LEN($A37)=4,VALUE(RIGHT($A37,2))&gt;60),$A37&amp;"01 1",$A37),IF(AND(LEN($A37)=4,VALUE(RIGHT($A37,2))&lt;60),GUS_tabl_2!$A$8:$B$464,GUS_tabl_21!$A$5:$B$4886),2,FALSE))),-1)))))</f>
        <v>m. Jawor</v>
      </c>
      <c r="D37" s="141">
        <f>IF(OR($A37="",ISERROR(VALUE(LEFT($A37,6)))),"",IF(LEN($A37)=2,SUMIF($A38:$A$2965,$A37&amp;"??",$D38:$D$2965),IF(AND(LEN($A37)=4,VALUE(RIGHT($A37,2))&lt;=60),SUMIF($A38:$A$2965,$A37&amp;"????",$D38:$D$2965),VLOOKUP(IF(LEN($A37)=4,$A37&amp;"01 1",$A37),GUS_tabl_21!$A$5:$F$4886,6,FALSE))))</f>
        <v>22758</v>
      </c>
    </row>
    <row r="38" spans="1:4" s="29" customFormat="1" ht="12" customHeight="1">
      <c r="A38" s="155" t="str">
        <f>"020502 3"</f>
        <v>020502 3</v>
      </c>
      <c r="B38" s="153" t="s">
        <v>40</v>
      </c>
      <c r="C38" s="156" t="str">
        <f>IF(OR($A38="",ISERROR(VALUE(LEFT($A38,6)))),"",IF(LEN($A38)=2,"WOJ. ",IF(LEN($A38)=4,IF(VALUE(RIGHT($A38,2))&gt;60,"","Powiat "),IF(VALUE(RIGHT($A38,1))=1,"m. ",IF(VALUE(RIGHT($A38,1))=2,"gm. w. ",IF(VALUE(RIGHT($A38,1))=8,"dz. ","gm. m.-w. ")))))&amp;IF(LEN($A38)=2,TRIM(UPPER(VLOOKUP($A38,GUS_tabl_1!$A$7:$B$22,2,FALSE))),IF(ISERROR(FIND("..",TRIM(VLOOKUP(IF(AND(LEN($A38)=4,VALUE(RIGHT($A38,2))&gt;60),$A38&amp;"01 1",$A38),IF(AND(LEN($A38)=4,VALUE(RIGHT($A38,2))&lt;60),GUS_tabl_2!$A$8:$B$464,GUS_tabl_21!$A$5:$B$4886),2,FALSE)))),TRIM(VLOOKUP(IF(AND(LEN($A38)=4,VALUE(RIGHT($A38,2))&gt;60),$A38&amp;"01 1",$A38),IF(AND(LEN($A38)=4,VALUE(RIGHT($A38,2))&lt;60),GUS_tabl_2!$A$8:$B$464,GUS_tabl_21!$A$5:$B$4886),2,FALSE)),LEFT(TRIM(VLOOKUP(IF(AND(LEN($A38)=4,VALUE(RIGHT($A38,2))&gt;60),$A38&amp;"01 1",$A38),IF(AND(LEN($A38)=4,VALUE(RIGHT($A38,2))&lt;60),GUS_tabl_2!$A$8:$B$464,GUS_tabl_21!$A$5:$B$4886),2,FALSE)),SUM(FIND("..",TRIM(VLOOKUP(IF(AND(LEN($A38)=4,VALUE(RIGHT($A38,2))&gt;60),$A38&amp;"01 1",$A38),IF(AND(LEN($A38)=4,VALUE(RIGHT($A38,2))&lt;60),GUS_tabl_2!$A$8:$B$464,GUS_tabl_21!$A$5:$B$4886),2,FALSE))),-1)))))</f>
        <v>gm. m.-w. Bolków</v>
      </c>
      <c r="D38" s="141">
        <f>IF(OR($A38="",ISERROR(VALUE(LEFT($A38,6)))),"",IF(LEN($A38)=2,SUMIF($A39:$A$2965,$A38&amp;"??",$D39:$D$2965),IF(AND(LEN($A38)=4,VALUE(RIGHT($A38,2))&lt;=60),SUMIF($A39:$A$2965,$A38&amp;"????",$D39:$D$2965),VLOOKUP(IF(LEN($A38)=4,$A38&amp;"01 1",$A38),GUS_tabl_21!$A$5:$F$4886,6,FALSE))))</f>
        <v>10388</v>
      </c>
    </row>
    <row r="39" spans="1:4" s="29" customFormat="1" ht="12" customHeight="1">
      <c r="A39" s="155" t="str">
        <f>"020503 2"</f>
        <v>020503 2</v>
      </c>
      <c r="B39" s="153" t="s">
        <v>40</v>
      </c>
      <c r="C39" s="156" t="str">
        <f>IF(OR($A39="",ISERROR(VALUE(LEFT($A39,6)))),"",IF(LEN($A39)=2,"WOJ. ",IF(LEN($A39)=4,IF(VALUE(RIGHT($A39,2))&gt;60,"","Powiat "),IF(VALUE(RIGHT($A39,1))=1,"m. ",IF(VALUE(RIGHT($A39,1))=2,"gm. w. ",IF(VALUE(RIGHT($A39,1))=8,"dz. ","gm. m.-w. ")))))&amp;IF(LEN($A39)=2,TRIM(UPPER(VLOOKUP($A39,GUS_tabl_1!$A$7:$B$22,2,FALSE))),IF(ISERROR(FIND("..",TRIM(VLOOKUP(IF(AND(LEN($A39)=4,VALUE(RIGHT($A39,2))&gt;60),$A39&amp;"01 1",$A39),IF(AND(LEN($A39)=4,VALUE(RIGHT($A39,2))&lt;60),GUS_tabl_2!$A$8:$B$464,GUS_tabl_21!$A$5:$B$4886),2,FALSE)))),TRIM(VLOOKUP(IF(AND(LEN($A39)=4,VALUE(RIGHT($A39,2))&gt;60),$A39&amp;"01 1",$A39),IF(AND(LEN($A39)=4,VALUE(RIGHT($A39,2))&lt;60),GUS_tabl_2!$A$8:$B$464,GUS_tabl_21!$A$5:$B$4886),2,FALSE)),LEFT(TRIM(VLOOKUP(IF(AND(LEN($A39)=4,VALUE(RIGHT($A39,2))&gt;60),$A39&amp;"01 1",$A39),IF(AND(LEN($A39)=4,VALUE(RIGHT($A39,2))&lt;60),GUS_tabl_2!$A$8:$B$464,GUS_tabl_21!$A$5:$B$4886),2,FALSE)),SUM(FIND("..",TRIM(VLOOKUP(IF(AND(LEN($A39)=4,VALUE(RIGHT($A39,2))&gt;60),$A39&amp;"01 1",$A39),IF(AND(LEN($A39)=4,VALUE(RIGHT($A39,2))&lt;60),GUS_tabl_2!$A$8:$B$464,GUS_tabl_21!$A$5:$B$4886),2,FALSE))),-1)))))</f>
        <v>gm. w. Męcinka</v>
      </c>
      <c r="D39" s="141">
        <f>IF(OR($A39="",ISERROR(VALUE(LEFT($A39,6)))),"",IF(LEN($A39)=2,SUMIF($A40:$A$2965,$A39&amp;"??",$D40:$D$2965),IF(AND(LEN($A39)=4,VALUE(RIGHT($A39,2))&lt;=60),SUMIF($A40:$A$2965,$A39&amp;"????",$D40:$D$2965),VLOOKUP(IF(LEN($A39)=4,$A39&amp;"01 1",$A39),GUS_tabl_21!$A$5:$F$4886,6,FALSE))))</f>
        <v>5007</v>
      </c>
    </row>
    <row r="40" spans="1:4" s="29" customFormat="1" ht="12" customHeight="1">
      <c r="A40" s="155" t="str">
        <f>"020504 2"</f>
        <v>020504 2</v>
      </c>
      <c r="B40" s="153" t="s">
        <v>40</v>
      </c>
      <c r="C40" s="156" t="str">
        <f>IF(OR($A40="",ISERROR(VALUE(LEFT($A40,6)))),"",IF(LEN($A40)=2,"WOJ. ",IF(LEN($A40)=4,IF(VALUE(RIGHT($A40,2))&gt;60,"","Powiat "),IF(VALUE(RIGHT($A40,1))=1,"m. ",IF(VALUE(RIGHT($A40,1))=2,"gm. w. ",IF(VALUE(RIGHT($A40,1))=8,"dz. ","gm. m.-w. ")))))&amp;IF(LEN($A40)=2,TRIM(UPPER(VLOOKUP($A40,GUS_tabl_1!$A$7:$B$22,2,FALSE))),IF(ISERROR(FIND("..",TRIM(VLOOKUP(IF(AND(LEN($A40)=4,VALUE(RIGHT($A40,2))&gt;60),$A40&amp;"01 1",$A40),IF(AND(LEN($A40)=4,VALUE(RIGHT($A40,2))&lt;60),GUS_tabl_2!$A$8:$B$464,GUS_tabl_21!$A$5:$B$4886),2,FALSE)))),TRIM(VLOOKUP(IF(AND(LEN($A40)=4,VALUE(RIGHT($A40,2))&gt;60),$A40&amp;"01 1",$A40),IF(AND(LEN($A40)=4,VALUE(RIGHT($A40,2))&lt;60),GUS_tabl_2!$A$8:$B$464,GUS_tabl_21!$A$5:$B$4886),2,FALSE)),LEFT(TRIM(VLOOKUP(IF(AND(LEN($A40)=4,VALUE(RIGHT($A40,2))&gt;60),$A40&amp;"01 1",$A40),IF(AND(LEN($A40)=4,VALUE(RIGHT($A40,2))&lt;60),GUS_tabl_2!$A$8:$B$464,GUS_tabl_21!$A$5:$B$4886),2,FALSE)),SUM(FIND("..",TRIM(VLOOKUP(IF(AND(LEN($A40)=4,VALUE(RIGHT($A40,2))&gt;60),$A40&amp;"01 1",$A40),IF(AND(LEN($A40)=4,VALUE(RIGHT($A40,2))&lt;60),GUS_tabl_2!$A$8:$B$464,GUS_tabl_21!$A$5:$B$4886),2,FALSE))),-1)))))</f>
        <v>gm. w. Mściwojów</v>
      </c>
      <c r="D40" s="141">
        <f>IF(OR($A40="",ISERROR(VALUE(LEFT($A40,6)))),"",IF(LEN($A40)=2,SUMIF($A41:$A$2965,$A40&amp;"??",$D41:$D$2965),IF(AND(LEN($A40)=4,VALUE(RIGHT($A40,2))&lt;=60),SUMIF($A41:$A$2965,$A40&amp;"????",$D41:$D$2965),VLOOKUP(IF(LEN($A40)=4,$A40&amp;"01 1",$A40),GUS_tabl_21!$A$5:$F$4886,6,FALSE))))</f>
        <v>4054</v>
      </c>
    </row>
    <row r="41" spans="1:4" s="29" customFormat="1" ht="12" customHeight="1">
      <c r="A41" s="155" t="str">
        <f>"020505 2"</f>
        <v>020505 2</v>
      </c>
      <c r="B41" s="153" t="s">
        <v>40</v>
      </c>
      <c r="C41" s="156" t="str">
        <f>IF(OR($A41="",ISERROR(VALUE(LEFT($A41,6)))),"",IF(LEN($A41)=2,"WOJ. ",IF(LEN($A41)=4,IF(VALUE(RIGHT($A41,2))&gt;60,"","Powiat "),IF(VALUE(RIGHT($A41,1))=1,"m. ",IF(VALUE(RIGHT($A41,1))=2,"gm. w. ",IF(VALUE(RIGHT($A41,1))=8,"dz. ","gm. m.-w. ")))))&amp;IF(LEN($A41)=2,TRIM(UPPER(VLOOKUP($A41,GUS_tabl_1!$A$7:$B$22,2,FALSE))),IF(ISERROR(FIND("..",TRIM(VLOOKUP(IF(AND(LEN($A41)=4,VALUE(RIGHT($A41,2))&gt;60),$A41&amp;"01 1",$A41),IF(AND(LEN($A41)=4,VALUE(RIGHT($A41,2))&lt;60),GUS_tabl_2!$A$8:$B$464,GUS_tabl_21!$A$5:$B$4886),2,FALSE)))),TRIM(VLOOKUP(IF(AND(LEN($A41)=4,VALUE(RIGHT($A41,2))&gt;60),$A41&amp;"01 1",$A41),IF(AND(LEN($A41)=4,VALUE(RIGHT($A41,2))&lt;60),GUS_tabl_2!$A$8:$B$464,GUS_tabl_21!$A$5:$B$4886),2,FALSE)),LEFT(TRIM(VLOOKUP(IF(AND(LEN($A41)=4,VALUE(RIGHT($A41,2))&gt;60),$A41&amp;"01 1",$A41),IF(AND(LEN($A41)=4,VALUE(RIGHT($A41,2))&lt;60),GUS_tabl_2!$A$8:$B$464,GUS_tabl_21!$A$5:$B$4886),2,FALSE)),SUM(FIND("..",TRIM(VLOOKUP(IF(AND(LEN($A41)=4,VALUE(RIGHT($A41,2))&gt;60),$A41&amp;"01 1",$A41),IF(AND(LEN($A41)=4,VALUE(RIGHT($A41,2))&lt;60),GUS_tabl_2!$A$8:$B$464,GUS_tabl_21!$A$5:$B$4886),2,FALSE))),-1)))))</f>
        <v>gm. w. Paszowice</v>
      </c>
      <c r="D41" s="141">
        <f>IF(OR($A41="",ISERROR(VALUE(LEFT($A41,6)))),"",IF(LEN($A41)=2,SUMIF($A42:$A$2965,$A41&amp;"??",$D42:$D$2965),IF(AND(LEN($A41)=4,VALUE(RIGHT($A41,2))&lt;=60),SUMIF($A42:$A$2965,$A41&amp;"????",$D42:$D$2965),VLOOKUP(IF(LEN($A41)=4,$A41&amp;"01 1",$A41),GUS_tabl_21!$A$5:$F$4886,6,FALSE))))</f>
        <v>3997</v>
      </c>
    </row>
    <row r="42" spans="1:4" s="29" customFormat="1" ht="12" customHeight="1">
      <c r="A42" s="155" t="str">
        <f>"020506 2"</f>
        <v>020506 2</v>
      </c>
      <c r="B42" s="153" t="s">
        <v>40</v>
      </c>
      <c r="C42" s="156" t="str">
        <f>IF(OR($A42="",ISERROR(VALUE(LEFT($A42,6)))),"",IF(LEN($A42)=2,"WOJ. ",IF(LEN($A42)=4,IF(VALUE(RIGHT($A42,2))&gt;60,"","Powiat "),IF(VALUE(RIGHT($A42,1))=1,"m. ",IF(VALUE(RIGHT($A42,1))=2,"gm. w. ",IF(VALUE(RIGHT($A42,1))=8,"dz. ","gm. m.-w. ")))))&amp;IF(LEN($A42)=2,TRIM(UPPER(VLOOKUP($A42,GUS_tabl_1!$A$7:$B$22,2,FALSE))),IF(ISERROR(FIND("..",TRIM(VLOOKUP(IF(AND(LEN($A42)=4,VALUE(RIGHT($A42,2))&gt;60),$A42&amp;"01 1",$A42),IF(AND(LEN($A42)=4,VALUE(RIGHT($A42,2))&lt;60),GUS_tabl_2!$A$8:$B$464,GUS_tabl_21!$A$5:$B$4886),2,FALSE)))),TRIM(VLOOKUP(IF(AND(LEN($A42)=4,VALUE(RIGHT($A42,2))&gt;60),$A42&amp;"01 1",$A42),IF(AND(LEN($A42)=4,VALUE(RIGHT($A42,2))&lt;60),GUS_tabl_2!$A$8:$B$464,GUS_tabl_21!$A$5:$B$4886),2,FALSE)),LEFT(TRIM(VLOOKUP(IF(AND(LEN($A42)=4,VALUE(RIGHT($A42,2))&gt;60),$A42&amp;"01 1",$A42),IF(AND(LEN($A42)=4,VALUE(RIGHT($A42,2))&lt;60),GUS_tabl_2!$A$8:$B$464,GUS_tabl_21!$A$5:$B$4886),2,FALSE)),SUM(FIND("..",TRIM(VLOOKUP(IF(AND(LEN($A42)=4,VALUE(RIGHT($A42,2))&gt;60),$A42&amp;"01 1",$A42),IF(AND(LEN($A42)=4,VALUE(RIGHT($A42,2))&lt;60),GUS_tabl_2!$A$8:$B$464,GUS_tabl_21!$A$5:$B$4886),2,FALSE))),-1)))))</f>
        <v>gm. w. Wądroże Wielkie</v>
      </c>
      <c r="D42" s="141">
        <f>IF(OR($A42="",ISERROR(VALUE(LEFT($A42,6)))),"",IF(LEN($A42)=2,SUMIF($A43:$A$2965,$A42&amp;"??",$D43:$D$2965),IF(AND(LEN($A42)=4,VALUE(RIGHT($A42,2))&lt;=60),SUMIF($A43:$A$2965,$A42&amp;"????",$D43:$D$2965),VLOOKUP(IF(LEN($A42)=4,$A42&amp;"01 1",$A42),GUS_tabl_21!$A$5:$F$4886,6,FALSE))))</f>
        <v>3912</v>
      </c>
    </row>
    <row r="43" spans="1:4" s="29" customFormat="1" ht="12" customHeight="1">
      <c r="A43" s="152" t="str">
        <f>"0206"</f>
        <v>0206</v>
      </c>
      <c r="B43" s="153" t="s">
        <v>40</v>
      </c>
      <c r="C43" s="154" t="str">
        <f>IF(OR($A43="",ISERROR(VALUE(LEFT($A43,6)))),"",IF(LEN($A43)=2,"WOJ. ",IF(LEN($A43)=4,IF(VALUE(RIGHT($A43,2))&gt;60,"","Powiat "),IF(VALUE(RIGHT($A43,1))=1,"m. ",IF(VALUE(RIGHT($A43,1))=2,"gm. w. ",IF(VALUE(RIGHT($A43,1))=8,"dz. ","gm. m.-w. ")))))&amp;IF(LEN($A43)=2,TRIM(UPPER(VLOOKUP($A43,GUS_tabl_1!$A$7:$B$22,2,FALSE))),IF(ISERROR(FIND("..",TRIM(VLOOKUP(IF(AND(LEN($A43)=4,VALUE(RIGHT($A43,2))&gt;60),$A43&amp;"01 1",$A43),IF(AND(LEN($A43)=4,VALUE(RIGHT($A43,2))&lt;60),GUS_tabl_2!$A$8:$B$464,GUS_tabl_21!$A$5:$B$4886),2,FALSE)))),TRIM(VLOOKUP(IF(AND(LEN($A43)=4,VALUE(RIGHT($A43,2))&gt;60),$A43&amp;"01 1",$A43),IF(AND(LEN($A43)=4,VALUE(RIGHT($A43,2))&lt;60),GUS_tabl_2!$A$8:$B$464,GUS_tabl_21!$A$5:$B$4886),2,FALSE)),LEFT(TRIM(VLOOKUP(IF(AND(LEN($A43)=4,VALUE(RIGHT($A43,2))&gt;60),$A43&amp;"01 1",$A43),IF(AND(LEN($A43)=4,VALUE(RIGHT($A43,2))&lt;60),GUS_tabl_2!$A$8:$B$464,GUS_tabl_21!$A$5:$B$4886),2,FALSE)),SUM(FIND("..",TRIM(VLOOKUP(IF(AND(LEN($A43)=4,VALUE(RIGHT($A43,2))&gt;60),$A43&amp;"01 1",$A43),IF(AND(LEN($A43)=4,VALUE(RIGHT($A43,2))&lt;60),GUS_tabl_2!$A$8:$B$464,GUS_tabl_21!$A$5:$B$4886),2,FALSE))),-1)))))</f>
        <v>Powiat jeleniogórski</v>
      </c>
      <c r="D43" s="140">
        <f>IF(OR($A43="",ISERROR(VALUE(LEFT($A43,6)))),"",IF(LEN($A43)=2,SUMIF($A44:$A$2965,$A43&amp;"??",$D44:$D$2965),IF(AND(LEN($A43)=4,VALUE(RIGHT($A43,2))&lt;=60),SUMIF($A44:$A$2965,$A43&amp;"????",$D44:$D$2965),VLOOKUP(IF(LEN($A43)=4,$A43&amp;"01 1",$A43),GUS_tabl_21!$A$5:$F$4886,6,FALSE))))</f>
        <v>63591</v>
      </c>
    </row>
    <row r="44" spans="1:4" s="29" customFormat="1" ht="12" customHeight="1">
      <c r="A44" s="155" t="str">
        <f>"020601 1"</f>
        <v>020601 1</v>
      </c>
      <c r="B44" s="153" t="s">
        <v>40</v>
      </c>
      <c r="C44" s="156" t="str">
        <f>IF(OR($A44="",ISERROR(VALUE(LEFT($A44,6)))),"",IF(LEN($A44)=2,"WOJ. ",IF(LEN($A44)=4,IF(VALUE(RIGHT($A44,2))&gt;60,"","Powiat "),IF(VALUE(RIGHT($A44,1))=1,"m. ",IF(VALUE(RIGHT($A44,1))=2,"gm. w. ",IF(VALUE(RIGHT($A44,1))=8,"dz. ","gm. m.-w. ")))))&amp;IF(LEN($A44)=2,TRIM(UPPER(VLOOKUP($A44,GUS_tabl_1!$A$7:$B$22,2,FALSE))),IF(ISERROR(FIND("..",TRIM(VLOOKUP(IF(AND(LEN($A44)=4,VALUE(RIGHT($A44,2))&gt;60),$A44&amp;"01 1",$A44),IF(AND(LEN($A44)=4,VALUE(RIGHT($A44,2))&lt;60),GUS_tabl_2!$A$8:$B$464,GUS_tabl_21!$A$5:$B$4886),2,FALSE)))),TRIM(VLOOKUP(IF(AND(LEN($A44)=4,VALUE(RIGHT($A44,2))&gt;60),$A44&amp;"01 1",$A44),IF(AND(LEN($A44)=4,VALUE(RIGHT($A44,2))&lt;60),GUS_tabl_2!$A$8:$B$464,GUS_tabl_21!$A$5:$B$4886),2,FALSE)),LEFT(TRIM(VLOOKUP(IF(AND(LEN($A44)=4,VALUE(RIGHT($A44,2))&gt;60),$A44&amp;"01 1",$A44),IF(AND(LEN($A44)=4,VALUE(RIGHT($A44,2))&lt;60),GUS_tabl_2!$A$8:$B$464,GUS_tabl_21!$A$5:$B$4886),2,FALSE)),SUM(FIND("..",TRIM(VLOOKUP(IF(AND(LEN($A44)=4,VALUE(RIGHT($A44,2))&gt;60),$A44&amp;"01 1",$A44),IF(AND(LEN($A44)=4,VALUE(RIGHT($A44,2))&lt;60),GUS_tabl_2!$A$8:$B$464,GUS_tabl_21!$A$5:$B$4886),2,FALSE))),-1)))))</f>
        <v>m. Karpacz</v>
      </c>
      <c r="D44" s="141">
        <f>IF(OR($A44="",ISERROR(VALUE(LEFT($A44,6)))),"",IF(LEN($A44)=2,SUMIF($A45:$A$2965,$A44&amp;"??",$D45:$D$2965),IF(AND(LEN($A44)=4,VALUE(RIGHT($A44,2))&lt;=60),SUMIF($A45:$A$2965,$A44&amp;"????",$D45:$D$2965),VLOOKUP(IF(LEN($A44)=4,$A44&amp;"01 1",$A44),GUS_tabl_21!$A$5:$F$4886,6,FALSE))))</f>
        <v>4570</v>
      </c>
    </row>
    <row r="45" spans="1:4" s="29" customFormat="1" ht="12" customHeight="1">
      <c r="A45" s="155" t="str">
        <f>"020602 1"</f>
        <v>020602 1</v>
      </c>
      <c r="B45" s="153" t="s">
        <v>40</v>
      </c>
      <c r="C45" s="156" t="str">
        <f>IF(OR($A45="",ISERROR(VALUE(LEFT($A45,6)))),"",IF(LEN($A45)=2,"WOJ. ",IF(LEN($A45)=4,IF(VALUE(RIGHT($A45,2))&gt;60,"","Powiat "),IF(VALUE(RIGHT($A45,1))=1,"m. ",IF(VALUE(RIGHT($A45,1))=2,"gm. w. ",IF(VALUE(RIGHT($A45,1))=8,"dz. ","gm. m.-w. ")))))&amp;IF(LEN($A45)=2,TRIM(UPPER(VLOOKUP($A45,GUS_tabl_1!$A$7:$B$22,2,FALSE))),IF(ISERROR(FIND("..",TRIM(VLOOKUP(IF(AND(LEN($A45)=4,VALUE(RIGHT($A45,2))&gt;60),$A45&amp;"01 1",$A45),IF(AND(LEN($A45)=4,VALUE(RIGHT($A45,2))&lt;60),GUS_tabl_2!$A$8:$B$464,GUS_tabl_21!$A$5:$B$4886),2,FALSE)))),TRIM(VLOOKUP(IF(AND(LEN($A45)=4,VALUE(RIGHT($A45,2))&gt;60),$A45&amp;"01 1",$A45),IF(AND(LEN($A45)=4,VALUE(RIGHT($A45,2))&lt;60),GUS_tabl_2!$A$8:$B$464,GUS_tabl_21!$A$5:$B$4886),2,FALSE)),LEFT(TRIM(VLOOKUP(IF(AND(LEN($A45)=4,VALUE(RIGHT($A45,2))&gt;60),$A45&amp;"01 1",$A45),IF(AND(LEN($A45)=4,VALUE(RIGHT($A45,2))&lt;60),GUS_tabl_2!$A$8:$B$464,GUS_tabl_21!$A$5:$B$4886),2,FALSE)),SUM(FIND("..",TRIM(VLOOKUP(IF(AND(LEN($A45)=4,VALUE(RIGHT($A45,2))&gt;60),$A45&amp;"01 1",$A45),IF(AND(LEN($A45)=4,VALUE(RIGHT($A45,2))&lt;60),GUS_tabl_2!$A$8:$B$464,GUS_tabl_21!$A$5:$B$4886),2,FALSE))),-1)))))</f>
        <v>m. Kowary</v>
      </c>
      <c r="D45" s="141">
        <f>IF(OR($A45="",ISERROR(VALUE(LEFT($A45,6)))),"",IF(LEN($A45)=2,SUMIF($A46:$A$2965,$A45&amp;"??",$D46:$D$2965),IF(AND(LEN($A45)=4,VALUE(RIGHT($A45,2))&lt;=60),SUMIF($A46:$A$2965,$A45&amp;"????",$D46:$D$2965),VLOOKUP(IF(LEN($A45)=4,$A45&amp;"01 1",$A45),GUS_tabl_21!$A$5:$F$4886,6,FALSE))))</f>
        <v>10813</v>
      </c>
    </row>
    <row r="46" spans="1:4" s="29" customFormat="1" ht="12" customHeight="1">
      <c r="A46" s="155" t="str">
        <f>"020603 1"</f>
        <v>020603 1</v>
      </c>
      <c r="B46" s="153" t="s">
        <v>40</v>
      </c>
      <c r="C46" s="156" t="str">
        <f>IF(OR($A46="",ISERROR(VALUE(LEFT($A46,6)))),"",IF(LEN($A46)=2,"WOJ. ",IF(LEN($A46)=4,IF(VALUE(RIGHT($A46,2))&gt;60,"","Powiat "),IF(VALUE(RIGHT($A46,1))=1,"m. ",IF(VALUE(RIGHT($A46,1))=2,"gm. w. ",IF(VALUE(RIGHT($A46,1))=8,"dz. ","gm. m.-w. ")))))&amp;IF(LEN($A46)=2,TRIM(UPPER(VLOOKUP($A46,GUS_tabl_1!$A$7:$B$22,2,FALSE))),IF(ISERROR(FIND("..",TRIM(VLOOKUP(IF(AND(LEN($A46)=4,VALUE(RIGHT($A46,2))&gt;60),$A46&amp;"01 1",$A46),IF(AND(LEN($A46)=4,VALUE(RIGHT($A46,2))&lt;60),GUS_tabl_2!$A$8:$B$464,GUS_tabl_21!$A$5:$B$4886),2,FALSE)))),TRIM(VLOOKUP(IF(AND(LEN($A46)=4,VALUE(RIGHT($A46,2))&gt;60),$A46&amp;"01 1",$A46),IF(AND(LEN($A46)=4,VALUE(RIGHT($A46,2))&lt;60),GUS_tabl_2!$A$8:$B$464,GUS_tabl_21!$A$5:$B$4886),2,FALSE)),LEFT(TRIM(VLOOKUP(IF(AND(LEN($A46)=4,VALUE(RIGHT($A46,2))&gt;60),$A46&amp;"01 1",$A46),IF(AND(LEN($A46)=4,VALUE(RIGHT($A46,2))&lt;60),GUS_tabl_2!$A$8:$B$464,GUS_tabl_21!$A$5:$B$4886),2,FALSE)),SUM(FIND("..",TRIM(VLOOKUP(IF(AND(LEN($A46)=4,VALUE(RIGHT($A46,2))&gt;60),$A46&amp;"01 1",$A46),IF(AND(LEN($A46)=4,VALUE(RIGHT($A46,2))&lt;60),GUS_tabl_2!$A$8:$B$464,GUS_tabl_21!$A$5:$B$4886),2,FALSE))),-1)))))</f>
        <v>m. Piechowice</v>
      </c>
      <c r="D46" s="141">
        <f>IF(OR($A46="",ISERROR(VALUE(LEFT($A46,6)))),"",IF(LEN($A46)=2,SUMIF($A47:$A$2965,$A46&amp;"??",$D47:$D$2965),IF(AND(LEN($A46)=4,VALUE(RIGHT($A46,2))&lt;=60),SUMIF($A47:$A$2965,$A46&amp;"????",$D47:$D$2965),VLOOKUP(IF(LEN($A46)=4,$A46&amp;"01 1",$A46),GUS_tabl_21!$A$5:$F$4886,6,FALSE))))</f>
        <v>6156</v>
      </c>
    </row>
    <row r="47" spans="1:4" s="29" customFormat="1" ht="12" customHeight="1">
      <c r="A47" s="155" t="str">
        <f>"020604 1"</f>
        <v>020604 1</v>
      </c>
      <c r="B47" s="153" t="s">
        <v>40</v>
      </c>
      <c r="C47" s="156" t="str">
        <f>IF(OR($A47="",ISERROR(VALUE(LEFT($A47,6)))),"",IF(LEN($A47)=2,"WOJ. ",IF(LEN($A47)=4,IF(VALUE(RIGHT($A47,2))&gt;60,"","Powiat "),IF(VALUE(RIGHT($A47,1))=1,"m. ",IF(VALUE(RIGHT($A47,1))=2,"gm. w. ",IF(VALUE(RIGHT($A47,1))=8,"dz. ","gm. m.-w. ")))))&amp;IF(LEN($A47)=2,TRIM(UPPER(VLOOKUP($A47,GUS_tabl_1!$A$7:$B$22,2,FALSE))),IF(ISERROR(FIND("..",TRIM(VLOOKUP(IF(AND(LEN($A47)=4,VALUE(RIGHT($A47,2))&gt;60),$A47&amp;"01 1",$A47),IF(AND(LEN($A47)=4,VALUE(RIGHT($A47,2))&lt;60),GUS_tabl_2!$A$8:$B$464,GUS_tabl_21!$A$5:$B$4886),2,FALSE)))),TRIM(VLOOKUP(IF(AND(LEN($A47)=4,VALUE(RIGHT($A47,2))&gt;60),$A47&amp;"01 1",$A47),IF(AND(LEN($A47)=4,VALUE(RIGHT($A47,2))&lt;60),GUS_tabl_2!$A$8:$B$464,GUS_tabl_21!$A$5:$B$4886),2,FALSE)),LEFT(TRIM(VLOOKUP(IF(AND(LEN($A47)=4,VALUE(RIGHT($A47,2))&gt;60),$A47&amp;"01 1",$A47),IF(AND(LEN($A47)=4,VALUE(RIGHT($A47,2))&lt;60),GUS_tabl_2!$A$8:$B$464,GUS_tabl_21!$A$5:$B$4886),2,FALSE)),SUM(FIND("..",TRIM(VLOOKUP(IF(AND(LEN($A47)=4,VALUE(RIGHT($A47,2))&gt;60),$A47&amp;"01 1",$A47),IF(AND(LEN($A47)=4,VALUE(RIGHT($A47,2))&lt;60),GUS_tabl_2!$A$8:$B$464,GUS_tabl_21!$A$5:$B$4886),2,FALSE))),-1)))))</f>
        <v>m. Szklarska Poręba</v>
      </c>
      <c r="D47" s="141">
        <f>IF(OR($A47="",ISERROR(VALUE(LEFT($A47,6)))),"",IF(LEN($A47)=2,SUMIF($A48:$A$2965,$A47&amp;"??",$D48:$D$2965),IF(AND(LEN($A47)=4,VALUE(RIGHT($A47,2))&lt;=60),SUMIF($A48:$A$2965,$A47&amp;"????",$D48:$D$2965),VLOOKUP(IF(LEN($A47)=4,$A47&amp;"01 1",$A47),GUS_tabl_21!$A$5:$F$4886,6,FALSE))))</f>
        <v>6633</v>
      </c>
    </row>
    <row r="48" spans="1:4" s="29" customFormat="1" ht="12" customHeight="1">
      <c r="A48" s="155" t="str">
        <f>"020605 2"</f>
        <v>020605 2</v>
      </c>
      <c r="B48" s="153" t="s">
        <v>40</v>
      </c>
      <c r="C48" s="156" t="str">
        <f>IF(OR($A48="",ISERROR(VALUE(LEFT($A48,6)))),"",IF(LEN($A48)=2,"WOJ. ",IF(LEN($A48)=4,IF(VALUE(RIGHT($A48,2))&gt;60,"","Powiat "),IF(VALUE(RIGHT($A48,1))=1,"m. ",IF(VALUE(RIGHT($A48,1))=2,"gm. w. ",IF(VALUE(RIGHT($A48,1))=8,"dz. ","gm. m.-w. ")))))&amp;IF(LEN($A48)=2,TRIM(UPPER(VLOOKUP($A48,GUS_tabl_1!$A$7:$B$22,2,FALSE))),IF(ISERROR(FIND("..",TRIM(VLOOKUP(IF(AND(LEN($A48)=4,VALUE(RIGHT($A48,2))&gt;60),$A48&amp;"01 1",$A48),IF(AND(LEN($A48)=4,VALUE(RIGHT($A48,2))&lt;60),GUS_tabl_2!$A$8:$B$464,GUS_tabl_21!$A$5:$B$4886),2,FALSE)))),TRIM(VLOOKUP(IF(AND(LEN($A48)=4,VALUE(RIGHT($A48,2))&gt;60),$A48&amp;"01 1",$A48),IF(AND(LEN($A48)=4,VALUE(RIGHT($A48,2))&lt;60),GUS_tabl_2!$A$8:$B$464,GUS_tabl_21!$A$5:$B$4886),2,FALSE)),LEFT(TRIM(VLOOKUP(IF(AND(LEN($A48)=4,VALUE(RIGHT($A48,2))&gt;60),$A48&amp;"01 1",$A48),IF(AND(LEN($A48)=4,VALUE(RIGHT($A48,2))&lt;60),GUS_tabl_2!$A$8:$B$464,GUS_tabl_21!$A$5:$B$4886),2,FALSE)),SUM(FIND("..",TRIM(VLOOKUP(IF(AND(LEN($A48)=4,VALUE(RIGHT($A48,2))&gt;60),$A48&amp;"01 1",$A48),IF(AND(LEN($A48)=4,VALUE(RIGHT($A48,2))&lt;60),GUS_tabl_2!$A$8:$B$464,GUS_tabl_21!$A$5:$B$4886),2,FALSE))),-1)))))</f>
        <v>gm. w. Janowice Wielkie</v>
      </c>
      <c r="D48" s="141">
        <f>IF(OR($A48="",ISERROR(VALUE(LEFT($A48,6)))),"",IF(LEN($A48)=2,SUMIF($A49:$A$2965,$A48&amp;"??",$D49:$D$2965),IF(AND(LEN($A48)=4,VALUE(RIGHT($A48,2))&lt;=60),SUMIF($A49:$A$2965,$A48&amp;"????",$D49:$D$2965),VLOOKUP(IF(LEN($A48)=4,$A48&amp;"01 1",$A48),GUS_tabl_21!$A$5:$F$4886,6,FALSE))))</f>
        <v>4302</v>
      </c>
    </row>
    <row r="49" spans="1:4" s="29" customFormat="1" ht="12" customHeight="1">
      <c r="A49" s="155" t="str">
        <f>"020606 2"</f>
        <v>020606 2</v>
      </c>
      <c r="B49" s="153" t="s">
        <v>40</v>
      </c>
      <c r="C49" s="156" t="str">
        <f>IF(OR($A49="",ISERROR(VALUE(LEFT($A49,6)))),"",IF(LEN($A49)=2,"WOJ. ",IF(LEN($A49)=4,IF(VALUE(RIGHT($A49,2))&gt;60,"","Powiat "),IF(VALUE(RIGHT($A49,1))=1,"m. ",IF(VALUE(RIGHT($A49,1))=2,"gm. w. ",IF(VALUE(RIGHT($A49,1))=8,"dz. ","gm. m.-w. ")))))&amp;IF(LEN($A49)=2,TRIM(UPPER(VLOOKUP($A49,GUS_tabl_1!$A$7:$B$22,2,FALSE))),IF(ISERROR(FIND("..",TRIM(VLOOKUP(IF(AND(LEN($A49)=4,VALUE(RIGHT($A49,2))&gt;60),$A49&amp;"01 1",$A49),IF(AND(LEN($A49)=4,VALUE(RIGHT($A49,2))&lt;60),GUS_tabl_2!$A$8:$B$464,GUS_tabl_21!$A$5:$B$4886),2,FALSE)))),TRIM(VLOOKUP(IF(AND(LEN($A49)=4,VALUE(RIGHT($A49,2))&gt;60),$A49&amp;"01 1",$A49),IF(AND(LEN($A49)=4,VALUE(RIGHT($A49,2))&lt;60),GUS_tabl_2!$A$8:$B$464,GUS_tabl_21!$A$5:$B$4886),2,FALSE)),LEFT(TRIM(VLOOKUP(IF(AND(LEN($A49)=4,VALUE(RIGHT($A49,2))&gt;60),$A49&amp;"01 1",$A49),IF(AND(LEN($A49)=4,VALUE(RIGHT($A49,2))&lt;60),GUS_tabl_2!$A$8:$B$464,GUS_tabl_21!$A$5:$B$4886),2,FALSE)),SUM(FIND("..",TRIM(VLOOKUP(IF(AND(LEN($A49)=4,VALUE(RIGHT($A49,2))&gt;60),$A49&amp;"01 1",$A49),IF(AND(LEN($A49)=4,VALUE(RIGHT($A49,2))&lt;60),GUS_tabl_2!$A$8:$B$464,GUS_tabl_21!$A$5:$B$4886),2,FALSE))),-1)))))</f>
        <v>gm. w. Jeżów Sudecki</v>
      </c>
      <c r="D49" s="141">
        <f>IF(OR($A49="",ISERROR(VALUE(LEFT($A49,6)))),"",IF(LEN($A49)=2,SUMIF($A50:$A$2965,$A49&amp;"??",$D50:$D$2965),IF(AND(LEN($A49)=4,VALUE(RIGHT($A49,2))&lt;=60),SUMIF($A50:$A$2965,$A49&amp;"????",$D50:$D$2965),VLOOKUP(IF(LEN($A49)=4,$A49&amp;"01 1",$A49),GUS_tabl_21!$A$5:$F$4886,6,FALSE))))</f>
        <v>7456</v>
      </c>
    </row>
    <row r="50" spans="1:4" s="29" customFormat="1" ht="12" customHeight="1">
      <c r="A50" s="155" t="str">
        <f>"020607 2"</f>
        <v>020607 2</v>
      </c>
      <c r="B50" s="153" t="s">
        <v>40</v>
      </c>
      <c r="C50" s="156" t="str">
        <f>IF(OR($A50="",ISERROR(VALUE(LEFT($A50,6)))),"",IF(LEN($A50)=2,"WOJ. ",IF(LEN($A50)=4,IF(VALUE(RIGHT($A50,2))&gt;60,"","Powiat "),IF(VALUE(RIGHT($A50,1))=1,"m. ",IF(VALUE(RIGHT($A50,1))=2,"gm. w. ",IF(VALUE(RIGHT($A50,1))=8,"dz. ","gm. m.-w. ")))))&amp;IF(LEN($A50)=2,TRIM(UPPER(VLOOKUP($A50,GUS_tabl_1!$A$7:$B$22,2,FALSE))),IF(ISERROR(FIND("..",TRIM(VLOOKUP(IF(AND(LEN($A50)=4,VALUE(RIGHT($A50,2))&gt;60),$A50&amp;"01 1",$A50),IF(AND(LEN($A50)=4,VALUE(RIGHT($A50,2))&lt;60),GUS_tabl_2!$A$8:$B$464,GUS_tabl_21!$A$5:$B$4886),2,FALSE)))),TRIM(VLOOKUP(IF(AND(LEN($A50)=4,VALUE(RIGHT($A50,2))&gt;60),$A50&amp;"01 1",$A50),IF(AND(LEN($A50)=4,VALUE(RIGHT($A50,2))&lt;60),GUS_tabl_2!$A$8:$B$464,GUS_tabl_21!$A$5:$B$4886),2,FALSE)),LEFT(TRIM(VLOOKUP(IF(AND(LEN($A50)=4,VALUE(RIGHT($A50,2))&gt;60),$A50&amp;"01 1",$A50),IF(AND(LEN($A50)=4,VALUE(RIGHT($A50,2))&lt;60),GUS_tabl_2!$A$8:$B$464,GUS_tabl_21!$A$5:$B$4886),2,FALSE)),SUM(FIND("..",TRIM(VLOOKUP(IF(AND(LEN($A50)=4,VALUE(RIGHT($A50,2))&gt;60),$A50&amp;"01 1",$A50),IF(AND(LEN($A50)=4,VALUE(RIGHT($A50,2))&lt;60),GUS_tabl_2!$A$8:$B$464,GUS_tabl_21!$A$5:$B$4886),2,FALSE))),-1)))))</f>
        <v>gm. w. Mysłakowice</v>
      </c>
      <c r="D50" s="141">
        <f>IF(OR($A50="",ISERROR(VALUE(LEFT($A50,6)))),"",IF(LEN($A50)=2,SUMIF($A51:$A$2965,$A50&amp;"??",$D51:$D$2965),IF(AND(LEN($A50)=4,VALUE(RIGHT($A50,2))&lt;=60),SUMIF($A51:$A$2965,$A50&amp;"????",$D51:$D$2965),VLOOKUP(IF(LEN($A50)=4,$A50&amp;"01 1",$A50),GUS_tabl_21!$A$5:$F$4886,6,FALSE))))</f>
        <v>10160</v>
      </c>
    </row>
    <row r="51" spans="1:4" s="29" customFormat="1" ht="12" customHeight="1">
      <c r="A51" s="155" t="str">
        <f>"020608 2"</f>
        <v>020608 2</v>
      </c>
      <c r="B51" s="153" t="s">
        <v>40</v>
      </c>
      <c r="C51" s="156" t="str">
        <f>IF(OR($A51="",ISERROR(VALUE(LEFT($A51,6)))),"",IF(LEN($A51)=2,"WOJ. ",IF(LEN($A51)=4,IF(VALUE(RIGHT($A51,2))&gt;60,"","Powiat "),IF(VALUE(RIGHT($A51,1))=1,"m. ",IF(VALUE(RIGHT($A51,1))=2,"gm. w. ",IF(VALUE(RIGHT($A51,1))=8,"dz. ","gm. m.-w. ")))))&amp;IF(LEN($A51)=2,TRIM(UPPER(VLOOKUP($A51,GUS_tabl_1!$A$7:$B$22,2,FALSE))),IF(ISERROR(FIND("..",TRIM(VLOOKUP(IF(AND(LEN($A51)=4,VALUE(RIGHT($A51,2))&gt;60),$A51&amp;"01 1",$A51),IF(AND(LEN($A51)=4,VALUE(RIGHT($A51,2))&lt;60),GUS_tabl_2!$A$8:$B$464,GUS_tabl_21!$A$5:$B$4886),2,FALSE)))),TRIM(VLOOKUP(IF(AND(LEN($A51)=4,VALUE(RIGHT($A51,2))&gt;60),$A51&amp;"01 1",$A51),IF(AND(LEN($A51)=4,VALUE(RIGHT($A51,2))&lt;60),GUS_tabl_2!$A$8:$B$464,GUS_tabl_21!$A$5:$B$4886),2,FALSE)),LEFT(TRIM(VLOOKUP(IF(AND(LEN($A51)=4,VALUE(RIGHT($A51,2))&gt;60),$A51&amp;"01 1",$A51),IF(AND(LEN($A51)=4,VALUE(RIGHT($A51,2))&lt;60),GUS_tabl_2!$A$8:$B$464,GUS_tabl_21!$A$5:$B$4886),2,FALSE)),SUM(FIND("..",TRIM(VLOOKUP(IF(AND(LEN($A51)=4,VALUE(RIGHT($A51,2))&gt;60),$A51&amp;"01 1",$A51),IF(AND(LEN($A51)=4,VALUE(RIGHT($A51,2))&lt;60),GUS_tabl_2!$A$8:$B$464,GUS_tabl_21!$A$5:$B$4886),2,FALSE))),-1)))))</f>
        <v>gm. w. Podgórzyn</v>
      </c>
      <c r="D51" s="141">
        <f>IF(OR($A51="",ISERROR(VALUE(LEFT($A51,6)))),"",IF(LEN($A51)=2,SUMIF($A52:$A$2965,$A51&amp;"??",$D52:$D$2965),IF(AND(LEN($A51)=4,VALUE(RIGHT($A51,2))&lt;=60),SUMIF($A52:$A$2965,$A51&amp;"????",$D52:$D$2965),VLOOKUP(IF(LEN($A51)=4,$A51&amp;"01 1",$A51),GUS_tabl_21!$A$5:$F$4886,6,FALSE))))</f>
        <v>8249</v>
      </c>
    </row>
    <row r="52" spans="1:4" s="29" customFormat="1" ht="12" customHeight="1">
      <c r="A52" s="155" t="str">
        <f>"020609 2"</f>
        <v>020609 2</v>
      </c>
      <c r="B52" s="153" t="s">
        <v>40</v>
      </c>
      <c r="C52" s="156" t="str">
        <f>IF(OR($A52="",ISERROR(VALUE(LEFT($A52,6)))),"",IF(LEN($A52)=2,"WOJ. ",IF(LEN($A52)=4,IF(VALUE(RIGHT($A52,2))&gt;60,"","Powiat "),IF(VALUE(RIGHT($A52,1))=1,"m. ",IF(VALUE(RIGHT($A52,1))=2,"gm. w. ",IF(VALUE(RIGHT($A52,1))=8,"dz. ","gm. m.-w. ")))))&amp;IF(LEN($A52)=2,TRIM(UPPER(VLOOKUP($A52,GUS_tabl_1!$A$7:$B$22,2,FALSE))),IF(ISERROR(FIND("..",TRIM(VLOOKUP(IF(AND(LEN($A52)=4,VALUE(RIGHT($A52,2))&gt;60),$A52&amp;"01 1",$A52),IF(AND(LEN($A52)=4,VALUE(RIGHT($A52,2))&lt;60),GUS_tabl_2!$A$8:$B$464,GUS_tabl_21!$A$5:$B$4886),2,FALSE)))),TRIM(VLOOKUP(IF(AND(LEN($A52)=4,VALUE(RIGHT($A52,2))&gt;60),$A52&amp;"01 1",$A52),IF(AND(LEN($A52)=4,VALUE(RIGHT($A52,2))&lt;60),GUS_tabl_2!$A$8:$B$464,GUS_tabl_21!$A$5:$B$4886),2,FALSE)),LEFT(TRIM(VLOOKUP(IF(AND(LEN($A52)=4,VALUE(RIGHT($A52,2))&gt;60),$A52&amp;"01 1",$A52),IF(AND(LEN($A52)=4,VALUE(RIGHT($A52,2))&lt;60),GUS_tabl_2!$A$8:$B$464,GUS_tabl_21!$A$5:$B$4886),2,FALSE)),SUM(FIND("..",TRIM(VLOOKUP(IF(AND(LEN($A52)=4,VALUE(RIGHT($A52,2))&gt;60),$A52&amp;"01 1",$A52),IF(AND(LEN($A52)=4,VALUE(RIGHT($A52,2))&lt;60),GUS_tabl_2!$A$8:$B$464,GUS_tabl_21!$A$5:$B$4886),2,FALSE))),-1)))))</f>
        <v>gm. w. Stara Kamienica</v>
      </c>
      <c r="D52" s="141">
        <f>IF(OR($A52="",ISERROR(VALUE(LEFT($A52,6)))),"",IF(LEN($A52)=2,SUMIF($A53:$A$2965,$A52&amp;"??",$D53:$D$2965),IF(AND(LEN($A52)=4,VALUE(RIGHT($A52,2))&lt;=60),SUMIF($A53:$A$2965,$A52&amp;"????",$D53:$D$2965),VLOOKUP(IF(LEN($A52)=4,$A52&amp;"01 1",$A52),GUS_tabl_21!$A$5:$F$4886,6,FALSE))))</f>
        <v>5252</v>
      </c>
    </row>
    <row r="53" spans="1:4" s="29" customFormat="1" ht="12" customHeight="1">
      <c r="A53" s="152" t="str">
        <f>"0207"</f>
        <v>0207</v>
      </c>
      <c r="B53" s="153" t="s">
        <v>40</v>
      </c>
      <c r="C53" s="154" t="str">
        <f>IF(OR($A53="",ISERROR(VALUE(LEFT($A53,6)))),"",IF(LEN($A53)=2,"WOJ. ",IF(LEN($A53)=4,IF(VALUE(RIGHT($A53,2))&gt;60,"","Powiat "),IF(VALUE(RIGHT($A53,1))=1,"m. ",IF(VALUE(RIGHT($A53,1))=2,"gm. w. ",IF(VALUE(RIGHT($A53,1))=8,"dz. ","gm. m.-w. ")))))&amp;IF(LEN($A53)=2,TRIM(UPPER(VLOOKUP($A53,GUS_tabl_1!$A$7:$B$22,2,FALSE))),IF(ISERROR(FIND("..",TRIM(VLOOKUP(IF(AND(LEN($A53)=4,VALUE(RIGHT($A53,2))&gt;60),$A53&amp;"01 1",$A53),IF(AND(LEN($A53)=4,VALUE(RIGHT($A53,2))&lt;60),GUS_tabl_2!$A$8:$B$464,GUS_tabl_21!$A$5:$B$4886),2,FALSE)))),TRIM(VLOOKUP(IF(AND(LEN($A53)=4,VALUE(RIGHT($A53,2))&gt;60),$A53&amp;"01 1",$A53),IF(AND(LEN($A53)=4,VALUE(RIGHT($A53,2))&lt;60),GUS_tabl_2!$A$8:$B$464,GUS_tabl_21!$A$5:$B$4886),2,FALSE)),LEFT(TRIM(VLOOKUP(IF(AND(LEN($A53)=4,VALUE(RIGHT($A53,2))&gt;60),$A53&amp;"01 1",$A53),IF(AND(LEN($A53)=4,VALUE(RIGHT($A53,2))&lt;60),GUS_tabl_2!$A$8:$B$464,GUS_tabl_21!$A$5:$B$4886),2,FALSE)),SUM(FIND("..",TRIM(VLOOKUP(IF(AND(LEN($A53)=4,VALUE(RIGHT($A53,2))&gt;60),$A53&amp;"01 1",$A53),IF(AND(LEN($A53)=4,VALUE(RIGHT($A53,2))&lt;60),GUS_tabl_2!$A$8:$B$464,GUS_tabl_21!$A$5:$B$4886),2,FALSE))),-1)))))</f>
        <v>Powiat kamiennogórski</v>
      </c>
      <c r="D53" s="140">
        <f>IF(OR($A53="",ISERROR(VALUE(LEFT($A53,6)))),"",IF(LEN($A53)=2,SUMIF($A54:$A$2965,$A53&amp;"??",$D54:$D$2965),IF(AND(LEN($A53)=4,VALUE(RIGHT($A53,2))&lt;=60),SUMIF($A54:$A$2965,$A53&amp;"????",$D54:$D$2965),VLOOKUP(IF(LEN($A53)=4,$A53&amp;"01 1",$A53),GUS_tabl_21!$A$5:$F$4886,6,FALSE))))</f>
        <v>43239</v>
      </c>
    </row>
    <row r="54" spans="1:4" s="29" customFormat="1" ht="12" customHeight="1">
      <c r="A54" s="155" t="str">
        <f>"020701 1"</f>
        <v>020701 1</v>
      </c>
      <c r="B54" s="153" t="s">
        <v>40</v>
      </c>
      <c r="C54" s="156" t="str">
        <f>IF(OR($A54="",ISERROR(VALUE(LEFT($A54,6)))),"",IF(LEN($A54)=2,"WOJ. ",IF(LEN($A54)=4,IF(VALUE(RIGHT($A54,2))&gt;60,"","Powiat "),IF(VALUE(RIGHT($A54,1))=1,"m. ",IF(VALUE(RIGHT($A54,1))=2,"gm. w. ",IF(VALUE(RIGHT($A54,1))=8,"dz. ","gm. m.-w. ")))))&amp;IF(LEN($A54)=2,TRIM(UPPER(VLOOKUP($A54,GUS_tabl_1!$A$7:$B$22,2,FALSE))),IF(ISERROR(FIND("..",TRIM(VLOOKUP(IF(AND(LEN($A54)=4,VALUE(RIGHT($A54,2))&gt;60),$A54&amp;"01 1",$A54),IF(AND(LEN($A54)=4,VALUE(RIGHT($A54,2))&lt;60),GUS_tabl_2!$A$8:$B$464,GUS_tabl_21!$A$5:$B$4886),2,FALSE)))),TRIM(VLOOKUP(IF(AND(LEN($A54)=4,VALUE(RIGHT($A54,2))&gt;60),$A54&amp;"01 1",$A54),IF(AND(LEN($A54)=4,VALUE(RIGHT($A54,2))&lt;60),GUS_tabl_2!$A$8:$B$464,GUS_tabl_21!$A$5:$B$4886),2,FALSE)),LEFT(TRIM(VLOOKUP(IF(AND(LEN($A54)=4,VALUE(RIGHT($A54,2))&gt;60),$A54&amp;"01 1",$A54),IF(AND(LEN($A54)=4,VALUE(RIGHT($A54,2))&lt;60),GUS_tabl_2!$A$8:$B$464,GUS_tabl_21!$A$5:$B$4886),2,FALSE)),SUM(FIND("..",TRIM(VLOOKUP(IF(AND(LEN($A54)=4,VALUE(RIGHT($A54,2))&gt;60),$A54&amp;"01 1",$A54),IF(AND(LEN($A54)=4,VALUE(RIGHT($A54,2))&lt;60),GUS_tabl_2!$A$8:$B$464,GUS_tabl_21!$A$5:$B$4886),2,FALSE))),-1)))))</f>
        <v>m. Kamienna Góra</v>
      </c>
      <c r="D54" s="141">
        <f>IF(OR($A54="",ISERROR(VALUE(LEFT($A54,6)))),"",IF(LEN($A54)=2,SUMIF($A55:$A$2965,$A54&amp;"??",$D55:$D$2965),IF(AND(LEN($A54)=4,VALUE(RIGHT($A54,2))&lt;=60),SUMIF($A55:$A$2965,$A54&amp;"????",$D55:$D$2965),VLOOKUP(IF(LEN($A54)=4,$A54&amp;"01 1",$A54),GUS_tabl_21!$A$5:$F$4886,6,FALSE))))</f>
        <v>18840</v>
      </c>
    </row>
    <row r="55" spans="1:4" s="29" customFormat="1" ht="12" customHeight="1">
      <c r="A55" s="155" t="str">
        <f>"020702 2"</f>
        <v>020702 2</v>
      </c>
      <c r="B55" s="153" t="s">
        <v>40</v>
      </c>
      <c r="C55" s="156" t="str">
        <f>IF(OR($A55="",ISERROR(VALUE(LEFT($A55,6)))),"",IF(LEN($A55)=2,"WOJ. ",IF(LEN($A55)=4,IF(VALUE(RIGHT($A55,2))&gt;60,"","Powiat "),IF(VALUE(RIGHT($A55,1))=1,"m. ",IF(VALUE(RIGHT($A55,1))=2,"gm. w. ",IF(VALUE(RIGHT($A55,1))=8,"dz. ","gm. m.-w. ")))))&amp;IF(LEN($A55)=2,TRIM(UPPER(VLOOKUP($A55,GUS_tabl_1!$A$7:$B$22,2,FALSE))),IF(ISERROR(FIND("..",TRIM(VLOOKUP(IF(AND(LEN($A55)=4,VALUE(RIGHT($A55,2))&gt;60),$A55&amp;"01 1",$A55),IF(AND(LEN($A55)=4,VALUE(RIGHT($A55,2))&lt;60),GUS_tabl_2!$A$8:$B$464,GUS_tabl_21!$A$5:$B$4886),2,FALSE)))),TRIM(VLOOKUP(IF(AND(LEN($A55)=4,VALUE(RIGHT($A55,2))&gt;60),$A55&amp;"01 1",$A55),IF(AND(LEN($A55)=4,VALUE(RIGHT($A55,2))&lt;60),GUS_tabl_2!$A$8:$B$464,GUS_tabl_21!$A$5:$B$4886),2,FALSE)),LEFT(TRIM(VLOOKUP(IF(AND(LEN($A55)=4,VALUE(RIGHT($A55,2))&gt;60),$A55&amp;"01 1",$A55),IF(AND(LEN($A55)=4,VALUE(RIGHT($A55,2))&lt;60),GUS_tabl_2!$A$8:$B$464,GUS_tabl_21!$A$5:$B$4886),2,FALSE)),SUM(FIND("..",TRIM(VLOOKUP(IF(AND(LEN($A55)=4,VALUE(RIGHT($A55,2))&gt;60),$A55&amp;"01 1",$A55),IF(AND(LEN($A55)=4,VALUE(RIGHT($A55,2))&lt;60),GUS_tabl_2!$A$8:$B$464,GUS_tabl_21!$A$5:$B$4886),2,FALSE))),-1)))))</f>
        <v>gm. w. Kamienna Góra</v>
      </c>
      <c r="D55" s="141">
        <f>IF(OR($A55="",ISERROR(VALUE(LEFT($A55,6)))),"",IF(LEN($A55)=2,SUMIF($A56:$A$2965,$A55&amp;"??",$D56:$D$2965),IF(AND(LEN($A55)=4,VALUE(RIGHT($A55,2))&lt;=60),SUMIF($A56:$A$2965,$A55&amp;"????",$D56:$D$2965),VLOOKUP(IF(LEN($A55)=4,$A55&amp;"01 1",$A55),GUS_tabl_21!$A$5:$F$4886,6,FALSE))))</f>
        <v>9035</v>
      </c>
    </row>
    <row r="56" spans="1:4" s="29" customFormat="1" ht="12" customHeight="1">
      <c r="A56" s="155" t="str">
        <f>"020703 3"</f>
        <v>020703 3</v>
      </c>
      <c r="B56" s="153" t="s">
        <v>40</v>
      </c>
      <c r="C56" s="156" t="str">
        <f>IF(OR($A56="",ISERROR(VALUE(LEFT($A56,6)))),"",IF(LEN($A56)=2,"WOJ. ",IF(LEN($A56)=4,IF(VALUE(RIGHT($A56,2))&gt;60,"","Powiat "),IF(VALUE(RIGHT($A56,1))=1,"m. ",IF(VALUE(RIGHT($A56,1))=2,"gm. w. ",IF(VALUE(RIGHT($A56,1))=8,"dz. ","gm. m.-w. ")))))&amp;IF(LEN($A56)=2,TRIM(UPPER(VLOOKUP($A56,GUS_tabl_1!$A$7:$B$22,2,FALSE))),IF(ISERROR(FIND("..",TRIM(VLOOKUP(IF(AND(LEN($A56)=4,VALUE(RIGHT($A56,2))&gt;60),$A56&amp;"01 1",$A56),IF(AND(LEN($A56)=4,VALUE(RIGHT($A56,2))&lt;60),GUS_tabl_2!$A$8:$B$464,GUS_tabl_21!$A$5:$B$4886),2,FALSE)))),TRIM(VLOOKUP(IF(AND(LEN($A56)=4,VALUE(RIGHT($A56,2))&gt;60),$A56&amp;"01 1",$A56),IF(AND(LEN($A56)=4,VALUE(RIGHT($A56,2))&lt;60),GUS_tabl_2!$A$8:$B$464,GUS_tabl_21!$A$5:$B$4886),2,FALSE)),LEFT(TRIM(VLOOKUP(IF(AND(LEN($A56)=4,VALUE(RIGHT($A56,2))&gt;60),$A56&amp;"01 1",$A56),IF(AND(LEN($A56)=4,VALUE(RIGHT($A56,2))&lt;60),GUS_tabl_2!$A$8:$B$464,GUS_tabl_21!$A$5:$B$4886),2,FALSE)),SUM(FIND("..",TRIM(VLOOKUP(IF(AND(LEN($A56)=4,VALUE(RIGHT($A56,2))&gt;60),$A56&amp;"01 1",$A56),IF(AND(LEN($A56)=4,VALUE(RIGHT($A56,2))&lt;60),GUS_tabl_2!$A$8:$B$464,GUS_tabl_21!$A$5:$B$4886),2,FALSE))),-1)))))</f>
        <v>gm. m.-w. Lubawka</v>
      </c>
      <c r="D56" s="141">
        <f>IF(OR($A56="",ISERROR(VALUE(LEFT($A56,6)))),"",IF(LEN($A56)=2,SUMIF($A57:$A$2965,$A56&amp;"??",$D57:$D$2965),IF(AND(LEN($A56)=4,VALUE(RIGHT($A56,2))&lt;=60),SUMIF($A57:$A$2965,$A56&amp;"????",$D57:$D$2965),VLOOKUP(IF(LEN($A56)=4,$A56&amp;"01 1",$A56),GUS_tabl_21!$A$5:$F$4886,6,FALSE))))</f>
        <v>10851</v>
      </c>
    </row>
    <row r="57" spans="1:4" s="29" customFormat="1" ht="12" customHeight="1">
      <c r="A57" s="155" t="str">
        <f>"020704 2"</f>
        <v>020704 2</v>
      </c>
      <c r="B57" s="153" t="s">
        <v>40</v>
      </c>
      <c r="C57" s="156" t="str">
        <f>IF(OR($A57="",ISERROR(VALUE(LEFT($A57,6)))),"",IF(LEN($A57)=2,"WOJ. ",IF(LEN($A57)=4,IF(VALUE(RIGHT($A57,2))&gt;60,"","Powiat "),IF(VALUE(RIGHT($A57,1))=1,"m. ",IF(VALUE(RIGHT($A57,1))=2,"gm. w. ",IF(VALUE(RIGHT($A57,1))=8,"dz. ","gm. m.-w. ")))))&amp;IF(LEN($A57)=2,TRIM(UPPER(VLOOKUP($A57,GUS_tabl_1!$A$7:$B$22,2,FALSE))),IF(ISERROR(FIND("..",TRIM(VLOOKUP(IF(AND(LEN($A57)=4,VALUE(RIGHT($A57,2))&gt;60),$A57&amp;"01 1",$A57),IF(AND(LEN($A57)=4,VALUE(RIGHT($A57,2))&lt;60),GUS_tabl_2!$A$8:$B$464,GUS_tabl_21!$A$5:$B$4886),2,FALSE)))),TRIM(VLOOKUP(IF(AND(LEN($A57)=4,VALUE(RIGHT($A57,2))&gt;60),$A57&amp;"01 1",$A57),IF(AND(LEN($A57)=4,VALUE(RIGHT($A57,2))&lt;60),GUS_tabl_2!$A$8:$B$464,GUS_tabl_21!$A$5:$B$4886),2,FALSE)),LEFT(TRIM(VLOOKUP(IF(AND(LEN($A57)=4,VALUE(RIGHT($A57,2))&gt;60),$A57&amp;"01 1",$A57),IF(AND(LEN($A57)=4,VALUE(RIGHT($A57,2))&lt;60),GUS_tabl_2!$A$8:$B$464,GUS_tabl_21!$A$5:$B$4886),2,FALSE)),SUM(FIND("..",TRIM(VLOOKUP(IF(AND(LEN($A57)=4,VALUE(RIGHT($A57,2))&gt;60),$A57&amp;"01 1",$A57),IF(AND(LEN($A57)=4,VALUE(RIGHT($A57,2))&lt;60),GUS_tabl_2!$A$8:$B$464,GUS_tabl_21!$A$5:$B$4886),2,FALSE))),-1)))))</f>
        <v>gm. w. Marciszów</v>
      </c>
      <c r="D57" s="141">
        <f>IF(OR($A57="",ISERROR(VALUE(LEFT($A57,6)))),"",IF(LEN($A57)=2,SUMIF($A58:$A$2965,$A57&amp;"??",$D58:$D$2965),IF(AND(LEN($A57)=4,VALUE(RIGHT($A57,2))&lt;=60),SUMIF($A58:$A$2965,$A57&amp;"????",$D58:$D$2965),VLOOKUP(IF(LEN($A57)=4,$A57&amp;"01 1",$A57),GUS_tabl_21!$A$5:$F$4886,6,FALSE))))</f>
        <v>4513</v>
      </c>
    </row>
    <row r="58" spans="1:4" s="29" customFormat="1" ht="12" customHeight="1">
      <c r="A58" s="152" t="str">
        <f>"0208"</f>
        <v>0208</v>
      </c>
      <c r="B58" s="153" t="s">
        <v>40</v>
      </c>
      <c r="C58" s="154" t="str">
        <f>IF(OR($A58="",ISERROR(VALUE(LEFT($A58,6)))),"",IF(LEN($A58)=2,"WOJ. ",IF(LEN($A58)=4,IF(VALUE(RIGHT($A58,2))&gt;60,"","Powiat "),IF(VALUE(RIGHT($A58,1))=1,"m. ",IF(VALUE(RIGHT($A58,1))=2,"gm. w. ",IF(VALUE(RIGHT($A58,1))=8,"dz. ","gm. m.-w. ")))))&amp;IF(LEN($A58)=2,TRIM(UPPER(VLOOKUP($A58,GUS_tabl_1!$A$7:$B$22,2,FALSE))),IF(ISERROR(FIND("..",TRIM(VLOOKUP(IF(AND(LEN($A58)=4,VALUE(RIGHT($A58,2))&gt;60),$A58&amp;"01 1",$A58),IF(AND(LEN($A58)=4,VALUE(RIGHT($A58,2))&lt;60),GUS_tabl_2!$A$8:$B$464,GUS_tabl_21!$A$5:$B$4886),2,FALSE)))),TRIM(VLOOKUP(IF(AND(LEN($A58)=4,VALUE(RIGHT($A58,2))&gt;60),$A58&amp;"01 1",$A58),IF(AND(LEN($A58)=4,VALUE(RIGHT($A58,2))&lt;60),GUS_tabl_2!$A$8:$B$464,GUS_tabl_21!$A$5:$B$4886),2,FALSE)),LEFT(TRIM(VLOOKUP(IF(AND(LEN($A58)=4,VALUE(RIGHT($A58,2))&gt;60),$A58&amp;"01 1",$A58),IF(AND(LEN($A58)=4,VALUE(RIGHT($A58,2))&lt;60),GUS_tabl_2!$A$8:$B$464,GUS_tabl_21!$A$5:$B$4886),2,FALSE)),SUM(FIND("..",TRIM(VLOOKUP(IF(AND(LEN($A58)=4,VALUE(RIGHT($A58,2))&gt;60),$A58&amp;"01 1",$A58),IF(AND(LEN($A58)=4,VALUE(RIGHT($A58,2))&lt;60),GUS_tabl_2!$A$8:$B$464,GUS_tabl_21!$A$5:$B$4886),2,FALSE))),-1)))))</f>
        <v>Powiat kłodzki</v>
      </c>
      <c r="D58" s="140">
        <f>IF(OR($A58="",ISERROR(VALUE(LEFT($A58,6)))),"",IF(LEN($A58)=2,SUMIF($A59:$A$2965,$A58&amp;"??",$D59:$D$2965),IF(AND(LEN($A58)=4,VALUE(RIGHT($A58,2))&lt;=60),SUMIF($A59:$A$2965,$A58&amp;"????",$D59:$D$2965),VLOOKUP(IF(LEN($A58)=4,$A58&amp;"01 1",$A58),GUS_tabl_21!$A$5:$F$4886,6,FALSE))))</f>
        <v>157996</v>
      </c>
    </row>
    <row r="59" spans="1:4" s="29" customFormat="1" ht="12" customHeight="1">
      <c r="A59" s="155" t="str">
        <f>"020801 1"</f>
        <v>020801 1</v>
      </c>
      <c r="B59" s="153" t="s">
        <v>40</v>
      </c>
      <c r="C59" s="156" t="str">
        <f>IF(OR($A59="",ISERROR(VALUE(LEFT($A59,6)))),"",IF(LEN($A59)=2,"WOJ. ",IF(LEN($A59)=4,IF(VALUE(RIGHT($A59,2))&gt;60,"","Powiat "),IF(VALUE(RIGHT($A59,1))=1,"m. ",IF(VALUE(RIGHT($A59,1))=2,"gm. w. ",IF(VALUE(RIGHT($A59,1))=8,"dz. ","gm. m.-w. ")))))&amp;IF(LEN($A59)=2,TRIM(UPPER(VLOOKUP($A59,GUS_tabl_1!$A$7:$B$22,2,FALSE))),IF(ISERROR(FIND("..",TRIM(VLOOKUP(IF(AND(LEN($A59)=4,VALUE(RIGHT($A59,2))&gt;60),$A59&amp;"01 1",$A59),IF(AND(LEN($A59)=4,VALUE(RIGHT($A59,2))&lt;60),GUS_tabl_2!$A$8:$B$464,GUS_tabl_21!$A$5:$B$4886),2,FALSE)))),TRIM(VLOOKUP(IF(AND(LEN($A59)=4,VALUE(RIGHT($A59,2))&gt;60),$A59&amp;"01 1",$A59),IF(AND(LEN($A59)=4,VALUE(RIGHT($A59,2))&lt;60),GUS_tabl_2!$A$8:$B$464,GUS_tabl_21!$A$5:$B$4886),2,FALSE)),LEFT(TRIM(VLOOKUP(IF(AND(LEN($A59)=4,VALUE(RIGHT($A59,2))&gt;60),$A59&amp;"01 1",$A59),IF(AND(LEN($A59)=4,VALUE(RIGHT($A59,2))&lt;60),GUS_tabl_2!$A$8:$B$464,GUS_tabl_21!$A$5:$B$4886),2,FALSE)),SUM(FIND("..",TRIM(VLOOKUP(IF(AND(LEN($A59)=4,VALUE(RIGHT($A59,2))&gt;60),$A59&amp;"01 1",$A59),IF(AND(LEN($A59)=4,VALUE(RIGHT($A59,2))&lt;60),GUS_tabl_2!$A$8:$B$464,GUS_tabl_21!$A$5:$B$4886),2,FALSE))),-1)))))</f>
        <v>m. Duszniki-Zdrój</v>
      </c>
      <c r="D59" s="141">
        <f>IF(OR($A59="",ISERROR(VALUE(LEFT($A59,6)))),"",IF(LEN($A59)=2,SUMIF($A60:$A$2965,$A59&amp;"??",$D60:$D$2965),IF(AND(LEN($A59)=4,VALUE(RIGHT($A59,2))&lt;=60),SUMIF($A60:$A$2965,$A59&amp;"????",$D60:$D$2965),VLOOKUP(IF(LEN($A59)=4,$A59&amp;"01 1",$A59),GUS_tabl_21!$A$5:$F$4886,6,FALSE))))</f>
        <v>4545</v>
      </c>
    </row>
    <row r="60" spans="1:4" s="29" customFormat="1" ht="12" customHeight="1">
      <c r="A60" s="155" t="str">
        <f>"020802 1"</f>
        <v>020802 1</v>
      </c>
      <c r="B60" s="153" t="s">
        <v>40</v>
      </c>
      <c r="C60" s="156" t="str">
        <f>IF(OR($A60="",ISERROR(VALUE(LEFT($A60,6)))),"",IF(LEN($A60)=2,"WOJ. ",IF(LEN($A60)=4,IF(VALUE(RIGHT($A60,2))&gt;60,"","Powiat "),IF(VALUE(RIGHT($A60,1))=1,"m. ",IF(VALUE(RIGHT($A60,1))=2,"gm. w. ",IF(VALUE(RIGHT($A60,1))=8,"dz. ","gm. m.-w. ")))))&amp;IF(LEN($A60)=2,TRIM(UPPER(VLOOKUP($A60,GUS_tabl_1!$A$7:$B$22,2,FALSE))),IF(ISERROR(FIND("..",TRIM(VLOOKUP(IF(AND(LEN($A60)=4,VALUE(RIGHT($A60,2))&gt;60),$A60&amp;"01 1",$A60),IF(AND(LEN($A60)=4,VALUE(RIGHT($A60,2))&lt;60),GUS_tabl_2!$A$8:$B$464,GUS_tabl_21!$A$5:$B$4886),2,FALSE)))),TRIM(VLOOKUP(IF(AND(LEN($A60)=4,VALUE(RIGHT($A60,2))&gt;60),$A60&amp;"01 1",$A60),IF(AND(LEN($A60)=4,VALUE(RIGHT($A60,2))&lt;60),GUS_tabl_2!$A$8:$B$464,GUS_tabl_21!$A$5:$B$4886),2,FALSE)),LEFT(TRIM(VLOOKUP(IF(AND(LEN($A60)=4,VALUE(RIGHT($A60,2))&gt;60),$A60&amp;"01 1",$A60),IF(AND(LEN($A60)=4,VALUE(RIGHT($A60,2))&lt;60),GUS_tabl_2!$A$8:$B$464,GUS_tabl_21!$A$5:$B$4886),2,FALSE)),SUM(FIND("..",TRIM(VLOOKUP(IF(AND(LEN($A60)=4,VALUE(RIGHT($A60,2))&gt;60),$A60&amp;"01 1",$A60),IF(AND(LEN($A60)=4,VALUE(RIGHT($A60,2))&lt;60),GUS_tabl_2!$A$8:$B$464,GUS_tabl_21!$A$5:$B$4886),2,FALSE))),-1)))))</f>
        <v>m. Kłodzko</v>
      </c>
      <c r="D60" s="141">
        <f>IF(OR($A60="",ISERROR(VALUE(LEFT($A60,6)))),"",IF(LEN($A60)=2,SUMIF($A61:$A$2965,$A60&amp;"??",$D61:$D$2965),IF(AND(LEN($A60)=4,VALUE(RIGHT($A60,2))&lt;=60),SUMIF($A61:$A$2965,$A60&amp;"????",$D61:$D$2965),VLOOKUP(IF(LEN($A60)=4,$A60&amp;"01 1",$A60),GUS_tabl_21!$A$5:$F$4886,6,FALSE))))</f>
        <v>26742</v>
      </c>
    </row>
    <row r="61" spans="1:4" s="29" customFormat="1" ht="12" customHeight="1">
      <c r="A61" s="155" t="str">
        <f>"020803 1"</f>
        <v>020803 1</v>
      </c>
      <c r="B61" s="153" t="s">
        <v>40</v>
      </c>
      <c r="C61" s="156" t="str">
        <f>IF(OR($A61="",ISERROR(VALUE(LEFT($A61,6)))),"",IF(LEN($A61)=2,"WOJ. ",IF(LEN($A61)=4,IF(VALUE(RIGHT($A61,2))&gt;60,"","Powiat "),IF(VALUE(RIGHT($A61,1))=1,"m. ",IF(VALUE(RIGHT($A61,1))=2,"gm. w. ",IF(VALUE(RIGHT($A61,1))=8,"dz. ","gm. m.-w. ")))))&amp;IF(LEN($A61)=2,TRIM(UPPER(VLOOKUP($A61,GUS_tabl_1!$A$7:$B$22,2,FALSE))),IF(ISERROR(FIND("..",TRIM(VLOOKUP(IF(AND(LEN($A61)=4,VALUE(RIGHT($A61,2))&gt;60),$A61&amp;"01 1",$A61),IF(AND(LEN($A61)=4,VALUE(RIGHT($A61,2))&lt;60),GUS_tabl_2!$A$8:$B$464,GUS_tabl_21!$A$5:$B$4886),2,FALSE)))),TRIM(VLOOKUP(IF(AND(LEN($A61)=4,VALUE(RIGHT($A61,2))&gt;60),$A61&amp;"01 1",$A61),IF(AND(LEN($A61)=4,VALUE(RIGHT($A61,2))&lt;60),GUS_tabl_2!$A$8:$B$464,GUS_tabl_21!$A$5:$B$4886),2,FALSE)),LEFT(TRIM(VLOOKUP(IF(AND(LEN($A61)=4,VALUE(RIGHT($A61,2))&gt;60),$A61&amp;"01 1",$A61),IF(AND(LEN($A61)=4,VALUE(RIGHT($A61,2))&lt;60),GUS_tabl_2!$A$8:$B$464,GUS_tabl_21!$A$5:$B$4886),2,FALSE)),SUM(FIND("..",TRIM(VLOOKUP(IF(AND(LEN($A61)=4,VALUE(RIGHT($A61,2))&gt;60),$A61&amp;"01 1",$A61),IF(AND(LEN($A61)=4,VALUE(RIGHT($A61,2))&lt;60),GUS_tabl_2!$A$8:$B$464,GUS_tabl_21!$A$5:$B$4886),2,FALSE))),-1)))))</f>
        <v>m. Kudowa-Zdrój</v>
      </c>
      <c r="D61" s="141">
        <f>IF(OR($A61="",ISERROR(VALUE(LEFT($A61,6)))),"",IF(LEN($A61)=2,SUMIF($A62:$A$2965,$A61&amp;"??",$D62:$D$2965),IF(AND(LEN($A61)=4,VALUE(RIGHT($A61,2))&lt;=60),SUMIF($A62:$A$2965,$A61&amp;"????",$D62:$D$2965),VLOOKUP(IF(LEN($A61)=4,$A61&amp;"01 1",$A61),GUS_tabl_21!$A$5:$F$4886,6,FALSE))))</f>
        <v>9886</v>
      </c>
    </row>
    <row r="62" spans="1:4" s="29" customFormat="1" ht="12" customHeight="1">
      <c r="A62" s="155" t="str">
        <f>"020804 1"</f>
        <v>020804 1</v>
      </c>
      <c r="B62" s="153" t="s">
        <v>40</v>
      </c>
      <c r="C62" s="156" t="str">
        <f>IF(OR($A62="",ISERROR(VALUE(LEFT($A62,6)))),"",IF(LEN($A62)=2,"WOJ. ",IF(LEN($A62)=4,IF(VALUE(RIGHT($A62,2))&gt;60,"","Powiat "),IF(VALUE(RIGHT($A62,1))=1,"m. ",IF(VALUE(RIGHT($A62,1))=2,"gm. w. ",IF(VALUE(RIGHT($A62,1))=8,"dz. ","gm. m.-w. ")))))&amp;IF(LEN($A62)=2,TRIM(UPPER(VLOOKUP($A62,GUS_tabl_1!$A$7:$B$22,2,FALSE))),IF(ISERROR(FIND("..",TRIM(VLOOKUP(IF(AND(LEN($A62)=4,VALUE(RIGHT($A62,2))&gt;60),$A62&amp;"01 1",$A62),IF(AND(LEN($A62)=4,VALUE(RIGHT($A62,2))&lt;60),GUS_tabl_2!$A$8:$B$464,GUS_tabl_21!$A$5:$B$4886),2,FALSE)))),TRIM(VLOOKUP(IF(AND(LEN($A62)=4,VALUE(RIGHT($A62,2))&gt;60),$A62&amp;"01 1",$A62),IF(AND(LEN($A62)=4,VALUE(RIGHT($A62,2))&lt;60),GUS_tabl_2!$A$8:$B$464,GUS_tabl_21!$A$5:$B$4886),2,FALSE)),LEFT(TRIM(VLOOKUP(IF(AND(LEN($A62)=4,VALUE(RIGHT($A62,2))&gt;60),$A62&amp;"01 1",$A62),IF(AND(LEN($A62)=4,VALUE(RIGHT($A62,2))&lt;60),GUS_tabl_2!$A$8:$B$464,GUS_tabl_21!$A$5:$B$4886),2,FALSE)),SUM(FIND("..",TRIM(VLOOKUP(IF(AND(LEN($A62)=4,VALUE(RIGHT($A62,2))&gt;60),$A62&amp;"01 1",$A62),IF(AND(LEN($A62)=4,VALUE(RIGHT($A62,2))&lt;60),GUS_tabl_2!$A$8:$B$464,GUS_tabl_21!$A$5:$B$4886),2,FALSE))),-1)))))</f>
        <v>m. Nowa Ruda</v>
      </c>
      <c r="D62" s="141">
        <f>IF(OR($A62="",ISERROR(VALUE(LEFT($A62,6)))),"",IF(LEN($A62)=2,SUMIF($A63:$A$2965,$A62&amp;"??",$D63:$D$2965),IF(AND(LEN($A62)=4,VALUE(RIGHT($A62,2))&lt;=60),SUMIF($A63:$A$2965,$A62&amp;"????",$D63:$D$2965),VLOOKUP(IF(LEN($A62)=4,$A62&amp;"01 1",$A62),GUS_tabl_21!$A$5:$F$4886,6,FALSE))))</f>
        <v>21908</v>
      </c>
    </row>
    <row r="63" spans="1:4" s="29" customFormat="1" ht="12" customHeight="1">
      <c r="A63" s="155" t="str">
        <f>"020805 1"</f>
        <v>020805 1</v>
      </c>
      <c r="B63" s="153" t="s">
        <v>40</v>
      </c>
      <c r="C63" s="156" t="str">
        <f>IF(OR($A63="",ISERROR(VALUE(LEFT($A63,6)))),"",IF(LEN($A63)=2,"WOJ. ",IF(LEN($A63)=4,IF(VALUE(RIGHT($A63,2))&gt;60,"","Powiat "),IF(VALUE(RIGHT($A63,1))=1,"m. ",IF(VALUE(RIGHT($A63,1))=2,"gm. w. ",IF(VALUE(RIGHT($A63,1))=8,"dz. ","gm. m.-w. ")))))&amp;IF(LEN($A63)=2,TRIM(UPPER(VLOOKUP($A63,GUS_tabl_1!$A$7:$B$22,2,FALSE))),IF(ISERROR(FIND("..",TRIM(VLOOKUP(IF(AND(LEN($A63)=4,VALUE(RIGHT($A63,2))&gt;60),$A63&amp;"01 1",$A63),IF(AND(LEN($A63)=4,VALUE(RIGHT($A63,2))&lt;60),GUS_tabl_2!$A$8:$B$464,GUS_tabl_21!$A$5:$B$4886),2,FALSE)))),TRIM(VLOOKUP(IF(AND(LEN($A63)=4,VALUE(RIGHT($A63,2))&gt;60),$A63&amp;"01 1",$A63),IF(AND(LEN($A63)=4,VALUE(RIGHT($A63,2))&lt;60),GUS_tabl_2!$A$8:$B$464,GUS_tabl_21!$A$5:$B$4886),2,FALSE)),LEFT(TRIM(VLOOKUP(IF(AND(LEN($A63)=4,VALUE(RIGHT($A63,2))&gt;60),$A63&amp;"01 1",$A63),IF(AND(LEN($A63)=4,VALUE(RIGHT($A63,2))&lt;60),GUS_tabl_2!$A$8:$B$464,GUS_tabl_21!$A$5:$B$4886),2,FALSE)),SUM(FIND("..",TRIM(VLOOKUP(IF(AND(LEN($A63)=4,VALUE(RIGHT($A63,2))&gt;60),$A63&amp;"01 1",$A63),IF(AND(LEN($A63)=4,VALUE(RIGHT($A63,2))&lt;60),GUS_tabl_2!$A$8:$B$464,GUS_tabl_21!$A$5:$B$4886),2,FALSE))),-1)))))</f>
        <v>m. Polanica-Zdrój</v>
      </c>
      <c r="D63" s="141">
        <f>IF(OR($A63="",ISERROR(VALUE(LEFT($A63,6)))),"",IF(LEN($A63)=2,SUMIF($A64:$A$2965,$A63&amp;"??",$D64:$D$2965),IF(AND(LEN($A63)=4,VALUE(RIGHT($A63,2))&lt;=60),SUMIF($A64:$A$2965,$A63&amp;"????",$D64:$D$2965),VLOOKUP(IF(LEN($A63)=4,$A63&amp;"01 1",$A63),GUS_tabl_21!$A$5:$F$4886,6,FALSE))))</f>
        <v>6307</v>
      </c>
    </row>
    <row r="64" spans="1:4" s="29" customFormat="1" ht="12" customHeight="1">
      <c r="A64" s="155" t="str">
        <f>"020806 3"</f>
        <v>020806 3</v>
      </c>
      <c r="B64" s="153" t="s">
        <v>40</v>
      </c>
      <c r="C64" s="156" t="str">
        <f>IF(OR($A64="",ISERROR(VALUE(LEFT($A64,6)))),"",IF(LEN($A64)=2,"WOJ. ",IF(LEN($A64)=4,IF(VALUE(RIGHT($A64,2))&gt;60,"","Powiat "),IF(VALUE(RIGHT($A64,1))=1,"m. ",IF(VALUE(RIGHT($A64,1))=2,"gm. w. ",IF(VALUE(RIGHT($A64,1))=8,"dz. ","gm. m.-w. ")))))&amp;IF(LEN($A64)=2,TRIM(UPPER(VLOOKUP($A64,GUS_tabl_1!$A$7:$B$22,2,FALSE))),IF(ISERROR(FIND("..",TRIM(VLOOKUP(IF(AND(LEN($A64)=4,VALUE(RIGHT($A64,2))&gt;60),$A64&amp;"01 1",$A64),IF(AND(LEN($A64)=4,VALUE(RIGHT($A64,2))&lt;60),GUS_tabl_2!$A$8:$B$464,GUS_tabl_21!$A$5:$B$4886),2,FALSE)))),TRIM(VLOOKUP(IF(AND(LEN($A64)=4,VALUE(RIGHT($A64,2))&gt;60),$A64&amp;"01 1",$A64),IF(AND(LEN($A64)=4,VALUE(RIGHT($A64,2))&lt;60),GUS_tabl_2!$A$8:$B$464,GUS_tabl_21!$A$5:$B$4886),2,FALSE)),LEFT(TRIM(VLOOKUP(IF(AND(LEN($A64)=4,VALUE(RIGHT($A64,2))&gt;60),$A64&amp;"01 1",$A64),IF(AND(LEN($A64)=4,VALUE(RIGHT($A64,2))&lt;60),GUS_tabl_2!$A$8:$B$464,GUS_tabl_21!$A$5:$B$4886),2,FALSE)),SUM(FIND("..",TRIM(VLOOKUP(IF(AND(LEN($A64)=4,VALUE(RIGHT($A64,2))&gt;60),$A64&amp;"01 1",$A64),IF(AND(LEN($A64)=4,VALUE(RIGHT($A64,2))&lt;60),GUS_tabl_2!$A$8:$B$464,GUS_tabl_21!$A$5:$B$4886),2,FALSE))),-1)))))</f>
        <v>gm. m.-w. Bystrzyca Kłodzka</v>
      </c>
      <c r="D64" s="141">
        <f>IF(OR($A64="",ISERROR(VALUE(LEFT($A64,6)))),"",IF(LEN($A64)=2,SUMIF($A65:$A$2965,$A64&amp;"??",$D65:$D$2965),IF(AND(LEN($A64)=4,VALUE(RIGHT($A64,2))&lt;=60),SUMIF($A65:$A$2965,$A64&amp;"????",$D65:$D$2965),VLOOKUP(IF(LEN($A64)=4,$A64&amp;"01 1",$A64),GUS_tabl_21!$A$5:$F$4886,6,FALSE))))</f>
        <v>18825</v>
      </c>
    </row>
    <row r="65" spans="1:4" s="29" customFormat="1" ht="12" customHeight="1">
      <c r="A65" s="155" t="str">
        <f>"020807 2"</f>
        <v>020807 2</v>
      </c>
      <c r="B65" s="153" t="s">
        <v>40</v>
      </c>
      <c r="C65" s="156" t="str">
        <f>IF(OR($A65="",ISERROR(VALUE(LEFT($A65,6)))),"",IF(LEN($A65)=2,"WOJ. ",IF(LEN($A65)=4,IF(VALUE(RIGHT($A65,2))&gt;60,"","Powiat "),IF(VALUE(RIGHT($A65,1))=1,"m. ",IF(VALUE(RIGHT($A65,1))=2,"gm. w. ",IF(VALUE(RIGHT($A65,1))=8,"dz. ","gm. m.-w. ")))))&amp;IF(LEN($A65)=2,TRIM(UPPER(VLOOKUP($A65,GUS_tabl_1!$A$7:$B$22,2,FALSE))),IF(ISERROR(FIND("..",TRIM(VLOOKUP(IF(AND(LEN($A65)=4,VALUE(RIGHT($A65,2))&gt;60),$A65&amp;"01 1",$A65),IF(AND(LEN($A65)=4,VALUE(RIGHT($A65,2))&lt;60),GUS_tabl_2!$A$8:$B$464,GUS_tabl_21!$A$5:$B$4886),2,FALSE)))),TRIM(VLOOKUP(IF(AND(LEN($A65)=4,VALUE(RIGHT($A65,2))&gt;60),$A65&amp;"01 1",$A65),IF(AND(LEN($A65)=4,VALUE(RIGHT($A65,2))&lt;60),GUS_tabl_2!$A$8:$B$464,GUS_tabl_21!$A$5:$B$4886),2,FALSE)),LEFT(TRIM(VLOOKUP(IF(AND(LEN($A65)=4,VALUE(RIGHT($A65,2))&gt;60),$A65&amp;"01 1",$A65),IF(AND(LEN($A65)=4,VALUE(RIGHT($A65,2))&lt;60),GUS_tabl_2!$A$8:$B$464,GUS_tabl_21!$A$5:$B$4886),2,FALSE)),SUM(FIND("..",TRIM(VLOOKUP(IF(AND(LEN($A65)=4,VALUE(RIGHT($A65,2))&gt;60),$A65&amp;"01 1",$A65),IF(AND(LEN($A65)=4,VALUE(RIGHT($A65,2))&lt;60),GUS_tabl_2!$A$8:$B$464,GUS_tabl_21!$A$5:$B$4886),2,FALSE))),-1)))))</f>
        <v>gm. w. Kłodzko</v>
      </c>
      <c r="D65" s="141">
        <f>IF(OR($A65="",ISERROR(VALUE(LEFT($A65,6)))),"",IF(LEN($A65)=2,SUMIF($A66:$A$2965,$A65&amp;"??",$D66:$D$2965),IF(AND(LEN($A65)=4,VALUE(RIGHT($A65,2))&lt;=60),SUMIF($A66:$A$2965,$A65&amp;"????",$D66:$D$2965),VLOOKUP(IF(LEN($A65)=4,$A65&amp;"01 1",$A65),GUS_tabl_21!$A$5:$F$4886,6,FALSE))))</f>
        <v>17112</v>
      </c>
    </row>
    <row r="66" spans="1:4" s="29" customFormat="1" ht="12" customHeight="1">
      <c r="A66" s="155" t="str">
        <f>"020808 3"</f>
        <v>020808 3</v>
      </c>
      <c r="B66" s="153" t="s">
        <v>40</v>
      </c>
      <c r="C66" s="156" t="str">
        <f>IF(OR($A66="",ISERROR(VALUE(LEFT($A66,6)))),"",IF(LEN($A66)=2,"WOJ. ",IF(LEN($A66)=4,IF(VALUE(RIGHT($A66,2))&gt;60,"","Powiat "),IF(VALUE(RIGHT($A66,1))=1,"m. ",IF(VALUE(RIGHT($A66,1))=2,"gm. w. ",IF(VALUE(RIGHT($A66,1))=8,"dz. ","gm. m.-w. ")))))&amp;IF(LEN($A66)=2,TRIM(UPPER(VLOOKUP($A66,GUS_tabl_1!$A$7:$B$22,2,FALSE))),IF(ISERROR(FIND("..",TRIM(VLOOKUP(IF(AND(LEN($A66)=4,VALUE(RIGHT($A66,2))&gt;60),$A66&amp;"01 1",$A66),IF(AND(LEN($A66)=4,VALUE(RIGHT($A66,2))&lt;60),GUS_tabl_2!$A$8:$B$464,GUS_tabl_21!$A$5:$B$4886),2,FALSE)))),TRIM(VLOOKUP(IF(AND(LEN($A66)=4,VALUE(RIGHT($A66,2))&gt;60),$A66&amp;"01 1",$A66),IF(AND(LEN($A66)=4,VALUE(RIGHT($A66,2))&lt;60),GUS_tabl_2!$A$8:$B$464,GUS_tabl_21!$A$5:$B$4886),2,FALSE)),LEFT(TRIM(VLOOKUP(IF(AND(LEN($A66)=4,VALUE(RIGHT($A66,2))&gt;60),$A66&amp;"01 1",$A66),IF(AND(LEN($A66)=4,VALUE(RIGHT($A66,2))&lt;60),GUS_tabl_2!$A$8:$B$464,GUS_tabl_21!$A$5:$B$4886),2,FALSE)),SUM(FIND("..",TRIM(VLOOKUP(IF(AND(LEN($A66)=4,VALUE(RIGHT($A66,2))&gt;60),$A66&amp;"01 1",$A66),IF(AND(LEN($A66)=4,VALUE(RIGHT($A66,2))&lt;60),GUS_tabl_2!$A$8:$B$464,GUS_tabl_21!$A$5:$B$4886),2,FALSE))),-1)))))</f>
        <v>gm. m.-w. Lądek-Zdrój</v>
      </c>
      <c r="D66" s="141">
        <f>IF(OR($A66="",ISERROR(VALUE(LEFT($A66,6)))),"",IF(LEN($A66)=2,SUMIF($A67:$A$2965,$A66&amp;"??",$D67:$D$2965),IF(AND(LEN($A66)=4,VALUE(RIGHT($A66,2))&lt;=60),SUMIF($A67:$A$2965,$A66&amp;"????",$D67:$D$2965),VLOOKUP(IF(LEN($A66)=4,$A66&amp;"01 1",$A66),GUS_tabl_21!$A$5:$F$4886,6,FALSE))))</f>
        <v>8210</v>
      </c>
    </row>
    <row r="67" spans="1:4" s="29" customFormat="1" ht="12" customHeight="1">
      <c r="A67" s="155" t="str">
        <f>"020809 2"</f>
        <v>020809 2</v>
      </c>
      <c r="B67" s="153" t="s">
        <v>40</v>
      </c>
      <c r="C67" s="156" t="str">
        <f>IF(OR($A67="",ISERROR(VALUE(LEFT($A67,6)))),"",IF(LEN($A67)=2,"WOJ. ",IF(LEN($A67)=4,IF(VALUE(RIGHT($A67,2))&gt;60,"","Powiat "),IF(VALUE(RIGHT($A67,1))=1,"m. ",IF(VALUE(RIGHT($A67,1))=2,"gm. w. ",IF(VALUE(RIGHT($A67,1))=8,"dz. ","gm. m.-w. ")))))&amp;IF(LEN($A67)=2,TRIM(UPPER(VLOOKUP($A67,GUS_tabl_1!$A$7:$B$22,2,FALSE))),IF(ISERROR(FIND("..",TRIM(VLOOKUP(IF(AND(LEN($A67)=4,VALUE(RIGHT($A67,2))&gt;60),$A67&amp;"01 1",$A67),IF(AND(LEN($A67)=4,VALUE(RIGHT($A67,2))&lt;60),GUS_tabl_2!$A$8:$B$464,GUS_tabl_21!$A$5:$B$4886),2,FALSE)))),TRIM(VLOOKUP(IF(AND(LEN($A67)=4,VALUE(RIGHT($A67,2))&gt;60),$A67&amp;"01 1",$A67),IF(AND(LEN($A67)=4,VALUE(RIGHT($A67,2))&lt;60),GUS_tabl_2!$A$8:$B$464,GUS_tabl_21!$A$5:$B$4886),2,FALSE)),LEFT(TRIM(VLOOKUP(IF(AND(LEN($A67)=4,VALUE(RIGHT($A67,2))&gt;60),$A67&amp;"01 1",$A67),IF(AND(LEN($A67)=4,VALUE(RIGHT($A67,2))&lt;60),GUS_tabl_2!$A$8:$B$464,GUS_tabl_21!$A$5:$B$4886),2,FALSE)),SUM(FIND("..",TRIM(VLOOKUP(IF(AND(LEN($A67)=4,VALUE(RIGHT($A67,2))&gt;60),$A67&amp;"01 1",$A67),IF(AND(LEN($A67)=4,VALUE(RIGHT($A67,2))&lt;60),GUS_tabl_2!$A$8:$B$464,GUS_tabl_21!$A$5:$B$4886),2,FALSE))),-1)))))</f>
        <v>gm. w. Lewin Kłodzki</v>
      </c>
      <c r="D67" s="141">
        <f>IF(OR($A67="",ISERROR(VALUE(LEFT($A67,6)))),"",IF(LEN($A67)=2,SUMIF($A68:$A$2965,$A67&amp;"??",$D68:$D$2965),IF(AND(LEN($A67)=4,VALUE(RIGHT($A67,2))&lt;=60),SUMIF($A68:$A$2965,$A67&amp;"????",$D68:$D$2965),VLOOKUP(IF(LEN($A67)=4,$A67&amp;"01 1",$A67),GUS_tabl_21!$A$5:$F$4886,6,FALSE))))</f>
        <v>1923</v>
      </c>
    </row>
    <row r="68" spans="1:4" s="29" customFormat="1" ht="12" customHeight="1">
      <c r="A68" s="155" t="str">
        <f>"020810 3"</f>
        <v>020810 3</v>
      </c>
      <c r="B68" s="153" t="s">
        <v>40</v>
      </c>
      <c r="C68" s="156" t="str">
        <f>IF(OR($A68="",ISERROR(VALUE(LEFT($A68,6)))),"",IF(LEN($A68)=2,"WOJ. ",IF(LEN($A68)=4,IF(VALUE(RIGHT($A68,2))&gt;60,"","Powiat "),IF(VALUE(RIGHT($A68,1))=1,"m. ",IF(VALUE(RIGHT($A68,1))=2,"gm. w. ",IF(VALUE(RIGHT($A68,1))=8,"dz. ","gm. m.-w. ")))))&amp;IF(LEN($A68)=2,TRIM(UPPER(VLOOKUP($A68,GUS_tabl_1!$A$7:$B$22,2,FALSE))),IF(ISERROR(FIND("..",TRIM(VLOOKUP(IF(AND(LEN($A68)=4,VALUE(RIGHT($A68,2))&gt;60),$A68&amp;"01 1",$A68),IF(AND(LEN($A68)=4,VALUE(RIGHT($A68,2))&lt;60),GUS_tabl_2!$A$8:$B$464,GUS_tabl_21!$A$5:$B$4886),2,FALSE)))),TRIM(VLOOKUP(IF(AND(LEN($A68)=4,VALUE(RIGHT($A68,2))&gt;60),$A68&amp;"01 1",$A68),IF(AND(LEN($A68)=4,VALUE(RIGHT($A68,2))&lt;60),GUS_tabl_2!$A$8:$B$464,GUS_tabl_21!$A$5:$B$4886),2,FALSE)),LEFT(TRIM(VLOOKUP(IF(AND(LEN($A68)=4,VALUE(RIGHT($A68,2))&gt;60),$A68&amp;"01 1",$A68),IF(AND(LEN($A68)=4,VALUE(RIGHT($A68,2))&lt;60),GUS_tabl_2!$A$8:$B$464,GUS_tabl_21!$A$5:$B$4886),2,FALSE)),SUM(FIND("..",TRIM(VLOOKUP(IF(AND(LEN($A68)=4,VALUE(RIGHT($A68,2))&gt;60),$A68&amp;"01 1",$A68),IF(AND(LEN($A68)=4,VALUE(RIGHT($A68,2))&lt;60),GUS_tabl_2!$A$8:$B$464,GUS_tabl_21!$A$5:$B$4886),2,FALSE))),-1)))))</f>
        <v>gm. m.-w. Międzylesie</v>
      </c>
      <c r="D68" s="141">
        <f>IF(OR($A68="",ISERROR(VALUE(LEFT($A68,6)))),"",IF(LEN($A68)=2,SUMIF($A69:$A$2965,$A68&amp;"??",$D69:$D$2965),IF(AND(LEN($A68)=4,VALUE(RIGHT($A68,2))&lt;=60),SUMIF($A69:$A$2965,$A68&amp;"????",$D69:$D$2965),VLOOKUP(IF(LEN($A68)=4,$A68&amp;"01 1",$A68),GUS_tabl_21!$A$5:$F$4886,6,FALSE))))</f>
        <v>7168</v>
      </c>
    </row>
    <row r="69" spans="1:4" s="29" customFormat="1" ht="12" customHeight="1">
      <c r="A69" s="155" t="str">
        <f>"020811 2"</f>
        <v>020811 2</v>
      </c>
      <c r="B69" s="153" t="s">
        <v>40</v>
      </c>
      <c r="C69" s="156" t="str">
        <f>IF(OR($A69="",ISERROR(VALUE(LEFT($A69,6)))),"",IF(LEN($A69)=2,"WOJ. ",IF(LEN($A69)=4,IF(VALUE(RIGHT($A69,2))&gt;60,"","Powiat "),IF(VALUE(RIGHT($A69,1))=1,"m. ",IF(VALUE(RIGHT($A69,1))=2,"gm. w. ",IF(VALUE(RIGHT($A69,1))=8,"dz. ","gm. m.-w. ")))))&amp;IF(LEN($A69)=2,TRIM(UPPER(VLOOKUP($A69,GUS_tabl_1!$A$7:$B$22,2,FALSE))),IF(ISERROR(FIND("..",TRIM(VLOOKUP(IF(AND(LEN($A69)=4,VALUE(RIGHT($A69,2))&gt;60),$A69&amp;"01 1",$A69),IF(AND(LEN($A69)=4,VALUE(RIGHT($A69,2))&lt;60),GUS_tabl_2!$A$8:$B$464,GUS_tabl_21!$A$5:$B$4886),2,FALSE)))),TRIM(VLOOKUP(IF(AND(LEN($A69)=4,VALUE(RIGHT($A69,2))&gt;60),$A69&amp;"01 1",$A69),IF(AND(LEN($A69)=4,VALUE(RIGHT($A69,2))&lt;60),GUS_tabl_2!$A$8:$B$464,GUS_tabl_21!$A$5:$B$4886),2,FALSE)),LEFT(TRIM(VLOOKUP(IF(AND(LEN($A69)=4,VALUE(RIGHT($A69,2))&gt;60),$A69&amp;"01 1",$A69),IF(AND(LEN($A69)=4,VALUE(RIGHT($A69,2))&lt;60),GUS_tabl_2!$A$8:$B$464,GUS_tabl_21!$A$5:$B$4886),2,FALSE)),SUM(FIND("..",TRIM(VLOOKUP(IF(AND(LEN($A69)=4,VALUE(RIGHT($A69,2))&gt;60),$A69&amp;"01 1",$A69),IF(AND(LEN($A69)=4,VALUE(RIGHT($A69,2))&lt;60),GUS_tabl_2!$A$8:$B$464,GUS_tabl_21!$A$5:$B$4886),2,FALSE))),-1)))))</f>
        <v>gm. w. Nowa Ruda</v>
      </c>
      <c r="D69" s="141">
        <f>IF(OR($A69="",ISERROR(VALUE(LEFT($A69,6)))),"",IF(LEN($A69)=2,SUMIF($A70:$A$2965,$A69&amp;"??",$D70:$D$2965),IF(AND(LEN($A69)=4,VALUE(RIGHT($A69,2))&lt;=60),SUMIF($A70:$A$2965,$A69&amp;"????",$D70:$D$2965),VLOOKUP(IF(LEN($A69)=4,$A69&amp;"01 1",$A69),GUS_tabl_21!$A$5:$F$4886,6,FALSE))))</f>
        <v>11546</v>
      </c>
    </row>
    <row r="70" spans="1:4" s="29" customFormat="1" ht="12" customHeight="1">
      <c r="A70" s="155" t="str">
        <f>"020812 3"</f>
        <v>020812 3</v>
      </c>
      <c r="B70" s="153" t="s">
        <v>40</v>
      </c>
      <c r="C70" s="156" t="str">
        <f>IF(OR($A70="",ISERROR(VALUE(LEFT($A70,6)))),"",IF(LEN($A70)=2,"WOJ. ",IF(LEN($A70)=4,IF(VALUE(RIGHT($A70,2))&gt;60,"","Powiat "),IF(VALUE(RIGHT($A70,1))=1,"m. ",IF(VALUE(RIGHT($A70,1))=2,"gm. w. ",IF(VALUE(RIGHT($A70,1))=8,"dz. ","gm. m.-w. ")))))&amp;IF(LEN($A70)=2,TRIM(UPPER(VLOOKUP($A70,GUS_tabl_1!$A$7:$B$22,2,FALSE))),IF(ISERROR(FIND("..",TRIM(VLOOKUP(IF(AND(LEN($A70)=4,VALUE(RIGHT($A70,2))&gt;60),$A70&amp;"01 1",$A70),IF(AND(LEN($A70)=4,VALUE(RIGHT($A70,2))&lt;60),GUS_tabl_2!$A$8:$B$464,GUS_tabl_21!$A$5:$B$4886),2,FALSE)))),TRIM(VLOOKUP(IF(AND(LEN($A70)=4,VALUE(RIGHT($A70,2))&gt;60),$A70&amp;"01 1",$A70),IF(AND(LEN($A70)=4,VALUE(RIGHT($A70,2))&lt;60),GUS_tabl_2!$A$8:$B$464,GUS_tabl_21!$A$5:$B$4886),2,FALSE)),LEFT(TRIM(VLOOKUP(IF(AND(LEN($A70)=4,VALUE(RIGHT($A70,2))&gt;60),$A70&amp;"01 1",$A70),IF(AND(LEN($A70)=4,VALUE(RIGHT($A70,2))&lt;60),GUS_tabl_2!$A$8:$B$464,GUS_tabl_21!$A$5:$B$4886),2,FALSE)),SUM(FIND("..",TRIM(VLOOKUP(IF(AND(LEN($A70)=4,VALUE(RIGHT($A70,2))&gt;60),$A70&amp;"01 1",$A70),IF(AND(LEN($A70)=4,VALUE(RIGHT($A70,2))&lt;60),GUS_tabl_2!$A$8:$B$464,GUS_tabl_21!$A$5:$B$4886),2,FALSE))),-1)))))</f>
        <v>gm. m.-w. Radków</v>
      </c>
      <c r="D70" s="141">
        <f>IF(OR($A70="",ISERROR(VALUE(LEFT($A70,6)))),"",IF(LEN($A70)=2,SUMIF($A71:$A$2965,$A70&amp;"??",$D71:$D$2965),IF(AND(LEN($A70)=4,VALUE(RIGHT($A70,2))&lt;=60),SUMIF($A71:$A$2965,$A70&amp;"????",$D71:$D$2965),VLOOKUP(IF(LEN($A70)=4,$A70&amp;"01 1",$A70),GUS_tabl_21!$A$5:$F$4886,6,FALSE))))</f>
        <v>9052</v>
      </c>
    </row>
    <row r="71" spans="1:4" s="29" customFormat="1" ht="12" customHeight="1">
      <c r="A71" s="155" t="str">
        <f>"020813 3"</f>
        <v>020813 3</v>
      </c>
      <c r="B71" s="153" t="s">
        <v>40</v>
      </c>
      <c r="C71" s="156" t="str">
        <f>IF(OR($A71="",ISERROR(VALUE(LEFT($A71,6)))),"",IF(LEN($A71)=2,"WOJ. ",IF(LEN($A71)=4,IF(VALUE(RIGHT($A71,2))&gt;60,"","Powiat "),IF(VALUE(RIGHT($A71,1))=1,"m. ",IF(VALUE(RIGHT($A71,1))=2,"gm. w. ",IF(VALUE(RIGHT($A71,1))=8,"dz. ","gm. m.-w. ")))))&amp;IF(LEN($A71)=2,TRIM(UPPER(VLOOKUP($A71,GUS_tabl_1!$A$7:$B$22,2,FALSE))),IF(ISERROR(FIND("..",TRIM(VLOOKUP(IF(AND(LEN($A71)=4,VALUE(RIGHT($A71,2))&gt;60),$A71&amp;"01 1",$A71),IF(AND(LEN($A71)=4,VALUE(RIGHT($A71,2))&lt;60),GUS_tabl_2!$A$8:$B$464,GUS_tabl_21!$A$5:$B$4886),2,FALSE)))),TRIM(VLOOKUP(IF(AND(LEN($A71)=4,VALUE(RIGHT($A71,2))&gt;60),$A71&amp;"01 1",$A71),IF(AND(LEN($A71)=4,VALUE(RIGHT($A71,2))&lt;60),GUS_tabl_2!$A$8:$B$464,GUS_tabl_21!$A$5:$B$4886),2,FALSE)),LEFT(TRIM(VLOOKUP(IF(AND(LEN($A71)=4,VALUE(RIGHT($A71,2))&gt;60),$A71&amp;"01 1",$A71),IF(AND(LEN($A71)=4,VALUE(RIGHT($A71,2))&lt;60),GUS_tabl_2!$A$8:$B$464,GUS_tabl_21!$A$5:$B$4886),2,FALSE)),SUM(FIND("..",TRIM(VLOOKUP(IF(AND(LEN($A71)=4,VALUE(RIGHT($A71,2))&gt;60),$A71&amp;"01 1",$A71),IF(AND(LEN($A71)=4,VALUE(RIGHT($A71,2))&lt;60),GUS_tabl_2!$A$8:$B$464,GUS_tabl_21!$A$5:$B$4886),2,FALSE))),-1)))))</f>
        <v>gm. m.-w. Stronie Śląskie</v>
      </c>
      <c r="D71" s="141">
        <f>IF(OR($A71="",ISERROR(VALUE(LEFT($A71,6)))),"",IF(LEN($A71)=2,SUMIF($A72:$A$2965,$A71&amp;"??",$D72:$D$2965),IF(AND(LEN($A71)=4,VALUE(RIGHT($A71,2))&lt;=60),SUMIF($A72:$A$2965,$A71&amp;"????",$D72:$D$2965),VLOOKUP(IF(LEN($A71)=4,$A71&amp;"01 1",$A71),GUS_tabl_21!$A$5:$F$4886,6,FALSE))))</f>
        <v>7493</v>
      </c>
    </row>
    <row r="72" spans="1:4" s="29" customFormat="1" ht="12" customHeight="1">
      <c r="A72" s="155" t="str">
        <f>"020814 3"</f>
        <v>020814 3</v>
      </c>
      <c r="B72" s="153" t="s">
        <v>40</v>
      </c>
      <c r="C72" s="156" t="str">
        <f>IF(OR($A72="",ISERROR(VALUE(LEFT($A72,6)))),"",IF(LEN($A72)=2,"WOJ. ",IF(LEN($A72)=4,IF(VALUE(RIGHT($A72,2))&gt;60,"","Powiat "),IF(VALUE(RIGHT($A72,1))=1,"m. ",IF(VALUE(RIGHT($A72,1))=2,"gm. w. ",IF(VALUE(RIGHT($A72,1))=8,"dz. ","gm. m.-w. ")))))&amp;IF(LEN($A72)=2,TRIM(UPPER(VLOOKUP($A72,GUS_tabl_1!$A$7:$B$22,2,FALSE))),IF(ISERROR(FIND("..",TRIM(VLOOKUP(IF(AND(LEN($A72)=4,VALUE(RIGHT($A72,2))&gt;60),$A72&amp;"01 1",$A72),IF(AND(LEN($A72)=4,VALUE(RIGHT($A72,2))&lt;60),GUS_tabl_2!$A$8:$B$464,GUS_tabl_21!$A$5:$B$4886),2,FALSE)))),TRIM(VLOOKUP(IF(AND(LEN($A72)=4,VALUE(RIGHT($A72,2))&gt;60),$A72&amp;"01 1",$A72),IF(AND(LEN($A72)=4,VALUE(RIGHT($A72,2))&lt;60),GUS_tabl_2!$A$8:$B$464,GUS_tabl_21!$A$5:$B$4886),2,FALSE)),LEFT(TRIM(VLOOKUP(IF(AND(LEN($A72)=4,VALUE(RIGHT($A72,2))&gt;60),$A72&amp;"01 1",$A72),IF(AND(LEN($A72)=4,VALUE(RIGHT($A72,2))&lt;60),GUS_tabl_2!$A$8:$B$464,GUS_tabl_21!$A$5:$B$4886),2,FALSE)),SUM(FIND("..",TRIM(VLOOKUP(IF(AND(LEN($A72)=4,VALUE(RIGHT($A72,2))&gt;60),$A72&amp;"01 1",$A72),IF(AND(LEN($A72)=4,VALUE(RIGHT($A72,2))&lt;60),GUS_tabl_2!$A$8:$B$464,GUS_tabl_21!$A$5:$B$4886),2,FALSE))),-1)))))</f>
        <v>gm. m.-w. Szczytna</v>
      </c>
      <c r="D72" s="141">
        <f>IF(OR($A72="",ISERROR(VALUE(LEFT($A72,6)))),"",IF(LEN($A72)=2,SUMIF($A73:$A$2965,$A72&amp;"??",$D73:$D$2965),IF(AND(LEN($A72)=4,VALUE(RIGHT($A72,2))&lt;=60),SUMIF($A73:$A$2965,$A72&amp;"????",$D73:$D$2965),VLOOKUP(IF(LEN($A72)=4,$A72&amp;"01 1",$A72),GUS_tabl_21!$A$5:$F$4886,6,FALSE))))</f>
        <v>7279</v>
      </c>
    </row>
    <row r="73" spans="1:4" s="29" customFormat="1" ht="12" customHeight="1">
      <c r="A73" s="152" t="str">
        <f>"0209"</f>
        <v>0209</v>
      </c>
      <c r="B73" s="153" t="s">
        <v>40</v>
      </c>
      <c r="C73" s="154" t="str">
        <f>IF(OR($A73="",ISERROR(VALUE(LEFT($A73,6)))),"",IF(LEN($A73)=2,"WOJ. ",IF(LEN($A73)=4,IF(VALUE(RIGHT($A73,2))&gt;60,"","Powiat "),IF(VALUE(RIGHT($A73,1))=1,"m. ",IF(VALUE(RIGHT($A73,1))=2,"gm. w. ",IF(VALUE(RIGHT($A73,1))=8,"dz. ","gm. m.-w. ")))))&amp;IF(LEN($A73)=2,TRIM(UPPER(VLOOKUP($A73,GUS_tabl_1!$A$7:$B$22,2,FALSE))),IF(ISERROR(FIND("..",TRIM(VLOOKUP(IF(AND(LEN($A73)=4,VALUE(RIGHT($A73,2))&gt;60),$A73&amp;"01 1",$A73),IF(AND(LEN($A73)=4,VALUE(RIGHT($A73,2))&lt;60),GUS_tabl_2!$A$8:$B$464,GUS_tabl_21!$A$5:$B$4886),2,FALSE)))),TRIM(VLOOKUP(IF(AND(LEN($A73)=4,VALUE(RIGHT($A73,2))&gt;60),$A73&amp;"01 1",$A73),IF(AND(LEN($A73)=4,VALUE(RIGHT($A73,2))&lt;60),GUS_tabl_2!$A$8:$B$464,GUS_tabl_21!$A$5:$B$4886),2,FALSE)),LEFT(TRIM(VLOOKUP(IF(AND(LEN($A73)=4,VALUE(RIGHT($A73,2))&gt;60),$A73&amp;"01 1",$A73),IF(AND(LEN($A73)=4,VALUE(RIGHT($A73,2))&lt;60),GUS_tabl_2!$A$8:$B$464,GUS_tabl_21!$A$5:$B$4886),2,FALSE)),SUM(FIND("..",TRIM(VLOOKUP(IF(AND(LEN($A73)=4,VALUE(RIGHT($A73,2))&gt;60),$A73&amp;"01 1",$A73),IF(AND(LEN($A73)=4,VALUE(RIGHT($A73,2))&lt;60),GUS_tabl_2!$A$8:$B$464,GUS_tabl_21!$A$5:$B$4886),2,FALSE))),-1)))))</f>
        <v>Powiat legnicki</v>
      </c>
      <c r="D73" s="140">
        <f>IF(OR($A73="",ISERROR(VALUE(LEFT($A73,6)))),"",IF(LEN($A73)=2,SUMIF($A74:$A$2965,$A73&amp;"??",$D74:$D$2965),IF(AND(LEN($A73)=4,VALUE(RIGHT($A73,2))&lt;=60),SUMIF($A74:$A$2965,$A73&amp;"????",$D74:$D$2965),VLOOKUP(IF(LEN($A73)=4,$A73&amp;"01 1",$A73),GUS_tabl_21!$A$5:$F$4886,6,FALSE))))</f>
        <v>55166</v>
      </c>
    </row>
    <row r="74" spans="1:4" s="29" customFormat="1" ht="12" customHeight="1">
      <c r="A74" s="155" t="str">
        <f>"020901 1"</f>
        <v>020901 1</v>
      </c>
      <c r="B74" s="153" t="s">
        <v>40</v>
      </c>
      <c r="C74" s="156" t="str">
        <f>IF(OR($A74="",ISERROR(VALUE(LEFT($A74,6)))),"",IF(LEN($A74)=2,"WOJ. ",IF(LEN($A74)=4,IF(VALUE(RIGHT($A74,2))&gt;60,"","Powiat "),IF(VALUE(RIGHT($A74,1))=1,"m. ",IF(VALUE(RIGHT($A74,1))=2,"gm. w. ",IF(VALUE(RIGHT($A74,1))=8,"dz. ","gm. m.-w. ")))))&amp;IF(LEN($A74)=2,TRIM(UPPER(VLOOKUP($A74,GUS_tabl_1!$A$7:$B$22,2,FALSE))),IF(ISERROR(FIND("..",TRIM(VLOOKUP(IF(AND(LEN($A74)=4,VALUE(RIGHT($A74,2))&gt;60),$A74&amp;"01 1",$A74),IF(AND(LEN($A74)=4,VALUE(RIGHT($A74,2))&lt;60),GUS_tabl_2!$A$8:$B$464,GUS_tabl_21!$A$5:$B$4886),2,FALSE)))),TRIM(VLOOKUP(IF(AND(LEN($A74)=4,VALUE(RIGHT($A74,2))&gt;60),$A74&amp;"01 1",$A74),IF(AND(LEN($A74)=4,VALUE(RIGHT($A74,2))&lt;60),GUS_tabl_2!$A$8:$B$464,GUS_tabl_21!$A$5:$B$4886),2,FALSE)),LEFT(TRIM(VLOOKUP(IF(AND(LEN($A74)=4,VALUE(RIGHT($A74,2))&gt;60),$A74&amp;"01 1",$A74),IF(AND(LEN($A74)=4,VALUE(RIGHT($A74,2))&lt;60),GUS_tabl_2!$A$8:$B$464,GUS_tabl_21!$A$5:$B$4886),2,FALSE)),SUM(FIND("..",TRIM(VLOOKUP(IF(AND(LEN($A74)=4,VALUE(RIGHT($A74,2))&gt;60),$A74&amp;"01 1",$A74),IF(AND(LEN($A74)=4,VALUE(RIGHT($A74,2))&lt;60),GUS_tabl_2!$A$8:$B$464,GUS_tabl_21!$A$5:$B$4886),2,FALSE))),-1)))))</f>
        <v>m. Chojnów</v>
      </c>
      <c r="D74" s="141">
        <f>IF(OR($A74="",ISERROR(VALUE(LEFT($A74,6)))),"",IF(LEN($A74)=2,SUMIF($A75:$A$2965,$A74&amp;"??",$D75:$D$2965),IF(AND(LEN($A74)=4,VALUE(RIGHT($A74,2))&lt;=60),SUMIF($A75:$A$2965,$A74&amp;"????",$D75:$D$2965),VLOOKUP(IF(LEN($A74)=4,$A74&amp;"01 1",$A74),GUS_tabl_21!$A$5:$F$4886,6,FALSE))))</f>
        <v>13266</v>
      </c>
    </row>
    <row r="75" spans="1:4" s="29" customFormat="1" ht="12" customHeight="1">
      <c r="A75" s="155" t="str">
        <f>"020902 2"</f>
        <v>020902 2</v>
      </c>
      <c r="B75" s="153" t="s">
        <v>40</v>
      </c>
      <c r="C75" s="156" t="str">
        <f>IF(OR($A75="",ISERROR(VALUE(LEFT($A75,6)))),"",IF(LEN($A75)=2,"WOJ. ",IF(LEN($A75)=4,IF(VALUE(RIGHT($A75,2))&gt;60,"","Powiat "),IF(VALUE(RIGHT($A75,1))=1,"m. ",IF(VALUE(RIGHT($A75,1))=2,"gm. w. ",IF(VALUE(RIGHT($A75,1))=8,"dz. ","gm. m.-w. ")))))&amp;IF(LEN($A75)=2,TRIM(UPPER(VLOOKUP($A75,GUS_tabl_1!$A$7:$B$22,2,FALSE))),IF(ISERROR(FIND("..",TRIM(VLOOKUP(IF(AND(LEN($A75)=4,VALUE(RIGHT($A75,2))&gt;60),$A75&amp;"01 1",$A75),IF(AND(LEN($A75)=4,VALUE(RIGHT($A75,2))&lt;60),GUS_tabl_2!$A$8:$B$464,GUS_tabl_21!$A$5:$B$4886),2,FALSE)))),TRIM(VLOOKUP(IF(AND(LEN($A75)=4,VALUE(RIGHT($A75,2))&gt;60),$A75&amp;"01 1",$A75),IF(AND(LEN($A75)=4,VALUE(RIGHT($A75,2))&lt;60),GUS_tabl_2!$A$8:$B$464,GUS_tabl_21!$A$5:$B$4886),2,FALSE)),LEFT(TRIM(VLOOKUP(IF(AND(LEN($A75)=4,VALUE(RIGHT($A75,2))&gt;60),$A75&amp;"01 1",$A75),IF(AND(LEN($A75)=4,VALUE(RIGHT($A75,2))&lt;60),GUS_tabl_2!$A$8:$B$464,GUS_tabl_21!$A$5:$B$4886),2,FALSE)),SUM(FIND("..",TRIM(VLOOKUP(IF(AND(LEN($A75)=4,VALUE(RIGHT($A75,2))&gt;60),$A75&amp;"01 1",$A75),IF(AND(LEN($A75)=4,VALUE(RIGHT($A75,2))&lt;60),GUS_tabl_2!$A$8:$B$464,GUS_tabl_21!$A$5:$B$4886),2,FALSE))),-1)))))</f>
        <v>gm. w. Chojnów</v>
      </c>
      <c r="D75" s="141">
        <f>IF(OR($A75="",ISERROR(VALUE(LEFT($A75,6)))),"",IF(LEN($A75)=2,SUMIF($A76:$A$2965,$A75&amp;"??",$D76:$D$2965),IF(AND(LEN($A75)=4,VALUE(RIGHT($A75,2))&lt;=60),SUMIF($A76:$A$2965,$A75&amp;"????",$D76:$D$2965),VLOOKUP(IF(LEN($A75)=4,$A75&amp;"01 1",$A75),GUS_tabl_21!$A$5:$F$4886,6,FALSE))))</f>
        <v>9597</v>
      </c>
    </row>
    <row r="76" spans="1:4" s="29" customFormat="1" ht="12" customHeight="1">
      <c r="A76" s="155" t="str">
        <f>"020903 2"</f>
        <v>020903 2</v>
      </c>
      <c r="B76" s="153" t="s">
        <v>40</v>
      </c>
      <c r="C76" s="156" t="str">
        <f>IF(OR($A76="",ISERROR(VALUE(LEFT($A76,6)))),"",IF(LEN($A76)=2,"WOJ. ",IF(LEN($A76)=4,IF(VALUE(RIGHT($A76,2))&gt;60,"","Powiat "),IF(VALUE(RIGHT($A76,1))=1,"m. ",IF(VALUE(RIGHT($A76,1))=2,"gm. w. ",IF(VALUE(RIGHT($A76,1))=8,"dz. ","gm. m.-w. ")))))&amp;IF(LEN($A76)=2,TRIM(UPPER(VLOOKUP($A76,GUS_tabl_1!$A$7:$B$22,2,FALSE))),IF(ISERROR(FIND("..",TRIM(VLOOKUP(IF(AND(LEN($A76)=4,VALUE(RIGHT($A76,2))&gt;60),$A76&amp;"01 1",$A76),IF(AND(LEN($A76)=4,VALUE(RIGHT($A76,2))&lt;60),GUS_tabl_2!$A$8:$B$464,GUS_tabl_21!$A$5:$B$4886),2,FALSE)))),TRIM(VLOOKUP(IF(AND(LEN($A76)=4,VALUE(RIGHT($A76,2))&gt;60),$A76&amp;"01 1",$A76),IF(AND(LEN($A76)=4,VALUE(RIGHT($A76,2))&lt;60),GUS_tabl_2!$A$8:$B$464,GUS_tabl_21!$A$5:$B$4886),2,FALSE)),LEFT(TRIM(VLOOKUP(IF(AND(LEN($A76)=4,VALUE(RIGHT($A76,2))&gt;60),$A76&amp;"01 1",$A76),IF(AND(LEN($A76)=4,VALUE(RIGHT($A76,2))&lt;60),GUS_tabl_2!$A$8:$B$464,GUS_tabl_21!$A$5:$B$4886),2,FALSE)),SUM(FIND("..",TRIM(VLOOKUP(IF(AND(LEN($A76)=4,VALUE(RIGHT($A76,2))&gt;60),$A76&amp;"01 1",$A76),IF(AND(LEN($A76)=4,VALUE(RIGHT($A76,2))&lt;60),GUS_tabl_2!$A$8:$B$464,GUS_tabl_21!$A$5:$B$4886),2,FALSE))),-1)))))</f>
        <v>gm. w. Krotoszyce</v>
      </c>
      <c r="D76" s="141">
        <f>IF(OR($A76="",ISERROR(VALUE(LEFT($A76,6)))),"",IF(LEN($A76)=2,SUMIF($A77:$A$2965,$A76&amp;"??",$D77:$D$2965),IF(AND(LEN($A76)=4,VALUE(RIGHT($A76,2))&lt;=60),SUMIF($A77:$A$2965,$A76&amp;"????",$D77:$D$2965),VLOOKUP(IF(LEN($A76)=4,$A76&amp;"01 1",$A76),GUS_tabl_21!$A$5:$F$4886,6,FALSE))))</f>
        <v>3319</v>
      </c>
    </row>
    <row r="77" spans="1:4" s="29" customFormat="1" ht="12" customHeight="1">
      <c r="A77" s="155" t="str">
        <f>"020904 2"</f>
        <v>020904 2</v>
      </c>
      <c r="B77" s="153" t="s">
        <v>40</v>
      </c>
      <c r="C77" s="156" t="str">
        <f>IF(OR($A77="",ISERROR(VALUE(LEFT($A77,6)))),"",IF(LEN($A77)=2,"WOJ. ",IF(LEN($A77)=4,IF(VALUE(RIGHT($A77,2))&gt;60,"","Powiat "),IF(VALUE(RIGHT($A77,1))=1,"m. ",IF(VALUE(RIGHT($A77,1))=2,"gm. w. ",IF(VALUE(RIGHT($A77,1))=8,"dz. ","gm. m.-w. ")))))&amp;IF(LEN($A77)=2,TRIM(UPPER(VLOOKUP($A77,GUS_tabl_1!$A$7:$B$22,2,FALSE))),IF(ISERROR(FIND("..",TRIM(VLOOKUP(IF(AND(LEN($A77)=4,VALUE(RIGHT($A77,2))&gt;60),$A77&amp;"01 1",$A77),IF(AND(LEN($A77)=4,VALUE(RIGHT($A77,2))&lt;60),GUS_tabl_2!$A$8:$B$464,GUS_tabl_21!$A$5:$B$4886),2,FALSE)))),TRIM(VLOOKUP(IF(AND(LEN($A77)=4,VALUE(RIGHT($A77,2))&gt;60),$A77&amp;"01 1",$A77),IF(AND(LEN($A77)=4,VALUE(RIGHT($A77,2))&lt;60),GUS_tabl_2!$A$8:$B$464,GUS_tabl_21!$A$5:$B$4886),2,FALSE)),LEFT(TRIM(VLOOKUP(IF(AND(LEN($A77)=4,VALUE(RIGHT($A77,2))&gt;60),$A77&amp;"01 1",$A77),IF(AND(LEN($A77)=4,VALUE(RIGHT($A77,2))&lt;60),GUS_tabl_2!$A$8:$B$464,GUS_tabl_21!$A$5:$B$4886),2,FALSE)),SUM(FIND("..",TRIM(VLOOKUP(IF(AND(LEN($A77)=4,VALUE(RIGHT($A77,2))&gt;60),$A77&amp;"01 1",$A77),IF(AND(LEN($A77)=4,VALUE(RIGHT($A77,2))&lt;60),GUS_tabl_2!$A$8:$B$464,GUS_tabl_21!$A$5:$B$4886),2,FALSE))),-1)))))</f>
        <v>gm. w. Kunice</v>
      </c>
      <c r="D77" s="141">
        <f>IF(OR($A77="",ISERROR(VALUE(LEFT($A77,6)))),"",IF(LEN($A77)=2,SUMIF($A78:$A$2965,$A77&amp;"??",$D78:$D$2965),IF(AND(LEN($A77)=4,VALUE(RIGHT($A77,2))&lt;=60),SUMIF($A78:$A$2965,$A77&amp;"????",$D78:$D$2965),VLOOKUP(IF(LEN($A77)=4,$A77&amp;"01 1",$A77),GUS_tabl_21!$A$5:$F$4886,6,FALSE))))</f>
        <v>7025</v>
      </c>
    </row>
    <row r="78" spans="1:4" s="29" customFormat="1" ht="12" customHeight="1">
      <c r="A78" s="155" t="str">
        <f>"020905 2"</f>
        <v>020905 2</v>
      </c>
      <c r="B78" s="153" t="s">
        <v>40</v>
      </c>
      <c r="C78" s="156" t="str">
        <f>IF(OR($A78="",ISERROR(VALUE(LEFT($A78,6)))),"",IF(LEN($A78)=2,"WOJ. ",IF(LEN($A78)=4,IF(VALUE(RIGHT($A78,2))&gt;60,"","Powiat "),IF(VALUE(RIGHT($A78,1))=1,"m. ",IF(VALUE(RIGHT($A78,1))=2,"gm. w. ",IF(VALUE(RIGHT($A78,1))=8,"dz. ","gm. m.-w. ")))))&amp;IF(LEN($A78)=2,TRIM(UPPER(VLOOKUP($A78,GUS_tabl_1!$A$7:$B$22,2,FALSE))),IF(ISERROR(FIND("..",TRIM(VLOOKUP(IF(AND(LEN($A78)=4,VALUE(RIGHT($A78,2))&gt;60),$A78&amp;"01 1",$A78),IF(AND(LEN($A78)=4,VALUE(RIGHT($A78,2))&lt;60),GUS_tabl_2!$A$8:$B$464,GUS_tabl_21!$A$5:$B$4886),2,FALSE)))),TRIM(VLOOKUP(IF(AND(LEN($A78)=4,VALUE(RIGHT($A78,2))&gt;60),$A78&amp;"01 1",$A78),IF(AND(LEN($A78)=4,VALUE(RIGHT($A78,2))&lt;60),GUS_tabl_2!$A$8:$B$464,GUS_tabl_21!$A$5:$B$4886),2,FALSE)),LEFT(TRIM(VLOOKUP(IF(AND(LEN($A78)=4,VALUE(RIGHT($A78,2))&gt;60),$A78&amp;"01 1",$A78),IF(AND(LEN($A78)=4,VALUE(RIGHT($A78,2))&lt;60),GUS_tabl_2!$A$8:$B$464,GUS_tabl_21!$A$5:$B$4886),2,FALSE)),SUM(FIND("..",TRIM(VLOOKUP(IF(AND(LEN($A78)=4,VALUE(RIGHT($A78,2))&gt;60),$A78&amp;"01 1",$A78),IF(AND(LEN($A78)=4,VALUE(RIGHT($A78,2))&lt;60),GUS_tabl_2!$A$8:$B$464,GUS_tabl_21!$A$5:$B$4886),2,FALSE))),-1)))))</f>
        <v>gm. w. Legnickie Pole</v>
      </c>
      <c r="D78" s="141">
        <f>IF(OR($A78="",ISERROR(VALUE(LEFT($A78,6)))),"",IF(LEN($A78)=2,SUMIF($A79:$A$2965,$A78&amp;"??",$D79:$D$2965),IF(AND(LEN($A78)=4,VALUE(RIGHT($A78,2))&lt;=60),SUMIF($A79:$A$2965,$A78&amp;"????",$D79:$D$2965),VLOOKUP(IF(LEN($A78)=4,$A78&amp;"01 1",$A78),GUS_tabl_21!$A$5:$F$4886,6,FALSE))))</f>
        <v>5196</v>
      </c>
    </row>
    <row r="79" spans="1:4" s="29" customFormat="1" ht="12" customHeight="1">
      <c r="A79" s="155" t="str">
        <f>"020906 2"</f>
        <v>020906 2</v>
      </c>
      <c r="B79" s="153" t="s">
        <v>40</v>
      </c>
      <c r="C79" s="156" t="str">
        <f>IF(OR($A79="",ISERROR(VALUE(LEFT($A79,6)))),"",IF(LEN($A79)=2,"WOJ. ",IF(LEN($A79)=4,IF(VALUE(RIGHT($A79,2))&gt;60,"","Powiat "),IF(VALUE(RIGHT($A79,1))=1,"m. ",IF(VALUE(RIGHT($A79,1))=2,"gm. w. ",IF(VALUE(RIGHT($A79,1))=8,"dz. ","gm. m.-w. ")))))&amp;IF(LEN($A79)=2,TRIM(UPPER(VLOOKUP($A79,GUS_tabl_1!$A$7:$B$22,2,FALSE))),IF(ISERROR(FIND("..",TRIM(VLOOKUP(IF(AND(LEN($A79)=4,VALUE(RIGHT($A79,2))&gt;60),$A79&amp;"01 1",$A79),IF(AND(LEN($A79)=4,VALUE(RIGHT($A79,2))&lt;60),GUS_tabl_2!$A$8:$B$464,GUS_tabl_21!$A$5:$B$4886),2,FALSE)))),TRIM(VLOOKUP(IF(AND(LEN($A79)=4,VALUE(RIGHT($A79,2))&gt;60),$A79&amp;"01 1",$A79),IF(AND(LEN($A79)=4,VALUE(RIGHT($A79,2))&lt;60),GUS_tabl_2!$A$8:$B$464,GUS_tabl_21!$A$5:$B$4886),2,FALSE)),LEFT(TRIM(VLOOKUP(IF(AND(LEN($A79)=4,VALUE(RIGHT($A79,2))&gt;60),$A79&amp;"01 1",$A79),IF(AND(LEN($A79)=4,VALUE(RIGHT($A79,2))&lt;60),GUS_tabl_2!$A$8:$B$464,GUS_tabl_21!$A$5:$B$4886),2,FALSE)),SUM(FIND("..",TRIM(VLOOKUP(IF(AND(LEN($A79)=4,VALUE(RIGHT($A79,2))&gt;60),$A79&amp;"01 1",$A79),IF(AND(LEN($A79)=4,VALUE(RIGHT($A79,2))&lt;60),GUS_tabl_2!$A$8:$B$464,GUS_tabl_21!$A$5:$B$4886),2,FALSE))),-1)))))</f>
        <v>gm. w. Miłkowice</v>
      </c>
      <c r="D79" s="141">
        <f>IF(OR($A79="",ISERROR(VALUE(LEFT($A79,6)))),"",IF(LEN($A79)=2,SUMIF($A80:$A$2965,$A79&amp;"??",$D80:$D$2965),IF(AND(LEN($A79)=4,VALUE(RIGHT($A79,2))&lt;=60),SUMIF($A80:$A$2965,$A79&amp;"????",$D80:$D$2965),VLOOKUP(IF(LEN($A79)=4,$A79&amp;"01 1",$A79),GUS_tabl_21!$A$5:$F$4886,6,FALSE))))</f>
        <v>6762</v>
      </c>
    </row>
    <row r="80" spans="1:4" s="29" customFormat="1" ht="12" customHeight="1">
      <c r="A80" s="155" t="str">
        <f>"020907 3"</f>
        <v>020907 3</v>
      </c>
      <c r="B80" s="153" t="s">
        <v>40</v>
      </c>
      <c r="C80" s="156" t="str">
        <f>IF(OR($A80="",ISERROR(VALUE(LEFT($A80,6)))),"",IF(LEN($A80)=2,"WOJ. ",IF(LEN($A80)=4,IF(VALUE(RIGHT($A80,2))&gt;60,"","Powiat "),IF(VALUE(RIGHT($A80,1))=1,"m. ",IF(VALUE(RIGHT($A80,1))=2,"gm. w. ",IF(VALUE(RIGHT($A80,1))=8,"dz. ","gm. m.-w. ")))))&amp;IF(LEN($A80)=2,TRIM(UPPER(VLOOKUP($A80,GUS_tabl_1!$A$7:$B$22,2,FALSE))),IF(ISERROR(FIND("..",TRIM(VLOOKUP(IF(AND(LEN($A80)=4,VALUE(RIGHT($A80,2))&gt;60),$A80&amp;"01 1",$A80),IF(AND(LEN($A80)=4,VALUE(RIGHT($A80,2))&lt;60),GUS_tabl_2!$A$8:$B$464,GUS_tabl_21!$A$5:$B$4886),2,FALSE)))),TRIM(VLOOKUP(IF(AND(LEN($A80)=4,VALUE(RIGHT($A80,2))&gt;60),$A80&amp;"01 1",$A80),IF(AND(LEN($A80)=4,VALUE(RIGHT($A80,2))&lt;60),GUS_tabl_2!$A$8:$B$464,GUS_tabl_21!$A$5:$B$4886),2,FALSE)),LEFT(TRIM(VLOOKUP(IF(AND(LEN($A80)=4,VALUE(RIGHT($A80,2))&gt;60),$A80&amp;"01 1",$A80),IF(AND(LEN($A80)=4,VALUE(RIGHT($A80,2))&lt;60),GUS_tabl_2!$A$8:$B$464,GUS_tabl_21!$A$5:$B$4886),2,FALSE)),SUM(FIND("..",TRIM(VLOOKUP(IF(AND(LEN($A80)=4,VALUE(RIGHT($A80,2))&gt;60),$A80&amp;"01 1",$A80),IF(AND(LEN($A80)=4,VALUE(RIGHT($A80,2))&lt;60),GUS_tabl_2!$A$8:$B$464,GUS_tabl_21!$A$5:$B$4886),2,FALSE))),-1)))))</f>
        <v>gm. m.-w. Prochowice</v>
      </c>
      <c r="D80" s="141">
        <f>IF(OR($A80="",ISERROR(VALUE(LEFT($A80,6)))),"",IF(LEN($A80)=2,SUMIF($A81:$A$2965,$A80&amp;"??",$D81:$D$2965),IF(AND(LEN($A80)=4,VALUE(RIGHT($A80,2))&lt;=60),SUMIF($A81:$A$2965,$A80&amp;"????",$D81:$D$2965),VLOOKUP(IF(LEN($A80)=4,$A80&amp;"01 1",$A80),GUS_tabl_21!$A$5:$F$4886,6,FALSE))))</f>
        <v>7406</v>
      </c>
    </row>
    <row r="81" spans="1:4" s="29" customFormat="1" ht="12" customHeight="1">
      <c r="A81" s="155" t="str">
        <f>"020908 2"</f>
        <v>020908 2</v>
      </c>
      <c r="B81" s="153" t="s">
        <v>40</v>
      </c>
      <c r="C81" s="156" t="str">
        <f>IF(OR($A81="",ISERROR(VALUE(LEFT($A81,6)))),"",IF(LEN($A81)=2,"WOJ. ",IF(LEN($A81)=4,IF(VALUE(RIGHT($A81,2))&gt;60,"","Powiat "),IF(VALUE(RIGHT($A81,1))=1,"m. ",IF(VALUE(RIGHT($A81,1))=2,"gm. w. ",IF(VALUE(RIGHT($A81,1))=8,"dz. ","gm. m.-w. ")))))&amp;IF(LEN($A81)=2,TRIM(UPPER(VLOOKUP($A81,GUS_tabl_1!$A$7:$B$22,2,FALSE))),IF(ISERROR(FIND("..",TRIM(VLOOKUP(IF(AND(LEN($A81)=4,VALUE(RIGHT($A81,2))&gt;60),$A81&amp;"01 1",$A81),IF(AND(LEN($A81)=4,VALUE(RIGHT($A81,2))&lt;60),GUS_tabl_2!$A$8:$B$464,GUS_tabl_21!$A$5:$B$4886),2,FALSE)))),TRIM(VLOOKUP(IF(AND(LEN($A81)=4,VALUE(RIGHT($A81,2))&gt;60),$A81&amp;"01 1",$A81),IF(AND(LEN($A81)=4,VALUE(RIGHT($A81,2))&lt;60),GUS_tabl_2!$A$8:$B$464,GUS_tabl_21!$A$5:$B$4886),2,FALSE)),LEFT(TRIM(VLOOKUP(IF(AND(LEN($A81)=4,VALUE(RIGHT($A81,2))&gt;60),$A81&amp;"01 1",$A81),IF(AND(LEN($A81)=4,VALUE(RIGHT($A81,2))&lt;60),GUS_tabl_2!$A$8:$B$464,GUS_tabl_21!$A$5:$B$4886),2,FALSE)),SUM(FIND("..",TRIM(VLOOKUP(IF(AND(LEN($A81)=4,VALUE(RIGHT($A81,2))&gt;60),$A81&amp;"01 1",$A81),IF(AND(LEN($A81)=4,VALUE(RIGHT($A81,2))&lt;60),GUS_tabl_2!$A$8:$B$464,GUS_tabl_21!$A$5:$B$4886),2,FALSE))),-1)))))</f>
        <v>gm. w. Ruja</v>
      </c>
      <c r="D81" s="141">
        <f>IF(OR($A81="",ISERROR(VALUE(LEFT($A81,6)))),"",IF(LEN($A81)=2,SUMIF($A82:$A$2965,$A81&amp;"??",$D82:$D$2965),IF(AND(LEN($A81)=4,VALUE(RIGHT($A81,2))&lt;=60),SUMIF($A82:$A$2965,$A81&amp;"????",$D82:$D$2965),VLOOKUP(IF(LEN($A81)=4,$A81&amp;"01 1",$A81),GUS_tabl_21!$A$5:$F$4886,6,FALSE))))</f>
        <v>2595</v>
      </c>
    </row>
    <row r="82" spans="1:4" s="29" customFormat="1" ht="12" customHeight="1">
      <c r="A82" s="152" t="str">
        <f>"0210"</f>
        <v>0210</v>
      </c>
      <c r="B82" s="153" t="s">
        <v>40</v>
      </c>
      <c r="C82" s="154" t="str">
        <f>IF(OR($A82="",ISERROR(VALUE(LEFT($A82,6)))),"",IF(LEN($A82)=2,"WOJ. ",IF(LEN($A82)=4,IF(VALUE(RIGHT($A82,2))&gt;60,"","Powiat "),IF(VALUE(RIGHT($A82,1))=1,"m. ",IF(VALUE(RIGHT($A82,1))=2,"gm. w. ",IF(VALUE(RIGHT($A82,1))=8,"dz. ","gm. m.-w. ")))))&amp;IF(LEN($A82)=2,TRIM(UPPER(VLOOKUP($A82,GUS_tabl_1!$A$7:$B$22,2,FALSE))),IF(ISERROR(FIND("..",TRIM(VLOOKUP(IF(AND(LEN($A82)=4,VALUE(RIGHT($A82,2))&gt;60),$A82&amp;"01 1",$A82),IF(AND(LEN($A82)=4,VALUE(RIGHT($A82,2))&lt;60),GUS_tabl_2!$A$8:$B$464,GUS_tabl_21!$A$5:$B$4886),2,FALSE)))),TRIM(VLOOKUP(IF(AND(LEN($A82)=4,VALUE(RIGHT($A82,2))&gt;60),$A82&amp;"01 1",$A82),IF(AND(LEN($A82)=4,VALUE(RIGHT($A82,2))&lt;60),GUS_tabl_2!$A$8:$B$464,GUS_tabl_21!$A$5:$B$4886),2,FALSE)),LEFT(TRIM(VLOOKUP(IF(AND(LEN($A82)=4,VALUE(RIGHT($A82,2))&gt;60),$A82&amp;"01 1",$A82),IF(AND(LEN($A82)=4,VALUE(RIGHT($A82,2))&lt;60),GUS_tabl_2!$A$8:$B$464,GUS_tabl_21!$A$5:$B$4886),2,FALSE)),SUM(FIND("..",TRIM(VLOOKUP(IF(AND(LEN($A82)=4,VALUE(RIGHT($A82,2))&gt;60),$A82&amp;"01 1",$A82),IF(AND(LEN($A82)=4,VALUE(RIGHT($A82,2))&lt;60),GUS_tabl_2!$A$8:$B$464,GUS_tabl_21!$A$5:$B$4886),2,FALSE))),-1)))))</f>
        <v>Powiat lubański</v>
      </c>
      <c r="D82" s="140">
        <f>IF(OR($A82="",ISERROR(VALUE(LEFT($A82,6)))),"",IF(LEN($A82)=2,SUMIF($A83:$A$2965,$A82&amp;"??",$D83:$D$2965),IF(AND(LEN($A82)=4,VALUE(RIGHT($A82,2))&lt;=60),SUMIF($A83:$A$2965,$A82&amp;"????",$D83:$D$2965),VLOOKUP(IF(LEN($A82)=4,$A82&amp;"01 1",$A82),GUS_tabl_21!$A$5:$F$4886,6,FALSE))))</f>
        <v>54254</v>
      </c>
    </row>
    <row r="83" spans="1:4" s="29" customFormat="1" ht="12" customHeight="1">
      <c r="A83" s="155" t="str">
        <f>"021001 1"</f>
        <v>021001 1</v>
      </c>
      <c r="B83" s="153" t="s">
        <v>40</v>
      </c>
      <c r="C83" s="156" t="str">
        <f>IF(OR($A83="",ISERROR(VALUE(LEFT($A83,6)))),"",IF(LEN($A83)=2,"WOJ. ",IF(LEN($A83)=4,IF(VALUE(RIGHT($A83,2))&gt;60,"","Powiat "),IF(VALUE(RIGHT($A83,1))=1,"m. ",IF(VALUE(RIGHT($A83,1))=2,"gm. w. ",IF(VALUE(RIGHT($A83,1))=8,"dz. ","gm. m.-w. ")))))&amp;IF(LEN($A83)=2,TRIM(UPPER(VLOOKUP($A83,GUS_tabl_1!$A$7:$B$22,2,FALSE))),IF(ISERROR(FIND("..",TRIM(VLOOKUP(IF(AND(LEN($A83)=4,VALUE(RIGHT($A83,2))&gt;60),$A83&amp;"01 1",$A83),IF(AND(LEN($A83)=4,VALUE(RIGHT($A83,2))&lt;60),GUS_tabl_2!$A$8:$B$464,GUS_tabl_21!$A$5:$B$4886),2,FALSE)))),TRIM(VLOOKUP(IF(AND(LEN($A83)=4,VALUE(RIGHT($A83,2))&gt;60),$A83&amp;"01 1",$A83),IF(AND(LEN($A83)=4,VALUE(RIGHT($A83,2))&lt;60),GUS_tabl_2!$A$8:$B$464,GUS_tabl_21!$A$5:$B$4886),2,FALSE)),LEFT(TRIM(VLOOKUP(IF(AND(LEN($A83)=4,VALUE(RIGHT($A83,2))&gt;60),$A83&amp;"01 1",$A83),IF(AND(LEN($A83)=4,VALUE(RIGHT($A83,2))&lt;60),GUS_tabl_2!$A$8:$B$464,GUS_tabl_21!$A$5:$B$4886),2,FALSE)),SUM(FIND("..",TRIM(VLOOKUP(IF(AND(LEN($A83)=4,VALUE(RIGHT($A83,2))&gt;60),$A83&amp;"01 1",$A83),IF(AND(LEN($A83)=4,VALUE(RIGHT($A83,2))&lt;60),GUS_tabl_2!$A$8:$B$464,GUS_tabl_21!$A$5:$B$4886),2,FALSE))),-1)))))</f>
        <v>m. Lubań</v>
      </c>
      <c r="D83" s="141">
        <f>IF(OR($A83="",ISERROR(VALUE(LEFT($A83,6)))),"",IF(LEN($A83)=2,SUMIF($A84:$A$2965,$A83&amp;"??",$D84:$D$2965),IF(AND(LEN($A83)=4,VALUE(RIGHT($A83,2))&lt;=60),SUMIF($A84:$A$2965,$A83&amp;"????",$D84:$D$2965),VLOOKUP(IF(LEN($A83)=4,$A83&amp;"01 1",$A83),GUS_tabl_21!$A$5:$F$4886,6,FALSE))))</f>
        <v>20965</v>
      </c>
    </row>
    <row r="84" spans="1:4" s="29" customFormat="1" ht="12" customHeight="1">
      <c r="A84" s="155" t="str">
        <f>"021002 1"</f>
        <v>021002 1</v>
      </c>
      <c r="B84" s="153" t="s">
        <v>40</v>
      </c>
      <c r="C84" s="156" t="str">
        <f>IF(OR($A84="",ISERROR(VALUE(LEFT($A84,6)))),"",IF(LEN($A84)=2,"WOJ. ",IF(LEN($A84)=4,IF(VALUE(RIGHT($A84,2))&gt;60,"","Powiat "),IF(VALUE(RIGHT($A84,1))=1,"m. ",IF(VALUE(RIGHT($A84,1))=2,"gm. w. ",IF(VALUE(RIGHT($A84,1))=8,"dz. ","gm. m.-w. ")))))&amp;IF(LEN($A84)=2,TRIM(UPPER(VLOOKUP($A84,GUS_tabl_1!$A$7:$B$22,2,FALSE))),IF(ISERROR(FIND("..",TRIM(VLOOKUP(IF(AND(LEN($A84)=4,VALUE(RIGHT($A84,2))&gt;60),$A84&amp;"01 1",$A84),IF(AND(LEN($A84)=4,VALUE(RIGHT($A84,2))&lt;60),GUS_tabl_2!$A$8:$B$464,GUS_tabl_21!$A$5:$B$4886),2,FALSE)))),TRIM(VLOOKUP(IF(AND(LEN($A84)=4,VALUE(RIGHT($A84,2))&gt;60),$A84&amp;"01 1",$A84),IF(AND(LEN($A84)=4,VALUE(RIGHT($A84,2))&lt;60),GUS_tabl_2!$A$8:$B$464,GUS_tabl_21!$A$5:$B$4886),2,FALSE)),LEFT(TRIM(VLOOKUP(IF(AND(LEN($A84)=4,VALUE(RIGHT($A84,2))&gt;60),$A84&amp;"01 1",$A84),IF(AND(LEN($A84)=4,VALUE(RIGHT($A84,2))&lt;60),GUS_tabl_2!$A$8:$B$464,GUS_tabl_21!$A$5:$B$4886),2,FALSE)),SUM(FIND("..",TRIM(VLOOKUP(IF(AND(LEN($A84)=4,VALUE(RIGHT($A84,2))&gt;60),$A84&amp;"01 1",$A84),IF(AND(LEN($A84)=4,VALUE(RIGHT($A84,2))&lt;60),GUS_tabl_2!$A$8:$B$464,GUS_tabl_21!$A$5:$B$4886),2,FALSE))),-1)))))</f>
        <v>m. Świeradów-Zdrój</v>
      </c>
      <c r="D84" s="141">
        <f>IF(OR($A84="",ISERROR(VALUE(LEFT($A84,6)))),"",IF(LEN($A84)=2,SUMIF($A85:$A$2965,$A84&amp;"??",$D85:$D$2965),IF(AND(LEN($A84)=4,VALUE(RIGHT($A84,2))&lt;=60),SUMIF($A85:$A$2965,$A84&amp;"????",$D85:$D$2965),VLOOKUP(IF(LEN($A84)=4,$A84&amp;"01 1",$A84),GUS_tabl_21!$A$5:$F$4886,6,FALSE))))</f>
        <v>4100</v>
      </c>
    </row>
    <row r="85" spans="1:4" s="29" customFormat="1" ht="12" customHeight="1">
      <c r="A85" s="155" t="str">
        <f>"021003 3"</f>
        <v>021003 3</v>
      </c>
      <c r="B85" s="153" t="s">
        <v>40</v>
      </c>
      <c r="C85" s="156" t="str">
        <f>IF(OR($A85="",ISERROR(VALUE(LEFT($A85,6)))),"",IF(LEN($A85)=2,"WOJ. ",IF(LEN($A85)=4,IF(VALUE(RIGHT($A85,2))&gt;60,"","Powiat "),IF(VALUE(RIGHT($A85,1))=1,"m. ",IF(VALUE(RIGHT($A85,1))=2,"gm. w. ",IF(VALUE(RIGHT($A85,1))=8,"dz. ","gm. m.-w. ")))))&amp;IF(LEN($A85)=2,TRIM(UPPER(VLOOKUP($A85,GUS_tabl_1!$A$7:$B$22,2,FALSE))),IF(ISERROR(FIND("..",TRIM(VLOOKUP(IF(AND(LEN($A85)=4,VALUE(RIGHT($A85,2))&gt;60),$A85&amp;"01 1",$A85),IF(AND(LEN($A85)=4,VALUE(RIGHT($A85,2))&lt;60),GUS_tabl_2!$A$8:$B$464,GUS_tabl_21!$A$5:$B$4886),2,FALSE)))),TRIM(VLOOKUP(IF(AND(LEN($A85)=4,VALUE(RIGHT($A85,2))&gt;60),$A85&amp;"01 1",$A85),IF(AND(LEN($A85)=4,VALUE(RIGHT($A85,2))&lt;60),GUS_tabl_2!$A$8:$B$464,GUS_tabl_21!$A$5:$B$4886),2,FALSE)),LEFT(TRIM(VLOOKUP(IF(AND(LEN($A85)=4,VALUE(RIGHT($A85,2))&gt;60),$A85&amp;"01 1",$A85),IF(AND(LEN($A85)=4,VALUE(RIGHT($A85,2))&lt;60),GUS_tabl_2!$A$8:$B$464,GUS_tabl_21!$A$5:$B$4886),2,FALSE)),SUM(FIND("..",TRIM(VLOOKUP(IF(AND(LEN($A85)=4,VALUE(RIGHT($A85,2))&gt;60),$A85&amp;"01 1",$A85),IF(AND(LEN($A85)=4,VALUE(RIGHT($A85,2))&lt;60),GUS_tabl_2!$A$8:$B$464,GUS_tabl_21!$A$5:$B$4886),2,FALSE))),-1)))))</f>
        <v>gm. m.-w. Leśna</v>
      </c>
      <c r="D85" s="141">
        <f>IF(OR($A85="",ISERROR(VALUE(LEFT($A85,6)))),"",IF(LEN($A85)=2,SUMIF($A86:$A$2965,$A85&amp;"??",$D86:$D$2965),IF(AND(LEN($A85)=4,VALUE(RIGHT($A85,2))&lt;=60),SUMIF($A86:$A$2965,$A85&amp;"????",$D86:$D$2965),VLOOKUP(IF(LEN($A85)=4,$A85&amp;"01 1",$A85),GUS_tabl_21!$A$5:$F$4886,6,FALSE))))</f>
        <v>9952</v>
      </c>
    </row>
    <row r="86" spans="1:4" s="29" customFormat="1" ht="12" customHeight="1">
      <c r="A86" s="155" t="str">
        <f>"021004 2"</f>
        <v>021004 2</v>
      </c>
      <c r="B86" s="153" t="s">
        <v>40</v>
      </c>
      <c r="C86" s="156" t="str">
        <f>IF(OR($A86="",ISERROR(VALUE(LEFT($A86,6)))),"",IF(LEN($A86)=2,"WOJ. ",IF(LEN($A86)=4,IF(VALUE(RIGHT($A86,2))&gt;60,"","Powiat "),IF(VALUE(RIGHT($A86,1))=1,"m. ",IF(VALUE(RIGHT($A86,1))=2,"gm. w. ",IF(VALUE(RIGHT($A86,1))=8,"dz. ","gm. m.-w. ")))))&amp;IF(LEN($A86)=2,TRIM(UPPER(VLOOKUP($A86,GUS_tabl_1!$A$7:$B$22,2,FALSE))),IF(ISERROR(FIND("..",TRIM(VLOOKUP(IF(AND(LEN($A86)=4,VALUE(RIGHT($A86,2))&gt;60),$A86&amp;"01 1",$A86),IF(AND(LEN($A86)=4,VALUE(RIGHT($A86,2))&lt;60),GUS_tabl_2!$A$8:$B$464,GUS_tabl_21!$A$5:$B$4886),2,FALSE)))),TRIM(VLOOKUP(IF(AND(LEN($A86)=4,VALUE(RIGHT($A86,2))&gt;60),$A86&amp;"01 1",$A86),IF(AND(LEN($A86)=4,VALUE(RIGHT($A86,2))&lt;60),GUS_tabl_2!$A$8:$B$464,GUS_tabl_21!$A$5:$B$4886),2,FALSE)),LEFT(TRIM(VLOOKUP(IF(AND(LEN($A86)=4,VALUE(RIGHT($A86,2))&gt;60),$A86&amp;"01 1",$A86),IF(AND(LEN($A86)=4,VALUE(RIGHT($A86,2))&lt;60),GUS_tabl_2!$A$8:$B$464,GUS_tabl_21!$A$5:$B$4886),2,FALSE)),SUM(FIND("..",TRIM(VLOOKUP(IF(AND(LEN($A86)=4,VALUE(RIGHT($A86,2))&gt;60),$A86&amp;"01 1",$A86),IF(AND(LEN($A86)=4,VALUE(RIGHT($A86,2))&lt;60),GUS_tabl_2!$A$8:$B$464,GUS_tabl_21!$A$5:$B$4886),2,FALSE))),-1)))))</f>
        <v>gm. w. Lubań</v>
      </c>
      <c r="D86" s="141">
        <f>IF(OR($A86="",ISERROR(VALUE(LEFT($A86,6)))),"",IF(LEN($A86)=2,SUMIF($A87:$A$2965,$A86&amp;"??",$D87:$D$2965),IF(AND(LEN($A86)=4,VALUE(RIGHT($A86,2))&lt;=60),SUMIF($A87:$A$2965,$A86&amp;"????",$D87:$D$2965),VLOOKUP(IF(LEN($A86)=4,$A86&amp;"01 1",$A86),GUS_tabl_21!$A$5:$F$4886,6,FALSE))))</f>
        <v>6597</v>
      </c>
    </row>
    <row r="87" spans="1:4" s="29" customFormat="1" ht="12" customHeight="1">
      <c r="A87" s="155" t="str">
        <f>"021005 3"</f>
        <v>021005 3</v>
      </c>
      <c r="B87" s="153" t="s">
        <v>40</v>
      </c>
      <c r="C87" s="156" t="str">
        <f>IF(OR($A87="",ISERROR(VALUE(LEFT($A87,6)))),"",IF(LEN($A87)=2,"WOJ. ",IF(LEN($A87)=4,IF(VALUE(RIGHT($A87,2))&gt;60,"","Powiat "),IF(VALUE(RIGHT($A87,1))=1,"m. ",IF(VALUE(RIGHT($A87,1))=2,"gm. w. ",IF(VALUE(RIGHT($A87,1))=8,"dz. ","gm. m.-w. ")))))&amp;IF(LEN($A87)=2,TRIM(UPPER(VLOOKUP($A87,GUS_tabl_1!$A$7:$B$22,2,FALSE))),IF(ISERROR(FIND("..",TRIM(VLOOKUP(IF(AND(LEN($A87)=4,VALUE(RIGHT($A87,2))&gt;60),$A87&amp;"01 1",$A87),IF(AND(LEN($A87)=4,VALUE(RIGHT($A87,2))&lt;60),GUS_tabl_2!$A$8:$B$464,GUS_tabl_21!$A$5:$B$4886),2,FALSE)))),TRIM(VLOOKUP(IF(AND(LEN($A87)=4,VALUE(RIGHT($A87,2))&gt;60),$A87&amp;"01 1",$A87),IF(AND(LEN($A87)=4,VALUE(RIGHT($A87,2))&lt;60),GUS_tabl_2!$A$8:$B$464,GUS_tabl_21!$A$5:$B$4886),2,FALSE)),LEFT(TRIM(VLOOKUP(IF(AND(LEN($A87)=4,VALUE(RIGHT($A87,2))&gt;60),$A87&amp;"01 1",$A87),IF(AND(LEN($A87)=4,VALUE(RIGHT($A87,2))&lt;60),GUS_tabl_2!$A$8:$B$464,GUS_tabl_21!$A$5:$B$4886),2,FALSE)),SUM(FIND("..",TRIM(VLOOKUP(IF(AND(LEN($A87)=4,VALUE(RIGHT($A87,2))&gt;60),$A87&amp;"01 1",$A87),IF(AND(LEN($A87)=4,VALUE(RIGHT($A87,2))&lt;60),GUS_tabl_2!$A$8:$B$464,GUS_tabl_21!$A$5:$B$4886),2,FALSE))),-1)))))</f>
        <v>gm. m.-w. Olszyna</v>
      </c>
      <c r="D87" s="141">
        <f>IF(OR($A87="",ISERROR(VALUE(LEFT($A87,6)))),"",IF(LEN($A87)=2,SUMIF($A88:$A$2965,$A87&amp;"??",$D88:$D$2965),IF(AND(LEN($A87)=4,VALUE(RIGHT($A87,2))&lt;=60),SUMIF($A88:$A$2965,$A87&amp;"????",$D88:$D$2965),VLOOKUP(IF(LEN($A87)=4,$A87&amp;"01 1",$A87),GUS_tabl_21!$A$5:$F$4886,6,FALSE))))</f>
        <v>6508</v>
      </c>
    </row>
    <row r="88" spans="1:4" s="29" customFormat="1" ht="12" customHeight="1">
      <c r="A88" s="155" t="str">
        <f>"021006 2"</f>
        <v>021006 2</v>
      </c>
      <c r="B88" s="153" t="s">
        <v>40</v>
      </c>
      <c r="C88" s="156" t="str">
        <f>IF(OR($A88="",ISERROR(VALUE(LEFT($A88,6)))),"",IF(LEN($A88)=2,"WOJ. ",IF(LEN($A88)=4,IF(VALUE(RIGHT($A88,2))&gt;60,"","Powiat "),IF(VALUE(RIGHT($A88,1))=1,"m. ",IF(VALUE(RIGHT($A88,1))=2,"gm. w. ",IF(VALUE(RIGHT($A88,1))=8,"dz. ","gm. m.-w. ")))))&amp;IF(LEN($A88)=2,TRIM(UPPER(VLOOKUP($A88,GUS_tabl_1!$A$7:$B$22,2,FALSE))),IF(ISERROR(FIND("..",TRIM(VLOOKUP(IF(AND(LEN($A88)=4,VALUE(RIGHT($A88,2))&gt;60),$A88&amp;"01 1",$A88),IF(AND(LEN($A88)=4,VALUE(RIGHT($A88,2))&lt;60),GUS_tabl_2!$A$8:$B$464,GUS_tabl_21!$A$5:$B$4886),2,FALSE)))),TRIM(VLOOKUP(IF(AND(LEN($A88)=4,VALUE(RIGHT($A88,2))&gt;60),$A88&amp;"01 1",$A88),IF(AND(LEN($A88)=4,VALUE(RIGHT($A88,2))&lt;60),GUS_tabl_2!$A$8:$B$464,GUS_tabl_21!$A$5:$B$4886),2,FALSE)),LEFT(TRIM(VLOOKUP(IF(AND(LEN($A88)=4,VALUE(RIGHT($A88,2))&gt;60),$A88&amp;"01 1",$A88),IF(AND(LEN($A88)=4,VALUE(RIGHT($A88,2))&lt;60),GUS_tabl_2!$A$8:$B$464,GUS_tabl_21!$A$5:$B$4886),2,FALSE)),SUM(FIND("..",TRIM(VLOOKUP(IF(AND(LEN($A88)=4,VALUE(RIGHT($A88,2))&gt;60),$A88&amp;"01 1",$A88),IF(AND(LEN($A88)=4,VALUE(RIGHT($A88,2))&lt;60),GUS_tabl_2!$A$8:$B$464,GUS_tabl_21!$A$5:$B$4886),2,FALSE))),-1)))))</f>
        <v>gm. w. Platerówka</v>
      </c>
      <c r="D88" s="141">
        <f>IF(OR($A88="",ISERROR(VALUE(LEFT($A88,6)))),"",IF(LEN($A88)=2,SUMIF($A89:$A$2965,$A88&amp;"??",$D89:$D$2965),IF(AND(LEN($A88)=4,VALUE(RIGHT($A88,2))&lt;=60),SUMIF($A89:$A$2965,$A88&amp;"????",$D89:$D$2965),VLOOKUP(IF(LEN($A88)=4,$A88&amp;"01 1",$A88),GUS_tabl_21!$A$5:$F$4886,6,FALSE))))</f>
        <v>1630</v>
      </c>
    </row>
    <row r="89" spans="1:4" s="29" customFormat="1" ht="12" customHeight="1">
      <c r="A89" s="155" t="str">
        <f>"021007 2"</f>
        <v>021007 2</v>
      </c>
      <c r="B89" s="153" t="s">
        <v>40</v>
      </c>
      <c r="C89" s="156" t="str">
        <f>IF(OR($A89="",ISERROR(VALUE(LEFT($A89,6)))),"",IF(LEN($A89)=2,"WOJ. ",IF(LEN($A89)=4,IF(VALUE(RIGHT($A89,2))&gt;60,"","Powiat "),IF(VALUE(RIGHT($A89,1))=1,"m. ",IF(VALUE(RIGHT($A89,1))=2,"gm. w. ",IF(VALUE(RIGHT($A89,1))=8,"dz. ","gm. m.-w. ")))))&amp;IF(LEN($A89)=2,TRIM(UPPER(VLOOKUP($A89,GUS_tabl_1!$A$7:$B$22,2,FALSE))),IF(ISERROR(FIND("..",TRIM(VLOOKUP(IF(AND(LEN($A89)=4,VALUE(RIGHT($A89,2))&gt;60),$A89&amp;"01 1",$A89),IF(AND(LEN($A89)=4,VALUE(RIGHT($A89,2))&lt;60),GUS_tabl_2!$A$8:$B$464,GUS_tabl_21!$A$5:$B$4886),2,FALSE)))),TRIM(VLOOKUP(IF(AND(LEN($A89)=4,VALUE(RIGHT($A89,2))&gt;60),$A89&amp;"01 1",$A89),IF(AND(LEN($A89)=4,VALUE(RIGHT($A89,2))&lt;60),GUS_tabl_2!$A$8:$B$464,GUS_tabl_21!$A$5:$B$4886),2,FALSE)),LEFT(TRIM(VLOOKUP(IF(AND(LEN($A89)=4,VALUE(RIGHT($A89,2))&gt;60),$A89&amp;"01 1",$A89),IF(AND(LEN($A89)=4,VALUE(RIGHT($A89,2))&lt;60),GUS_tabl_2!$A$8:$B$464,GUS_tabl_21!$A$5:$B$4886),2,FALSE)),SUM(FIND("..",TRIM(VLOOKUP(IF(AND(LEN($A89)=4,VALUE(RIGHT($A89,2))&gt;60),$A89&amp;"01 1",$A89),IF(AND(LEN($A89)=4,VALUE(RIGHT($A89,2))&lt;60),GUS_tabl_2!$A$8:$B$464,GUS_tabl_21!$A$5:$B$4886),2,FALSE))),-1)))))</f>
        <v>gm. w. Siekierczyn</v>
      </c>
      <c r="D89" s="141">
        <f>IF(OR($A89="",ISERROR(VALUE(LEFT($A89,6)))),"",IF(LEN($A89)=2,SUMIF($A90:$A$2965,$A89&amp;"??",$D90:$D$2965),IF(AND(LEN($A89)=4,VALUE(RIGHT($A89,2))&lt;=60),SUMIF($A90:$A$2965,$A89&amp;"????",$D90:$D$2965),VLOOKUP(IF(LEN($A89)=4,$A89&amp;"01 1",$A89),GUS_tabl_21!$A$5:$F$4886,6,FALSE))))</f>
        <v>4502</v>
      </c>
    </row>
    <row r="90" spans="1:4" s="29" customFormat="1" ht="12" customHeight="1">
      <c r="A90" s="152" t="str">
        <f>"0211"</f>
        <v>0211</v>
      </c>
      <c r="B90" s="153" t="s">
        <v>40</v>
      </c>
      <c r="C90" s="154" t="str">
        <f>IF(OR($A90="",ISERROR(VALUE(LEFT($A90,6)))),"",IF(LEN($A90)=2,"WOJ. ",IF(LEN($A90)=4,IF(VALUE(RIGHT($A90,2))&gt;60,"","Powiat "),IF(VALUE(RIGHT($A90,1))=1,"m. ",IF(VALUE(RIGHT($A90,1))=2,"gm. w. ",IF(VALUE(RIGHT($A90,1))=8,"dz. ","gm. m.-w. ")))))&amp;IF(LEN($A90)=2,TRIM(UPPER(VLOOKUP($A90,GUS_tabl_1!$A$7:$B$22,2,FALSE))),IF(ISERROR(FIND("..",TRIM(VLOOKUP(IF(AND(LEN($A90)=4,VALUE(RIGHT($A90,2))&gt;60),$A90&amp;"01 1",$A90),IF(AND(LEN($A90)=4,VALUE(RIGHT($A90,2))&lt;60),GUS_tabl_2!$A$8:$B$464,GUS_tabl_21!$A$5:$B$4886),2,FALSE)))),TRIM(VLOOKUP(IF(AND(LEN($A90)=4,VALUE(RIGHT($A90,2))&gt;60),$A90&amp;"01 1",$A90),IF(AND(LEN($A90)=4,VALUE(RIGHT($A90,2))&lt;60),GUS_tabl_2!$A$8:$B$464,GUS_tabl_21!$A$5:$B$4886),2,FALSE)),LEFT(TRIM(VLOOKUP(IF(AND(LEN($A90)=4,VALUE(RIGHT($A90,2))&gt;60),$A90&amp;"01 1",$A90),IF(AND(LEN($A90)=4,VALUE(RIGHT($A90,2))&lt;60),GUS_tabl_2!$A$8:$B$464,GUS_tabl_21!$A$5:$B$4886),2,FALSE)),SUM(FIND("..",TRIM(VLOOKUP(IF(AND(LEN($A90)=4,VALUE(RIGHT($A90,2))&gt;60),$A90&amp;"01 1",$A90),IF(AND(LEN($A90)=4,VALUE(RIGHT($A90,2))&lt;60),GUS_tabl_2!$A$8:$B$464,GUS_tabl_21!$A$5:$B$4886),2,FALSE))),-1)))))</f>
        <v>Powiat lubiński</v>
      </c>
      <c r="D90" s="140">
        <f>IF(OR($A90="",ISERROR(VALUE(LEFT($A90,6)))),"",IF(LEN($A90)=2,SUMIF($A91:$A$2965,$A90&amp;"??",$D91:$D$2965),IF(AND(LEN($A90)=4,VALUE(RIGHT($A90,2))&lt;=60),SUMIF($A91:$A$2965,$A90&amp;"????",$D91:$D$2965),VLOOKUP(IF(LEN($A90)=4,$A90&amp;"01 1",$A90),GUS_tabl_21!$A$5:$F$4886,6,FALSE))))</f>
        <v>106150</v>
      </c>
    </row>
    <row r="91" spans="1:4" s="29" customFormat="1" ht="12" customHeight="1">
      <c r="A91" s="155" t="str">
        <f>"021101 1"</f>
        <v>021101 1</v>
      </c>
      <c r="B91" s="153" t="s">
        <v>40</v>
      </c>
      <c r="C91" s="156" t="str">
        <f>IF(OR($A91="",ISERROR(VALUE(LEFT($A91,6)))),"",IF(LEN($A91)=2,"WOJ. ",IF(LEN($A91)=4,IF(VALUE(RIGHT($A91,2))&gt;60,"","Powiat "),IF(VALUE(RIGHT($A91,1))=1,"m. ",IF(VALUE(RIGHT($A91,1))=2,"gm. w. ",IF(VALUE(RIGHT($A91,1))=8,"dz. ","gm. m.-w. ")))))&amp;IF(LEN($A91)=2,TRIM(UPPER(VLOOKUP($A91,GUS_tabl_1!$A$7:$B$22,2,FALSE))),IF(ISERROR(FIND("..",TRIM(VLOOKUP(IF(AND(LEN($A91)=4,VALUE(RIGHT($A91,2))&gt;60),$A91&amp;"01 1",$A91),IF(AND(LEN($A91)=4,VALUE(RIGHT($A91,2))&lt;60),GUS_tabl_2!$A$8:$B$464,GUS_tabl_21!$A$5:$B$4886),2,FALSE)))),TRIM(VLOOKUP(IF(AND(LEN($A91)=4,VALUE(RIGHT($A91,2))&gt;60),$A91&amp;"01 1",$A91),IF(AND(LEN($A91)=4,VALUE(RIGHT($A91,2))&lt;60),GUS_tabl_2!$A$8:$B$464,GUS_tabl_21!$A$5:$B$4886),2,FALSE)),LEFT(TRIM(VLOOKUP(IF(AND(LEN($A91)=4,VALUE(RIGHT($A91,2))&gt;60),$A91&amp;"01 1",$A91),IF(AND(LEN($A91)=4,VALUE(RIGHT($A91,2))&lt;60),GUS_tabl_2!$A$8:$B$464,GUS_tabl_21!$A$5:$B$4886),2,FALSE)),SUM(FIND("..",TRIM(VLOOKUP(IF(AND(LEN($A91)=4,VALUE(RIGHT($A91,2))&gt;60),$A91&amp;"01 1",$A91),IF(AND(LEN($A91)=4,VALUE(RIGHT($A91,2))&lt;60),GUS_tabl_2!$A$8:$B$464,GUS_tabl_21!$A$5:$B$4886),2,FALSE))),-1)))))</f>
        <v>m. Lubin</v>
      </c>
      <c r="D91" s="141">
        <f>IF(OR($A91="",ISERROR(VALUE(LEFT($A91,6)))),"",IF(LEN($A91)=2,SUMIF($A92:$A$2965,$A91&amp;"??",$D92:$D$2965),IF(AND(LEN($A91)=4,VALUE(RIGHT($A91,2))&lt;=60),SUMIF($A92:$A$2965,$A91&amp;"????",$D92:$D$2965),VLOOKUP(IF(LEN($A91)=4,$A91&amp;"01 1",$A91),GUS_tabl_21!$A$5:$F$4886,6,FALSE))))</f>
        <v>72300</v>
      </c>
    </row>
    <row r="92" spans="1:4" s="29" customFormat="1" ht="12" customHeight="1">
      <c r="A92" s="155" t="str">
        <f>"021102 2"</f>
        <v>021102 2</v>
      </c>
      <c r="B92" s="153" t="s">
        <v>40</v>
      </c>
      <c r="C92" s="156" t="str">
        <f>IF(OR($A92="",ISERROR(VALUE(LEFT($A92,6)))),"",IF(LEN($A92)=2,"WOJ. ",IF(LEN($A92)=4,IF(VALUE(RIGHT($A92,2))&gt;60,"","Powiat "),IF(VALUE(RIGHT($A92,1))=1,"m. ",IF(VALUE(RIGHT($A92,1))=2,"gm. w. ",IF(VALUE(RIGHT($A92,1))=8,"dz. ","gm. m.-w. ")))))&amp;IF(LEN($A92)=2,TRIM(UPPER(VLOOKUP($A92,GUS_tabl_1!$A$7:$B$22,2,FALSE))),IF(ISERROR(FIND("..",TRIM(VLOOKUP(IF(AND(LEN($A92)=4,VALUE(RIGHT($A92,2))&gt;60),$A92&amp;"01 1",$A92),IF(AND(LEN($A92)=4,VALUE(RIGHT($A92,2))&lt;60),GUS_tabl_2!$A$8:$B$464,GUS_tabl_21!$A$5:$B$4886),2,FALSE)))),TRIM(VLOOKUP(IF(AND(LEN($A92)=4,VALUE(RIGHT($A92,2))&gt;60),$A92&amp;"01 1",$A92),IF(AND(LEN($A92)=4,VALUE(RIGHT($A92,2))&lt;60),GUS_tabl_2!$A$8:$B$464,GUS_tabl_21!$A$5:$B$4886),2,FALSE)),LEFT(TRIM(VLOOKUP(IF(AND(LEN($A92)=4,VALUE(RIGHT($A92,2))&gt;60),$A92&amp;"01 1",$A92),IF(AND(LEN($A92)=4,VALUE(RIGHT($A92,2))&lt;60),GUS_tabl_2!$A$8:$B$464,GUS_tabl_21!$A$5:$B$4886),2,FALSE)),SUM(FIND("..",TRIM(VLOOKUP(IF(AND(LEN($A92)=4,VALUE(RIGHT($A92,2))&gt;60),$A92&amp;"01 1",$A92),IF(AND(LEN($A92)=4,VALUE(RIGHT($A92,2))&lt;60),GUS_tabl_2!$A$8:$B$464,GUS_tabl_21!$A$5:$B$4886),2,FALSE))),-1)))))</f>
        <v>gm. w. Lubin</v>
      </c>
      <c r="D92" s="141">
        <f>IF(OR($A92="",ISERROR(VALUE(LEFT($A92,6)))),"",IF(LEN($A92)=2,SUMIF($A93:$A$2965,$A92&amp;"??",$D93:$D$2965),IF(AND(LEN($A92)=4,VALUE(RIGHT($A92,2))&lt;=60),SUMIF($A93:$A$2965,$A92&amp;"????",$D93:$D$2965),VLOOKUP(IF(LEN($A92)=4,$A92&amp;"01 1",$A92),GUS_tabl_21!$A$5:$F$4886,6,FALSE))))</f>
        <v>16178</v>
      </c>
    </row>
    <row r="93" spans="1:4" s="29" customFormat="1" ht="12" customHeight="1">
      <c r="A93" s="155" t="str">
        <f>"021103 2"</f>
        <v>021103 2</v>
      </c>
      <c r="B93" s="153" t="s">
        <v>40</v>
      </c>
      <c r="C93" s="156" t="str">
        <f>IF(OR($A93="",ISERROR(VALUE(LEFT($A93,6)))),"",IF(LEN($A93)=2,"WOJ. ",IF(LEN($A93)=4,IF(VALUE(RIGHT($A93,2))&gt;60,"","Powiat "),IF(VALUE(RIGHT($A93,1))=1,"m. ",IF(VALUE(RIGHT($A93,1))=2,"gm. w. ",IF(VALUE(RIGHT($A93,1))=8,"dz. ","gm. m.-w. ")))))&amp;IF(LEN($A93)=2,TRIM(UPPER(VLOOKUP($A93,GUS_tabl_1!$A$7:$B$22,2,FALSE))),IF(ISERROR(FIND("..",TRIM(VLOOKUP(IF(AND(LEN($A93)=4,VALUE(RIGHT($A93,2))&gt;60),$A93&amp;"01 1",$A93),IF(AND(LEN($A93)=4,VALUE(RIGHT($A93,2))&lt;60),GUS_tabl_2!$A$8:$B$464,GUS_tabl_21!$A$5:$B$4886),2,FALSE)))),TRIM(VLOOKUP(IF(AND(LEN($A93)=4,VALUE(RIGHT($A93,2))&gt;60),$A93&amp;"01 1",$A93),IF(AND(LEN($A93)=4,VALUE(RIGHT($A93,2))&lt;60),GUS_tabl_2!$A$8:$B$464,GUS_tabl_21!$A$5:$B$4886),2,FALSE)),LEFT(TRIM(VLOOKUP(IF(AND(LEN($A93)=4,VALUE(RIGHT($A93,2))&gt;60),$A93&amp;"01 1",$A93),IF(AND(LEN($A93)=4,VALUE(RIGHT($A93,2))&lt;60),GUS_tabl_2!$A$8:$B$464,GUS_tabl_21!$A$5:$B$4886),2,FALSE)),SUM(FIND("..",TRIM(VLOOKUP(IF(AND(LEN($A93)=4,VALUE(RIGHT($A93,2))&gt;60),$A93&amp;"01 1",$A93),IF(AND(LEN($A93)=4,VALUE(RIGHT($A93,2))&lt;60),GUS_tabl_2!$A$8:$B$464,GUS_tabl_21!$A$5:$B$4886),2,FALSE))),-1)))))</f>
        <v>gm. w. Rudna</v>
      </c>
      <c r="D93" s="141">
        <f>IF(OR($A93="",ISERROR(VALUE(LEFT($A93,6)))),"",IF(LEN($A93)=2,SUMIF($A94:$A$2965,$A93&amp;"??",$D94:$D$2965),IF(AND(LEN($A93)=4,VALUE(RIGHT($A93,2))&lt;=60),SUMIF($A94:$A$2965,$A93&amp;"????",$D94:$D$2965),VLOOKUP(IF(LEN($A93)=4,$A93&amp;"01 1",$A93),GUS_tabl_21!$A$5:$F$4886,6,FALSE))))</f>
        <v>7806</v>
      </c>
    </row>
    <row r="94" spans="1:4" s="29" customFormat="1" ht="12" customHeight="1">
      <c r="A94" s="155" t="str">
        <f>"021104 3"</f>
        <v>021104 3</v>
      </c>
      <c r="B94" s="153" t="s">
        <v>40</v>
      </c>
      <c r="C94" s="156" t="str">
        <f>IF(OR($A94="",ISERROR(VALUE(LEFT($A94,6)))),"",IF(LEN($A94)=2,"WOJ. ",IF(LEN($A94)=4,IF(VALUE(RIGHT($A94,2))&gt;60,"","Powiat "),IF(VALUE(RIGHT($A94,1))=1,"m. ",IF(VALUE(RIGHT($A94,1))=2,"gm. w. ",IF(VALUE(RIGHT($A94,1))=8,"dz. ","gm. m.-w. ")))))&amp;IF(LEN($A94)=2,TRIM(UPPER(VLOOKUP($A94,GUS_tabl_1!$A$7:$B$22,2,FALSE))),IF(ISERROR(FIND("..",TRIM(VLOOKUP(IF(AND(LEN($A94)=4,VALUE(RIGHT($A94,2))&gt;60),$A94&amp;"01 1",$A94),IF(AND(LEN($A94)=4,VALUE(RIGHT($A94,2))&lt;60),GUS_tabl_2!$A$8:$B$464,GUS_tabl_21!$A$5:$B$4886),2,FALSE)))),TRIM(VLOOKUP(IF(AND(LEN($A94)=4,VALUE(RIGHT($A94,2))&gt;60),$A94&amp;"01 1",$A94),IF(AND(LEN($A94)=4,VALUE(RIGHT($A94,2))&lt;60),GUS_tabl_2!$A$8:$B$464,GUS_tabl_21!$A$5:$B$4886),2,FALSE)),LEFT(TRIM(VLOOKUP(IF(AND(LEN($A94)=4,VALUE(RIGHT($A94,2))&gt;60),$A94&amp;"01 1",$A94),IF(AND(LEN($A94)=4,VALUE(RIGHT($A94,2))&lt;60),GUS_tabl_2!$A$8:$B$464,GUS_tabl_21!$A$5:$B$4886),2,FALSE)),SUM(FIND("..",TRIM(VLOOKUP(IF(AND(LEN($A94)=4,VALUE(RIGHT($A94,2))&gt;60),$A94&amp;"01 1",$A94),IF(AND(LEN($A94)=4,VALUE(RIGHT($A94,2))&lt;60),GUS_tabl_2!$A$8:$B$464,GUS_tabl_21!$A$5:$B$4886),2,FALSE))),-1)))))</f>
        <v>gm. m.-w. Ścinawa</v>
      </c>
      <c r="D94" s="141">
        <f>IF(OR($A94="",ISERROR(VALUE(LEFT($A94,6)))),"",IF(LEN($A94)=2,SUMIF($A95:$A$2965,$A94&amp;"??",$D95:$D$2965),IF(AND(LEN($A94)=4,VALUE(RIGHT($A94,2))&lt;=60),SUMIF($A95:$A$2965,$A94&amp;"????",$D95:$D$2965),VLOOKUP(IF(LEN($A94)=4,$A94&amp;"01 1",$A94),GUS_tabl_21!$A$5:$F$4886,6,FALSE))))</f>
        <v>9866</v>
      </c>
    </row>
    <row r="95" spans="1:4" s="29" customFormat="1" ht="12" customHeight="1">
      <c r="A95" s="152" t="str">
        <f>"0212"</f>
        <v>0212</v>
      </c>
      <c r="B95" s="153" t="s">
        <v>40</v>
      </c>
      <c r="C95" s="154" t="str">
        <f>IF(OR($A95="",ISERROR(VALUE(LEFT($A95,6)))),"",IF(LEN($A95)=2,"WOJ. ",IF(LEN($A95)=4,IF(VALUE(RIGHT($A95,2))&gt;60,"","Powiat "),IF(VALUE(RIGHT($A95,1))=1,"m. ",IF(VALUE(RIGHT($A95,1))=2,"gm. w. ",IF(VALUE(RIGHT($A95,1))=8,"dz. ","gm. m.-w. ")))))&amp;IF(LEN($A95)=2,TRIM(UPPER(VLOOKUP($A95,GUS_tabl_1!$A$7:$B$22,2,FALSE))),IF(ISERROR(FIND("..",TRIM(VLOOKUP(IF(AND(LEN($A95)=4,VALUE(RIGHT($A95,2))&gt;60),$A95&amp;"01 1",$A95),IF(AND(LEN($A95)=4,VALUE(RIGHT($A95,2))&lt;60),GUS_tabl_2!$A$8:$B$464,GUS_tabl_21!$A$5:$B$4886),2,FALSE)))),TRIM(VLOOKUP(IF(AND(LEN($A95)=4,VALUE(RIGHT($A95,2))&gt;60),$A95&amp;"01 1",$A95),IF(AND(LEN($A95)=4,VALUE(RIGHT($A95,2))&lt;60),GUS_tabl_2!$A$8:$B$464,GUS_tabl_21!$A$5:$B$4886),2,FALSE)),LEFT(TRIM(VLOOKUP(IF(AND(LEN($A95)=4,VALUE(RIGHT($A95,2))&gt;60),$A95&amp;"01 1",$A95),IF(AND(LEN($A95)=4,VALUE(RIGHT($A95,2))&lt;60),GUS_tabl_2!$A$8:$B$464,GUS_tabl_21!$A$5:$B$4886),2,FALSE)),SUM(FIND("..",TRIM(VLOOKUP(IF(AND(LEN($A95)=4,VALUE(RIGHT($A95,2))&gt;60),$A95&amp;"01 1",$A95),IF(AND(LEN($A95)=4,VALUE(RIGHT($A95,2))&lt;60),GUS_tabl_2!$A$8:$B$464,GUS_tabl_21!$A$5:$B$4886),2,FALSE))),-1)))))</f>
        <v>Powiat lwówecki</v>
      </c>
      <c r="D95" s="140">
        <f>IF(OR($A95="",ISERROR(VALUE(LEFT($A95,6)))),"",IF(LEN($A95)=2,SUMIF($A96:$A$2965,$A95&amp;"??",$D96:$D$2965),IF(AND(LEN($A95)=4,VALUE(RIGHT($A95,2))&lt;=60),SUMIF($A96:$A$2965,$A95&amp;"????",$D96:$D$2965),VLOOKUP(IF(LEN($A95)=4,$A95&amp;"01 1",$A95),GUS_tabl_21!$A$5:$F$4886,6,FALSE))))</f>
        <v>45925</v>
      </c>
    </row>
    <row r="96" spans="1:4" s="29" customFormat="1" ht="12" customHeight="1">
      <c r="A96" s="155" t="str">
        <f>"021201 3"</f>
        <v>021201 3</v>
      </c>
      <c r="B96" s="153" t="s">
        <v>40</v>
      </c>
      <c r="C96" s="156" t="str">
        <f>IF(OR($A96="",ISERROR(VALUE(LEFT($A96,6)))),"",IF(LEN($A96)=2,"WOJ. ",IF(LEN($A96)=4,IF(VALUE(RIGHT($A96,2))&gt;60,"","Powiat "),IF(VALUE(RIGHT($A96,1))=1,"m. ",IF(VALUE(RIGHT($A96,1))=2,"gm. w. ",IF(VALUE(RIGHT($A96,1))=8,"dz. ","gm. m.-w. ")))))&amp;IF(LEN($A96)=2,TRIM(UPPER(VLOOKUP($A96,GUS_tabl_1!$A$7:$B$22,2,FALSE))),IF(ISERROR(FIND("..",TRIM(VLOOKUP(IF(AND(LEN($A96)=4,VALUE(RIGHT($A96,2))&gt;60),$A96&amp;"01 1",$A96),IF(AND(LEN($A96)=4,VALUE(RIGHT($A96,2))&lt;60),GUS_tabl_2!$A$8:$B$464,GUS_tabl_21!$A$5:$B$4886),2,FALSE)))),TRIM(VLOOKUP(IF(AND(LEN($A96)=4,VALUE(RIGHT($A96,2))&gt;60),$A96&amp;"01 1",$A96),IF(AND(LEN($A96)=4,VALUE(RIGHT($A96,2))&lt;60),GUS_tabl_2!$A$8:$B$464,GUS_tabl_21!$A$5:$B$4886),2,FALSE)),LEFT(TRIM(VLOOKUP(IF(AND(LEN($A96)=4,VALUE(RIGHT($A96,2))&gt;60),$A96&amp;"01 1",$A96),IF(AND(LEN($A96)=4,VALUE(RIGHT($A96,2))&lt;60),GUS_tabl_2!$A$8:$B$464,GUS_tabl_21!$A$5:$B$4886),2,FALSE)),SUM(FIND("..",TRIM(VLOOKUP(IF(AND(LEN($A96)=4,VALUE(RIGHT($A96,2))&gt;60),$A96&amp;"01 1",$A96),IF(AND(LEN($A96)=4,VALUE(RIGHT($A96,2))&lt;60),GUS_tabl_2!$A$8:$B$464,GUS_tabl_21!$A$5:$B$4886),2,FALSE))),-1)))))</f>
        <v>gm. m.-w. Gryfów Śląski</v>
      </c>
      <c r="D96" s="141">
        <f>IF(OR($A96="",ISERROR(VALUE(LEFT($A96,6)))),"",IF(LEN($A96)=2,SUMIF($A97:$A$2965,$A96&amp;"??",$D97:$D$2965),IF(AND(LEN($A96)=4,VALUE(RIGHT($A96,2))&lt;=60),SUMIF($A97:$A$2965,$A96&amp;"????",$D97:$D$2965),VLOOKUP(IF(LEN($A96)=4,$A96&amp;"01 1",$A96),GUS_tabl_21!$A$5:$F$4886,6,FALSE))))</f>
        <v>9667</v>
      </c>
    </row>
    <row r="97" spans="1:4" s="29" customFormat="1" ht="12" customHeight="1">
      <c r="A97" s="155" t="str">
        <f>"021202 3"</f>
        <v>021202 3</v>
      </c>
      <c r="B97" s="153" t="s">
        <v>40</v>
      </c>
      <c r="C97" s="156" t="str">
        <f>IF(OR($A97="",ISERROR(VALUE(LEFT($A97,6)))),"",IF(LEN($A97)=2,"WOJ. ",IF(LEN($A97)=4,IF(VALUE(RIGHT($A97,2))&gt;60,"","Powiat "),IF(VALUE(RIGHT($A97,1))=1,"m. ",IF(VALUE(RIGHT($A97,1))=2,"gm. w. ",IF(VALUE(RIGHT($A97,1))=8,"dz. ","gm. m.-w. ")))))&amp;IF(LEN($A97)=2,TRIM(UPPER(VLOOKUP($A97,GUS_tabl_1!$A$7:$B$22,2,FALSE))),IF(ISERROR(FIND("..",TRIM(VLOOKUP(IF(AND(LEN($A97)=4,VALUE(RIGHT($A97,2))&gt;60),$A97&amp;"01 1",$A97),IF(AND(LEN($A97)=4,VALUE(RIGHT($A97,2))&lt;60),GUS_tabl_2!$A$8:$B$464,GUS_tabl_21!$A$5:$B$4886),2,FALSE)))),TRIM(VLOOKUP(IF(AND(LEN($A97)=4,VALUE(RIGHT($A97,2))&gt;60),$A97&amp;"01 1",$A97),IF(AND(LEN($A97)=4,VALUE(RIGHT($A97,2))&lt;60),GUS_tabl_2!$A$8:$B$464,GUS_tabl_21!$A$5:$B$4886),2,FALSE)),LEFT(TRIM(VLOOKUP(IF(AND(LEN($A97)=4,VALUE(RIGHT($A97,2))&gt;60),$A97&amp;"01 1",$A97),IF(AND(LEN($A97)=4,VALUE(RIGHT($A97,2))&lt;60),GUS_tabl_2!$A$8:$B$464,GUS_tabl_21!$A$5:$B$4886),2,FALSE)),SUM(FIND("..",TRIM(VLOOKUP(IF(AND(LEN($A97)=4,VALUE(RIGHT($A97,2))&gt;60),$A97&amp;"01 1",$A97),IF(AND(LEN($A97)=4,VALUE(RIGHT($A97,2))&lt;60),GUS_tabl_2!$A$8:$B$464,GUS_tabl_21!$A$5:$B$4886),2,FALSE))),-1)))))</f>
        <v>gm. m.-w. Lubomierz</v>
      </c>
      <c r="D97" s="141">
        <f>IF(OR($A97="",ISERROR(VALUE(LEFT($A97,6)))),"",IF(LEN($A97)=2,SUMIF($A98:$A$2965,$A97&amp;"??",$D98:$D$2965),IF(AND(LEN($A97)=4,VALUE(RIGHT($A97,2))&lt;=60),SUMIF($A98:$A$2965,$A97&amp;"????",$D98:$D$2965),VLOOKUP(IF(LEN($A97)=4,$A97&amp;"01 1",$A97),GUS_tabl_21!$A$5:$F$4886,6,FALSE))))</f>
        <v>6218</v>
      </c>
    </row>
    <row r="98" spans="1:4" s="29" customFormat="1" ht="12" customHeight="1">
      <c r="A98" s="155" t="str">
        <f>"021203 3"</f>
        <v>021203 3</v>
      </c>
      <c r="B98" s="153" t="s">
        <v>40</v>
      </c>
      <c r="C98" s="156" t="str">
        <f>IF(OR($A98="",ISERROR(VALUE(LEFT($A98,6)))),"",IF(LEN($A98)=2,"WOJ. ",IF(LEN($A98)=4,IF(VALUE(RIGHT($A98,2))&gt;60,"","Powiat "),IF(VALUE(RIGHT($A98,1))=1,"m. ",IF(VALUE(RIGHT($A98,1))=2,"gm. w. ",IF(VALUE(RIGHT($A98,1))=8,"dz. ","gm. m.-w. ")))))&amp;IF(LEN($A98)=2,TRIM(UPPER(VLOOKUP($A98,GUS_tabl_1!$A$7:$B$22,2,FALSE))),IF(ISERROR(FIND("..",TRIM(VLOOKUP(IF(AND(LEN($A98)=4,VALUE(RIGHT($A98,2))&gt;60),$A98&amp;"01 1",$A98),IF(AND(LEN($A98)=4,VALUE(RIGHT($A98,2))&lt;60),GUS_tabl_2!$A$8:$B$464,GUS_tabl_21!$A$5:$B$4886),2,FALSE)))),TRIM(VLOOKUP(IF(AND(LEN($A98)=4,VALUE(RIGHT($A98,2))&gt;60),$A98&amp;"01 1",$A98),IF(AND(LEN($A98)=4,VALUE(RIGHT($A98,2))&lt;60),GUS_tabl_2!$A$8:$B$464,GUS_tabl_21!$A$5:$B$4886),2,FALSE)),LEFT(TRIM(VLOOKUP(IF(AND(LEN($A98)=4,VALUE(RIGHT($A98,2))&gt;60),$A98&amp;"01 1",$A98),IF(AND(LEN($A98)=4,VALUE(RIGHT($A98,2))&lt;60),GUS_tabl_2!$A$8:$B$464,GUS_tabl_21!$A$5:$B$4886),2,FALSE)),SUM(FIND("..",TRIM(VLOOKUP(IF(AND(LEN($A98)=4,VALUE(RIGHT($A98,2))&gt;60),$A98&amp;"01 1",$A98),IF(AND(LEN($A98)=4,VALUE(RIGHT($A98,2))&lt;60),GUS_tabl_2!$A$8:$B$464,GUS_tabl_21!$A$5:$B$4886),2,FALSE))),-1)))))</f>
        <v>gm. m.-w. Lwówek Śląski</v>
      </c>
      <c r="D98" s="141">
        <f>IF(OR($A98="",ISERROR(VALUE(LEFT($A98,6)))),"",IF(LEN($A98)=2,SUMIF($A99:$A$2965,$A98&amp;"??",$D99:$D$2965),IF(AND(LEN($A98)=4,VALUE(RIGHT($A98,2))&lt;=60),SUMIF($A99:$A$2965,$A98&amp;"????",$D99:$D$2965),VLOOKUP(IF(LEN($A98)=4,$A98&amp;"01 1",$A98),GUS_tabl_21!$A$5:$F$4886,6,FALSE))))</f>
        <v>17268</v>
      </c>
    </row>
    <row r="99" spans="1:4" s="29" customFormat="1" ht="12" customHeight="1">
      <c r="A99" s="155" t="str">
        <f>"021204 3"</f>
        <v>021204 3</v>
      </c>
      <c r="B99" s="153" t="s">
        <v>40</v>
      </c>
      <c r="C99" s="156" t="str">
        <f>IF(OR($A99="",ISERROR(VALUE(LEFT($A99,6)))),"",IF(LEN($A99)=2,"WOJ. ",IF(LEN($A99)=4,IF(VALUE(RIGHT($A99,2))&gt;60,"","Powiat "),IF(VALUE(RIGHT($A99,1))=1,"m. ",IF(VALUE(RIGHT($A99,1))=2,"gm. w. ",IF(VALUE(RIGHT($A99,1))=8,"dz. ","gm. m.-w. ")))))&amp;IF(LEN($A99)=2,TRIM(UPPER(VLOOKUP($A99,GUS_tabl_1!$A$7:$B$22,2,FALSE))),IF(ISERROR(FIND("..",TRIM(VLOOKUP(IF(AND(LEN($A99)=4,VALUE(RIGHT($A99,2))&gt;60),$A99&amp;"01 1",$A99),IF(AND(LEN($A99)=4,VALUE(RIGHT($A99,2))&lt;60),GUS_tabl_2!$A$8:$B$464,GUS_tabl_21!$A$5:$B$4886),2,FALSE)))),TRIM(VLOOKUP(IF(AND(LEN($A99)=4,VALUE(RIGHT($A99,2))&gt;60),$A99&amp;"01 1",$A99),IF(AND(LEN($A99)=4,VALUE(RIGHT($A99,2))&lt;60),GUS_tabl_2!$A$8:$B$464,GUS_tabl_21!$A$5:$B$4886),2,FALSE)),LEFT(TRIM(VLOOKUP(IF(AND(LEN($A99)=4,VALUE(RIGHT($A99,2))&gt;60),$A99&amp;"01 1",$A99),IF(AND(LEN($A99)=4,VALUE(RIGHT($A99,2))&lt;60),GUS_tabl_2!$A$8:$B$464,GUS_tabl_21!$A$5:$B$4886),2,FALSE)),SUM(FIND("..",TRIM(VLOOKUP(IF(AND(LEN($A99)=4,VALUE(RIGHT($A99,2))&gt;60),$A99&amp;"01 1",$A99),IF(AND(LEN($A99)=4,VALUE(RIGHT($A99,2))&lt;60),GUS_tabl_2!$A$8:$B$464,GUS_tabl_21!$A$5:$B$4886),2,FALSE))),-1)))))</f>
        <v>gm. m.-w. Mirsk</v>
      </c>
      <c r="D99" s="141">
        <f>IF(OR($A99="",ISERROR(VALUE(LEFT($A99,6)))),"",IF(LEN($A99)=2,SUMIF($A100:$A$2965,$A99&amp;"??",$D100:$D$2965),IF(AND(LEN($A99)=4,VALUE(RIGHT($A99,2))&lt;=60),SUMIF($A100:$A$2965,$A99&amp;"????",$D100:$D$2965),VLOOKUP(IF(LEN($A99)=4,$A99&amp;"01 1",$A99),GUS_tabl_21!$A$5:$F$4886,6,FALSE))))</f>
        <v>8525</v>
      </c>
    </row>
    <row r="100" spans="1:4" s="29" customFormat="1" ht="12" customHeight="1">
      <c r="A100" s="155" t="str">
        <f>"021205 3"</f>
        <v>021205 3</v>
      </c>
      <c r="B100" s="153" t="s">
        <v>40</v>
      </c>
      <c r="C100" s="156" t="str">
        <f>IF(OR($A100="",ISERROR(VALUE(LEFT($A100,6)))),"",IF(LEN($A100)=2,"WOJ. ",IF(LEN($A100)=4,IF(VALUE(RIGHT($A100,2))&gt;60,"","Powiat "),IF(VALUE(RIGHT($A100,1))=1,"m. ",IF(VALUE(RIGHT($A100,1))=2,"gm. w. ",IF(VALUE(RIGHT($A100,1))=8,"dz. ","gm. m.-w. ")))))&amp;IF(LEN($A100)=2,TRIM(UPPER(VLOOKUP($A100,GUS_tabl_1!$A$7:$B$22,2,FALSE))),IF(ISERROR(FIND("..",TRIM(VLOOKUP(IF(AND(LEN($A100)=4,VALUE(RIGHT($A100,2))&gt;60),$A100&amp;"01 1",$A100),IF(AND(LEN($A100)=4,VALUE(RIGHT($A100,2))&lt;60),GUS_tabl_2!$A$8:$B$464,GUS_tabl_21!$A$5:$B$4886),2,FALSE)))),TRIM(VLOOKUP(IF(AND(LEN($A100)=4,VALUE(RIGHT($A100,2))&gt;60),$A100&amp;"01 1",$A100),IF(AND(LEN($A100)=4,VALUE(RIGHT($A100,2))&lt;60),GUS_tabl_2!$A$8:$B$464,GUS_tabl_21!$A$5:$B$4886),2,FALSE)),LEFT(TRIM(VLOOKUP(IF(AND(LEN($A100)=4,VALUE(RIGHT($A100,2))&gt;60),$A100&amp;"01 1",$A100),IF(AND(LEN($A100)=4,VALUE(RIGHT($A100,2))&lt;60),GUS_tabl_2!$A$8:$B$464,GUS_tabl_21!$A$5:$B$4886),2,FALSE)),SUM(FIND("..",TRIM(VLOOKUP(IF(AND(LEN($A100)=4,VALUE(RIGHT($A100,2))&gt;60),$A100&amp;"01 1",$A100),IF(AND(LEN($A100)=4,VALUE(RIGHT($A100,2))&lt;60),GUS_tabl_2!$A$8:$B$464,GUS_tabl_21!$A$5:$B$4886),2,FALSE))),-1)))))</f>
        <v>gm. m.-w. Wleń</v>
      </c>
      <c r="D100" s="141">
        <f>IF(OR($A100="",ISERROR(VALUE(LEFT($A100,6)))),"",IF(LEN($A100)=2,SUMIF($A101:$A$2965,$A100&amp;"??",$D101:$D$2965),IF(AND(LEN($A100)=4,VALUE(RIGHT($A100,2))&lt;=60),SUMIF($A101:$A$2965,$A100&amp;"????",$D101:$D$2965),VLOOKUP(IF(LEN($A100)=4,$A100&amp;"01 1",$A100),GUS_tabl_21!$A$5:$F$4886,6,FALSE))))</f>
        <v>4247</v>
      </c>
    </row>
    <row r="101" spans="1:4" s="29" customFormat="1" ht="12" customHeight="1">
      <c r="A101" s="152" t="str">
        <f>"0213"</f>
        <v>0213</v>
      </c>
      <c r="B101" s="153" t="s">
        <v>40</v>
      </c>
      <c r="C101" s="154" t="str">
        <f>IF(OR($A101="",ISERROR(VALUE(LEFT($A101,6)))),"",IF(LEN($A101)=2,"WOJ. ",IF(LEN($A101)=4,IF(VALUE(RIGHT($A101,2))&gt;60,"","Powiat "),IF(VALUE(RIGHT($A101,1))=1,"m. ",IF(VALUE(RIGHT($A101,1))=2,"gm. w. ",IF(VALUE(RIGHT($A101,1))=8,"dz. ","gm. m.-w. ")))))&amp;IF(LEN($A101)=2,TRIM(UPPER(VLOOKUP($A101,GUS_tabl_1!$A$7:$B$22,2,FALSE))),IF(ISERROR(FIND("..",TRIM(VLOOKUP(IF(AND(LEN($A101)=4,VALUE(RIGHT($A101,2))&gt;60),$A101&amp;"01 1",$A101),IF(AND(LEN($A101)=4,VALUE(RIGHT($A101,2))&lt;60),GUS_tabl_2!$A$8:$B$464,GUS_tabl_21!$A$5:$B$4886),2,FALSE)))),TRIM(VLOOKUP(IF(AND(LEN($A101)=4,VALUE(RIGHT($A101,2))&gt;60),$A101&amp;"01 1",$A101),IF(AND(LEN($A101)=4,VALUE(RIGHT($A101,2))&lt;60),GUS_tabl_2!$A$8:$B$464,GUS_tabl_21!$A$5:$B$4886),2,FALSE)),LEFT(TRIM(VLOOKUP(IF(AND(LEN($A101)=4,VALUE(RIGHT($A101,2))&gt;60),$A101&amp;"01 1",$A101),IF(AND(LEN($A101)=4,VALUE(RIGHT($A101,2))&lt;60),GUS_tabl_2!$A$8:$B$464,GUS_tabl_21!$A$5:$B$4886),2,FALSE)),SUM(FIND("..",TRIM(VLOOKUP(IF(AND(LEN($A101)=4,VALUE(RIGHT($A101,2))&gt;60),$A101&amp;"01 1",$A101),IF(AND(LEN($A101)=4,VALUE(RIGHT($A101,2))&lt;60),GUS_tabl_2!$A$8:$B$464,GUS_tabl_21!$A$5:$B$4886),2,FALSE))),-1)))))</f>
        <v>Powiat milicki</v>
      </c>
      <c r="D101" s="140">
        <f>IF(OR($A101="",ISERROR(VALUE(LEFT($A101,6)))),"",IF(LEN($A101)=2,SUMIF($A102:$A$2965,$A101&amp;"??",$D102:$D$2965),IF(AND(LEN($A101)=4,VALUE(RIGHT($A101,2))&lt;=60),SUMIF($A102:$A$2965,$A101&amp;"????",$D102:$D$2965),VLOOKUP(IF(LEN($A101)=4,$A101&amp;"01 1",$A101),GUS_tabl_21!$A$5:$F$4886,6,FALSE))))</f>
        <v>36999</v>
      </c>
    </row>
    <row r="102" spans="1:4" s="29" customFormat="1" ht="12" customHeight="1">
      <c r="A102" s="155" t="str">
        <f>"021301 2"</f>
        <v>021301 2</v>
      </c>
      <c r="B102" s="153" t="s">
        <v>40</v>
      </c>
      <c r="C102" s="156" t="str">
        <f>IF(OR($A102="",ISERROR(VALUE(LEFT($A102,6)))),"",IF(LEN($A102)=2,"WOJ. ",IF(LEN($A102)=4,IF(VALUE(RIGHT($A102,2))&gt;60,"","Powiat "),IF(VALUE(RIGHT($A102,1))=1,"m. ",IF(VALUE(RIGHT($A102,1))=2,"gm. w. ",IF(VALUE(RIGHT($A102,1))=8,"dz. ","gm. m.-w. ")))))&amp;IF(LEN($A102)=2,TRIM(UPPER(VLOOKUP($A102,GUS_tabl_1!$A$7:$B$22,2,FALSE))),IF(ISERROR(FIND("..",TRIM(VLOOKUP(IF(AND(LEN($A102)=4,VALUE(RIGHT($A102,2))&gt;60),$A102&amp;"01 1",$A102),IF(AND(LEN($A102)=4,VALUE(RIGHT($A102,2))&lt;60),GUS_tabl_2!$A$8:$B$464,GUS_tabl_21!$A$5:$B$4886),2,FALSE)))),TRIM(VLOOKUP(IF(AND(LEN($A102)=4,VALUE(RIGHT($A102,2))&gt;60),$A102&amp;"01 1",$A102),IF(AND(LEN($A102)=4,VALUE(RIGHT($A102,2))&lt;60),GUS_tabl_2!$A$8:$B$464,GUS_tabl_21!$A$5:$B$4886),2,FALSE)),LEFT(TRIM(VLOOKUP(IF(AND(LEN($A102)=4,VALUE(RIGHT($A102,2))&gt;60),$A102&amp;"01 1",$A102),IF(AND(LEN($A102)=4,VALUE(RIGHT($A102,2))&lt;60),GUS_tabl_2!$A$8:$B$464,GUS_tabl_21!$A$5:$B$4886),2,FALSE)),SUM(FIND("..",TRIM(VLOOKUP(IF(AND(LEN($A102)=4,VALUE(RIGHT($A102,2))&gt;60),$A102&amp;"01 1",$A102),IF(AND(LEN($A102)=4,VALUE(RIGHT($A102,2))&lt;60),GUS_tabl_2!$A$8:$B$464,GUS_tabl_21!$A$5:$B$4886),2,FALSE))),-1)))))</f>
        <v>gm. w. Cieszków</v>
      </c>
      <c r="D102" s="141">
        <f>IF(OR($A102="",ISERROR(VALUE(LEFT($A102,6)))),"",IF(LEN($A102)=2,SUMIF($A103:$A$2965,$A102&amp;"??",$D103:$D$2965),IF(AND(LEN($A102)=4,VALUE(RIGHT($A102,2))&lt;=60),SUMIF($A103:$A$2965,$A102&amp;"????",$D103:$D$2965),VLOOKUP(IF(LEN($A102)=4,$A102&amp;"01 1",$A102),GUS_tabl_21!$A$5:$F$4886,6,FALSE))))</f>
        <v>4663</v>
      </c>
    </row>
    <row r="103" spans="1:4" s="29" customFormat="1" ht="12" customHeight="1">
      <c r="A103" s="155" t="str">
        <f>"021302 2"</f>
        <v>021302 2</v>
      </c>
      <c r="B103" s="153" t="s">
        <v>40</v>
      </c>
      <c r="C103" s="156" t="str">
        <f>IF(OR($A103="",ISERROR(VALUE(LEFT($A103,6)))),"",IF(LEN($A103)=2,"WOJ. ",IF(LEN($A103)=4,IF(VALUE(RIGHT($A103,2))&gt;60,"","Powiat "),IF(VALUE(RIGHT($A103,1))=1,"m. ",IF(VALUE(RIGHT($A103,1))=2,"gm. w. ",IF(VALUE(RIGHT($A103,1))=8,"dz. ","gm. m.-w. ")))))&amp;IF(LEN($A103)=2,TRIM(UPPER(VLOOKUP($A103,GUS_tabl_1!$A$7:$B$22,2,FALSE))),IF(ISERROR(FIND("..",TRIM(VLOOKUP(IF(AND(LEN($A103)=4,VALUE(RIGHT($A103,2))&gt;60),$A103&amp;"01 1",$A103),IF(AND(LEN($A103)=4,VALUE(RIGHT($A103,2))&lt;60),GUS_tabl_2!$A$8:$B$464,GUS_tabl_21!$A$5:$B$4886),2,FALSE)))),TRIM(VLOOKUP(IF(AND(LEN($A103)=4,VALUE(RIGHT($A103,2))&gt;60),$A103&amp;"01 1",$A103),IF(AND(LEN($A103)=4,VALUE(RIGHT($A103,2))&lt;60),GUS_tabl_2!$A$8:$B$464,GUS_tabl_21!$A$5:$B$4886),2,FALSE)),LEFT(TRIM(VLOOKUP(IF(AND(LEN($A103)=4,VALUE(RIGHT($A103,2))&gt;60),$A103&amp;"01 1",$A103),IF(AND(LEN($A103)=4,VALUE(RIGHT($A103,2))&lt;60),GUS_tabl_2!$A$8:$B$464,GUS_tabl_21!$A$5:$B$4886),2,FALSE)),SUM(FIND("..",TRIM(VLOOKUP(IF(AND(LEN($A103)=4,VALUE(RIGHT($A103,2))&gt;60),$A103&amp;"01 1",$A103),IF(AND(LEN($A103)=4,VALUE(RIGHT($A103,2))&lt;60),GUS_tabl_2!$A$8:$B$464,GUS_tabl_21!$A$5:$B$4886),2,FALSE))),-1)))))</f>
        <v>gm. w. Krośnice</v>
      </c>
      <c r="D103" s="141">
        <f>IF(OR($A103="",ISERROR(VALUE(LEFT($A103,6)))),"",IF(LEN($A103)=2,SUMIF($A104:$A$2965,$A103&amp;"??",$D104:$D$2965),IF(AND(LEN($A103)=4,VALUE(RIGHT($A103,2))&lt;=60),SUMIF($A104:$A$2965,$A103&amp;"????",$D104:$D$2965),VLOOKUP(IF(LEN($A103)=4,$A103&amp;"01 1",$A103),GUS_tabl_21!$A$5:$F$4886,6,FALSE))))</f>
        <v>8139</v>
      </c>
    </row>
    <row r="104" spans="1:4" s="29" customFormat="1" ht="12" customHeight="1">
      <c r="A104" s="155" t="str">
        <f>"021303 3"</f>
        <v>021303 3</v>
      </c>
      <c r="B104" s="153" t="s">
        <v>40</v>
      </c>
      <c r="C104" s="156" t="str">
        <f>IF(OR($A104="",ISERROR(VALUE(LEFT($A104,6)))),"",IF(LEN($A104)=2,"WOJ. ",IF(LEN($A104)=4,IF(VALUE(RIGHT($A104,2))&gt;60,"","Powiat "),IF(VALUE(RIGHT($A104,1))=1,"m. ",IF(VALUE(RIGHT($A104,1))=2,"gm. w. ",IF(VALUE(RIGHT($A104,1))=8,"dz. ","gm. m.-w. ")))))&amp;IF(LEN($A104)=2,TRIM(UPPER(VLOOKUP($A104,GUS_tabl_1!$A$7:$B$22,2,FALSE))),IF(ISERROR(FIND("..",TRIM(VLOOKUP(IF(AND(LEN($A104)=4,VALUE(RIGHT($A104,2))&gt;60),$A104&amp;"01 1",$A104),IF(AND(LEN($A104)=4,VALUE(RIGHT($A104,2))&lt;60),GUS_tabl_2!$A$8:$B$464,GUS_tabl_21!$A$5:$B$4886),2,FALSE)))),TRIM(VLOOKUP(IF(AND(LEN($A104)=4,VALUE(RIGHT($A104,2))&gt;60),$A104&amp;"01 1",$A104),IF(AND(LEN($A104)=4,VALUE(RIGHT($A104,2))&lt;60),GUS_tabl_2!$A$8:$B$464,GUS_tabl_21!$A$5:$B$4886),2,FALSE)),LEFT(TRIM(VLOOKUP(IF(AND(LEN($A104)=4,VALUE(RIGHT($A104,2))&gt;60),$A104&amp;"01 1",$A104),IF(AND(LEN($A104)=4,VALUE(RIGHT($A104,2))&lt;60),GUS_tabl_2!$A$8:$B$464,GUS_tabl_21!$A$5:$B$4886),2,FALSE)),SUM(FIND("..",TRIM(VLOOKUP(IF(AND(LEN($A104)=4,VALUE(RIGHT($A104,2))&gt;60),$A104&amp;"01 1",$A104),IF(AND(LEN($A104)=4,VALUE(RIGHT($A104,2))&lt;60),GUS_tabl_2!$A$8:$B$464,GUS_tabl_21!$A$5:$B$4886),2,FALSE))),-1)))))</f>
        <v>gm. m.-w. Milicz</v>
      </c>
      <c r="D104" s="141">
        <f>IF(OR($A104="",ISERROR(VALUE(LEFT($A104,6)))),"",IF(LEN($A104)=2,SUMIF($A105:$A$2965,$A104&amp;"??",$D105:$D$2965),IF(AND(LEN($A104)=4,VALUE(RIGHT($A104,2))&lt;=60),SUMIF($A105:$A$2965,$A104&amp;"????",$D105:$D$2965),VLOOKUP(IF(LEN($A104)=4,$A104&amp;"01 1",$A104),GUS_tabl_21!$A$5:$F$4886,6,FALSE))))</f>
        <v>24197</v>
      </c>
    </row>
    <row r="105" spans="1:4" s="29" customFormat="1" ht="12" customHeight="1">
      <c r="A105" s="152" t="str">
        <f>"0214"</f>
        <v>0214</v>
      </c>
      <c r="B105" s="153" t="s">
        <v>40</v>
      </c>
      <c r="C105" s="154" t="str">
        <f>IF(OR($A105="",ISERROR(VALUE(LEFT($A105,6)))),"",IF(LEN($A105)=2,"WOJ. ",IF(LEN($A105)=4,IF(VALUE(RIGHT($A105,2))&gt;60,"","Powiat "),IF(VALUE(RIGHT($A105,1))=1,"m. ",IF(VALUE(RIGHT($A105,1))=2,"gm. w. ",IF(VALUE(RIGHT($A105,1))=8,"dz. ","gm. m.-w. ")))))&amp;IF(LEN($A105)=2,TRIM(UPPER(VLOOKUP($A105,GUS_tabl_1!$A$7:$B$22,2,FALSE))),IF(ISERROR(FIND("..",TRIM(VLOOKUP(IF(AND(LEN($A105)=4,VALUE(RIGHT($A105,2))&gt;60),$A105&amp;"01 1",$A105),IF(AND(LEN($A105)=4,VALUE(RIGHT($A105,2))&lt;60),GUS_tabl_2!$A$8:$B$464,GUS_tabl_21!$A$5:$B$4886),2,FALSE)))),TRIM(VLOOKUP(IF(AND(LEN($A105)=4,VALUE(RIGHT($A105,2))&gt;60),$A105&amp;"01 1",$A105),IF(AND(LEN($A105)=4,VALUE(RIGHT($A105,2))&lt;60),GUS_tabl_2!$A$8:$B$464,GUS_tabl_21!$A$5:$B$4886),2,FALSE)),LEFT(TRIM(VLOOKUP(IF(AND(LEN($A105)=4,VALUE(RIGHT($A105,2))&gt;60),$A105&amp;"01 1",$A105),IF(AND(LEN($A105)=4,VALUE(RIGHT($A105,2))&lt;60),GUS_tabl_2!$A$8:$B$464,GUS_tabl_21!$A$5:$B$4886),2,FALSE)),SUM(FIND("..",TRIM(VLOOKUP(IF(AND(LEN($A105)=4,VALUE(RIGHT($A105,2))&gt;60),$A105&amp;"01 1",$A105),IF(AND(LEN($A105)=4,VALUE(RIGHT($A105,2))&lt;60),GUS_tabl_2!$A$8:$B$464,GUS_tabl_21!$A$5:$B$4886),2,FALSE))),-1)))))</f>
        <v>Powiat oleśnicki</v>
      </c>
      <c r="D105" s="140">
        <f>IF(OR($A105="",ISERROR(VALUE(LEFT($A105,6)))),"",IF(LEN($A105)=2,SUMIF($A106:$A$2965,$A105&amp;"??",$D106:$D$2965),IF(AND(LEN($A105)=4,VALUE(RIGHT($A105,2))&lt;=60),SUMIF($A106:$A$2965,$A105&amp;"????",$D106:$D$2965),VLOOKUP(IF(LEN($A105)=4,$A105&amp;"01 1",$A105),GUS_tabl_21!$A$5:$F$4886,6,FALSE))))</f>
        <v>107269</v>
      </c>
    </row>
    <row r="106" spans="1:4" s="29" customFormat="1" ht="12" customHeight="1">
      <c r="A106" s="155" t="str">
        <f>"021401 1"</f>
        <v>021401 1</v>
      </c>
      <c r="B106" s="153" t="s">
        <v>40</v>
      </c>
      <c r="C106" s="156" t="str">
        <f>IF(OR($A106="",ISERROR(VALUE(LEFT($A106,6)))),"",IF(LEN($A106)=2,"WOJ. ",IF(LEN($A106)=4,IF(VALUE(RIGHT($A106,2))&gt;60,"","Powiat "),IF(VALUE(RIGHT($A106,1))=1,"m. ",IF(VALUE(RIGHT($A106,1))=2,"gm. w. ",IF(VALUE(RIGHT($A106,1))=8,"dz. ","gm. m.-w. ")))))&amp;IF(LEN($A106)=2,TRIM(UPPER(VLOOKUP($A106,GUS_tabl_1!$A$7:$B$22,2,FALSE))),IF(ISERROR(FIND("..",TRIM(VLOOKUP(IF(AND(LEN($A106)=4,VALUE(RIGHT($A106,2))&gt;60),$A106&amp;"01 1",$A106),IF(AND(LEN($A106)=4,VALUE(RIGHT($A106,2))&lt;60),GUS_tabl_2!$A$8:$B$464,GUS_tabl_21!$A$5:$B$4886),2,FALSE)))),TRIM(VLOOKUP(IF(AND(LEN($A106)=4,VALUE(RIGHT($A106,2))&gt;60),$A106&amp;"01 1",$A106),IF(AND(LEN($A106)=4,VALUE(RIGHT($A106,2))&lt;60),GUS_tabl_2!$A$8:$B$464,GUS_tabl_21!$A$5:$B$4886),2,FALSE)),LEFT(TRIM(VLOOKUP(IF(AND(LEN($A106)=4,VALUE(RIGHT($A106,2))&gt;60),$A106&amp;"01 1",$A106),IF(AND(LEN($A106)=4,VALUE(RIGHT($A106,2))&lt;60),GUS_tabl_2!$A$8:$B$464,GUS_tabl_21!$A$5:$B$4886),2,FALSE)),SUM(FIND("..",TRIM(VLOOKUP(IF(AND(LEN($A106)=4,VALUE(RIGHT($A106,2))&gt;60),$A106&amp;"01 1",$A106),IF(AND(LEN($A106)=4,VALUE(RIGHT($A106,2))&lt;60),GUS_tabl_2!$A$8:$B$464,GUS_tabl_21!$A$5:$B$4886),2,FALSE))),-1)))))</f>
        <v>m. Oleśnica</v>
      </c>
      <c r="D106" s="141">
        <f>IF(OR($A106="",ISERROR(VALUE(LEFT($A106,6)))),"",IF(LEN($A106)=2,SUMIF($A107:$A$2965,$A106&amp;"??",$D107:$D$2965),IF(AND(LEN($A106)=4,VALUE(RIGHT($A106,2))&lt;=60),SUMIF($A107:$A$2965,$A106&amp;"????",$D107:$D$2965),VLOOKUP(IF(LEN($A106)=4,$A106&amp;"01 1",$A106),GUS_tabl_21!$A$5:$F$4886,6,FALSE))))</f>
        <v>37142</v>
      </c>
    </row>
    <row r="107" spans="1:4" s="29" customFormat="1" ht="12" customHeight="1">
      <c r="A107" s="155" t="str">
        <f>"021402 3"</f>
        <v>021402 3</v>
      </c>
      <c r="B107" s="153" t="s">
        <v>40</v>
      </c>
      <c r="C107" s="156" t="str">
        <f>IF(OR($A107="",ISERROR(VALUE(LEFT($A107,6)))),"",IF(LEN($A107)=2,"WOJ. ",IF(LEN($A107)=4,IF(VALUE(RIGHT($A107,2))&gt;60,"","Powiat "),IF(VALUE(RIGHT($A107,1))=1,"m. ",IF(VALUE(RIGHT($A107,1))=2,"gm. w. ",IF(VALUE(RIGHT($A107,1))=8,"dz. ","gm. m.-w. ")))))&amp;IF(LEN($A107)=2,TRIM(UPPER(VLOOKUP($A107,GUS_tabl_1!$A$7:$B$22,2,FALSE))),IF(ISERROR(FIND("..",TRIM(VLOOKUP(IF(AND(LEN($A107)=4,VALUE(RIGHT($A107,2))&gt;60),$A107&amp;"01 1",$A107),IF(AND(LEN($A107)=4,VALUE(RIGHT($A107,2))&lt;60),GUS_tabl_2!$A$8:$B$464,GUS_tabl_21!$A$5:$B$4886),2,FALSE)))),TRIM(VLOOKUP(IF(AND(LEN($A107)=4,VALUE(RIGHT($A107,2))&gt;60),$A107&amp;"01 1",$A107),IF(AND(LEN($A107)=4,VALUE(RIGHT($A107,2))&lt;60),GUS_tabl_2!$A$8:$B$464,GUS_tabl_21!$A$5:$B$4886),2,FALSE)),LEFT(TRIM(VLOOKUP(IF(AND(LEN($A107)=4,VALUE(RIGHT($A107,2))&gt;60),$A107&amp;"01 1",$A107),IF(AND(LEN($A107)=4,VALUE(RIGHT($A107,2))&lt;60),GUS_tabl_2!$A$8:$B$464,GUS_tabl_21!$A$5:$B$4886),2,FALSE)),SUM(FIND("..",TRIM(VLOOKUP(IF(AND(LEN($A107)=4,VALUE(RIGHT($A107,2))&gt;60),$A107&amp;"01 1",$A107),IF(AND(LEN($A107)=4,VALUE(RIGHT($A107,2))&lt;60),GUS_tabl_2!$A$8:$B$464,GUS_tabl_21!$A$5:$B$4886),2,FALSE))),-1)))))</f>
        <v>gm. m.-w. Bierutów</v>
      </c>
      <c r="D107" s="141">
        <f>IF(OR($A107="",ISERROR(VALUE(LEFT($A107,6)))),"",IF(LEN($A107)=2,SUMIF($A108:$A$2965,$A107&amp;"??",$D108:$D$2965),IF(AND(LEN($A107)=4,VALUE(RIGHT($A107,2))&lt;=60),SUMIF($A108:$A$2965,$A107&amp;"????",$D108:$D$2965),VLOOKUP(IF(LEN($A107)=4,$A107&amp;"01 1",$A107),GUS_tabl_21!$A$5:$F$4886,6,FALSE))))</f>
        <v>9960</v>
      </c>
    </row>
    <row r="108" spans="1:4" s="29" customFormat="1" ht="12" customHeight="1">
      <c r="A108" s="155" t="str">
        <f>"021403 2"</f>
        <v>021403 2</v>
      </c>
      <c r="B108" s="153" t="s">
        <v>40</v>
      </c>
      <c r="C108" s="156" t="str">
        <f>IF(OR($A108="",ISERROR(VALUE(LEFT($A108,6)))),"",IF(LEN($A108)=2,"WOJ. ",IF(LEN($A108)=4,IF(VALUE(RIGHT($A108,2))&gt;60,"","Powiat "),IF(VALUE(RIGHT($A108,1))=1,"m. ",IF(VALUE(RIGHT($A108,1))=2,"gm. w. ",IF(VALUE(RIGHT($A108,1))=8,"dz. ","gm. m.-w. ")))))&amp;IF(LEN($A108)=2,TRIM(UPPER(VLOOKUP($A108,GUS_tabl_1!$A$7:$B$22,2,FALSE))),IF(ISERROR(FIND("..",TRIM(VLOOKUP(IF(AND(LEN($A108)=4,VALUE(RIGHT($A108,2))&gt;60),$A108&amp;"01 1",$A108),IF(AND(LEN($A108)=4,VALUE(RIGHT($A108,2))&lt;60),GUS_tabl_2!$A$8:$B$464,GUS_tabl_21!$A$5:$B$4886),2,FALSE)))),TRIM(VLOOKUP(IF(AND(LEN($A108)=4,VALUE(RIGHT($A108,2))&gt;60),$A108&amp;"01 1",$A108),IF(AND(LEN($A108)=4,VALUE(RIGHT($A108,2))&lt;60),GUS_tabl_2!$A$8:$B$464,GUS_tabl_21!$A$5:$B$4886),2,FALSE)),LEFT(TRIM(VLOOKUP(IF(AND(LEN($A108)=4,VALUE(RIGHT($A108,2))&gt;60),$A108&amp;"01 1",$A108),IF(AND(LEN($A108)=4,VALUE(RIGHT($A108,2))&lt;60),GUS_tabl_2!$A$8:$B$464,GUS_tabl_21!$A$5:$B$4886),2,FALSE)),SUM(FIND("..",TRIM(VLOOKUP(IF(AND(LEN($A108)=4,VALUE(RIGHT($A108,2))&gt;60),$A108&amp;"01 1",$A108),IF(AND(LEN($A108)=4,VALUE(RIGHT($A108,2))&lt;60),GUS_tabl_2!$A$8:$B$464,GUS_tabl_21!$A$5:$B$4886),2,FALSE))),-1)))))</f>
        <v>gm. w. Dobroszyce</v>
      </c>
      <c r="D108" s="141">
        <f>IF(OR($A108="",ISERROR(VALUE(LEFT($A108,6)))),"",IF(LEN($A108)=2,SUMIF($A109:$A$2965,$A108&amp;"??",$D109:$D$2965),IF(AND(LEN($A108)=4,VALUE(RIGHT($A108,2))&lt;=60),SUMIF($A109:$A$2965,$A108&amp;"????",$D109:$D$2965),VLOOKUP(IF(LEN($A108)=4,$A108&amp;"01 1",$A108),GUS_tabl_21!$A$5:$F$4886,6,FALSE))))</f>
        <v>6801</v>
      </c>
    </row>
    <row r="109" spans="1:4" s="29" customFormat="1" ht="12" customHeight="1">
      <c r="A109" s="155" t="str">
        <f>"021404 2"</f>
        <v>021404 2</v>
      </c>
      <c r="B109" s="153" t="s">
        <v>40</v>
      </c>
      <c r="C109" s="156" t="str">
        <f>IF(OR($A109="",ISERROR(VALUE(LEFT($A109,6)))),"",IF(LEN($A109)=2,"WOJ. ",IF(LEN($A109)=4,IF(VALUE(RIGHT($A109,2))&gt;60,"","Powiat "),IF(VALUE(RIGHT($A109,1))=1,"m. ",IF(VALUE(RIGHT($A109,1))=2,"gm. w. ",IF(VALUE(RIGHT($A109,1))=8,"dz. ","gm. m.-w. ")))))&amp;IF(LEN($A109)=2,TRIM(UPPER(VLOOKUP($A109,GUS_tabl_1!$A$7:$B$22,2,FALSE))),IF(ISERROR(FIND("..",TRIM(VLOOKUP(IF(AND(LEN($A109)=4,VALUE(RIGHT($A109,2))&gt;60),$A109&amp;"01 1",$A109),IF(AND(LEN($A109)=4,VALUE(RIGHT($A109,2))&lt;60),GUS_tabl_2!$A$8:$B$464,GUS_tabl_21!$A$5:$B$4886),2,FALSE)))),TRIM(VLOOKUP(IF(AND(LEN($A109)=4,VALUE(RIGHT($A109,2))&gt;60),$A109&amp;"01 1",$A109),IF(AND(LEN($A109)=4,VALUE(RIGHT($A109,2))&lt;60),GUS_tabl_2!$A$8:$B$464,GUS_tabl_21!$A$5:$B$4886),2,FALSE)),LEFT(TRIM(VLOOKUP(IF(AND(LEN($A109)=4,VALUE(RIGHT($A109,2))&gt;60),$A109&amp;"01 1",$A109),IF(AND(LEN($A109)=4,VALUE(RIGHT($A109,2))&lt;60),GUS_tabl_2!$A$8:$B$464,GUS_tabl_21!$A$5:$B$4886),2,FALSE)),SUM(FIND("..",TRIM(VLOOKUP(IF(AND(LEN($A109)=4,VALUE(RIGHT($A109,2))&gt;60),$A109&amp;"01 1",$A109),IF(AND(LEN($A109)=4,VALUE(RIGHT($A109,2))&lt;60),GUS_tabl_2!$A$8:$B$464,GUS_tabl_21!$A$5:$B$4886),2,FALSE))),-1)))))</f>
        <v>gm. w. Dziadowa Kłoda</v>
      </c>
      <c r="D109" s="141">
        <f>IF(OR($A109="",ISERROR(VALUE(LEFT($A109,6)))),"",IF(LEN($A109)=2,SUMIF($A110:$A$2965,$A109&amp;"??",$D110:$D$2965),IF(AND(LEN($A109)=4,VALUE(RIGHT($A109,2))&lt;=60),SUMIF($A110:$A$2965,$A109&amp;"????",$D110:$D$2965),VLOOKUP(IF(LEN($A109)=4,$A109&amp;"01 1",$A109),GUS_tabl_21!$A$5:$F$4886,6,FALSE))))</f>
        <v>4598</v>
      </c>
    </row>
    <row r="110" spans="1:4" s="29" customFormat="1" ht="12" customHeight="1">
      <c r="A110" s="155" t="str">
        <f>"021405 3"</f>
        <v>021405 3</v>
      </c>
      <c r="B110" s="153" t="s">
        <v>40</v>
      </c>
      <c r="C110" s="156" t="str">
        <f>IF(OR($A110="",ISERROR(VALUE(LEFT($A110,6)))),"",IF(LEN($A110)=2,"WOJ. ",IF(LEN($A110)=4,IF(VALUE(RIGHT($A110,2))&gt;60,"","Powiat "),IF(VALUE(RIGHT($A110,1))=1,"m. ",IF(VALUE(RIGHT($A110,1))=2,"gm. w. ",IF(VALUE(RIGHT($A110,1))=8,"dz. ","gm. m.-w. ")))))&amp;IF(LEN($A110)=2,TRIM(UPPER(VLOOKUP($A110,GUS_tabl_1!$A$7:$B$22,2,FALSE))),IF(ISERROR(FIND("..",TRIM(VLOOKUP(IF(AND(LEN($A110)=4,VALUE(RIGHT($A110,2))&gt;60),$A110&amp;"01 1",$A110),IF(AND(LEN($A110)=4,VALUE(RIGHT($A110,2))&lt;60),GUS_tabl_2!$A$8:$B$464,GUS_tabl_21!$A$5:$B$4886),2,FALSE)))),TRIM(VLOOKUP(IF(AND(LEN($A110)=4,VALUE(RIGHT($A110,2))&gt;60),$A110&amp;"01 1",$A110),IF(AND(LEN($A110)=4,VALUE(RIGHT($A110,2))&lt;60),GUS_tabl_2!$A$8:$B$464,GUS_tabl_21!$A$5:$B$4886),2,FALSE)),LEFT(TRIM(VLOOKUP(IF(AND(LEN($A110)=4,VALUE(RIGHT($A110,2))&gt;60),$A110&amp;"01 1",$A110),IF(AND(LEN($A110)=4,VALUE(RIGHT($A110,2))&lt;60),GUS_tabl_2!$A$8:$B$464,GUS_tabl_21!$A$5:$B$4886),2,FALSE)),SUM(FIND("..",TRIM(VLOOKUP(IF(AND(LEN($A110)=4,VALUE(RIGHT($A110,2))&gt;60),$A110&amp;"01 1",$A110),IF(AND(LEN($A110)=4,VALUE(RIGHT($A110,2))&lt;60),GUS_tabl_2!$A$8:$B$464,GUS_tabl_21!$A$5:$B$4886),2,FALSE))),-1)))))</f>
        <v>gm. m.-w. Międzybórz</v>
      </c>
      <c r="D110" s="141">
        <f>IF(OR($A110="",ISERROR(VALUE(LEFT($A110,6)))),"",IF(LEN($A110)=2,SUMIF($A111:$A$2965,$A110&amp;"??",$D111:$D$2965),IF(AND(LEN($A110)=4,VALUE(RIGHT($A110,2))&lt;=60),SUMIF($A111:$A$2965,$A110&amp;"????",$D111:$D$2965),VLOOKUP(IF(LEN($A110)=4,$A110&amp;"01 1",$A110),GUS_tabl_21!$A$5:$F$4886,6,FALSE))))</f>
        <v>5092</v>
      </c>
    </row>
    <row r="111" spans="1:4" s="29" customFormat="1" ht="12" customHeight="1">
      <c r="A111" s="155" t="str">
        <f>"021406 2"</f>
        <v>021406 2</v>
      </c>
      <c r="B111" s="153" t="s">
        <v>40</v>
      </c>
      <c r="C111" s="156" t="str">
        <f>IF(OR($A111="",ISERROR(VALUE(LEFT($A111,6)))),"",IF(LEN($A111)=2,"WOJ. ",IF(LEN($A111)=4,IF(VALUE(RIGHT($A111,2))&gt;60,"","Powiat "),IF(VALUE(RIGHT($A111,1))=1,"m. ",IF(VALUE(RIGHT($A111,1))=2,"gm. w. ",IF(VALUE(RIGHT($A111,1))=8,"dz. ","gm. m.-w. ")))))&amp;IF(LEN($A111)=2,TRIM(UPPER(VLOOKUP($A111,GUS_tabl_1!$A$7:$B$22,2,FALSE))),IF(ISERROR(FIND("..",TRIM(VLOOKUP(IF(AND(LEN($A111)=4,VALUE(RIGHT($A111,2))&gt;60),$A111&amp;"01 1",$A111),IF(AND(LEN($A111)=4,VALUE(RIGHT($A111,2))&lt;60),GUS_tabl_2!$A$8:$B$464,GUS_tabl_21!$A$5:$B$4886),2,FALSE)))),TRIM(VLOOKUP(IF(AND(LEN($A111)=4,VALUE(RIGHT($A111,2))&gt;60),$A111&amp;"01 1",$A111),IF(AND(LEN($A111)=4,VALUE(RIGHT($A111,2))&lt;60),GUS_tabl_2!$A$8:$B$464,GUS_tabl_21!$A$5:$B$4886),2,FALSE)),LEFT(TRIM(VLOOKUP(IF(AND(LEN($A111)=4,VALUE(RIGHT($A111,2))&gt;60),$A111&amp;"01 1",$A111),IF(AND(LEN($A111)=4,VALUE(RIGHT($A111,2))&lt;60),GUS_tabl_2!$A$8:$B$464,GUS_tabl_21!$A$5:$B$4886),2,FALSE)),SUM(FIND("..",TRIM(VLOOKUP(IF(AND(LEN($A111)=4,VALUE(RIGHT($A111,2))&gt;60),$A111&amp;"01 1",$A111),IF(AND(LEN($A111)=4,VALUE(RIGHT($A111,2))&lt;60),GUS_tabl_2!$A$8:$B$464,GUS_tabl_21!$A$5:$B$4886),2,FALSE))),-1)))))</f>
        <v>gm. w. Oleśnica</v>
      </c>
      <c r="D111" s="141">
        <f>IF(OR($A111="",ISERROR(VALUE(LEFT($A111,6)))),"",IF(LEN($A111)=2,SUMIF($A112:$A$2965,$A111&amp;"??",$D112:$D$2965),IF(AND(LEN($A111)=4,VALUE(RIGHT($A111,2))&lt;=60),SUMIF($A112:$A$2965,$A111&amp;"????",$D112:$D$2965),VLOOKUP(IF(LEN($A111)=4,$A111&amp;"01 1",$A111),GUS_tabl_21!$A$5:$F$4886,6,FALSE))))</f>
        <v>13854</v>
      </c>
    </row>
    <row r="112" spans="1:4" s="29" customFormat="1" ht="12" customHeight="1">
      <c r="A112" s="155" t="str">
        <f>"021407 3"</f>
        <v>021407 3</v>
      </c>
      <c r="B112" s="153" t="s">
        <v>40</v>
      </c>
      <c r="C112" s="156" t="str">
        <f>IF(OR($A112="",ISERROR(VALUE(LEFT($A112,6)))),"",IF(LEN($A112)=2,"WOJ. ",IF(LEN($A112)=4,IF(VALUE(RIGHT($A112,2))&gt;60,"","Powiat "),IF(VALUE(RIGHT($A112,1))=1,"m. ",IF(VALUE(RIGHT($A112,1))=2,"gm. w. ",IF(VALUE(RIGHT($A112,1))=8,"dz. ","gm. m.-w. ")))))&amp;IF(LEN($A112)=2,TRIM(UPPER(VLOOKUP($A112,GUS_tabl_1!$A$7:$B$22,2,FALSE))),IF(ISERROR(FIND("..",TRIM(VLOOKUP(IF(AND(LEN($A112)=4,VALUE(RIGHT($A112,2))&gt;60),$A112&amp;"01 1",$A112),IF(AND(LEN($A112)=4,VALUE(RIGHT($A112,2))&lt;60),GUS_tabl_2!$A$8:$B$464,GUS_tabl_21!$A$5:$B$4886),2,FALSE)))),TRIM(VLOOKUP(IF(AND(LEN($A112)=4,VALUE(RIGHT($A112,2))&gt;60),$A112&amp;"01 1",$A112),IF(AND(LEN($A112)=4,VALUE(RIGHT($A112,2))&lt;60),GUS_tabl_2!$A$8:$B$464,GUS_tabl_21!$A$5:$B$4886),2,FALSE)),LEFT(TRIM(VLOOKUP(IF(AND(LEN($A112)=4,VALUE(RIGHT($A112,2))&gt;60),$A112&amp;"01 1",$A112),IF(AND(LEN($A112)=4,VALUE(RIGHT($A112,2))&lt;60),GUS_tabl_2!$A$8:$B$464,GUS_tabl_21!$A$5:$B$4886),2,FALSE)),SUM(FIND("..",TRIM(VLOOKUP(IF(AND(LEN($A112)=4,VALUE(RIGHT($A112,2))&gt;60),$A112&amp;"01 1",$A112),IF(AND(LEN($A112)=4,VALUE(RIGHT($A112,2))&lt;60),GUS_tabl_2!$A$8:$B$464,GUS_tabl_21!$A$5:$B$4886),2,FALSE))),-1)))))</f>
        <v>gm. m.-w. Syców</v>
      </c>
      <c r="D112" s="141">
        <f>IF(OR($A112="",ISERROR(VALUE(LEFT($A112,6)))),"",IF(LEN($A112)=2,SUMIF($A113:$A$2965,$A112&amp;"??",$D113:$D$2965),IF(AND(LEN($A112)=4,VALUE(RIGHT($A112,2))&lt;=60),SUMIF($A113:$A$2965,$A112&amp;"????",$D113:$D$2965),VLOOKUP(IF(LEN($A112)=4,$A112&amp;"01 1",$A112),GUS_tabl_21!$A$5:$F$4886,6,FALSE))))</f>
        <v>16874</v>
      </c>
    </row>
    <row r="113" spans="1:4" s="29" customFormat="1" ht="12" customHeight="1">
      <c r="A113" s="155" t="str">
        <f>"021408 3"</f>
        <v>021408 3</v>
      </c>
      <c r="B113" s="153" t="s">
        <v>40</v>
      </c>
      <c r="C113" s="156" t="str">
        <f>IF(OR($A113="",ISERROR(VALUE(LEFT($A113,6)))),"",IF(LEN($A113)=2,"WOJ. ",IF(LEN($A113)=4,IF(VALUE(RIGHT($A113,2))&gt;60,"","Powiat "),IF(VALUE(RIGHT($A113,1))=1,"m. ",IF(VALUE(RIGHT($A113,1))=2,"gm. w. ",IF(VALUE(RIGHT($A113,1))=8,"dz. ","gm. m.-w. ")))))&amp;IF(LEN($A113)=2,TRIM(UPPER(VLOOKUP($A113,GUS_tabl_1!$A$7:$B$22,2,FALSE))),IF(ISERROR(FIND("..",TRIM(VLOOKUP(IF(AND(LEN($A113)=4,VALUE(RIGHT($A113,2))&gt;60),$A113&amp;"01 1",$A113),IF(AND(LEN($A113)=4,VALUE(RIGHT($A113,2))&lt;60),GUS_tabl_2!$A$8:$B$464,GUS_tabl_21!$A$5:$B$4886),2,FALSE)))),TRIM(VLOOKUP(IF(AND(LEN($A113)=4,VALUE(RIGHT($A113,2))&gt;60),$A113&amp;"01 1",$A113),IF(AND(LEN($A113)=4,VALUE(RIGHT($A113,2))&lt;60),GUS_tabl_2!$A$8:$B$464,GUS_tabl_21!$A$5:$B$4886),2,FALSE)),LEFT(TRIM(VLOOKUP(IF(AND(LEN($A113)=4,VALUE(RIGHT($A113,2))&gt;60),$A113&amp;"01 1",$A113),IF(AND(LEN($A113)=4,VALUE(RIGHT($A113,2))&lt;60),GUS_tabl_2!$A$8:$B$464,GUS_tabl_21!$A$5:$B$4886),2,FALSE)),SUM(FIND("..",TRIM(VLOOKUP(IF(AND(LEN($A113)=4,VALUE(RIGHT($A113,2))&gt;60),$A113&amp;"01 1",$A113),IF(AND(LEN($A113)=4,VALUE(RIGHT($A113,2))&lt;60),GUS_tabl_2!$A$8:$B$464,GUS_tabl_21!$A$5:$B$4886),2,FALSE))),-1)))))</f>
        <v>gm. m.-w. Twardogóra</v>
      </c>
      <c r="D113" s="141">
        <f>IF(OR($A113="",ISERROR(VALUE(LEFT($A113,6)))),"",IF(LEN($A113)=2,SUMIF($A114:$A$2965,$A113&amp;"??",$D114:$D$2965),IF(AND(LEN($A113)=4,VALUE(RIGHT($A113,2))&lt;=60),SUMIF($A114:$A$2965,$A113&amp;"????",$D114:$D$2965),VLOOKUP(IF(LEN($A113)=4,$A113&amp;"01 1",$A113),GUS_tabl_21!$A$5:$F$4886,6,FALSE))))</f>
        <v>12948</v>
      </c>
    </row>
    <row r="114" spans="1:4" s="29" customFormat="1" ht="12" customHeight="1">
      <c r="A114" s="152" t="str">
        <f>"0215"</f>
        <v>0215</v>
      </c>
      <c r="B114" s="153" t="s">
        <v>40</v>
      </c>
      <c r="C114" s="154" t="str">
        <f>IF(OR($A114="",ISERROR(VALUE(LEFT($A114,6)))),"",IF(LEN($A114)=2,"WOJ. ",IF(LEN($A114)=4,IF(VALUE(RIGHT($A114,2))&gt;60,"","Powiat "),IF(VALUE(RIGHT($A114,1))=1,"m. ",IF(VALUE(RIGHT($A114,1))=2,"gm. w. ",IF(VALUE(RIGHT($A114,1))=8,"dz. ","gm. m.-w. ")))))&amp;IF(LEN($A114)=2,TRIM(UPPER(VLOOKUP($A114,GUS_tabl_1!$A$7:$B$22,2,FALSE))),IF(ISERROR(FIND("..",TRIM(VLOOKUP(IF(AND(LEN($A114)=4,VALUE(RIGHT($A114,2))&gt;60),$A114&amp;"01 1",$A114),IF(AND(LEN($A114)=4,VALUE(RIGHT($A114,2))&lt;60),GUS_tabl_2!$A$8:$B$464,GUS_tabl_21!$A$5:$B$4886),2,FALSE)))),TRIM(VLOOKUP(IF(AND(LEN($A114)=4,VALUE(RIGHT($A114,2))&gt;60),$A114&amp;"01 1",$A114),IF(AND(LEN($A114)=4,VALUE(RIGHT($A114,2))&lt;60),GUS_tabl_2!$A$8:$B$464,GUS_tabl_21!$A$5:$B$4886),2,FALSE)),LEFT(TRIM(VLOOKUP(IF(AND(LEN($A114)=4,VALUE(RIGHT($A114,2))&gt;60),$A114&amp;"01 1",$A114),IF(AND(LEN($A114)=4,VALUE(RIGHT($A114,2))&lt;60),GUS_tabl_2!$A$8:$B$464,GUS_tabl_21!$A$5:$B$4886),2,FALSE)),SUM(FIND("..",TRIM(VLOOKUP(IF(AND(LEN($A114)=4,VALUE(RIGHT($A114,2))&gt;60),$A114&amp;"01 1",$A114),IF(AND(LEN($A114)=4,VALUE(RIGHT($A114,2))&lt;60),GUS_tabl_2!$A$8:$B$464,GUS_tabl_21!$A$5:$B$4886),2,FALSE))),-1)))))</f>
        <v>Powiat oławski</v>
      </c>
      <c r="D114" s="140">
        <f>IF(OR($A114="",ISERROR(VALUE(LEFT($A114,6)))),"",IF(LEN($A114)=2,SUMIF($A115:$A$2965,$A114&amp;"??",$D115:$D$2965),IF(AND(LEN($A114)=4,VALUE(RIGHT($A114,2))&lt;=60),SUMIF($A115:$A$2965,$A114&amp;"????",$D115:$D$2965),VLOOKUP(IF(LEN($A114)=4,$A114&amp;"01 1",$A114),GUS_tabl_21!$A$5:$F$4886,6,FALSE))))</f>
        <v>76752</v>
      </c>
    </row>
    <row r="115" spans="1:4" s="29" customFormat="1" ht="12" customHeight="1">
      <c r="A115" s="155" t="str">
        <f>"021501 1"</f>
        <v>021501 1</v>
      </c>
      <c r="B115" s="153" t="s">
        <v>40</v>
      </c>
      <c r="C115" s="156" t="str">
        <f>IF(OR($A115="",ISERROR(VALUE(LEFT($A115,6)))),"",IF(LEN($A115)=2,"WOJ. ",IF(LEN($A115)=4,IF(VALUE(RIGHT($A115,2))&gt;60,"","Powiat "),IF(VALUE(RIGHT($A115,1))=1,"m. ",IF(VALUE(RIGHT($A115,1))=2,"gm. w. ",IF(VALUE(RIGHT($A115,1))=8,"dz. ","gm. m.-w. ")))))&amp;IF(LEN($A115)=2,TRIM(UPPER(VLOOKUP($A115,GUS_tabl_1!$A$7:$B$22,2,FALSE))),IF(ISERROR(FIND("..",TRIM(VLOOKUP(IF(AND(LEN($A115)=4,VALUE(RIGHT($A115,2))&gt;60),$A115&amp;"01 1",$A115),IF(AND(LEN($A115)=4,VALUE(RIGHT($A115,2))&lt;60),GUS_tabl_2!$A$8:$B$464,GUS_tabl_21!$A$5:$B$4886),2,FALSE)))),TRIM(VLOOKUP(IF(AND(LEN($A115)=4,VALUE(RIGHT($A115,2))&gt;60),$A115&amp;"01 1",$A115),IF(AND(LEN($A115)=4,VALUE(RIGHT($A115,2))&lt;60),GUS_tabl_2!$A$8:$B$464,GUS_tabl_21!$A$5:$B$4886),2,FALSE)),LEFT(TRIM(VLOOKUP(IF(AND(LEN($A115)=4,VALUE(RIGHT($A115,2))&gt;60),$A115&amp;"01 1",$A115),IF(AND(LEN($A115)=4,VALUE(RIGHT($A115,2))&lt;60),GUS_tabl_2!$A$8:$B$464,GUS_tabl_21!$A$5:$B$4886),2,FALSE)),SUM(FIND("..",TRIM(VLOOKUP(IF(AND(LEN($A115)=4,VALUE(RIGHT($A115,2))&gt;60),$A115&amp;"01 1",$A115),IF(AND(LEN($A115)=4,VALUE(RIGHT($A115,2))&lt;60),GUS_tabl_2!$A$8:$B$464,GUS_tabl_21!$A$5:$B$4886),2,FALSE))),-1)))))</f>
        <v>m. Oława</v>
      </c>
      <c r="D115" s="141">
        <f>IF(OR($A115="",ISERROR(VALUE(LEFT($A115,6)))),"",IF(LEN($A115)=2,SUMIF($A116:$A$2965,$A115&amp;"??",$D116:$D$2965),IF(AND(LEN($A115)=4,VALUE(RIGHT($A115,2))&lt;=60),SUMIF($A116:$A$2965,$A115&amp;"????",$D116:$D$2965),VLOOKUP(IF(LEN($A115)=4,$A115&amp;"01 1",$A115),GUS_tabl_21!$A$5:$F$4886,6,FALSE))))</f>
        <v>33108</v>
      </c>
    </row>
    <row r="116" spans="1:4" s="29" customFormat="1" ht="12" customHeight="1">
      <c r="A116" s="155" t="str">
        <f>"021502 2"</f>
        <v>021502 2</v>
      </c>
      <c r="B116" s="153" t="s">
        <v>40</v>
      </c>
      <c r="C116" s="156" t="str">
        <f>IF(OR($A116="",ISERROR(VALUE(LEFT($A116,6)))),"",IF(LEN($A116)=2,"WOJ. ",IF(LEN($A116)=4,IF(VALUE(RIGHT($A116,2))&gt;60,"","Powiat "),IF(VALUE(RIGHT($A116,1))=1,"m. ",IF(VALUE(RIGHT($A116,1))=2,"gm. w. ",IF(VALUE(RIGHT($A116,1))=8,"dz. ","gm. m.-w. ")))))&amp;IF(LEN($A116)=2,TRIM(UPPER(VLOOKUP($A116,GUS_tabl_1!$A$7:$B$22,2,FALSE))),IF(ISERROR(FIND("..",TRIM(VLOOKUP(IF(AND(LEN($A116)=4,VALUE(RIGHT($A116,2))&gt;60),$A116&amp;"01 1",$A116),IF(AND(LEN($A116)=4,VALUE(RIGHT($A116,2))&lt;60),GUS_tabl_2!$A$8:$B$464,GUS_tabl_21!$A$5:$B$4886),2,FALSE)))),TRIM(VLOOKUP(IF(AND(LEN($A116)=4,VALUE(RIGHT($A116,2))&gt;60),$A116&amp;"01 1",$A116),IF(AND(LEN($A116)=4,VALUE(RIGHT($A116,2))&lt;60),GUS_tabl_2!$A$8:$B$464,GUS_tabl_21!$A$5:$B$4886),2,FALSE)),LEFT(TRIM(VLOOKUP(IF(AND(LEN($A116)=4,VALUE(RIGHT($A116,2))&gt;60),$A116&amp;"01 1",$A116),IF(AND(LEN($A116)=4,VALUE(RIGHT($A116,2))&lt;60),GUS_tabl_2!$A$8:$B$464,GUS_tabl_21!$A$5:$B$4886),2,FALSE)),SUM(FIND("..",TRIM(VLOOKUP(IF(AND(LEN($A116)=4,VALUE(RIGHT($A116,2))&gt;60),$A116&amp;"01 1",$A116),IF(AND(LEN($A116)=4,VALUE(RIGHT($A116,2))&lt;60),GUS_tabl_2!$A$8:$B$464,GUS_tabl_21!$A$5:$B$4886),2,FALSE))),-1)))))</f>
        <v>gm. w. Domaniów</v>
      </c>
      <c r="D116" s="141">
        <f>IF(OR($A116="",ISERROR(VALUE(LEFT($A116,6)))),"",IF(LEN($A116)=2,SUMIF($A117:$A$2965,$A116&amp;"??",$D117:$D$2965),IF(AND(LEN($A116)=4,VALUE(RIGHT($A116,2))&lt;=60),SUMIF($A117:$A$2965,$A116&amp;"????",$D117:$D$2965),VLOOKUP(IF(LEN($A116)=4,$A116&amp;"01 1",$A116),GUS_tabl_21!$A$5:$F$4886,6,FALSE))))</f>
        <v>5162</v>
      </c>
    </row>
    <row r="117" spans="1:4" s="29" customFormat="1" ht="12" customHeight="1">
      <c r="A117" s="155" t="str">
        <f>"021503 3"</f>
        <v>021503 3</v>
      </c>
      <c r="B117" s="153" t="s">
        <v>40</v>
      </c>
      <c r="C117" s="156" t="str">
        <f>IF(OR($A117="",ISERROR(VALUE(LEFT($A117,6)))),"",IF(LEN($A117)=2,"WOJ. ",IF(LEN($A117)=4,IF(VALUE(RIGHT($A117,2))&gt;60,"","Powiat "),IF(VALUE(RIGHT($A117,1))=1,"m. ",IF(VALUE(RIGHT($A117,1))=2,"gm. w. ",IF(VALUE(RIGHT($A117,1))=8,"dz. ","gm. m.-w. ")))))&amp;IF(LEN($A117)=2,TRIM(UPPER(VLOOKUP($A117,GUS_tabl_1!$A$7:$B$22,2,FALSE))),IF(ISERROR(FIND("..",TRIM(VLOOKUP(IF(AND(LEN($A117)=4,VALUE(RIGHT($A117,2))&gt;60),$A117&amp;"01 1",$A117),IF(AND(LEN($A117)=4,VALUE(RIGHT($A117,2))&lt;60),GUS_tabl_2!$A$8:$B$464,GUS_tabl_21!$A$5:$B$4886),2,FALSE)))),TRIM(VLOOKUP(IF(AND(LEN($A117)=4,VALUE(RIGHT($A117,2))&gt;60),$A117&amp;"01 1",$A117),IF(AND(LEN($A117)=4,VALUE(RIGHT($A117,2))&lt;60),GUS_tabl_2!$A$8:$B$464,GUS_tabl_21!$A$5:$B$4886),2,FALSE)),LEFT(TRIM(VLOOKUP(IF(AND(LEN($A117)=4,VALUE(RIGHT($A117,2))&gt;60),$A117&amp;"01 1",$A117),IF(AND(LEN($A117)=4,VALUE(RIGHT($A117,2))&lt;60),GUS_tabl_2!$A$8:$B$464,GUS_tabl_21!$A$5:$B$4886),2,FALSE)),SUM(FIND("..",TRIM(VLOOKUP(IF(AND(LEN($A117)=4,VALUE(RIGHT($A117,2))&gt;60),$A117&amp;"01 1",$A117),IF(AND(LEN($A117)=4,VALUE(RIGHT($A117,2))&lt;60),GUS_tabl_2!$A$8:$B$464,GUS_tabl_21!$A$5:$B$4886),2,FALSE))),-1)))))</f>
        <v>gm. m.-w. Jelcz-Laskowice</v>
      </c>
      <c r="D117" s="141">
        <f>IF(OR($A117="",ISERROR(VALUE(LEFT($A117,6)))),"",IF(LEN($A117)=2,SUMIF($A118:$A$2965,$A117&amp;"??",$D118:$D$2965),IF(AND(LEN($A117)=4,VALUE(RIGHT($A117,2))&lt;=60),SUMIF($A118:$A$2965,$A117&amp;"????",$D118:$D$2965),VLOOKUP(IF(LEN($A117)=4,$A117&amp;"01 1",$A117),GUS_tabl_21!$A$5:$F$4886,6,FALSE))))</f>
        <v>23292</v>
      </c>
    </row>
    <row r="118" spans="1:4" s="29" customFormat="1" ht="12" customHeight="1">
      <c r="A118" s="155" t="str">
        <f>"021504 2"</f>
        <v>021504 2</v>
      </c>
      <c r="B118" s="153" t="s">
        <v>40</v>
      </c>
      <c r="C118" s="156" t="str">
        <f>IF(OR($A118="",ISERROR(VALUE(LEFT($A118,6)))),"",IF(LEN($A118)=2,"WOJ. ",IF(LEN($A118)=4,IF(VALUE(RIGHT($A118,2))&gt;60,"","Powiat "),IF(VALUE(RIGHT($A118,1))=1,"m. ",IF(VALUE(RIGHT($A118,1))=2,"gm. w. ",IF(VALUE(RIGHT($A118,1))=8,"dz. ","gm. m.-w. ")))))&amp;IF(LEN($A118)=2,TRIM(UPPER(VLOOKUP($A118,GUS_tabl_1!$A$7:$B$22,2,FALSE))),IF(ISERROR(FIND("..",TRIM(VLOOKUP(IF(AND(LEN($A118)=4,VALUE(RIGHT($A118,2))&gt;60),$A118&amp;"01 1",$A118),IF(AND(LEN($A118)=4,VALUE(RIGHT($A118,2))&lt;60),GUS_tabl_2!$A$8:$B$464,GUS_tabl_21!$A$5:$B$4886),2,FALSE)))),TRIM(VLOOKUP(IF(AND(LEN($A118)=4,VALUE(RIGHT($A118,2))&gt;60),$A118&amp;"01 1",$A118),IF(AND(LEN($A118)=4,VALUE(RIGHT($A118,2))&lt;60),GUS_tabl_2!$A$8:$B$464,GUS_tabl_21!$A$5:$B$4886),2,FALSE)),LEFT(TRIM(VLOOKUP(IF(AND(LEN($A118)=4,VALUE(RIGHT($A118,2))&gt;60),$A118&amp;"01 1",$A118),IF(AND(LEN($A118)=4,VALUE(RIGHT($A118,2))&lt;60),GUS_tabl_2!$A$8:$B$464,GUS_tabl_21!$A$5:$B$4886),2,FALSE)),SUM(FIND("..",TRIM(VLOOKUP(IF(AND(LEN($A118)=4,VALUE(RIGHT($A118,2))&gt;60),$A118&amp;"01 1",$A118),IF(AND(LEN($A118)=4,VALUE(RIGHT($A118,2))&lt;60),GUS_tabl_2!$A$8:$B$464,GUS_tabl_21!$A$5:$B$4886),2,FALSE))),-1)))))</f>
        <v>gm. w. Oława</v>
      </c>
      <c r="D118" s="141">
        <f>IF(OR($A118="",ISERROR(VALUE(LEFT($A118,6)))),"",IF(LEN($A118)=2,SUMIF($A119:$A$2965,$A118&amp;"??",$D119:$D$2965),IF(AND(LEN($A118)=4,VALUE(RIGHT($A118,2))&lt;=60),SUMIF($A119:$A$2965,$A118&amp;"????",$D119:$D$2965),VLOOKUP(IF(LEN($A118)=4,$A118&amp;"01 1",$A118),GUS_tabl_21!$A$5:$F$4886,6,FALSE))))</f>
        <v>15190</v>
      </c>
    </row>
    <row r="119" spans="1:4" s="29" customFormat="1" ht="12" customHeight="1">
      <c r="A119" s="152" t="str">
        <f>"0216"</f>
        <v>0216</v>
      </c>
      <c r="B119" s="153" t="s">
        <v>40</v>
      </c>
      <c r="C119" s="154" t="str">
        <f>IF(OR($A119="",ISERROR(VALUE(LEFT($A119,6)))),"",IF(LEN($A119)=2,"WOJ. ",IF(LEN($A119)=4,IF(VALUE(RIGHT($A119,2))&gt;60,"","Powiat "),IF(VALUE(RIGHT($A119,1))=1,"m. ",IF(VALUE(RIGHT($A119,1))=2,"gm. w. ",IF(VALUE(RIGHT($A119,1))=8,"dz. ","gm. m.-w. ")))))&amp;IF(LEN($A119)=2,TRIM(UPPER(VLOOKUP($A119,GUS_tabl_1!$A$7:$B$22,2,FALSE))),IF(ISERROR(FIND("..",TRIM(VLOOKUP(IF(AND(LEN($A119)=4,VALUE(RIGHT($A119,2))&gt;60),$A119&amp;"01 1",$A119),IF(AND(LEN($A119)=4,VALUE(RIGHT($A119,2))&lt;60),GUS_tabl_2!$A$8:$B$464,GUS_tabl_21!$A$5:$B$4886),2,FALSE)))),TRIM(VLOOKUP(IF(AND(LEN($A119)=4,VALUE(RIGHT($A119,2))&gt;60),$A119&amp;"01 1",$A119),IF(AND(LEN($A119)=4,VALUE(RIGHT($A119,2))&lt;60),GUS_tabl_2!$A$8:$B$464,GUS_tabl_21!$A$5:$B$4886),2,FALSE)),LEFT(TRIM(VLOOKUP(IF(AND(LEN($A119)=4,VALUE(RIGHT($A119,2))&gt;60),$A119&amp;"01 1",$A119),IF(AND(LEN($A119)=4,VALUE(RIGHT($A119,2))&lt;60),GUS_tabl_2!$A$8:$B$464,GUS_tabl_21!$A$5:$B$4886),2,FALSE)),SUM(FIND("..",TRIM(VLOOKUP(IF(AND(LEN($A119)=4,VALUE(RIGHT($A119,2))&gt;60),$A119&amp;"01 1",$A119),IF(AND(LEN($A119)=4,VALUE(RIGHT($A119,2))&lt;60),GUS_tabl_2!$A$8:$B$464,GUS_tabl_21!$A$5:$B$4886),2,FALSE))),-1)))))</f>
        <v>Powiat polkowicki</v>
      </c>
      <c r="D119" s="140">
        <f>IF(OR($A119="",ISERROR(VALUE(LEFT($A119,6)))),"",IF(LEN($A119)=2,SUMIF($A120:$A$2965,$A119&amp;"??",$D120:$D$2965),IF(AND(LEN($A119)=4,VALUE(RIGHT($A119,2))&lt;=60),SUMIF($A120:$A$2965,$A119&amp;"????",$D120:$D$2965),VLOOKUP(IF(LEN($A119)=4,$A119&amp;"01 1",$A119),GUS_tabl_21!$A$5:$F$4886,6,FALSE))))</f>
        <v>63065</v>
      </c>
    </row>
    <row r="120" spans="1:4" s="29" customFormat="1" ht="12" customHeight="1">
      <c r="A120" s="155" t="str">
        <f>"021601 3"</f>
        <v>021601 3</v>
      </c>
      <c r="B120" s="153" t="s">
        <v>40</v>
      </c>
      <c r="C120" s="156" t="str">
        <f>IF(OR($A120="",ISERROR(VALUE(LEFT($A120,6)))),"",IF(LEN($A120)=2,"WOJ. ",IF(LEN($A120)=4,IF(VALUE(RIGHT($A120,2))&gt;60,"","Powiat "),IF(VALUE(RIGHT($A120,1))=1,"m. ",IF(VALUE(RIGHT($A120,1))=2,"gm. w. ",IF(VALUE(RIGHT($A120,1))=8,"dz. ","gm. m.-w. ")))))&amp;IF(LEN($A120)=2,TRIM(UPPER(VLOOKUP($A120,GUS_tabl_1!$A$7:$B$22,2,FALSE))),IF(ISERROR(FIND("..",TRIM(VLOOKUP(IF(AND(LEN($A120)=4,VALUE(RIGHT($A120,2))&gt;60),$A120&amp;"01 1",$A120),IF(AND(LEN($A120)=4,VALUE(RIGHT($A120,2))&lt;60),GUS_tabl_2!$A$8:$B$464,GUS_tabl_21!$A$5:$B$4886),2,FALSE)))),TRIM(VLOOKUP(IF(AND(LEN($A120)=4,VALUE(RIGHT($A120,2))&gt;60),$A120&amp;"01 1",$A120),IF(AND(LEN($A120)=4,VALUE(RIGHT($A120,2))&lt;60),GUS_tabl_2!$A$8:$B$464,GUS_tabl_21!$A$5:$B$4886),2,FALSE)),LEFT(TRIM(VLOOKUP(IF(AND(LEN($A120)=4,VALUE(RIGHT($A120,2))&gt;60),$A120&amp;"01 1",$A120),IF(AND(LEN($A120)=4,VALUE(RIGHT($A120,2))&lt;60),GUS_tabl_2!$A$8:$B$464,GUS_tabl_21!$A$5:$B$4886),2,FALSE)),SUM(FIND("..",TRIM(VLOOKUP(IF(AND(LEN($A120)=4,VALUE(RIGHT($A120,2))&gt;60),$A120&amp;"01 1",$A120),IF(AND(LEN($A120)=4,VALUE(RIGHT($A120,2))&lt;60),GUS_tabl_2!$A$8:$B$464,GUS_tabl_21!$A$5:$B$4886),2,FALSE))),-1)))))</f>
        <v>gm. m.-w. Chocianów</v>
      </c>
      <c r="D120" s="141">
        <f>IF(OR($A120="",ISERROR(VALUE(LEFT($A120,6)))),"",IF(LEN($A120)=2,SUMIF($A121:$A$2965,$A120&amp;"??",$D121:$D$2965),IF(AND(LEN($A120)=4,VALUE(RIGHT($A120,2))&lt;=60),SUMIF($A121:$A$2965,$A120&amp;"????",$D121:$D$2965),VLOOKUP(IF(LEN($A120)=4,$A120&amp;"01 1",$A120),GUS_tabl_21!$A$5:$F$4886,6,FALSE))))</f>
        <v>12796</v>
      </c>
    </row>
    <row r="121" spans="1:4" s="29" customFormat="1" ht="12" customHeight="1">
      <c r="A121" s="155" t="str">
        <f>"021602 2"</f>
        <v>021602 2</v>
      </c>
      <c r="B121" s="153" t="s">
        <v>40</v>
      </c>
      <c r="C121" s="156" t="str">
        <f>IF(OR($A121="",ISERROR(VALUE(LEFT($A121,6)))),"",IF(LEN($A121)=2,"WOJ. ",IF(LEN($A121)=4,IF(VALUE(RIGHT($A121,2))&gt;60,"","Powiat "),IF(VALUE(RIGHT($A121,1))=1,"m. ",IF(VALUE(RIGHT($A121,1))=2,"gm. w. ",IF(VALUE(RIGHT($A121,1))=8,"dz. ","gm. m.-w. ")))))&amp;IF(LEN($A121)=2,TRIM(UPPER(VLOOKUP($A121,GUS_tabl_1!$A$7:$B$22,2,FALSE))),IF(ISERROR(FIND("..",TRIM(VLOOKUP(IF(AND(LEN($A121)=4,VALUE(RIGHT($A121,2))&gt;60),$A121&amp;"01 1",$A121),IF(AND(LEN($A121)=4,VALUE(RIGHT($A121,2))&lt;60),GUS_tabl_2!$A$8:$B$464,GUS_tabl_21!$A$5:$B$4886),2,FALSE)))),TRIM(VLOOKUP(IF(AND(LEN($A121)=4,VALUE(RIGHT($A121,2))&gt;60),$A121&amp;"01 1",$A121),IF(AND(LEN($A121)=4,VALUE(RIGHT($A121,2))&lt;60),GUS_tabl_2!$A$8:$B$464,GUS_tabl_21!$A$5:$B$4886),2,FALSE)),LEFT(TRIM(VLOOKUP(IF(AND(LEN($A121)=4,VALUE(RIGHT($A121,2))&gt;60),$A121&amp;"01 1",$A121),IF(AND(LEN($A121)=4,VALUE(RIGHT($A121,2))&lt;60),GUS_tabl_2!$A$8:$B$464,GUS_tabl_21!$A$5:$B$4886),2,FALSE)),SUM(FIND("..",TRIM(VLOOKUP(IF(AND(LEN($A121)=4,VALUE(RIGHT($A121,2))&gt;60),$A121&amp;"01 1",$A121),IF(AND(LEN($A121)=4,VALUE(RIGHT($A121,2))&lt;60),GUS_tabl_2!$A$8:$B$464,GUS_tabl_21!$A$5:$B$4886),2,FALSE))),-1)))))</f>
        <v>gm. w. Gaworzyce</v>
      </c>
      <c r="D121" s="141">
        <f>IF(OR($A121="",ISERROR(VALUE(LEFT($A121,6)))),"",IF(LEN($A121)=2,SUMIF($A122:$A$2965,$A121&amp;"??",$D122:$D$2965),IF(AND(LEN($A121)=4,VALUE(RIGHT($A121,2))&lt;=60),SUMIF($A122:$A$2965,$A121&amp;"????",$D122:$D$2965),VLOOKUP(IF(LEN($A121)=4,$A121&amp;"01 1",$A121),GUS_tabl_21!$A$5:$F$4886,6,FALSE))))</f>
        <v>3991</v>
      </c>
    </row>
    <row r="122" spans="1:4" s="29" customFormat="1" ht="12" customHeight="1">
      <c r="A122" s="155" t="str">
        <f>"021603 2"</f>
        <v>021603 2</v>
      </c>
      <c r="B122" s="153" t="s">
        <v>40</v>
      </c>
      <c r="C122" s="156" t="str">
        <f>IF(OR($A122="",ISERROR(VALUE(LEFT($A122,6)))),"",IF(LEN($A122)=2,"WOJ. ",IF(LEN($A122)=4,IF(VALUE(RIGHT($A122,2))&gt;60,"","Powiat "),IF(VALUE(RIGHT($A122,1))=1,"m. ",IF(VALUE(RIGHT($A122,1))=2,"gm. w. ",IF(VALUE(RIGHT($A122,1))=8,"dz. ","gm. m.-w. ")))))&amp;IF(LEN($A122)=2,TRIM(UPPER(VLOOKUP($A122,GUS_tabl_1!$A$7:$B$22,2,FALSE))),IF(ISERROR(FIND("..",TRIM(VLOOKUP(IF(AND(LEN($A122)=4,VALUE(RIGHT($A122,2))&gt;60),$A122&amp;"01 1",$A122),IF(AND(LEN($A122)=4,VALUE(RIGHT($A122,2))&lt;60),GUS_tabl_2!$A$8:$B$464,GUS_tabl_21!$A$5:$B$4886),2,FALSE)))),TRIM(VLOOKUP(IF(AND(LEN($A122)=4,VALUE(RIGHT($A122,2))&gt;60),$A122&amp;"01 1",$A122),IF(AND(LEN($A122)=4,VALUE(RIGHT($A122,2))&lt;60),GUS_tabl_2!$A$8:$B$464,GUS_tabl_21!$A$5:$B$4886),2,FALSE)),LEFT(TRIM(VLOOKUP(IF(AND(LEN($A122)=4,VALUE(RIGHT($A122,2))&gt;60),$A122&amp;"01 1",$A122),IF(AND(LEN($A122)=4,VALUE(RIGHT($A122,2))&lt;60),GUS_tabl_2!$A$8:$B$464,GUS_tabl_21!$A$5:$B$4886),2,FALSE)),SUM(FIND("..",TRIM(VLOOKUP(IF(AND(LEN($A122)=4,VALUE(RIGHT($A122,2))&gt;60),$A122&amp;"01 1",$A122),IF(AND(LEN($A122)=4,VALUE(RIGHT($A122,2))&lt;60),GUS_tabl_2!$A$8:$B$464,GUS_tabl_21!$A$5:$B$4886),2,FALSE))),-1)))))</f>
        <v>gm. w. Grębocice</v>
      </c>
      <c r="D122" s="141">
        <f>IF(OR($A122="",ISERROR(VALUE(LEFT($A122,6)))),"",IF(LEN($A122)=2,SUMIF($A123:$A$2965,$A122&amp;"??",$D123:$D$2965),IF(AND(LEN($A122)=4,VALUE(RIGHT($A122,2))&lt;=60),SUMIF($A123:$A$2965,$A122&amp;"????",$D123:$D$2965),VLOOKUP(IF(LEN($A122)=4,$A122&amp;"01 1",$A122),GUS_tabl_21!$A$5:$F$4886,6,FALSE))))</f>
        <v>5402</v>
      </c>
    </row>
    <row r="123" spans="1:4" s="29" customFormat="1" ht="12" customHeight="1">
      <c r="A123" s="155" t="str">
        <f>"021604 3"</f>
        <v>021604 3</v>
      </c>
      <c r="B123" s="153" t="s">
        <v>40</v>
      </c>
      <c r="C123" s="156" t="str">
        <f>IF(OR($A123="",ISERROR(VALUE(LEFT($A123,6)))),"",IF(LEN($A123)=2,"WOJ. ",IF(LEN($A123)=4,IF(VALUE(RIGHT($A123,2))&gt;60,"","Powiat "),IF(VALUE(RIGHT($A123,1))=1,"m. ",IF(VALUE(RIGHT($A123,1))=2,"gm. w. ",IF(VALUE(RIGHT($A123,1))=8,"dz. ","gm. m.-w. ")))))&amp;IF(LEN($A123)=2,TRIM(UPPER(VLOOKUP($A123,GUS_tabl_1!$A$7:$B$22,2,FALSE))),IF(ISERROR(FIND("..",TRIM(VLOOKUP(IF(AND(LEN($A123)=4,VALUE(RIGHT($A123,2))&gt;60),$A123&amp;"01 1",$A123),IF(AND(LEN($A123)=4,VALUE(RIGHT($A123,2))&lt;60),GUS_tabl_2!$A$8:$B$464,GUS_tabl_21!$A$5:$B$4886),2,FALSE)))),TRIM(VLOOKUP(IF(AND(LEN($A123)=4,VALUE(RIGHT($A123,2))&gt;60),$A123&amp;"01 1",$A123),IF(AND(LEN($A123)=4,VALUE(RIGHT($A123,2))&lt;60),GUS_tabl_2!$A$8:$B$464,GUS_tabl_21!$A$5:$B$4886),2,FALSE)),LEFT(TRIM(VLOOKUP(IF(AND(LEN($A123)=4,VALUE(RIGHT($A123,2))&gt;60),$A123&amp;"01 1",$A123),IF(AND(LEN($A123)=4,VALUE(RIGHT($A123,2))&lt;60),GUS_tabl_2!$A$8:$B$464,GUS_tabl_21!$A$5:$B$4886),2,FALSE)),SUM(FIND("..",TRIM(VLOOKUP(IF(AND(LEN($A123)=4,VALUE(RIGHT($A123,2))&gt;60),$A123&amp;"01 1",$A123),IF(AND(LEN($A123)=4,VALUE(RIGHT($A123,2))&lt;60),GUS_tabl_2!$A$8:$B$464,GUS_tabl_21!$A$5:$B$4886),2,FALSE))),-1)))))</f>
        <v>gm. m.-w. Polkowice</v>
      </c>
      <c r="D123" s="141">
        <f>IF(OR($A123="",ISERROR(VALUE(LEFT($A123,6)))),"",IF(LEN($A123)=2,SUMIF($A124:$A$2965,$A123&amp;"??",$D124:$D$2965),IF(AND(LEN($A123)=4,VALUE(RIGHT($A123,2))&lt;=60),SUMIF($A124:$A$2965,$A123&amp;"????",$D124:$D$2965),VLOOKUP(IF(LEN($A123)=4,$A123&amp;"01 1",$A123),GUS_tabl_21!$A$5:$F$4886,6,FALSE))))</f>
        <v>27727</v>
      </c>
    </row>
    <row r="124" spans="1:4" s="29" customFormat="1" ht="12" customHeight="1">
      <c r="A124" s="155" t="str">
        <f>"021605 3"</f>
        <v>021605 3</v>
      </c>
      <c r="B124" s="153" t="s">
        <v>40</v>
      </c>
      <c r="C124" s="156" t="str">
        <f>IF(OR($A124="",ISERROR(VALUE(LEFT($A124,6)))),"",IF(LEN($A124)=2,"WOJ. ",IF(LEN($A124)=4,IF(VALUE(RIGHT($A124,2))&gt;60,"","Powiat "),IF(VALUE(RIGHT($A124,1))=1,"m. ",IF(VALUE(RIGHT($A124,1))=2,"gm. w. ",IF(VALUE(RIGHT($A124,1))=8,"dz. ","gm. m.-w. ")))))&amp;IF(LEN($A124)=2,TRIM(UPPER(VLOOKUP($A124,GUS_tabl_1!$A$7:$B$22,2,FALSE))),IF(ISERROR(FIND("..",TRIM(VLOOKUP(IF(AND(LEN($A124)=4,VALUE(RIGHT($A124,2))&gt;60),$A124&amp;"01 1",$A124),IF(AND(LEN($A124)=4,VALUE(RIGHT($A124,2))&lt;60),GUS_tabl_2!$A$8:$B$464,GUS_tabl_21!$A$5:$B$4886),2,FALSE)))),TRIM(VLOOKUP(IF(AND(LEN($A124)=4,VALUE(RIGHT($A124,2))&gt;60),$A124&amp;"01 1",$A124),IF(AND(LEN($A124)=4,VALUE(RIGHT($A124,2))&lt;60),GUS_tabl_2!$A$8:$B$464,GUS_tabl_21!$A$5:$B$4886),2,FALSE)),LEFT(TRIM(VLOOKUP(IF(AND(LEN($A124)=4,VALUE(RIGHT($A124,2))&gt;60),$A124&amp;"01 1",$A124),IF(AND(LEN($A124)=4,VALUE(RIGHT($A124,2))&lt;60),GUS_tabl_2!$A$8:$B$464,GUS_tabl_21!$A$5:$B$4886),2,FALSE)),SUM(FIND("..",TRIM(VLOOKUP(IF(AND(LEN($A124)=4,VALUE(RIGHT($A124,2))&gt;60),$A124&amp;"01 1",$A124),IF(AND(LEN($A124)=4,VALUE(RIGHT($A124,2))&lt;60),GUS_tabl_2!$A$8:$B$464,GUS_tabl_21!$A$5:$B$4886),2,FALSE))),-1)))))</f>
        <v>gm. m.-w. Przemków</v>
      </c>
      <c r="D124" s="141">
        <f>IF(OR($A124="",ISERROR(VALUE(LEFT($A124,6)))),"",IF(LEN($A124)=2,SUMIF($A125:$A$2965,$A124&amp;"??",$D125:$D$2965),IF(AND(LEN($A124)=4,VALUE(RIGHT($A124,2))&lt;=60),SUMIF($A125:$A$2965,$A124&amp;"????",$D125:$D$2965),VLOOKUP(IF(LEN($A124)=4,$A124&amp;"01 1",$A124),GUS_tabl_21!$A$5:$F$4886,6,FALSE))))</f>
        <v>8341</v>
      </c>
    </row>
    <row r="125" spans="1:4" s="29" customFormat="1" ht="12" customHeight="1">
      <c r="A125" s="155" t="str">
        <f>"021606 2"</f>
        <v>021606 2</v>
      </c>
      <c r="B125" s="153" t="s">
        <v>40</v>
      </c>
      <c r="C125" s="156" t="str">
        <f>IF(OR($A125="",ISERROR(VALUE(LEFT($A125,6)))),"",IF(LEN($A125)=2,"WOJ. ",IF(LEN($A125)=4,IF(VALUE(RIGHT($A125,2))&gt;60,"","Powiat "),IF(VALUE(RIGHT($A125,1))=1,"m. ",IF(VALUE(RIGHT($A125,1))=2,"gm. w. ",IF(VALUE(RIGHT($A125,1))=8,"dz. ","gm. m.-w. ")))))&amp;IF(LEN($A125)=2,TRIM(UPPER(VLOOKUP($A125,GUS_tabl_1!$A$7:$B$22,2,FALSE))),IF(ISERROR(FIND("..",TRIM(VLOOKUP(IF(AND(LEN($A125)=4,VALUE(RIGHT($A125,2))&gt;60),$A125&amp;"01 1",$A125),IF(AND(LEN($A125)=4,VALUE(RIGHT($A125,2))&lt;60),GUS_tabl_2!$A$8:$B$464,GUS_tabl_21!$A$5:$B$4886),2,FALSE)))),TRIM(VLOOKUP(IF(AND(LEN($A125)=4,VALUE(RIGHT($A125,2))&gt;60),$A125&amp;"01 1",$A125),IF(AND(LEN($A125)=4,VALUE(RIGHT($A125,2))&lt;60),GUS_tabl_2!$A$8:$B$464,GUS_tabl_21!$A$5:$B$4886),2,FALSE)),LEFT(TRIM(VLOOKUP(IF(AND(LEN($A125)=4,VALUE(RIGHT($A125,2))&gt;60),$A125&amp;"01 1",$A125),IF(AND(LEN($A125)=4,VALUE(RIGHT($A125,2))&lt;60),GUS_tabl_2!$A$8:$B$464,GUS_tabl_21!$A$5:$B$4886),2,FALSE)),SUM(FIND("..",TRIM(VLOOKUP(IF(AND(LEN($A125)=4,VALUE(RIGHT($A125,2))&gt;60),$A125&amp;"01 1",$A125),IF(AND(LEN($A125)=4,VALUE(RIGHT($A125,2))&lt;60),GUS_tabl_2!$A$8:$B$464,GUS_tabl_21!$A$5:$B$4886),2,FALSE))),-1)))))</f>
        <v>gm. w. Radwanice</v>
      </c>
      <c r="D125" s="141">
        <f>IF(OR($A125="",ISERROR(VALUE(LEFT($A125,6)))),"",IF(LEN($A125)=2,SUMIF($A126:$A$2965,$A125&amp;"??",$D126:$D$2965),IF(AND(LEN($A125)=4,VALUE(RIGHT($A125,2))&lt;=60),SUMIF($A126:$A$2965,$A125&amp;"????",$D126:$D$2965),VLOOKUP(IF(LEN($A125)=4,$A125&amp;"01 1",$A125),GUS_tabl_21!$A$5:$F$4886,6,FALSE))))</f>
        <v>4808</v>
      </c>
    </row>
    <row r="126" spans="1:4" s="29" customFormat="1" ht="12" customHeight="1">
      <c r="A126" s="152" t="str">
        <f>"0217"</f>
        <v>0217</v>
      </c>
      <c r="B126" s="153" t="s">
        <v>40</v>
      </c>
      <c r="C126" s="154" t="str">
        <f>IF(OR($A126="",ISERROR(VALUE(LEFT($A126,6)))),"",IF(LEN($A126)=2,"WOJ. ",IF(LEN($A126)=4,IF(VALUE(RIGHT($A126,2))&gt;60,"","Powiat "),IF(VALUE(RIGHT($A126,1))=1,"m. ",IF(VALUE(RIGHT($A126,1))=2,"gm. w. ",IF(VALUE(RIGHT($A126,1))=8,"dz. ","gm. m.-w. ")))))&amp;IF(LEN($A126)=2,TRIM(UPPER(VLOOKUP($A126,GUS_tabl_1!$A$7:$B$22,2,FALSE))),IF(ISERROR(FIND("..",TRIM(VLOOKUP(IF(AND(LEN($A126)=4,VALUE(RIGHT($A126,2))&gt;60),$A126&amp;"01 1",$A126),IF(AND(LEN($A126)=4,VALUE(RIGHT($A126,2))&lt;60),GUS_tabl_2!$A$8:$B$464,GUS_tabl_21!$A$5:$B$4886),2,FALSE)))),TRIM(VLOOKUP(IF(AND(LEN($A126)=4,VALUE(RIGHT($A126,2))&gt;60),$A126&amp;"01 1",$A126),IF(AND(LEN($A126)=4,VALUE(RIGHT($A126,2))&lt;60),GUS_tabl_2!$A$8:$B$464,GUS_tabl_21!$A$5:$B$4886),2,FALSE)),LEFT(TRIM(VLOOKUP(IF(AND(LEN($A126)=4,VALUE(RIGHT($A126,2))&gt;60),$A126&amp;"01 1",$A126),IF(AND(LEN($A126)=4,VALUE(RIGHT($A126,2))&lt;60),GUS_tabl_2!$A$8:$B$464,GUS_tabl_21!$A$5:$B$4886),2,FALSE)),SUM(FIND("..",TRIM(VLOOKUP(IF(AND(LEN($A126)=4,VALUE(RIGHT($A126,2))&gt;60),$A126&amp;"01 1",$A126),IF(AND(LEN($A126)=4,VALUE(RIGHT($A126,2))&lt;60),GUS_tabl_2!$A$8:$B$464,GUS_tabl_21!$A$5:$B$4886),2,FALSE))),-1)))))</f>
        <v>Powiat strzeliński</v>
      </c>
      <c r="D126" s="140">
        <f>IF(OR($A126="",ISERROR(VALUE(LEFT($A126,6)))),"",IF(LEN($A126)=2,SUMIF($A127:$A$2965,$A126&amp;"??",$D127:$D$2965),IF(AND(LEN($A126)=4,VALUE(RIGHT($A126,2))&lt;=60),SUMIF($A127:$A$2965,$A126&amp;"????",$D127:$D$2965),VLOOKUP(IF(LEN($A126)=4,$A126&amp;"01 1",$A126),GUS_tabl_21!$A$5:$F$4886,6,FALSE))))</f>
        <v>43570</v>
      </c>
    </row>
    <row r="127" spans="1:4" s="29" customFormat="1" ht="12" customHeight="1">
      <c r="A127" s="155" t="str">
        <f>"021701 2"</f>
        <v>021701 2</v>
      </c>
      <c r="B127" s="153" t="s">
        <v>40</v>
      </c>
      <c r="C127" s="156" t="str">
        <f>IF(OR($A127="",ISERROR(VALUE(LEFT($A127,6)))),"",IF(LEN($A127)=2,"WOJ. ",IF(LEN($A127)=4,IF(VALUE(RIGHT($A127,2))&gt;60,"","Powiat "),IF(VALUE(RIGHT($A127,1))=1,"m. ",IF(VALUE(RIGHT($A127,1))=2,"gm. w. ",IF(VALUE(RIGHT($A127,1))=8,"dz. ","gm. m.-w. ")))))&amp;IF(LEN($A127)=2,TRIM(UPPER(VLOOKUP($A127,GUS_tabl_1!$A$7:$B$22,2,FALSE))),IF(ISERROR(FIND("..",TRIM(VLOOKUP(IF(AND(LEN($A127)=4,VALUE(RIGHT($A127,2))&gt;60),$A127&amp;"01 1",$A127),IF(AND(LEN($A127)=4,VALUE(RIGHT($A127,2))&lt;60),GUS_tabl_2!$A$8:$B$464,GUS_tabl_21!$A$5:$B$4886),2,FALSE)))),TRIM(VLOOKUP(IF(AND(LEN($A127)=4,VALUE(RIGHT($A127,2))&gt;60),$A127&amp;"01 1",$A127),IF(AND(LEN($A127)=4,VALUE(RIGHT($A127,2))&lt;60),GUS_tabl_2!$A$8:$B$464,GUS_tabl_21!$A$5:$B$4886),2,FALSE)),LEFT(TRIM(VLOOKUP(IF(AND(LEN($A127)=4,VALUE(RIGHT($A127,2))&gt;60),$A127&amp;"01 1",$A127),IF(AND(LEN($A127)=4,VALUE(RIGHT($A127,2))&lt;60),GUS_tabl_2!$A$8:$B$464,GUS_tabl_21!$A$5:$B$4886),2,FALSE)),SUM(FIND("..",TRIM(VLOOKUP(IF(AND(LEN($A127)=4,VALUE(RIGHT($A127,2))&gt;60),$A127&amp;"01 1",$A127),IF(AND(LEN($A127)=4,VALUE(RIGHT($A127,2))&lt;60),GUS_tabl_2!$A$8:$B$464,GUS_tabl_21!$A$5:$B$4886),2,FALSE))),-1)))))</f>
        <v>gm. w. Borów</v>
      </c>
      <c r="D127" s="141">
        <f>IF(OR($A127="",ISERROR(VALUE(LEFT($A127,6)))),"",IF(LEN($A127)=2,SUMIF($A128:$A$2965,$A127&amp;"??",$D128:$D$2965),IF(AND(LEN($A127)=4,VALUE(RIGHT($A127,2))&lt;=60),SUMIF($A128:$A$2965,$A127&amp;"????",$D128:$D$2965),VLOOKUP(IF(LEN($A127)=4,$A127&amp;"01 1",$A127),GUS_tabl_21!$A$5:$F$4886,6,FALSE))))</f>
        <v>5272</v>
      </c>
    </row>
    <row r="128" spans="1:4" s="29" customFormat="1" ht="12" customHeight="1">
      <c r="A128" s="155" t="str">
        <f>"021702 2"</f>
        <v>021702 2</v>
      </c>
      <c r="B128" s="153" t="s">
        <v>40</v>
      </c>
      <c r="C128" s="156" t="str">
        <f>IF(OR($A128="",ISERROR(VALUE(LEFT($A128,6)))),"",IF(LEN($A128)=2,"WOJ. ",IF(LEN($A128)=4,IF(VALUE(RIGHT($A128,2))&gt;60,"","Powiat "),IF(VALUE(RIGHT($A128,1))=1,"m. ",IF(VALUE(RIGHT($A128,1))=2,"gm. w. ",IF(VALUE(RIGHT($A128,1))=8,"dz. ","gm. m.-w. ")))))&amp;IF(LEN($A128)=2,TRIM(UPPER(VLOOKUP($A128,GUS_tabl_1!$A$7:$B$22,2,FALSE))),IF(ISERROR(FIND("..",TRIM(VLOOKUP(IF(AND(LEN($A128)=4,VALUE(RIGHT($A128,2))&gt;60),$A128&amp;"01 1",$A128),IF(AND(LEN($A128)=4,VALUE(RIGHT($A128,2))&lt;60),GUS_tabl_2!$A$8:$B$464,GUS_tabl_21!$A$5:$B$4886),2,FALSE)))),TRIM(VLOOKUP(IF(AND(LEN($A128)=4,VALUE(RIGHT($A128,2))&gt;60),$A128&amp;"01 1",$A128),IF(AND(LEN($A128)=4,VALUE(RIGHT($A128,2))&lt;60),GUS_tabl_2!$A$8:$B$464,GUS_tabl_21!$A$5:$B$4886),2,FALSE)),LEFT(TRIM(VLOOKUP(IF(AND(LEN($A128)=4,VALUE(RIGHT($A128,2))&gt;60),$A128&amp;"01 1",$A128),IF(AND(LEN($A128)=4,VALUE(RIGHT($A128,2))&lt;60),GUS_tabl_2!$A$8:$B$464,GUS_tabl_21!$A$5:$B$4886),2,FALSE)),SUM(FIND("..",TRIM(VLOOKUP(IF(AND(LEN($A128)=4,VALUE(RIGHT($A128,2))&gt;60),$A128&amp;"01 1",$A128),IF(AND(LEN($A128)=4,VALUE(RIGHT($A128,2))&lt;60),GUS_tabl_2!$A$8:$B$464,GUS_tabl_21!$A$5:$B$4886),2,FALSE))),-1)))))</f>
        <v>gm. w. Kondratowice</v>
      </c>
      <c r="D128" s="141">
        <f>IF(OR($A128="",ISERROR(VALUE(LEFT($A128,6)))),"",IF(LEN($A128)=2,SUMIF($A129:$A$2965,$A128&amp;"??",$D129:$D$2965),IF(AND(LEN($A128)=4,VALUE(RIGHT($A128,2))&lt;=60),SUMIF($A129:$A$2965,$A128&amp;"????",$D129:$D$2965),VLOOKUP(IF(LEN($A128)=4,$A128&amp;"01 1",$A128),GUS_tabl_21!$A$5:$F$4886,6,FALSE))))</f>
        <v>4276</v>
      </c>
    </row>
    <row r="129" spans="1:4" s="29" customFormat="1" ht="12" customHeight="1">
      <c r="A129" s="155" t="str">
        <f>"021703 2"</f>
        <v>021703 2</v>
      </c>
      <c r="B129" s="153" t="s">
        <v>40</v>
      </c>
      <c r="C129" s="156" t="str">
        <f>IF(OR($A129="",ISERROR(VALUE(LEFT($A129,6)))),"",IF(LEN($A129)=2,"WOJ. ",IF(LEN($A129)=4,IF(VALUE(RIGHT($A129,2))&gt;60,"","Powiat "),IF(VALUE(RIGHT($A129,1))=1,"m. ",IF(VALUE(RIGHT($A129,1))=2,"gm. w. ",IF(VALUE(RIGHT($A129,1))=8,"dz. ","gm. m.-w. ")))))&amp;IF(LEN($A129)=2,TRIM(UPPER(VLOOKUP($A129,GUS_tabl_1!$A$7:$B$22,2,FALSE))),IF(ISERROR(FIND("..",TRIM(VLOOKUP(IF(AND(LEN($A129)=4,VALUE(RIGHT($A129,2))&gt;60),$A129&amp;"01 1",$A129),IF(AND(LEN($A129)=4,VALUE(RIGHT($A129,2))&lt;60),GUS_tabl_2!$A$8:$B$464,GUS_tabl_21!$A$5:$B$4886),2,FALSE)))),TRIM(VLOOKUP(IF(AND(LEN($A129)=4,VALUE(RIGHT($A129,2))&gt;60),$A129&amp;"01 1",$A129),IF(AND(LEN($A129)=4,VALUE(RIGHT($A129,2))&lt;60),GUS_tabl_2!$A$8:$B$464,GUS_tabl_21!$A$5:$B$4886),2,FALSE)),LEFT(TRIM(VLOOKUP(IF(AND(LEN($A129)=4,VALUE(RIGHT($A129,2))&gt;60),$A129&amp;"01 1",$A129),IF(AND(LEN($A129)=4,VALUE(RIGHT($A129,2))&lt;60),GUS_tabl_2!$A$8:$B$464,GUS_tabl_21!$A$5:$B$4886),2,FALSE)),SUM(FIND("..",TRIM(VLOOKUP(IF(AND(LEN($A129)=4,VALUE(RIGHT($A129,2))&gt;60),$A129&amp;"01 1",$A129),IF(AND(LEN($A129)=4,VALUE(RIGHT($A129,2))&lt;60),GUS_tabl_2!$A$8:$B$464,GUS_tabl_21!$A$5:$B$4886),2,FALSE))),-1)))))</f>
        <v>gm. w. Przeworno</v>
      </c>
      <c r="D129" s="141">
        <f>IF(OR($A129="",ISERROR(VALUE(LEFT($A129,6)))),"",IF(LEN($A129)=2,SUMIF($A130:$A$2965,$A129&amp;"??",$D130:$D$2965),IF(AND(LEN($A129)=4,VALUE(RIGHT($A129,2))&lt;=60),SUMIF($A130:$A$2965,$A129&amp;"????",$D130:$D$2965),VLOOKUP(IF(LEN($A129)=4,$A129&amp;"01 1",$A129),GUS_tabl_21!$A$5:$F$4886,6,FALSE))))</f>
        <v>4754</v>
      </c>
    </row>
    <row r="130" spans="1:4" s="29" customFormat="1" ht="12" customHeight="1">
      <c r="A130" s="155" t="str">
        <f>"021704 3"</f>
        <v>021704 3</v>
      </c>
      <c r="B130" s="153" t="s">
        <v>40</v>
      </c>
      <c r="C130" s="156" t="str">
        <f>IF(OR($A130="",ISERROR(VALUE(LEFT($A130,6)))),"",IF(LEN($A130)=2,"WOJ. ",IF(LEN($A130)=4,IF(VALUE(RIGHT($A130,2))&gt;60,"","Powiat "),IF(VALUE(RIGHT($A130,1))=1,"m. ",IF(VALUE(RIGHT($A130,1))=2,"gm. w. ",IF(VALUE(RIGHT($A130,1))=8,"dz. ","gm. m.-w. ")))))&amp;IF(LEN($A130)=2,TRIM(UPPER(VLOOKUP($A130,GUS_tabl_1!$A$7:$B$22,2,FALSE))),IF(ISERROR(FIND("..",TRIM(VLOOKUP(IF(AND(LEN($A130)=4,VALUE(RIGHT($A130,2))&gt;60),$A130&amp;"01 1",$A130),IF(AND(LEN($A130)=4,VALUE(RIGHT($A130,2))&lt;60),GUS_tabl_2!$A$8:$B$464,GUS_tabl_21!$A$5:$B$4886),2,FALSE)))),TRIM(VLOOKUP(IF(AND(LEN($A130)=4,VALUE(RIGHT($A130,2))&gt;60),$A130&amp;"01 1",$A130),IF(AND(LEN($A130)=4,VALUE(RIGHT($A130,2))&lt;60),GUS_tabl_2!$A$8:$B$464,GUS_tabl_21!$A$5:$B$4886),2,FALSE)),LEFT(TRIM(VLOOKUP(IF(AND(LEN($A130)=4,VALUE(RIGHT($A130,2))&gt;60),$A130&amp;"01 1",$A130),IF(AND(LEN($A130)=4,VALUE(RIGHT($A130,2))&lt;60),GUS_tabl_2!$A$8:$B$464,GUS_tabl_21!$A$5:$B$4886),2,FALSE)),SUM(FIND("..",TRIM(VLOOKUP(IF(AND(LEN($A130)=4,VALUE(RIGHT($A130,2))&gt;60),$A130&amp;"01 1",$A130),IF(AND(LEN($A130)=4,VALUE(RIGHT($A130,2))&lt;60),GUS_tabl_2!$A$8:$B$464,GUS_tabl_21!$A$5:$B$4886),2,FALSE))),-1)))))</f>
        <v>gm. m.-w. Strzelin</v>
      </c>
      <c r="D130" s="141">
        <f>IF(OR($A130="",ISERROR(VALUE(LEFT($A130,6)))),"",IF(LEN($A130)=2,SUMIF($A131:$A$2965,$A130&amp;"??",$D131:$D$2965),IF(AND(LEN($A130)=4,VALUE(RIGHT($A130,2))&lt;=60),SUMIF($A131:$A$2965,$A130&amp;"????",$D131:$D$2965),VLOOKUP(IF(LEN($A130)=4,$A130&amp;"01 1",$A130),GUS_tabl_21!$A$5:$F$4886,6,FALSE))))</f>
        <v>22167</v>
      </c>
    </row>
    <row r="131" spans="1:4" s="29" customFormat="1" ht="12" customHeight="1">
      <c r="A131" s="155" t="str">
        <f>"021705 3"</f>
        <v>021705 3</v>
      </c>
      <c r="B131" s="153" t="s">
        <v>40</v>
      </c>
      <c r="C131" s="156" t="str">
        <f>IF(OR($A131="",ISERROR(VALUE(LEFT($A131,6)))),"",IF(LEN($A131)=2,"WOJ. ",IF(LEN($A131)=4,IF(VALUE(RIGHT($A131,2))&gt;60,"","Powiat "),IF(VALUE(RIGHT($A131,1))=1,"m. ",IF(VALUE(RIGHT($A131,1))=2,"gm. w. ",IF(VALUE(RIGHT($A131,1))=8,"dz. ","gm. m.-w. ")))))&amp;IF(LEN($A131)=2,TRIM(UPPER(VLOOKUP($A131,GUS_tabl_1!$A$7:$B$22,2,FALSE))),IF(ISERROR(FIND("..",TRIM(VLOOKUP(IF(AND(LEN($A131)=4,VALUE(RIGHT($A131,2))&gt;60),$A131&amp;"01 1",$A131),IF(AND(LEN($A131)=4,VALUE(RIGHT($A131,2))&lt;60),GUS_tabl_2!$A$8:$B$464,GUS_tabl_21!$A$5:$B$4886),2,FALSE)))),TRIM(VLOOKUP(IF(AND(LEN($A131)=4,VALUE(RIGHT($A131,2))&gt;60),$A131&amp;"01 1",$A131),IF(AND(LEN($A131)=4,VALUE(RIGHT($A131,2))&lt;60),GUS_tabl_2!$A$8:$B$464,GUS_tabl_21!$A$5:$B$4886),2,FALSE)),LEFT(TRIM(VLOOKUP(IF(AND(LEN($A131)=4,VALUE(RIGHT($A131,2))&gt;60),$A131&amp;"01 1",$A131),IF(AND(LEN($A131)=4,VALUE(RIGHT($A131,2))&lt;60),GUS_tabl_2!$A$8:$B$464,GUS_tabl_21!$A$5:$B$4886),2,FALSE)),SUM(FIND("..",TRIM(VLOOKUP(IF(AND(LEN($A131)=4,VALUE(RIGHT($A131,2))&gt;60),$A131&amp;"01 1",$A131),IF(AND(LEN($A131)=4,VALUE(RIGHT($A131,2))&lt;60),GUS_tabl_2!$A$8:$B$464,GUS_tabl_21!$A$5:$B$4886),2,FALSE))),-1)))))</f>
        <v>gm. m.-w. Wiązów</v>
      </c>
      <c r="D131" s="141">
        <f>IF(OR($A131="",ISERROR(VALUE(LEFT($A131,6)))),"",IF(LEN($A131)=2,SUMIF($A132:$A$2965,$A131&amp;"??",$D132:$D$2965),IF(AND(LEN($A131)=4,VALUE(RIGHT($A131,2))&lt;=60),SUMIF($A132:$A$2965,$A131&amp;"????",$D132:$D$2965),VLOOKUP(IF(LEN($A131)=4,$A131&amp;"01 1",$A131),GUS_tabl_21!$A$5:$F$4886,6,FALSE))))</f>
        <v>7101</v>
      </c>
    </row>
    <row r="132" spans="1:4" s="29" customFormat="1" ht="12" customHeight="1">
      <c r="A132" s="152" t="str">
        <f>"0218"</f>
        <v>0218</v>
      </c>
      <c r="B132" s="153" t="s">
        <v>40</v>
      </c>
      <c r="C132" s="154" t="str">
        <f>IF(OR($A132="",ISERROR(VALUE(LEFT($A132,6)))),"",IF(LEN($A132)=2,"WOJ. ",IF(LEN($A132)=4,IF(VALUE(RIGHT($A132,2))&gt;60,"","Powiat "),IF(VALUE(RIGHT($A132,1))=1,"m. ",IF(VALUE(RIGHT($A132,1))=2,"gm. w. ",IF(VALUE(RIGHT($A132,1))=8,"dz. ","gm. m.-w. ")))))&amp;IF(LEN($A132)=2,TRIM(UPPER(VLOOKUP($A132,GUS_tabl_1!$A$7:$B$22,2,FALSE))),IF(ISERROR(FIND("..",TRIM(VLOOKUP(IF(AND(LEN($A132)=4,VALUE(RIGHT($A132,2))&gt;60),$A132&amp;"01 1",$A132),IF(AND(LEN($A132)=4,VALUE(RIGHT($A132,2))&lt;60),GUS_tabl_2!$A$8:$B$464,GUS_tabl_21!$A$5:$B$4886),2,FALSE)))),TRIM(VLOOKUP(IF(AND(LEN($A132)=4,VALUE(RIGHT($A132,2))&gt;60),$A132&amp;"01 1",$A132),IF(AND(LEN($A132)=4,VALUE(RIGHT($A132,2))&lt;60),GUS_tabl_2!$A$8:$B$464,GUS_tabl_21!$A$5:$B$4886),2,FALSE)),LEFT(TRIM(VLOOKUP(IF(AND(LEN($A132)=4,VALUE(RIGHT($A132,2))&gt;60),$A132&amp;"01 1",$A132),IF(AND(LEN($A132)=4,VALUE(RIGHT($A132,2))&lt;60),GUS_tabl_2!$A$8:$B$464,GUS_tabl_21!$A$5:$B$4886),2,FALSE)),SUM(FIND("..",TRIM(VLOOKUP(IF(AND(LEN($A132)=4,VALUE(RIGHT($A132,2))&gt;60),$A132&amp;"01 1",$A132),IF(AND(LEN($A132)=4,VALUE(RIGHT($A132,2))&lt;60),GUS_tabl_2!$A$8:$B$464,GUS_tabl_21!$A$5:$B$4886),2,FALSE))),-1)))))</f>
        <v>Powiat średzki</v>
      </c>
      <c r="D132" s="140">
        <f>IF(OR($A132="",ISERROR(VALUE(LEFT($A132,6)))),"",IF(LEN($A132)=2,SUMIF($A133:$A$2965,$A132&amp;"??",$D133:$D$2965),IF(AND(LEN($A132)=4,VALUE(RIGHT($A132,2))&lt;=60),SUMIF($A133:$A$2965,$A132&amp;"????",$D133:$D$2965),VLOOKUP(IF(LEN($A132)=4,$A132&amp;"01 1",$A132),GUS_tabl_21!$A$5:$F$4886,6,FALSE))))</f>
        <v>55079</v>
      </c>
    </row>
    <row r="133" spans="1:4" s="29" customFormat="1" ht="12" customHeight="1">
      <c r="A133" s="155" t="str">
        <f>"021801 2"</f>
        <v>021801 2</v>
      </c>
      <c r="B133" s="153" t="s">
        <v>40</v>
      </c>
      <c r="C133" s="156" t="str">
        <f>IF(OR($A133="",ISERROR(VALUE(LEFT($A133,6)))),"",IF(LEN($A133)=2,"WOJ. ",IF(LEN($A133)=4,IF(VALUE(RIGHT($A133,2))&gt;60,"","Powiat "),IF(VALUE(RIGHT($A133,1))=1,"m. ",IF(VALUE(RIGHT($A133,1))=2,"gm. w. ",IF(VALUE(RIGHT($A133,1))=8,"dz. ","gm. m.-w. ")))))&amp;IF(LEN($A133)=2,TRIM(UPPER(VLOOKUP($A133,GUS_tabl_1!$A$7:$B$22,2,FALSE))),IF(ISERROR(FIND("..",TRIM(VLOOKUP(IF(AND(LEN($A133)=4,VALUE(RIGHT($A133,2))&gt;60),$A133&amp;"01 1",$A133),IF(AND(LEN($A133)=4,VALUE(RIGHT($A133,2))&lt;60),GUS_tabl_2!$A$8:$B$464,GUS_tabl_21!$A$5:$B$4886),2,FALSE)))),TRIM(VLOOKUP(IF(AND(LEN($A133)=4,VALUE(RIGHT($A133,2))&gt;60),$A133&amp;"01 1",$A133),IF(AND(LEN($A133)=4,VALUE(RIGHT($A133,2))&lt;60),GUS_tabl_2!$A$8:$B$464,GUS_tabl_21!$A$5:$B$4886),2,FALSE)),LEFT(TRIM(VLOOKUP(IF(AND(LEN($A133)=4,VALUE(RIGHT($A133,2))&gt;60),$A133&amp;"01 1",$A133),IF(AND(LEN($A133)=4,VALUE(RIGHT($A133,2))&lt;60),GUS_tabl_2!$A$8:$B$464,GUS_tabl_21!$A$5:$B$4886),2,FALSE)),SUM(FIND("..",TRIM(VLOOKUP(IF(AND(LEN($A133)=4,VALUE(RIGHT($A133,2))&gt;60),$A133&amp;"01 1",$A133),IF(AND(LEN($A133)=4,VALUE(RIGHT($A133,2))&lt;60),GUS_tabl_2!$A$8:$B$464,GUS_tabl_21!$A$5:$B$4886),2,FALSE))),-1)))))</f>
        <v>gm. w. Kostomłoty</v>
      </c>
      <c r="D133" s="141">
        <f>IF(OR($A133="",ISERROR(VALUE(LEFT($A133,6)))),"",IF(LEN($A133)=2,SUMIF($A134:$A$2965,$A133&amp;"??",$D134:$D$2965),IF(AND(LEN($A133)=4,VALUE(RIGHT($A133,2))&lt;=60),SUMIF($A134:$A$2965,$A133&amp;"????",$D134:$D$2965),VLOOKUP(IF(LEN($A133)=4,$A133&amp;"01 1",$A133),GUS_tabl_21!$A$5:$F$4886,6,FALSE))))</f>
        <v>7119</v>
      </c>
    </row>
    <row r="134" spans="1:4" s="29" customFormat="1" ht="12" customHeight="1">
      <c r="A134" s="155" t="str">
        <f>"021802 2"</f>
        <v>021802 2</v>
      </c>
      <c r="B134" s="153" t="s">
        <v>40</v>
      </c>
      <c r="C134" s="156" t="str">
        <f>IF(OR($A134="",ISERROR(VALUE(LEFT($A134,6)))),"",IF(LEN($A134)=2,"WOJ. ",IF(LEN($A134)=4,IF(VALUE(RIGHT($A134,2))&gt;60,"","Powiat "),IF(VALUE(RIGHT($A134,1))=1,"m. ",IF(VALUE(RIGHT($A134,1))=2,"gm. w. ",IF(VALUE(RIGHT($A134,1))=8,"dz. ","gm. m.-w. ")))))&amp;IF(LEN($A134)=2,TRIM(UPPER(VLOOKUP($A134,GUS_tabl_1!$A$7:$B$22,2,FALSE))),IF(ISERROR(FIND("..",TRIM(VLOOKUP(IF(AND(LEN($A134)=4,VALUE(RIGHT($A134,2))&gt;60),$A134&amp;"01 1",$A134),IF(AND(LEN($A134)=4,VALUE(RIGHT($A134,2))&lt;60),GUS_tabl_2!$A$8:$B$464,GUS_tabl_21!$A$5:$B$4886),2,FALSE)))),TRIM(VLOOKUP(IF(AND(LEN($A134)=4,VALUE(RIGHT($A134,2))&gt;60),$A134&amp;"01 1",$A134),IF(AND(LEN($A134)=4,VALUE(RIGHT($A134,2))&lt;60),GUS_tabl_2!$A$8:$B$464,GUS_tabl_21!$A$5:$B$4886),2,FALSE)),LEFT(TRIM(VLOOKUP(IF(AND(LEN($A134)=4,VALUE(RIGHT($A134,2))&gt;60),$A134&amp;"01 1",$A134),IF(AND(LEN($A134)=4,VALUE(RIGHT($A134,2))&lt;60),GUS_tabl_2!$A$8:$B$464,GUS_tabl_21!$A$5:$B$4886),2,FALSE)),SUM(FIND("..",TRIM(VLOOKUP(IF(AND(LEN($A134)=4,VALUE(RIGHT($A134,2))&gt;60),$A134&amp;"01 1",$A134),IF(AND(LEN($A134)=4,VALUE(RIGHT($A134,2))&lt;60),GUS_tabl_2!$A$8:$B$464,GUS_tabl_21!$A$5:$B$4886),2,FALSE))),-1)))))</f>
        <v>gm. w. Malczyce</v>
      </c>
      <c r="D134" s="141">
        <f>IF(OR($A134="",ISERROR(VALUE(LEFT($A134,6)))),"",IF(LEN($A134)=2,SUMIF($A135:$A$2965,$A134&amp;"??",$D135:$D$2965),IF(AND(LEN($A134)=4,VALUE(RIGHT($A134,2))&lt;=60),SUMIF($A135:$A$2965,$A134&amp;"????",$D135:$D$2965),VLOOKUP(IF(LEN($A134)=4,$A134&amp;"01 1",$A134),GUS_tabl_21!$A$5:$F$4886,6,FALSE))))</f>
        <v>5952</v>
      </c>
    </row>
    <row r="135" spans="1:4" s="29" customFormat="1" ht="12" customHeight="1">
      <c r="A135" s="155" t="str">
        <f>"021803 2"</f>
        <v>021803 2</v>
      </c>
      <c r="B135" s="153" t="s">
        <v>40</v>
      </c>
      <c r="C135" s="156" t="str">
        <f>IF(OR($A135="",ISERROR(VALUE(LEFT($A135,6)))),"",IF(LEN($A135)=2,"WOJ. ",IF(LEN($A135)=4,IF(VALUE(RIGHT($A135,2))&gt;60,"","Powiat "),IF(VALUE(RIGHT($A135,1))=1,"m. ",IF(VALUE(RIGHT($A135,1))=2,"gm. w. ",IF(VALUE(RIGHT($A135,1))=8,"dz. ","gm. m.-w. ")))))&amp;IF(LEN($A135)=2,TRIM(UPPER(VLOOKUP($A135,GUS_tabl_1!$A$7:$B$22,2,FALSE))),IF(ISERROR(FIND("..",TRIM(VLOOKUP(IF(AND(LEN($A135)=4,VALUE(RIGHT($A135,2))&gt;60),$A135&amp;"01 1",$A135),IF(AND(LEN($A135)=4,VALUE(RIGHT($A135,2))&lt;60),GUS_tabl_2!$A$8:$B$464,GUS_tabl_21!$A$5:$B$4886),2,FALSE)))),TRIM(VLOOKUP(IF(AND(LEN($A135)=4,VALUE(RIGHT($A135,2))&gt;60),$A135&amp;"01 1",$A135),IF(AND(LEN($A135)=4,VALUE(RIGHT($A135,2))&lt;60),GUS_tabl_2!$A$8:$B$464,GUS_tabl_21!$A$5:$B$4886),2,FALSE)),LEFT(TRIM(VLOOKUP(IF(AND(LEN($A135)=4,VALUE(RIGHT($A135,2))&gt;60),$A135&amp;"01 1",$A135),IF(AND(LEN($A135)=4,VALUE(RIGHT($A135,2))&lt;60),GUS_tabl_2!$A$8:$B$464,GUS_tabl_21!$A$5:$B$4886),2,FALSE)),SUM(FIND("..",TRIM(VLOOKUP(IF(AND(LEN($A135)=4,VALUE(RIGHT($A135,2))&gt;60),$A135&amp;"01 1",$A135),IF(AND(LEN($A135)=4,VALUE(RIGHT($A135,2))&lt;60),GUS_tabl_2!$A$8:$B$464,GUS_tabl_21!$A$5:$B$4886),2,FALSE))),-1)))))</f>
        <v>gm. w. Miękinia</v>
      </c>
      <c r="D135" s="141">
        <f>IF(OR($A135="",ISERROR(VALUE(LEFT($A135,6)))),"",IF(LEN($A135)=2,SUMIF($A136:$A$2965,$A135&amp;"??",$D136:$D$2965),IF(AND(LEN($A135)=4,VALUE(RIGHT($A135,2))&lt;=60),SUMIF($A136:$A$2965,$A135&amp;"????",$D136:$D$2965),VLOOKUP(IF(LEN($A135)=4,$A135&amp;"01 1",$A135),GUS_tabl_21!$A$5:$F$4886,6,FALSE))))</f>
        <v>17006</v>
      </c>
    </row>
    <row r="136" spans="1:4" s="29" customFormat="1" ht="12" customHeight="1">
      <c r="A136" s="155" t="str">
        <f>"021804 3"</f>
        <v>021804 3</v>
      </c>
      <c r="B136" s="153" t="s">
        <v>40</v>
      </c>
      <c r="C136" s="156" t="str">
        <f>IF(OR($A136="",ISERROR(VALUE(LEFT($A136,6)))),"",IF(LEN($A136)=2,"WOJ. ",IF(LEN($A136)=4,IF(VALUE(RIGHT($A136,2))&gt;60,"","Powiat "),IF(VALUE(RIGHT($A136,1))=1,"m. ",IF(VALUE(RIGHT($A136,1))=2,"gm. w. ",IF(VALUE(RIGHT($A136,1))=8,"dz. ","gm. m.-w. ")))))&amp;IF(LEN($A136)=2,TRIM(UPPER(VLOOKUP($A136,GUS_tabl_1!$A$7:$B$22,2,FALSE))),IF(ISERROR(FIND("..",TRIM(VLOOKUP(IF(AND(LEN($A136)=4,VALUE(RIGHT($A136,2))&gt;60),$A136&amp;"01 1",$A136),IF(AND(LEN($A136)=4,VALUE(RIGHT($A136,2))&lt;60),GUS_tabl_2!$A$8:$B$464,GUS_tabl_21!$A$5:$B$4886),2,FALSE)))),TRIM(VLOOKUP(IF(AND(LEN($A136)=4,VALUE(RIGHT($A136,2))&gt;60),$A136&amp;"01 1",$A136),IF(AND(LEN($A136)=4,VALUE(RIGHT($A136,2))&lt;60),GUS_tabl_2!$A$8:$B$464,GUS_tabl_21!$A$5:$B$4886),2,FALSE)),LEFT(TRIM(VLOOKUP(IF(AND(LEN($A136)=4,VALUE(RIGHT($A136,2))&gt;60),$A136&amp;"01 1",$A136),IF(AND(LEN($A136)=4,VALUE(RIGHT($A136,2))&lt;60),GUS_tabl_2!$A$8:$B$464,GUS_tabl_21!$A$5:$B$4886),2,FALSE)),SUM(FIND("..",TRIM(VLOOKUP(IF(AND(LEN($A136)=4,VALUE(RIGHT($A136,2))&gt;60),$A136&amp;"01 1",$A136),IF(AND(LEN($A136)=4,VALUE(RIGHT($A136,2))&lt;60),GUS_tabl_2!$A$8:$B$464,GUS_tabl_21!$A$5:$B$4886),2,FALSE))),-1)))))</f>
        <v>gm. m.-w. Środa Śląska</v>
      </c>
      <c r="D136" s="141">
        <f>IF(OR($A136="",ISERROR(VALUE(LEFT($A136,6)))),"",IF(LEN($A136)=2,SUMIF($A137:$A$2965,$A136&amp;"??",$D137:$D$2965),IF(AND(LEN($A136)=4,VALUE(RIGHT($A136,2))&lt;=60),SUMIF($A137:$A$2965,$A136&amp;"????",$D137:$D$2965),VLOOKUP(IF(LEN($A136)=4,$A136&amp;"01 1",$A136),GUS_tabl_21!$A$5:$F$4886,6,FALSE))))</f>
        <v>19914</v>
      </c>
    </row>
    <row r="137" spans="1:4" s="29" customFormat="1" ht="12" customHeight="1">
      <c r="A137" s="155" t="str">
        <f>"021805 2"</f>
        <v>021805 2</v>
      </c>
      <c r="B137" s="153" t="s">
        <v>40</v>
      </c>
      <c r="C137" s="156" t="str">
        <f>IF(OR($A137="",ISERROR(VALUE(LEFT($A137,6)))),"",IF(LEN($A137)=2,"WOJ. ",IF(LEN($A137)=4,IF(VALUE(RIGHT($A137,2))&gt;60,"","Powiat "),IF(VALUE(RIGHT($A137,1))=1,"m. ",IF(VALUE(RIGHT($A137,1))=2,"gm. w. ",IF(VALUE(RIGHT($A137,1))=8,"dz. ","gm. m.-w. ")))))&amp;IF(LEN($A137)=2,TRIM(UPPER(VLOOKUP($A137,GUS_tabl_1!$A$7:$B$22,2,FALSE))),IF(ISERROR(FIND("..",TRIM(VLOOKUP(IF(AND(LEN($A137)=4,VALUE(RIGHT($A137,2))&gt;60),$A137&amp;"01 1",$A137),IF(AND(LEN($A137)=4,VALUE(RIGHT($A137,2))&lt;60),GUS_tabl_2!$A$8:$B$464,GUS_tabl_21!$A$5:$B$4886),2,FALSE)))),TRIM(VLOOKUP(IF(AND(LEN($A137)=4,VALUE(RIGHT($A137,2))&gt;60),$A137&amp;"01 1",$A137),IF(AND(LEN($A137)=4,VALUE(RIGHT($A137,2))&lt;60),GUS_tabl_2!$A$8:$B$464,GUS_tabl_21!$A$5:$B$4886),2,FALSE)),LEFT(TRIM(VLOOKUP(IF(AND(LEN($A137)=4,VALUE(RIGHT($A137,2))&gt;60),$A137&amp;"01 1",$A137),IF(AND(LEN($A137)=4,VALUE(RIGHT($A137,2))&lt;60),GUS_tabl_2!$A$8:$B$464,GUS_tabl_21!$A$5:$B$4886),2,FALSE)),SUM(FIND("..",TRIM(VLOOKUP(IF(AND(LEN($A137)=4,VALUE(RIGHT($A137,2))&gt;60),$A137&amp;"01 1",$A137),IF(AND(LEN($A137)=4,VALUE(RIGHT($A137,2))&lt;60),GUS_tabl_2!$A$8:$B$464,GUS_tabl_21!$A$5:$B$4886),2,FALSE))),-1)))))</f>
        <v>gm. w. Udanin</v>
      </c>
      <c r="D137" s="141">
        <f>IF(OR($A137="",ISERROR(VALUE(LEFT($A137,6)))),"",IF(LEN($A137)=2,SUMIF($A138:$A$2965,$A137&amp;"??",$D138:$D$2965),IF(AND(LEN($A137)=4,VALUE(RIGHT($A137,2))&lt;=60),SUMIF($A138:$A$2965,$A137&amp;"????",$D138:$D$2965),VLOOKUP(IF(LEN($A137)=4,$A137&amp;"01 1",$A137),GUS_tabl_21!$A$5:$F$4886,6,FALSE))))</f>
        <v>5088</v>
      </c>
    </row>
    <row r="138" spans="1:4" s="29" customFormat="1" ht="12" customHeight="1">
      <c r="A138" s="152" t="str">
        <f>"0219"</f>
        <v>0219</v>
      </c>
      <c r="B138" s="153" t="s">
        <v>40</v>
      </c>
      <c r="C138" s="154" t="str">
        <f>IF(OR($A138="",ISERROR(VALUE(LEFT($A138,6)))),"",IF(LEN($A138)=2,"WOJ. ",IF(LEN($A138)=4,IF(VALUE(RIGHT($A138,2))&gt;60,"","Powiat "),IF(VALUE(RIGHT($A138,1))=1,"m. ",IF(VALUE(RIGHT($A138,1))=2,"gm. w. ",IF(VALUE(RIGHT($A138,1))=8,"dz. ","gm. m.-w. ")))))&amp;IF(LEN($A138)=2,TRIM(UPPER(VLOOKUP($A138,GUS_tabl_1!$A$7:$B$22,2,FALSE))),IF(ISERROR(FIND("..",TRIM(VLOOKUP(IF(AND(LEN($A138)=4,VALUE(RIGHT($A138,2))&gt;60),$A138&amp;"01 1",$A138),IF(AND(LEN($A138)=4,VALUE(RIGHT($A138,2))&lt;60),GUS_tabl_2!$A$8:$B$464,GUS_tabl_21!$A$5:$B$4886),2,FALSE)))),TRIM(VLOOKUP(IF(AND(LEN($A138)=4,VALUE(RIGHT($A138,2))&gt;60),$A138&amp;"01 1",$A138),IF(AND(LEN($A138)=4,VALUE(RIGHT($A138,2))&lt;60),GUS_tabl_2!$A$8:$B$464,GUS_tabl_21!$A$5:$B$4886),2,FALSE)),LEFT(TRIM(VLOOKUP(IF(AND(LEN($A138)=4,VALUE(RIGHT($A138,2))&gt;60),$A138&amp;"01 1",$A138),IF(AND(LEN($A138)=4,VALUE(RIGHT($A138,2))&lt;60),GUS_tabl_2!$A$8:$B$464,GUS_tabl_21!$A$5:$B$4886),2,FALSE)),SUM(FIND("..",TRIM(VLOOKUP(IF(AND(LEN($A138)=4,VALUE(RIGHT($A138,2))&gt;60),$A138&amp;"01 1",$A138),IF(AND(LEN($A138)=4,VALUE(RIGHT($A138,2))&lt;60),GUS_tabl_2!$A$8:$B$464,GUS_tabl_21!$A$5:$B$4886),2,FALSE))),-1)))))</f>
        <v>Powiat świdnicki</v>
      </c>
      <c r="D138" s="140">
        <f>IF(OR($A138="",ISERROR(VALUE(LEFT($A138,6)))),"",IF(LEN($A138)=2,SUMIF($A139:$A$2965,$A138&amp;"??",$D139:$D$2965),IF(AND(LEN($A138)=4,VALUE(RIGHT($A138,2))&lt;=60),SUMIF($A139:$A$2965,$A138&amp;"????",$D139:$D$2965),VLOOKUP(IF(LEN($A138)=4,$A138&amp;"01 1",$A138),GUS_tabl_21!$A$5:$F$4886,6,FALSE))))</f>
        <v>156921</v>
      </c>
    </row>
    <row r="139" spans="1:4" s="29" customFormat="1" ht="12" customHeight="1">
      <c r="A139" s="155" t="str">
        <f>"021901 1"</f>
        <v>021901 1</v>
      </c>
      <c r="B139" s="153" t="s">
        <v>40</v>
      </c>
      <c r="C139" s="156" t="str">
        <f>IF(OR($A139="",ISERROR(VALUE(LEFT($A139,6)))),"",IF(LEN($A139)=2,"WOJ. ",IF(LEN($A139)=4,IF(VALUE(RIGHT($A139,2))&gt;60,"","Powiat "),IF(VALUE(RIGHT($A139,1))=1,"m. ",IF(VALUE(RIGHT($A139,1))=2,"gm. w. ",IF(VALUE(RIGHT($A139,1))=8,"dz. ","gm. m.-w. ")))))&amp;IF(LEN($A139)=2,TRIM(UPPER(VLOOKUP($A139,GUS_tabl_1!$A$7:$B$22,2,FALSE))),IF(ISERROR(FIND("..",TRIM(VLOOKUP(IF(AND(LEN($A139)=4,VALUE(RIGHT($A139,2))&gt;60),$A139&amp;"01 1",$A139),IF(AND(LEN($A139)=4,VALUE(RIGHT($A139,2))&lt;60),GUS_tabl_2!$A$8:$B$464,GUS_tabl_21!$A$5:$B$4886),2,FALSE)))),TRIM(VLOOKUP(IF(AND(LEN($A139)=4,VALUE(RIGHT($A139,2))&gt;60),$A139&amp;"01 1",$A139),IF(AND(LEN($A139)=4,VALUE(RIGHT($A139,2))&lt;60),GUS_tabl_2!$A$8:$B$464,GUS_tabl_21!$A$5:$B$4886),2,FALSE)),LEFT(TRIM(VLOOKUP(IF(AND(LEN($A139)=4,VALUE(RIGHT($A139,2))&gt;60),$A139&amp;"01 1",$A139),IF(AND(LEN($A139)=4,VALUE(RIGHT($A139,2))&lt;60),GUS_tabl_2!$A$8:$B$464,GUS_tabl_21!$A$5:$B$4886),2,FALSE)),SUM(FIND("..",TRIM(VLOOKUP(IF(AND(LEN($A139)=4,VALUE(RIGHT($A139,2))&gt;60),$A139&amp;"01 1",$A139),IF(AND(LEN($A139)=4,VALUE(RIGHT($A139,2))&lt;60),GUS_tabl_2!$A$8:$B$464,GUS_tabl_21!$A$5:$B$4886),2,FALSE))),-1)))))</f>
        <v>m. Świdnica</v>
      </c>
      <c r="D139" s="141">
        <f>IF(OR($A139="",ISERROR(VALUE(LEFT($A139,6)))),"",IF(LEN($A139)=2,SUMIF($A140:$A$2965,$A139&amp;"??",$D140:$D$2965),IF(AND(LEN($A139)=4,VALUE(RIGHT($A139,2))&lt;=60),SUMIF($A140:$A$2965,$A139&amp;"????",$D140:$D$2965),VLOOKUP(IF(LEN($A139)=4,$A139&amp;"01 1",$A139),GUS_tabl_21!$A$5:$F$4886,6,FALSE))))</f>
        <v>56803</v>
      </c>
    </row>
    <row r="140" spans="1:4" s="29" customFormat="1" ht="12" customHeight="1">
      <c r="A140" s="155" t="str">
        <f>"021902 1"</f>
        <v>021902 1</v>
      </c>
      <c r="B140" s="153" t="s">
        <v>40</v>
      </c>
      <c r="C140" s="156" t="str">
        <f>IF(OR($A140="",ISERROR(VALUE(LEFT($A140,6)))),"",IF(LEN($A140)=2,"WOJ. ",IF(LEN($A140)=4,IF(VALUE(RIGHT($A140,2))&gt;60,"","Powiat "),IF(VALUE(RIGHT($A140,1))=1,"m. ",IF(VALUE(RIGHT($A140,1))=2,"gm. w. ",IF(VALUE(RIGHT($A140,1))=8,"dz. ","gm. m.-w. ")))))&amp;IF(LEN($A140)=2,TRIM(UPPER(VLOOKUP($A140,GUS_tabl_1!$A$7:$B$22,2,FALSE))),IF(ISERROR(FIND("..",TRIM(VLOOKUP(IF(AND(LEN($A140)=4,VALUE(RIGHT($A140,2))&gt;60),$A140&amp;"01 1",$A140),IF(AND(LEN($A140)=4,VALUE(RIGHT($A140,2))&lt;60),GUS_tabl_2!$A$8:$B$464,GUS_tabl_21!$A$5:$B$4886),2,FALSE)))),TRIM(VLOOKUP(IF(AND(LEN($A140)=4,VALUE(RIGHT($A140,2))&gt;60),$A140&amp;"01 1",$A140),IF(AND(LEN($A140)=4,VALUE(RIGHT($A140,2))&lt;60),GUS_tabl_2!$A$8:$B$464,GUS_tabl_21!$A$5:$B$4886),2,FALSE)),LEFT(TRIM(VLOOKUP(IF(AND(LEN($A140)=4,VALUE(RIGHT($A140,2))&gt;60),$A140&amp;"01 1",$A140),IF(AND(LEN($A140)=4,VALUE(RIGHT($A140,2))&lt;60),GUS_tabl_2!$A$8:$B$464,GUS_tabl_21!$A$5:$B$4886),2,FALSE)),SUM(FIND("..",TRIM(VLOOKUP(IF(AND(LEN($A140)=4,VALUE(RIGHT($A140,2))&gt;60),$A140&amp;"01 1",$A140),IF(AND(LEN($A140)=4,VALUE(RIGHT($A140,2))&lt;60),GUS_tabl_2!$A$8:$B$464,GUS_tabl_21!$A$5:$B$4886),2,FALSE))),-1)))))</f>
        <v>m. Świebodzice</v>
      </c>
      <c r="D140" s="141">
        <f>IF(OR($A140="",ISERROR(VALUE(LEFT($A140,6)))),"",IF(LEN($A140)=2,SUMIF($A141:$A$2965,$A140&amp;"??",$D141:$D$2965),IF(AND(LEN($A140)=4,VALUE(RIGHT($A140,2))&lt;=60),SUMIF($A141:$A$2965,$A140&amp;"????",$D141:$D$2965),VLOOKUP(IF(LEN($A140)=4,$A140&amp;"01 1",$A140),GUS_tabl_21!$A$5:$F$4886,6,FALSE))))</f>
        <v>22744</v>
      </c>
    </row>
    <row r="141" spans="1:4" s="29" customFormat="1" ht="12" customHeight="1">
      <c r="A141" s="155" t="str">
        <f>"021903 2"</f>
        <v>021903 2</v>
      </c>
      <c r="B141" s="153" t="s">
        <v>40</v>
      </c>
      <c r="C141" s="156" t="str">
        <f>IF(OR($A141="",ISERROR(VALUE(LEFT($A141,6)))),"",IF(LEN($A141)=2,"WOJ. ",IF(LEN($A141)=4,IF(VALUE(RIGHT($A141,2))&gt;60,"","Powiat "),IF(VALUE(RIGHT($A141,1))=1,"m. ",IF(VALUE(RIGHT($A141,1))=2,"gm. w. ",IF(VALUE(RIGHT($A141,1))=8,"dz. ","gm. m.-w. ")))))&amp;IF(LEN($A141)=2,TRIM(UPPER(VLOOKUP($A141,GUS_tabl_1!$A$7:$B$22,2,FALSE))),IF(ISERROR(FIND("..",TRIM(VLOOKUP(IF(AND(LEN($A141)=4,VALUE(RIGHT($A141,2))&gt;60),$A141&amp;"01 1",$A141),IF(AND(LEN($A141)=4,VALUE(RIGHT($A141,2))&lt;60),GUS_tabl_2!$A$8:$B$464,GUS_tabl_21!$A$5:$B$4886),2,FALSE)))),TRIM(VLOOKUP(IF(AND(LEN($A141)=4,VALUE(RIGHT($A141,2))&gt;60),$A141&amp;"01 1",$A141),IF(AND(LEN($A141)=4,VALUE(RIGHT($A141,2))&lt;60),GUS_tabl_2!$A$8:$B$464,GUS_tabl_21!$A$5:$B$4886),2,FALSE)),LEFT(TRIM(VLOOKUP(IF(AND(LEN($A141)=4,VALUE(RIGHT($A141,2))&gt;60),$A141&amp;"01 1",$A141),IF(AND(LEN($A141)=4,VALUE(RIGHT($A141,2))&lt;60),GUS_tabl_2!$A$8:$B$464,GUS_tabl_21!$A$5:$B$4886),2,FALSE)),SUM(FIND("..",TRIM(VLOOKUP(IF(AND(LEN($A141)=4,VALUE(RIGHT($A141,2))&gt;60),$A141&amp;"01 1",$A141),IF(AND(LEN($A141)=4,VALUE(RIGHT($A141,2))&lt;60),GUS_tabl_2!$A$8:$B$464,GUS_tabl_21!$A$5:$B$4886),2,FALSE))),-1)))))</f>
        <v>gm. w. Dobromierz</v>
      </c>
      <c r="D141" s="141">
        <f>IF(OR($A141="",ISERROR(VALUE(LEFT($A141,6)))),"",IF(LEN($A141)=2,SUMIF($A142:$A$2965,$A141&amp;"??",$D142:$D$2965),IF(AND(LEN($A141)=4,VALUE(RIGHT($A141,2))&lt;=60),SUMIF($A142:$A$2965,$A141&amp;"????",$D142:$D$2965),VLOOKUP(IF(LEN($A141)=4,$A141&amp;"01 1",$A141),GUS_tabl_21!$A$5:$F$4886,6,FALSE))))</f>
        <v>5206</v>
      </c>
    </row>
    <row r="142" spans="1:4" s="29" customFormat="1" ht="12" customHeight="1">
      <c r="A142" s="155" t="str">
        <f>"021904 3"</f>
        <v>021904 3</v>
      </c>
      <c r="B142" s="153" t="s">
        <v>40</v>
      </c>
      <c r="C142" s="156" t="str">
        <f>IF(OR($A142="",ISERROR(VALUE(LEFT($A142,6)))),"",IF(LEN($A142)=2,"WOJ. ",IF(LEN($A142)=4,IF(VALUE(RIGHT($A142,2))&gt;60,"","Powiat "),IF(VALUE(RIGHT($A142,1))=1,"m. ",IF(VALUE(RIGHT($A142,1))=2,"gm. w. ",IF(VALUE(RIGHT($A142,1))=8,"dz. ","gm. m.-w. ")))))&amp;IF(LEN($A142)=2,TRIM(UPPER(VLOOKUP($A142,GUS_tabl_1!$A$7:$B$22,2,FALSE))),IF(ISERROR(FIND("..",TRIM(VLOOKUP(IF(AND(LEN($A142)=4,VALUE(RIGHT($A142,2))&gt;60),$A142&amp;"01 1",$A142),IF(AND(LEN($A142)=4,VALUE(RIGHT($A142,2))&lt;60),GUS_tabl_2!$A$8:$B$464,GUS_tabl_21!$A$5:$B$4886),2,FALSE)))),TRIM(VLOOKUP(IF(AND(LEN($A142)=4,VALUE(RIGHT($A142,2))&gt;60),$A142&amp;"01 1",$A142),IF(AND(LEN($A142)=4,VALUE(RIGHT($A142,2))&lt;60),GUS_tabl_2!$A$8:$B$464,GUS_tabl_21!$A$5:$B$4886),2,FALSE)),LEFT(TRIM(VLOOKUP(IF(AND(LEN($A142)=4,VALUE(RIGHT($A142,2))&gt;60),$A142&amp;"01 1",$A142),IF(AND(LEN($A142)=4,VALUE(RIGHT($A142,2))&lt;60),GUS_tabl_2!$A$8:$B$464,GUS_tabl_21!$A$5:$B$4886),2,FALSE)),SUM(FIND("..",TRIM(VLOOKUP(IF(AND(LEN($A142)=4,VALUE(RIGHT($A142,2))&gt;60),$A142&amp;"01 1",$A142),IF(AND(LEN($A142)=4,VALUE(RIGHT($A142,2))&lt;60),GUS_tabl_2!$A$8:$B$464,GUS_tabl_21!$A$5:$B$4886),2,FALSE))),-1)))))</f>
        <v>gm. m.-w. Jaworzyna Śląska</v>
      </c>
      <c r="D142" s="141">
        <f>IF(OR($A142="",ISERROR(VALUE(LEFT($A142,6)))),"",IF(LEN($A142)=2,SUMIF($A143:$A$2965,$A142&amp;"??",$D143:$D$2965),IF(AND(LEN($A142)=4,VALUE(RIGHT($A142,2))&lt;=60),SUMIF($A143:$A$2965,$A142&amp;"????",$D143:$D$2965),VLOOKUP(IF(LEN($A142)=4,$A142&amp;"01 1",$A142),GUS_tabl_21!$A$5:$F$4886,6,FALSE))))</f>
        <v>10239</v>
      </c>
    </row>
    <row r="143" spans="1:4" s="29" customFormat="1" ht="12" customHeight="1">
      <c r="A143" s="155" t="str">
        <f>"021905 2"</f>
        <v>021905 2</v>
      </c>
      <c r="B143" s="153" t="s">
        <v>40</v>
      </c>
      <c r="C143" s="156" t="str">
        <f>IF(OR($A143="",ISERROR(VALUE(LEFT($A143,6)))),"",IF(LEN($A143)=2,"WOJ. ",IF(LEN($A143)=4,IF(VALUE(RIGHT($A143,2))&gt;60,"","Powiat "),IF(VALUE(RIGHT($A143,1))=1,"m. ",IF(VALUE(RIGHT($A143,1))=2,"gm. w. ",IF(VALUE(RIGHT($A143,1))=8,"dz. ","gm. m.-w. ")))))&amp;IF(LEN($A143)=2,TRIM(UPPER(VLOOKUP($A143,GUS_tabl_1!$A$7:$B$22,2,FALSE))),IF(ISERROR(FIND("..",TRIM(VLOOKUP(IF(AND(LEN($A143)=4,VALUE(RIGHT($A143,2))&gt;60),$A143&amp;"01 1",$A143),IF(AND(LEN($A143)=4,VALUE(RIGHT($A143,2))&lt;60),GUS_tabl_2!$A$8:$B$464,GUS_tabl_21!$A$5:$B$4886),2,FALSE)))),TRIM(VLOOKUP(IF(AND(LEN($A143)=4,VALUE(RIGHT($A143,2))&gt;60),$A143&amp;"01 1",$A143),IF(AND(LEN($A143)=4,VALUE(RIGHT($A143,2))&lt;60),GUS_tabl_2!$A$8:$B$464,GUS_tabl_21!$A$5:$B$4886),2,FALSE)),LEFT(TRIM(VLOOKUP(IF(AND(LEN($A143)=4,VALUE(RIGHT($A143,2))&gt;60),$A143&amp;"01 1",$A143),IF(AND(LEN($A143)=4,VALUE(RIGHT($A143,2))&lt;60),GUS_tabl_2!$A$8:$B$464,GUS_tabl_21!$A$5:$B$4886),2,FALSE)),SUM(FIND("..",TRIM(VLOOKUP(IF(AND(LEN($A143)=4,VALUE(RIGHT($A143,2))&gt;60),$A143&amp;"01 1",$A143),IF(AND(LEN($A143)=4,VALUE(RIGHT($A143,2))&lt;60),GUS_tabl_2!$A$8:$B$464,GUS_tabl_21!$A$5:$B$4886),2,FALSE))),-1)))))</f>
        <v>gm. w. Marcinowice</v>
      </c>
      <c r="D143" s="141">
        <f>IF(OR($A143="",ISERROR(VALUE(LEFT($A143,6)))),"",IF(LEN($A143)=2,SUMIF($A144:$A$2965,$A143&amp;"??",$D144:$D$2965),IF(AND(LEN($A143)=4,VALUE(RIGHT($A143,2))&lt;=60),SUMIF($A144:$A$2965,$A143&amp;"????",$D144:$D$2965),VLOOKUP(IF(LEN($A143)=4,$A143&amp;"01 1",$A143),GUS_tabl_21!$A$5:$F$4886,6,FALSE))))</f>
        <v>6519</v>
      </c>
    </row>
    <row r="144" spans="1:4" s="29" customFormat="1" ht="12" customHeight="1">
      <c r="A144" s="155" t="str">
        <f>"021906 3"</f>
        <v>021906 3</v>
      </c>
      <c r="B144" s="153" t="s">
        <v>40</v>
      </c>
      <c r="C144" s="156" t="str">
        <f>IF(OR($A144="",ISERROR(VALUE(LEFT($A144,6)))),"",IF(LEN($A144)=2,"WOJ. ",IF(LEN($A144)=4,IF(VALUE(RIGHT($A144,2))&gt;60,"","Powiat "),IF(VALUE(RIGHT($A144,1))=1,"m. ",IF(VALUE(RIGHT($A144,1))=2,"gm. w. ",IF(VALUE(RIGHT($A144,1))=8,"dz. ","gm. m.-w. ")))))&amp;IF(LEN($A144)=2,TRIM(UPPER(VLOOKUP($A144,GUS_tabl_1!$A$7:$B$22,2,FALSE))),IF(ISERROR(FIND("..",TRIM(VLOOKUP(IF(AND(LEN($A144)=4,VALUE(RIGHT($A144,2))&gt;60),$A144&amp;"01 1",$A144),IF(AND(LEN($A144)=4,VALUE(RIGHT($A144,2))&lt;60),GUS_tabl_2!$A$8:$B$464,GUS_tabl_21!$A$5:$B$4886),2,FALSE)))),TRIM(VLOOKUP(IF(AND(LEN($A144)=4,VALUE(RIGHT($A144,2))&gt;60),$A144&amp;"01 1",$A144),IF(AND(LEN($A144)=4,VALUE(RIGHT($A144,2))&lt;60),GUS_tabl_2!$A$8:$B$464,GUS_tabl_21!$A$5:$B$4886),2,FALSE)),LEFT(TRIM(VLOOKUP(IF(AND(LEN($A144)=4,VALUE(RIGHT($A144,2))&gt;60),$A144&amp;"01 1",$A144),IF(AND(LEN($A144)=4,VALUE(RIGHT($A144,2))&lt;60),GUS_tabl_2!$A$8:$B$464,GUS_tabl_21!$A$5:$B$4886),2,FALSE)),SUM(FIND("..",TRIM(VLOOKUP(IF(AND(LEN($A144)=4,VALUE(RIGHT($A144,2))&gt;60),$A144&amp;"01 1",$A144),IF(AND(LEN($A144)=4,VALUE(RIGHT($A144,2))&lt;60),GUS_tabl_2!$A$8:$B$464,GUS_tabl_21!$A$5:$B$4886),2,FALSE))),-1)))))</f>
        <v>gm. m.-w. Strzegom</v>
      </c>
      <c r="D144" s="141">
        <f>IF(OR($A144="",ISERROR(VALUE(LEFT($A144,6)))),"",IF(LEN($A144)=2,SUMIF($A145:$A$2965,$A144&amp;"??",$D145:$D$2965),IF(AND(LEN($A144)=4,VALUE(RIGHT($A144,2))&lt;=60),SUMIF($A145:$A$2965,$A144&amp;"????",$D145:$D$2965),VLOOKUP(IF(LEN($A144)=4,$A144&amp;"01 1",$A144),GUS_tabl_21!$A$5:$F$4886,6,FALSE))))</f>
        <v>25708</v>
      </c>
    </row>
    <row r="145" spans="1:4" s="29" customFormat="1" ht="12" customHeight="1">
      <c r="A145" s="155" t="str">
        <f>"021907 2"</f>
        <v>021907 2</v>
      </c>
      <c r="B145" s="153" t="s">
        <v>40</v>
      </c>
      <c r="C145" s="156" t="str">
        <f>IF(OR($A145="",ISERROR(VALUE(LEFT($A145,6)))),"",IF(LEN($A145)=2,"WOJ. ",IF(LEN($A145)=4,IF(VALUE(RIGHT($A145,2))&gt;60,"","Powiat "),IF(VALUE(RIGHT($A145,1))=1,"m. ",IF(VALUE(RIGHT($A145,1))=2,"gm. w. ",IF(VALUE(RIGHT($A145,1))=8,"dz. ","gm. m.-w. ")))))&amp;IF(LEN($A145)=2,TRIM(UPPER(VLOOKUP($A145,GUS_tabl_1!$A$7:$B$22,2,FALSE))),IF(ISERROR(FIND("..",TRIM(VLOOKUP(IF(AND(LEN($A145)=4,VALUE(RIGHT($A145,2))&gt;60),$A145&amp;"01 1",$A145),IF(AND(LEN($A145)=4,VALUE(RIGHT($A145,2))&lt;60),GUS_tabl_2!$A$8:$B$464,GUS_tabl_21!$A$5:$B$4886),2,FALSE)))),TRIM(VLOOKUP(IF(AND(LEN($A145)=4,VALUE(RIGHT($A145,2))&gt;60),$A145&amp;"01 1",$A145),IF(AND(LEN($A145)=4,VALUE(RIGHT($A145,2))&lt;60),GUS_tabl_2!$A$8:$B$464,GUS_tabl_21!$A$5:$B$4886),2,FALSE)),LEFT(TRIM(VLOOKUP(IF(AND(LEN($A145)=4,VALUE(RIGHT($A145,2))&gt;60),$A145&amp;"01 1",$A145),IF(AND(LEN($A145)=4,VALUE(RIGHT($A145,2))&lt;60),GUS_tabl_2!$A$8:$B$464,GUS_tabl_21!$A$5:$B$4886),2,FALSE)),SUM(FIND("..",TRIM(VLOOKUP(IF(AND(LEN($A145)=4,VALUE(RIGHT($A145,2))&gt;60),$A145&amp;"01 1",$A145),IF(AND(LEN($A145)=4,VALUE(RIGHT($A145,2))&lt;60),GUS_tabl_2!$A$8:$B$464,GUS_tabl_21!$A$5:$B$4886),2,FALSE))),-1)))))</f>
        <v>gm. w. Świdnica</v>
      </c>
      <c r="D145" s="141">
        <f>IF(OR($A145="",ISERROR(VALUE(LEFT($A145,6)))),"",IF(LEN($A145)=2,SUMIF($A146:$A$2965,$A145&amp;"??",$D146:$D$2965),IF(AND(LEN($A145)=4,VALUE(RIGHT($A145,2))&lt;=60),SUMIF($A146:$A$2965,$A145&amp;"????",$D146:$D$2965),VLOOKUP(IF(LEN($A145)=4,$A145&amp;"01 1",$A145),GUS_tabl_21!$A$5:$F$4886,6,FALSE))))</f>
        <v>17311</v>
      </c>
    </row>
    <row r="146" spans="1:4" s="29" customFormat="1" ht="12" customHeight="1">
      <c r="A146" s="155" t="str">
        <f>"021908 3"</f>
        <v>021908 3</v>
      </c>
      <c r="B146" s="153" t="s">
        <v>40</v>
      </c>
      <c r="C146" s="156" t="str">
        <f>IF(OR($A146="",ISERROR(VALUE(LEFT($A146,6)))),"",IF(LEN($A146)=2,"WOJ. ",IF(LEN($A146)=4,IF(VALUE(RIGHT($A146,2))&gt;60,"","Powiat "),IF(VALUE(RIGHT($A146,1))=1,"m. ",IF(VALUE(RIGHT($A146,1))=2,"gm. w. ",IF(VALUE(RIGHT($A146,1))=8,"dz. ","gm. m.-w. ")))))&amp;IF(LEN($A146)=2,TRIM(UPPER(VLOOKUP($A146,GUS_tabl_1!$A$7:$B$22,2,FALSE))),IF(ISERROR(FIND("..",TRIM(VLOOKUP(IF(AND(LEN($A146)=4,VALUE(RIGHT($A146,2))&gt;60),$A146&amp;"01 1",$A146),IF(AND(LEN($A146)=4,VALUE(RIGHT($A146,2))&lt;60),GUS_tabl_2!$A$8:$B$464,GUS_tabl_21!$A$5:$B$4886),2,FALSE)))),TRIM(VLOOKUP(IF(AND(LEN($A146)=4,VALUE(RIGHT($A146,2))&gt;60),$A146&amp;"01 1",$A146),IF(AND(LEN($A146)=4,VALUE(RIGHT($A146,2))&lt;60),GUS_tabl_2!$A$8:$B$464,GUS_tabl_21!$A$5:$B$4886),2,FALSE)),LEFT(TRIM(VLOOKUP(IF(AND(LEN($A146)=4,VALUE(RIGHT($A146,2))&gt;60),$A146&amp;"01 1",$A146),IF(AND(LEN($A146)=4,VALUE(RIGHT($A146,2))&lt;60),GUS_tabl_2!$A$8:$B$464,GUS_tabl_21!$A$5:$B$4886),2,FALSE)),SUM(FIND("..",TRIM(VLOOKUP(IF(AND(LEN($A146)=4,VALUE(RIGHT($A146,2))&gt;60),$A146&amp;"01 1",$A146),IF(AND(LEN($A146)=4,VALUE(RIGHT($A146,2))&lt;60),GUS_tabl_2!$A$8:$B$464,GUS_tabl_21!$A$5:$B$4886),2,FALSE))),-1)))))</f>
        <v>gm. m.-w. Żarów</v>
      </c>
      <c r="D146" s="141">
        <f>IF(OR($A146="",ISERROR(VALUE(LEFT($A146,6)))),"",IF(LEN($A146)=2,SUMIF($A147:$A$2965,$A146&amp;"??",$D147:$D$2965),IF(AND(LEN($A146)=4,VALUE(RIGHT($A146,2))&lt;=60),SUMIF($A147:$A$2965,$A146&amp;"????",$D147:$D$2965),VLOOKUP(IF(LEN($A146)=4,$A146&amp;"01 1",$A146),GUS_tabl_21!$A$5:$F$4886,6,FALSE))))</f>
        <v>12391</v>
      </c>
    </row>
    <row r="147" spans="1:4" s="29" customFormat="1" ht="12" customHeight="1">
      <c r="A147" s="152" t="str">
        <f>"0220"</f>
        <v>0220</v>
      </c>
      <c r="B147" s="153" t="s">
        <v>40</v>
      </c>
      <c r="C147" s="154" t="str">
        <f>IF(OR($A147="",ISERROR(VALUE(LEFT($A147,6)))),"",IF(LEN($A147)=2,"WOJ. ",IF(LEN($A147)=4,IF(VALUE(RIGHT($A147,2))&gt;60,"","Powiat "),IF(VALUE(RIGHT($A147,1))=1,"m. ",IF(VALUE(RIGHT($A147,1))=2,"gm. w. ",IF(VALUE(RIGHT($A147,1))=8,"dz. ","gm. m.-w. ")))))&amp;IF(LEN($A147)=2,TRIM(UPPER(VLOOKUP($A147,GUS_tabl_1!$A$7:$B$22,2,FALSE))),IF(ISERROR(FIND("..",TRIM(VLOOKUP(IF(AND(LEN($A147)=4,VALUE(RIGHT($A147,2))&gt;60),$A147&amp;"01 1",$A147),IF(AND(LEN($A147)=4,VALUE(RIGHT($A147,2))&lt;60),GUS_tabl_2!$A$8:$B$464,GUS_tabl_21!$A$5:$B$4886),2,FALSE)))),TRIM(VLOOKUP(IF(AND(LEN($A147)=4,VALUE(RIGHT($A147,2))&gt;60),$A147&amp;"01 1",$A147),IF(AND(LEN($A147)=4,VALUE(RIGHT($A147,2))&lt;60),GUS_tabl_2!$A$8:$B$464,GUS_tabl_21!$A$5:$B$4886),2,FALSE)),LEFT(TRIM(VLOOKUP(IF(AND(LEN($A147)=4,VALUE(RIGHT($A147,2))&gt;60),$A147&amp;"01 1",$A147),IF(AND(LEN($A147)=4,VALUE(RIGHT($A147,2))&lt;60),GUS_tabl_2!$A$8:$B$464,GUS_tabl_21!$A$5:$B$4886),2,FALSE)),SUM(FIND("..",TRIM(VLOOKUP(IF(AND(LEN($A147)=4,VALUE(RIGHT($A147,2))&gt;60),$A147&amp;"01 1",$A147),IF(AND(LEN($A147)=4,VALUE(RIGHT($A147,2))&lt;60),GUS_tabl_2!$A$8:$B$464,GUS_tabl_21!$A$5:$B$4886),2,FALSE))),-1)))))</f>
        <v>Powiat trzebnicki</v>
      </c>
      <c r="D147" s="140">
        <f>IF(OR($A147="",ISERROR(VALUE(LEFT($A147,6)))),"",IF(LEN($A147)=2,SUMIF($A148:$A$2965,$A147&amp;"??",$D148:$D$2965),IF(AND(LEN($A147)=4,VALUE(RIGHT($A147,2))&lt;=60),SUMIF($A148:$A$2965,$A147&amp;"????",$D148:$D$2965),VLOOKUP(IF(LEN($A147)=4,$A147&amp;"01 1",$A147),GUS_tabl_21!$A$5:$F$4886,6,FALSE))))</f>
        <v>85253</v>
      </c>
    </row>
    <row r="148" spans="1:4" s="29" customFormat="1" ht="12" customHeight="1">
      <c r="A148" s="155" t="str">
        <f>"022001 3"</f>
        <v>022001 3</v>
      </c>
      <c r="B148" s="153" t="s">
        <v>40</v>
      </c>
      <c r="C148" s="156" t="str">
        <f>IF(OR($A148="",ISERROR(VALUE(LEFT($A148,6)))),"",IF(LEN($A148)=2,"WOJ. ",IF(LEN($A148)=4,IF(VALUE(RIGHT($A148,2))&gt;60,"","Powiat "),IF(VALUE(RIGHT($A148,1))=1,"m. ",IF(VALUE(RIGHT($A148,1))=2,"gm. w. ",IF(VALUE(RIGHT($A148,1))=8,"dz. ","gm. m.-w. ")))))&amp;IF(LEN($A148)=2,TRIM(UPPER(VLOOKUP($A148,GUS_tabl_1!$A$7:$B$22,2,FALSE))),IF(ISERROR(FIND("..",TRIM(VLOOKUP(IF(AND(LEN($A148)=4,VALUE(RIGHT($A148,2))&gt;60),$A148&amp;"01 1",$A148),IF(AND(LEN($A148)=4,VALUE(RIGHT($A148,2))&lt;60),GUS_tabl_2!$A$8:$B$464,GUS_tabl_21!$A$5:$B$4886),2,FALSE)))),TRIM(VLOOKUP(IF(AND(LEN($A148)=4,VALUE(RIGHT($A148,2))&gt;60),$A148&amp;"01 1",$A148),IF(AND(LEN($A148)=4,VALUE(RIGHT($A148,2))&lt;60),GUS_tabl_2!$A$8:$B$464,GUS_tabl_21!$A$5:$B$4886),2,FALSE)),LEFT(TRIM(VLOOKUP(IF(AND(LEN($A148)=4,VALUE(RIGHT($A148,2))&gt;60),$A148&amp;"01 1",$A148),IF(AND(LEN($A148)=4,VALUE(RIGHT($A148,2))&lt;60),GUS_tabl_2!$A$8:$B$464,GUS_tabl_21!$A$5:$B$4886),2,FALSE)),SUM(FIND("..",TRIM(VLOOKUP(IF(AND(LEN($A148)=4,VALUE(RIGHT($A148,2))&gt;60),$A148&amp;"01 1",$A148),IF(AND(LEN($A148)=4,VALUE(RIGHT($A148,2))&lt;60),GUS_tabl_2!$A$8:$B$464,GUS_tabl_21!$A$5:$B$4886),2,FALSE))),-1)))))</f>
        <v>gm. m.-w. Oborniki Śląskie</v>
      </c>
      <c r="D148" s="141">
        <f>IF(OR($A148="",ISERROR(VALUE(LEFT($A148,6)))),"",IF(LEN($A148)=2,SUMIF($A149:$A$2965,$A148&amp;"??",$D149:$D$2965),IF(AND(LEN($A148)=4,VALUE(RIGHT($A148,2))&lt;=60),SUMIF($A149:$A$2965,$A148&amp;"????",$D149:$D$2965),VLOOKUP(IF(LEN($A148)=4,$A148&amp;"01 1",$A148),GUS_tabl_21!$A$5:$F$4886,6,FALSE))))</f>
        <v>20317</v>
      </c>
    </row>
    <row r="149" spans="1:4" s="29" customFormat="1" ht="12" customHeight="1">
      <c r="A149" s="155" t="str">
        <f>"022002 3"</f>
        <v>022002 3</v>
      </c>
      <c r="B149" s="153" t="s">
        <v>40</v>
      </c>
      <c r="C149" s="156" t="str">
        <f>IF(OR($A149="",ISERROR(VALUE(LEFT($A149,6)))),"",IF(LEN($A149)=2,"WOJ. ",IF(LEN($A149)=4,IF(VALUE(RIGHT($A149,2))&gt;60,"","Powiat "),IF(VALUE(RIGHT($A149,1))=1,"m. ",IF(VALUE(RIGHT($A149,1))=2,"gm. w. ",IF(VALUE(RIGHT($A149,1))=8,"dz. ","gm. m.-w. ")))))&amp;IF(LEN($A149)=2,TRIM(UPPER(VLOOKUP($A149,GUS_tabl_1!$A$7:$B$22,2,FALSE))),IF(ISERROR(FIND("..",TRIM(VLOOKUP(IF(AND(LEN($A149)=4,VALUE(RIGHT($A149,2))&gt;60),$A149&amp;"01 1",$A149),IF(AND(LEN($A149)=4,VALUE(RIGHT($A149,2))&lt;60),GUS_tabl_2!$A$8:$B$464,GUS_tabl_21!$A$5:$B$4886),2,FALSE)))),TRIM(VLOOKUP(IF(AND(LEN($A149)=4,VALUE(RIGHT($A149,2))&gt;60),$A149&amp;"01 1",$A149),IF(AND(LEN($A149)=4,VALUE(RIGHT($A149,2))&lt;60),GUS_tabl_2!$A$8:$B$464,GUS_tabl_21!$A$5:$B$4886),2,FALSE)),LEFT(TRIM(VLOOKUP(IF(AND(LEN($A149)=4,VALUE(RIGHT($A149,2))&gt;60),$A149&amp;"01 1",$A149),IF(AND(LEN($A149)=4,VALUE(RIGHT($A149,2))&lt;60),GUS_tabl_2!$A$8:$B$464,GUS_tabl_21!$A$5:$B$4886),2,FALSE)),SUM(FIND("..",TRIM(VLOOKUP(IF(AND(LEN($A149)=4,VALUE(RIGHT($A149,2))&gt;60),$A149&amp;"01 1",$A149),IF(AND(LEN($A149)=4,VALUE(RIGHT($A149,2))&lt;60),GUS_tabl_2!$A$8:$B$464,GUS_tabl_21!$A$5:$B$4886),2,FALSE))),-1)))))</f>
        <v>gm. m.-w. Prusice</v>
      </c>
      <c r="D149" s="141">
        <f>IF(OR($A149="",ISERROR(VALUE(LEFT($A149,6)))),"",IF(LEN($A149)=2,SUMIF($A150:$A$2965,$A149&amp;"??",$D150:$D$2965),IF(AND(LEN($A149)=4,VALUE(RIGHT($A149,2))&lt;=60),SUMIF($A150:$A$2965,$A149&amp;"????",$D150:$D$2965),VLOOKUP(IF(LEN($A149)=4,$A149&amp;"01 1",$A149),GUS_tabl_21!$A$5:$F$4886,6,FALSE))))</f>
        <v>9377</v>
      </c>
    </row>
    <row r="150" spans="1:4" s="29" customFormat="1" ht="12" customHeight="1">
      <c r="A150" s="155" t="str">
        <f>"022003 3"</f>
        <v>022003 3</v>
      </c>
      <c r="B150" s="153" t="s">
        <v>40</v>
      </c>
      <c r="C150" s="156" t="str">
        <f>IF(OR($A150="",ISERROR(VALUE(LEFT($A150,6)))),"",IF(LEN($A150)=2,"WOJ. ",IF(LEN($A150)=4,IF(VALUE(RIGHT($A150,2))&gt;60,"","Powiat "),IF(VALUE(RIGHT($A150,1))=1,"m. ",IF(VALUE(RIGHT($A150,1))=2,"gm. w. ",IF(VALUE(RIGHT($A150,1))=8,"dz. ","gm. m.-w. ")))))&amp;IF(LEN($A150)=2,TRIM(UPPER(VLOOKUP($A150,GUS_tabl_1!$A$7:$B$22,2,FALSE))),IF(ISERROR(FIND("..",TRIM(VLOOKUP(IF(AND(LEN($A150)=4,VALUE(RIGHT($A150,2))&gt;60),$A150&amp;"01 1",$A150),IF(AND(LEN($A150)=4,VALUE(RIGHT($A150,2))&lt;60),GUS_tabl_2!$A$8:$B$464,GUS_tabl_21!$A$5:$B$4886),2,FALSE)))),TRIM(VLOOKUP(IF(AND(LEN($A150)=4,VALUE(RIGHT($A150,2))&gt;60),$A150&amp;"01 1",$A150),IF(AND(LEN($A150)=4,VALUE(RIGHT($A150,2))&lt;60),GUS_tabl_2!$A$8:$B$464,GUS_tabl_21!$A$5:$B$4886),2,FALSE)),LEFT(TRIM(VLOOKUP(IF(AND(LEN($A150)=4,VALUE(RIGHT($A150,2))&gt;60),$A150&amp;"01 1",$A150),IF(AND(LEN($A150)=4,VALUE(RIGHT($A150,2))&lt;60),GUS_tabl_2!$A$8:$B$464,GUS_tabl_21!$A$5:$B$4886),2,FALSE)),SUM(FIND("..",TRIM(VLOOKUP(IF(AND(LEN($A150)=4,VALUE(RIGHT($A150,2))&gt;60),$A150&amp;"01 1",$A150),IF(AND(LEN($A150)=4,VALUE(RIGHT($A150,2))&lt;60),GUS_tabl_2!$A$8:$B$464,GUS_tabl_21!$A$5:$B$4886),2,FALSE))),-1)))))</f>
        <v>gm. m.-w. Trzebnica</v>
      </c>
      <c r="D150" s="141">
        <f>IF(OR($A150="",ISERROR(VALUE(LEFT($A150,6)))),"",IF(LEN($A150)=2,SUMIF($A151:$A$2965,$A150&amp;"??",$D151:$D$2965),IF(AND(LEN($A150)=4,VALUE(RIGHT($A150,2))&lt;=60),SUMIF($A151:$A$2965,$A150&amp;"????",$D151:$D$2965),VLOOKUP(IF(LEN($A150)=4,$A150&amp;"01 1",$A150),GUS_tabl_21!$A$5:$F$4886,6,FALSE))))</f>
        <v>24436</v>
      </c>
    </row>
    <row r="151" spans="1:4" s="29" customFormat="1" ht="12" customHeight="1">
      <c r="A151" s="155" t="str">
        <f>"022004 2"</f>
        <v>022004 2</v>
      </c>
      <c r="B151" s="153" t="s">
        <v>40</v>
      </c>
      <c r="C151" s="156" t="str">
        <f>IF(OR($A151="",ISERROR(VALUE(LEFT($A151,6)))),"",IF(LEN($A151)=2,"WOJ. ",IF(LEN($A151)=4,IF(VALUE(RIGHT($A151,2))&gt;60,"","Powiat "),IF(VALUE(RIGHT($A151,1))=1,"m. ",IF(VALUE(RIGHT($A151,1))=2,"gm. w. ",IF(VALUE(RIGHT($A151,1))=8,"dz. ","gm. m.-w. ")))))&amp;IF(LEN($A151)=2,TRIM(UPPER(VLOOKUP($A151,GUS_tabl_1!$A$7:$B$22,2,FALSE))),IF(ISERROR(FIND("..",TRIM(VLOOKUP(IF(AND(LEN($A151)=4,VALUE(RIGHT($A151,2))&gt;60),$A151&amp;"01 1",$A151),IF(AND(LEN($A151)=4,VALUE(RIGHT($A151,2))&lt;60),GUS_tabl_2!$A$8:$B$464,GUS_tabl_21!$A$5:$B$4886),2,FALSE)))),TRIM(VLOOKUP(IF(AND(LEN($A151)=4,VALUE(RIGHT($A151,2))&gt;60),$A151&amp;"01 1",$A151),IF(AND(LEN($A151)=4,VALUE(RIGHT($A151,2))&lt;60),GUS_tabl_2!$A$8:$B$464,GUS_tabl_21!$A$5:$B$4886),2,FALSE)),LEFT(TRIM(VLOOKUP(IF(AND(LEN($A151)=4,VALUE(RIGHT($A151,2))&gt;60),$A151&amp;"01 1",$A151),IF(AND(LEN($A151)=4,VALUE(RIGHT($A151,2))&lt;60),GUS_tabl_2!$A$8:$B$464,GUS_tabl_21!$A$5:$B$4886),2,FALSE)),SUM(FIND("..",TRIM(VLOOKUP(IF(AND(LEN($A151)=4,VALUE(RIGHT($A151,2))&gt;60),$A151&amp;"01 1",$A151),IF(AND(LEN($A151)=4,VALUE(RIGHT($A151,2))&lt;60),GUS_tabl_2!$A$8:$B$464,GUS_tabl_21!$A$5:$B$4886),2,FALSE))),-1)))))</f>
        <v>gm. w. Wisznia Mała</v>
      </c>
      <c r="D151" s="141">
        <f>IF(OR($A151="",ISERROR(VALUE(LEFT($A151,6)))),"",IF(LEN($A151)=2,SUMIF($A152:$A$2965,$A151&amp;"??",$D152:$D$2965),IF(AND(LEN($A151)=4,VALUE(RIGHT($A151,2))&lt;=60),SUMIF($A152:$A$2965,$A151&amp;"????",$D152:$D$2965),VLOOKUP(IF(LEN($A151)=4,$A151&amp;"01 1",$A151),GUS_tabl_21!$A$5:$F$4886,6,FALSE))))</f>
        <v>10559</v>
      </c>
    </row>
    <row r="152" spans="1:4" s="29" customFormat="1" ht="12" customHeight="1">
      <c r="A152" s="155" t="str">
        <f>"022005 2"</f>
        <v>022005 2</v>
      </c>
      <c r="B152" s="153" t="s">
        <v>40</v>
      </c>
      <c r="C152" s="156" t="str">
        <f>IF(OR($A152="",ISERROR(VALUE(LEFT($A152,6)))),"",IF(LEN($A152)=2,"WOJ. ",IF(LEN($A152)=4,IF(VALUE(RIGHT($A152,2))&gt;60,"","Powiat "),IF(VALUE(RIGHT($A152,1))=1,"m. ",IF(VALUE(RIGHT($A152,1))=2,"gm. w. ",IF(VALUE(RIGHT($A152,1))=8,"dz. ","gm. m.-w. ")))))&amp;IF(LEN($A152)=2,TRIM(UPPER(VLOOKUP($A152,GUS_tabl_1!$A$7:$B$22,2,FALSE))),IF(ISERROR(FIND("..",TRIM(VLOOKUP(IF(AND(LEN($A152)=4,VALUE(RIGHT($A152,2))&gt;60),$A152&amp;"01 1",$A152),IF(AND(LEN($A152)=4,VALUE(RIGHT($A152,2))&lt;60),GUS_tabl_2!$A$8:$B$464,GUS_tabl_21!$A$5:$B$4886),2,FALSE)))),TRIM(VLOOKUP(IF(AND(LEN($A152)=4,VALUE(RIGHT($A152,2))&gt;60),$A152&amp;"01 1",$A152),IF(AND(LEN($A152)=4,VALUE(RIGHT($A152,2))&lt;60),GUS_tabl_2!$A$8:$B$464,GUS_tabl_21!$A$5:$B$4886),2,FALSE)),LEFT(TRIM(VLOOKUP(IF(AND(LEN($A152)=4,VALUE(RIGHT($A152,2))&gt;60),$A152&amp;"01 1",$A152),IF(AND(LEN($A152)=4,VALUE(RIGHT($A152,2))&lt;60),GUS_tabl_2!$A$8:$B$464,GUS_tabl_21!$A$5:$B$4886),2,FALSE)),SUM(FIND("..",TRIM(VLOOKUP(IF(AND(LEN($A152)=4,VALUE(RIGHT($A152,2))&gt;60),$A152&amp;"01 1",$A152),IF(AND(LEN($A152)=4,VALUE(RIGHT($A152,2))&lt;60),GUS_tabl_2!$A$8:$B$464,GUS_tabl_21!$A$5:$B$4886),2,FALSE))),-1)))))</f>
        <v>gm. w. Zawonia</v>
      </c>
      <c r="D152" s="141">
        <f>IF(OR($A152="",ISERROR(VALUE(LEFT($A152,6)))),"",IF(LEN($A152)=2,SUMIF($A153:$A$2965,$A152&amp;"??",$D153:$D$2965),IF(AND(LEN($A152)=4,VALUE(RIGHT($A152,2))&lt;=60),SUMIF($A153:$A$2965,$A152&amp;"????",$D153:$D$2965),VLOOKUP(IF(LEN($A152)=4,$A152&amp;"01 1",$A152),GUS_tabl_21!$A$5:$F$4886,6,FALSE))))</f>
        <v>5904</v>
      </c>
    </row>
    <row r="153" spans="1:4" s="29" customFormat="1" ht="12" customHeight="1">
      <c r="A153" s="155" t="str">
        <f>"022006 3"</f>
        <v>022006 3</v>
      </c>
      <c r="B153" s="153" t="s">
        <v>40</v>
      </c>
      <c r="C153" s="156" t="str">
        <f>IF(OR($A153="",ISERROR(VALUE(LEFT($A153,6)))),"",IF(LEN($A153)=2,"WOJ. ",IF(LEN($A153)=4,IF(VALUE(RIGHT($A153,2))&gt;60,"","Powiat "),IF(VALUE(RIGHT($A153,1))=1,"m. ",IF(VALUE(RIGHT($A153,1))=2,"gm. w. ",IF(VALUE(RIGHT($A153,1))=8,"dz. ","gm. m.-w. ")))))&amp;IF(LEN($A153)=2,TRIM(UPPER(VLOOKUP($A153,GUS_tabl_1!$A$7:$B$22,2,FALSE))),IF(ISERROR(FIND("..",TRIM(VLOOKUP(IF(AND(LEN($A153)=4,VALUE(RIGHT($A153,2))&gt;60),$A153&amp;"01 1",$A153),IF(AND(LEN($A153)=4,VALUE(RIGHT($A153,2))&lt;60),GUS_tabl_2!$A$8:$B$464,GUS_tabl_21!$A$5:$B$4886),2,FALSE)))),TRIM(VLOOKUP(IF(AND(LEN($A153)=4,VALUE(RIGHT($A153,2))&gt;60),$A153&amp;"01 1",$A153),IF(AND(LEN($A153)=4,VALUE(RIGHT($A153,2))&lt;60),GUS_tabl_2!$A$8:$B$464,GUS_tabl_21!$A$5:$B$4886),2,FALSE)),LEFT(TRIM(VLOOKUP(IF(AND(LEN($A153)=4,VALUE(RIGHT($A153,2))&gt;60),$A153&amp;"01 1",$A153),IF(AND(LEN($A153)=4,VALUE(RIGHT($A153,2))&lt;60),GUS_tabl_2!$A$8:$B$464,GUS_tabl_21!$A$5:$B$4886),2,FALSE)),SUM(FIND("..",TRIM(VLOOKUP(IF(AND(LEN($A153)=4,VALUE(RIGHT($A153,2))&gt;60),$A153&amp;"01 1",$A153),IF(AND(LEN($A153)=4,VALUE(RIGHT($A153,2))&lt;60),GUS_tabl_2!$A$8:$B$464,GUS_tabl_21!$A$5:$B$4886),2,FALSE))),-1)))))</f>
        <v>gm. m.-w. Żmigród</v>
      </c>
      <c r="D153" s="141">
        <f>IF(OR($A153="",ISERROR(VALUE(LEFT($A153,6)))),"",IF(LEN($A153)=2,SUMIF($A154:$A$2965,$A153&amp;"??",$D154:$D$2965),IF(AND(LEN($A153)=4,VALUE(RIGHT($A153,2))&lt;=60),SUMIF($A154:$A$2965,$A153&amp;"????",$D154:$D$2965),VLOOKUP(IF(LEN($A153)=4,$A153&amp;"01 1",$A153),GUS_tabl_21!$A$5:$F$4886,6,FALSE))))</f>
        <v>14660</v>
      </c>
    </row>
    <row r="154" spans="1:4" s="29" customFormat="1" ht="12" customHeight="1">
      <c r="A154" s="152" t="str">
        <f>"0221"</f>
        <v>0221</v>
      </c>
      <c r="B154" s="153" t="s">
        <v>40</v>
      </c>
      <c r="C154" s="154" t="str">
        <f>IF(OR($A154="",ISERROR(VALUE(LEFT($A154,6)))),"",IF(LEN($A154)=2,"WOJ. ",IF(LEN($A154)=4,IF(VALUE(RIGHT($A154,2))&gt;60,"","Powiat "),IF(VALUE(RIGHT($A154,1))=1,"m. ",IF(VALUE(RIGHT($A154,1))=2,"gm. w. ",IF(VALUE(RIGHT($A154,1))=8,"dz. ","gm. m.-w. ")))))&amp;IF(LEN($A154)=2,TRIM(UPPER(VLOOKUP($A154,GUS_tabl_1!$A$7:$B$22,2,FALSE))),IF(ISERROR(FIND("..",TRIM(VLOOKUP(IF(AND(LEN($A154)=4,VALUE(RIGHT($A154,2))&gt;60),$A154&amp;"01 1",$A154),IF(AND(LEN($A154)=4,VALUE(RIGHT($A154,2))&lt;60),GUS_tabl_2!$A$8:$B$464,GUS_tabl_21!$A$5:$B$4886),2,FALSE)))),TRIM(VLOOKUP(IF(AND(LEN($A154)=4,VALUE(RIGHT($A154,2))&gt;60),$A154&amp;"01 1",$A154),IF(AND(LEN($A154)=4,VALUE(RIGHT($A154,2))&lt;60),GUS_tabl_2!$A$8:$B$464,GUS_tabl_21!$A$5:$B$4886),2,FALSE)),LEFT(TRIM(VLOOKUP(IF(AND(LEN($A154)=4,VALUE(RIGHT($A154,2))&gt;60),$A154&amp;"01 1",$A154),IF(AND(LEN($A154)=4,VALUE(RIGHT($A154,2))&lt;60),GUS_tabl_2!$A$8:$B$464,GUS_tabl_21!$A$5:$B$4886),2,FALSE)),SUM(FIND("..",TRIM(VLOOKUP(IF(AND(LEN($A154)=4,VALUE(RIGHT($A154,2))&gt;60),$A154&amp;"01 1",$A154),IF(AND(LEN($A154)=4,VALUE(RIGHT($A154,2))&lt;60),GUS_tabl_2!$A$8:$B$464,GUS_tabl_21!$A$5:$B$4886),2,FALSE))),-1)))))</f>
        <v>Powiat wałbrzyski</v>
      </c>
      <c r="D154" s="140">
        <f>IF(OR($A154="",ISERROR(VALUE(LEFT($A154,6)))),"",IF(LEN($A154)=2,SUMIF($A155:$A$2965,$A154&amp;"??",$D155:$D$2965),IF(AND(LEN($A154)=4,VALUE(RIGHT($A154,2))&lt;=60),SUMIF($A155:$A$2965,$A154&amp;"????",$D155:$D$2965),VLOOKUP(IF(LEN($A154)=4,$A154&amp;"01 1",$A154),GUS_tabl_21!$A$5:$F$4886,6,FALSE))))</f>
        <v>55611</v>
      </c>
    </row>
    <row r="155" spans="1:4" s="29" customFormat="1" ht="12" customHeight="1">
      <c r="A155" s="155" t="str">
        <f>"022101 1"</f>
        <v>022101 1</v>
      </c>
      <c r="B155" s="153" t="s">
        <v>40</v>
      </c>
      <c r="C155" s="156" t="str">
        <f>IF(OR($A155="",ISERROR(VALUE(LEFT($A155,6)))),"",IF(LEN($A155)=2,"WOJ. ",IF(LEN($A155)=4,IF(VALUE(RIGHT($A155,2))&gt;60,"","Powiat "),IF(VALUE(RIGHT($A155,1))=1,"m. ",IF(VALUE(RIGHT($A155,1))=2,"gm. w. ",IF(VALUE(RIGHT($A155,1))=8,"dz. ","gm. m.-w. ")))))&amp;IF(LEN($A155)=2,TRIM(UPPER(VLOOKUP($A155,GUS_tabl_1!$A$7:$B$22,2,FALSE))),IF(ISERROR(FIND("..",TRIM(VLOOKUP(IF(AND(LEN($A155)=4,VALUE(RIGHT($A155,2))&gt;60),$A155&amp;"01 1",$A155),IF(AND(LEN($A155)=4,VALUE(RIGHT($A155,2))&lt;60),GUS_tabl_2!$A$8:$B$464,GUS_tabl_21!$A$5:$B$4886),2,FALSE)))),TRIM(VLOOKUP(IF(AND(LEN($A155)=4,VALUE(RIGHT($A155,2))&gt;60),$A155&amp;"01 1",$A155),IF(AND(LEN($A155)=4,VALUE(RIGHT($A155,2))&lt;60),GUS_tabl_2!$A$8:$B$464,GUS_tabl_21!$A$5:$B$4886),2,FALSE)),LEFT(TRIM(VLOOKUP(IF(AND(LEN($A155)=4,VALUE(RIGHT($A155,2))&gt;60),$A155&amp;"01 1",$A155),IF(AND(LEN($A155)=4,VALUE(RIGHT($A155,2))&lt;60),GUS_tabl_2!$A$8:$B$464,GUS_tabl_21!$A$5:$B$4886),2,FALSE)),SUM(FIND("..",TRIM(VLOOKUP(IF(AND(LEN($A155)=4,VALUE(RIGHT($A155,2))&gt;60),$A155&amp;"01 1",$A155),IF(AND(LEN($A155)=4,VALUE(RIGHT($A155,2))&lt;60),GUS_tabl_2!$A$8:$B$464,GUS_tabl_21!$A$5:$B$4886),2,FALSE))),-1)))))</f>
        <v>m. Boguszów-Gorce</v>
      </c>
      <c r="D155" s="141">
        <f>IF(OR($A155="",ISERROR(VALUE(LEFT($A155,6)))),"",IF(LEN($A155)=2,SUMIF($A156:$A$2965,$A155&amp;"??",$D156:$D$2965),IF(AND(LEN($A155)=4,VALUE(RIGHT($A155,2))&lt;=60),SUMIF($A156:$A$2965,$A155&amp;"????",$D156:$D$2965),VLOOKUP(IF(LEN($A155)=4,$A155&amp;"01 1",$A155),GUS_tabl_21!$A$5:$F$4886,6,FALSE))))</f>
        <v>15310</v>
      </c>
    </row>
    <row r="156" spans="1:4" s="29" customFormat="1" ht="12" customHeight="1">
      <c r="A156" s="155" t="str">
        <f>"022102 1"</f>
        <v>022102 1</v>
      </c>
      <c r="B156" s="153" t="s">
        <v>40</v>
      </c>
      <c r="C156" s="156" t="str">
        <f>IF(OR($A156="",ISERROR(VALUE(LEFT($A156,6)))),"",IF(LEN($A156)=2,"WOJ. ",IF(LEN($A156)=4,IF(VALUE(RIGHT($A156,2))&gt;60,"","Powiat "),IF(VALUE(RIGHT($A156,1))=1,"m. ",IF(VALUE(RIGHT($A156,1))=2,"gm. w. ",IF(VALUE(RIGHT($A156,1))=8,"dz. ","gm. m.-w. ")))))&amp;IF(LEN($A156)=2,TRIM(UPPER(VLOOKUP($A156,GUS_tabl_1!$A$7:$B$22,2,FALSE))),IF(ISERROR(FIND("..",TRIM(VLOOKUP(IF(AND(LEN($A156)=4,VALUE(RIGHT($A156,2))&gt;60),$A156&amp;"01 1",$A156),IF(AND(LEN($A156)=4,VALUE(RIGHT($A156,2))&lt;60),GUS_tabl_2!$A$8:$B$464,GUS_tabl_21!$A$5:$B$4886),2,FALSE)))),TRIM(VLOOKUP(IF(AND(LEN($A156)=4,VALUE(RIGHT($A156,2))&gt;60),$A156&amp;"01 1",$A156),IF(AND(LEN($A156)=4,VALUE(RIGHT($A156,2))&lt;60),GUS_tabl_2!$A$8:$B$464,GUS_tabl_21!$A$5:$B$4886),2,FALSE)),LEFT(TRIM(VLOOKUP(IF(AND(LEN($A156)=4,VALUE(RIGHT($A156,2))&gt;60),$A156&amp;"01 1",$A156),IF(AND(LEN($A156)=4,VALUE(RIGHT($A156,2))&lt;60),GUS_tabl_2!$A$8:$B$464,GUS_tabl_21!$A$5:$B$4886),2,FALSE)),SUM(FIND("..",TRIM(VLOOKUP(IF(AND(LEN($A156)=4,VALUE(RIGHT($A156,2))&gt;60),$A156&amp;"01 1",$A156),IF(AND(LEN($A156)=4,VALUE(RIGHT($A156,2))&lt;60),GUS_tabl_2!$A$8:$B$464,GUS_tabl_21!$A$5:$B$4886),2,FALSE))),-1)))))</f>
        <v>m. Jedlina-Zdrój</v>
      </c>
      <c r="D156" s="141">
        <f>IF(OR($A156="",ISERROR(VALUE(LEFT($A156,6)))),"",IF(LEN($A156)=2,SUMIF($A157:$A$2965,$A156&amp;"??",$D157:$D$2965),IF(AND(LEN($A156)=4,VALUE(RIGHT($A156,2))&lt;=60),SUMIF($A157:$A$2965,$A156&amp;"????",$D157:$D$2965),VLOOKUP(IF(LEN($A156)=4,$A156&amp;"01 1",$A156),GUS_tabl_21!$A$5:$F$4886,6,FALSE))))</f>
        <v>4820</v>
      </c>
    </row>
    <row r="157" spans="1:4" s="29" customFormat="1" ht="12" customHeight="1">
      <c r="A157" s="155" t="str">
        <f>"022103 1"</f>
        <v>022103 1</v>
      </c>
      <c r="B157" s="153" t="s">
        <v>40</v>
      </c>
      <c r="C157" s="156" t="str">
        <f>IF(OR($A157="",ISERROR(VALUE(LEFT($A157,6)))),"",IF(LEN($A157)=2,"WOJ. ",IF(LEN($A157)=4,IF(VALUE(RIGHT($A157,2))&gt;60,"","Powiat "),IF(VALUE(RIGHT($A157,1))=1,"m. ",IF(VALUE(RIGHT($A157,1))=2,"gm. w. ",IF(VALUE(RIGHT($A157,1))=8,"dz. ","gm. m.-w. ")))))&amp;IF(LEN($A157)=2,TRIM(UPPER(VLOOKUP($A157,GUS_tabl_1!$A$7:$B$22,2,FALSE))),IF(ISERROR(FIND("..",TRIM(VLOOKUP(IF(AND(LEN($A157)=4,VALUE(RIGHT($A157,2))&gt;60),$A157&amp;"01 1",$A157),IF(AND(LEN($A157)=4,VALUE(RIGHT($A157,2))&lt;60),GUS_tabl_2!$A$8:$B$464,GUS_tabl_21!$A$5:$B$4886),2,FALSE)))),TRIM(VLOOKUP(IF(AND(LEN($A157)=4,VALUE(RIGHT($A157,2))&gt;60),$A157&amp;"01 1",$A157),IF(AND(LEN($A157)=4,VALUE(RIGHT($A157,2))&lt;60),GUS_tabl_2!$A$8:$B$464,GUS_tabl_21!$A$5:$B$4886),2,FALSE)),LEFT(TRIM(VLOOKUP(IF(AND(LEN($A157)=4,VALUE(RIGHT($A157,2))&gt;60),$A157&amp;"01 1",$A157),IF(AND(LEN($A157)=4,VALUE(RIGHT($A157,2))&lt;60),GUS_tabl_2!$A$8:$B$464,GUS_tabl_21!$A$5:$B$4886),2,FALSE)),SUM(FIND("..",TRIM(VLOOKUP(IF(AND(LEN($A157)=4,VALUE(RIGHT($A157,2))&gt;60),$A157&amp;"01 1",$A157),IF(AND(LEN($A157)=4,VALUE(RIGHT($A157,2))&lt;60),GUS_tabl_2!$A$8:$B$464,GUS_tabl_21!$A$5:$B$4886),2,FALSE))),-1)))))</f>
        <v>m. Szczawno-Zdrój</v>
      </c>
      <c r="D157" s="141">
        <f>IF(OR($A157="",ISERROR(VALUE(LEFT($A157,6)))),"",IF(LEN($A157)=2,SUMIF($A158:$A$2965,$A157&amp;"??",$D158:$D$2965),IF(AND(LEN($A157)=4,VALUE(RIGHT($A157,2))&lt;=60),SUMIF($A158:$A$2965,$A157&amp;"????",$D158:$D$2965),VLOOKUP(IF(LEN($A157)=4,$A157&amp;"01 1",$A157),GUS_tabl_21!$A$5:$F$4886,6,FALSE))))</f>
        <v>5569</v>
      </c>
    </row>
    <row r="158" spans="1:4" s="29" customFormat="1" ht="12" customHeight="1">
      <c r="A158" s="155" t="str">
        <f>"022104 2"</f>
        <v>022104 2</v>
      </c>
      <c r="B158" s="153" t="s">
        <v>40</v>
      </c>
      <c r="C158" s="156" t="str">
        <f>IF(OR($A158="",ISERROR(VALUE(LEFT($A158,6)))),"",IF(LEN($A158)=2,"WOJ. ",IF(LEN($A158)=4,IF(VALUE(RIGHT($A158,2))&gt;60,"","Powiat "),IF(VALUE(RIGHT($A158,1))=1,"m. ",IF(VALUE(RIGHT($A158,1))=2,"gm. w. ",IF(VALUE(RIGHT($A158,1))=8,"dz. ","gm. m.-w. ")))))&amp;IF(LEN($A158)=2,TRIM(UPPER(VLOOKUP($A158,GUS_tabl_1!$A$7:$B$22,2,FALSE))),IF(ISERROR(FIND("..",TRIM(VLOOKUP(IF(AND(LEN($A158)=4,VALUE(RIGHT($A158,2))&gt;60),$A158&amp;"01 1",$A158),IF(AND(LEN($A158)=4,VALUE(RIGHT($A158,2))&lt;60),GUS_tabl_2!$A$8:$B$464,GUS_tabl_21!$A$5:$B$4886),2,FALSE)))),TRIM(VLOOKUP(IF(AND(LEN($A158)=4,VALUE(RIGHT($A158,2))&gt;60),$A158&amp;"01 1",$A158),IF(AND(LEN($A158)=4,VALUE(RIGHT($A158,2))&lt;60),GUS_tabl_2!$A$8:$B$464,GUS_tabl_21!$A$5:$B$4886),2,FALSE)),LEFT(TRIM(VLOOKUP(IF(AND(LEN($A158)=4,VALUE(RIGHT($A158,2))&gt;60),$A158&amp;"01 1",$A158),IF(AND(LEN($A158)=4,VALUE(RIGHT($A158,2))&lt;60),GUS_tabl_2!$A$8:$B$464,GUS_tabl_21!$A$5:$B$4886),2,FALSE)),SUM(FIND("..",TRIM(VLOOKUP(IF(AND(LEN($A158)=4,VALUE(RIGHT($A158,2))&gt;60),$A158&amp;"01 1",$A158),IF(AND(LEN($A158)=4,VALUE(RIGHT($A158,2))&lt;60),GUS_tabl_2!$A$8:$B$464,GUS_tabl_21!$A$5:$B$4886),2,FALSE))),-1)))))</f>
        <v>gm. w. Czarny Bór</v>
      </c>
      <c r="D158" s="141">
        <f>IF(OR($A158="",ISERROR(VALUE(LEFT($A158,6)))),"",IF(LEN($A158)=2,SUMIF($A159:$A$2965,$A158&amp;"??",$D159:$D$2965),IF(AND(LEN($A158)=4,VALUE(RIGHT($A158,2))&lt;=60),SUMIF($A159:$A$2965,$A158&amp;"????",$D159:$D$2965),VLOOKUP(IF(LEN($A158)=4,$A158&amp;"01 1",$A158),GUS_tabl_21!$A$5:$F$4886,6,FALSE))))</f>
        <v>4840</v>
      </c>
    </row>
    <row r="159" spans="1:4" s="29" customFormat="1" ht="12" customHeight="1">
      <c r="A159" s="155" t="str">
        <f>"022105 3"</f>
        <v>022105 3</v>
      </c>
      <c r="B159" s="153" t="s">
        <v>40</v>
      </c>
      <c r="C159" s="156" t="str">
        <f>IF(OR($A159="",ISERROR(VALUE(LEFT($A159,6)))),"",IF(LEN($A159)=2,"WOJ. ",IF(LEN($A159)=4,IF(VALUE(RIGHT($A159,2))&gt;60,"","Powiat "),IF(VALUE(RIGHT($A159,1))=1,"m. ",IF(VALUE(RIGHT($A159,1))=2,"gm. w. ",IF(VALUE(RIGHT($A159,1))=8,"dz. ","gm. m.-w. ")))))&amp;IF(LEN($A159)=2,TRIM(UPPER(VLOOKUP($A159,GUS_tabl_1!$A$7:$B$22,2,FALSE))),IF(ISERROR(FIND("..",TRIM(VLOOKUP(IF(AND(LEN($A159)=4,VALUE(RIGHT($A159,2))&gt;60),$A159&amp;"01 1",$A159),IF(AND(LEN($A159)=4,VALUE(RIGHT($A159,2))&lt;60),GUS_tabl_2!$A$8:$B$464,GUS_tabl_21!$A$5:$B$4886),2,FALSE)))),TRIM(VLOOKUP(IF(AND(LEN($A159)=4,VALUE(RIGHT($A159,2))&gt;60),$A159&amp;"01 1",$A159),IF(AND(LEN($A159)=4,VALUE(RIGHT($A159,2))&lt;60),GUS_tabl_2!$A$8:$B$464,GUS_tabl_21!$A$5:$B$4886),2,FALSE)),LEFT(TRIM(VLOOKUP(IF(AND(LEN($A159)=4,VALUE(RIGHT($A159,2))&gt;60),$A159&amp;"01 1",$A159),IF(AND(LEN($A159)=4,VALUE(RIGHT($A159,2))&lt;60),GUS_tabl_2!$A$8:$B$464,GUS_tabl_21!$A$5:$B$4886),2,FALSE)),SUM(FIND("..",TRIM(VLOOKUP(IF(AND(LEN($A159)=4,VALUE(RIGHT($A159,2))&gt;60),$A159&amp;"01 1",$A159),IF(AND(LEN($A159)=4,VALUE(RIGHT($A159,2))&lt;60),GUS_tabl_2!$A$8:$B$464,GUS_tabl_21!$A$5:$B$4886),2,FALSE))),-1)))))</f>
        <v>gm. m.-w. Głuszyca</v>
      </c>
      <c r="D159" s="141">
        <f>IF(OR($A159="",ISERROR(VALUE(LEFT($A159,6)))),"",IF(LEN($A159)=2,SUMIF($A160:$A$2965,$A159&amp;"??",$D160:$D$2965),IF(AND(LEN($A159)=4,VALUE(RIGHT($A159,2))&lt;=60),SUMIF($A160:$A$2965,$A159&amp;"????",$D160:$D$2965),VLOOKUP(IF(LEN($A159)=4,$A159&amp;"01 1",$A159),GUS_tabl_21!$A$5:$F$4886,6,FALSE))))</f>
        <v>8605</v>
      </c>
    </row>
    <row r="160" spans="1:4" s="29" customFormat="1" ht="12" customHeight="1">
      <c r="A160" s="155" t="str">
        <f>"022106 3"</f>
        <v>022106 3</v>
      </c>
      <c r="B160" s="153" t="s">
        <v>40</v>
      </c>
      <c r="C160" s="156" t="str">
        <f>IF(OR($A160="",ISERROR(VALUE(LEFT($A160,6)))),"",IF(LEN($A160)=2,"WOJ. ",IF(LEN($A160)=4,IF(VALUE(RIGHT($A160,2))&gt;60,"","Powiat "),IF(VALUE(RIGHT($A160,1))=1,"m. ",IF(VALUE(RIGHT($A160,1))=2,"gm. w. ",IF(VALUE(RIGHT($A160,1))=8,"dz. ","gm. m.-w. ")))))&amp;IF(LEN($A160)=2,TRIM(UPPER(VLOOKUP($A160,GUS_tabl_1!$A$7:$B$22,2,FALSE))),IF(ISERROR(FIND("..",TRIM(VLOOKUP(IF(AND(LEN($A160)=4,VALUE(RIGHT($A160,2))&gt;60),$A160&amp;"01 1",$A160),IF(AND(LEN($A160)=4,VALUE(RIGHT($A160,2))&lt;60),GUS_tabl_2!$A$8:$B$464,GUS_tabl_21!$A$5:$B$4886),2,FALSE)))),TRIM(VLOOKUP(IF(AND(LEN($A160)=4,VALUE(RIGHT($A160,2))&gt;60),$A160&amp;"01 1",$A160),IF(AND(LEN($A160)=4,VALUE(RIGHT($A160,2))&lt;60),GUS_tabl_2!$A$8:$B$464,GUS_tabl_21!$A$5:$B$4886),2,FALSE)),LEFT(TRIM(VLOOKUP(IF(AND(LEN($A160)=4,VALUE(RIGHT($A160,2))&gt;60),$A160&amp;"01 1",$A160),IF(AND(LEN($A160)=4,VALUE(RIGHT($A160,2))&lt;60),GUS_tabl_2!$A$8:$B$464,GUS_tabl_21!$A$5:$B$4886),2,FALSE)),SUM(FIND("..",TRIM(VLOOKUP(IF(AND(LEN($A160)=4,VALUE(RIGHT($A160,2))&gt;60),$A160&amp;"01 1",$A160),IF(AND(LEN($A160)=4,VALUE(RIGHT($A160,2))&lt;60),GUS_tabl_2!$A$8:$B$464,GUS_tabl_21!$A$5:$B$4886),2,FALSE))),-1)))))</f>
        <v>gm. m.-w. Mieroszów</v>
      </c>
      <c r="D160" s="141">
        <f>IF(OR($A160="",ISERROR(VALUE(LEFT($A160,6)))),"",IF(LEN($A160)=2,SUMIF($A161:$A$2965,$A160&amp;"??",$D161:$D$2965),IF(AND(LEN($A160)=4,VALUE(RIGHT($A160,2))&lt;=60),SUMIF($A161:$A$2965,$A160&amp;"????",$D161:$D$2965),VLOOKUP(IF(LEN($A160)=4,$A160&amp;"01 1",$A160),GUS_tabl_21!$A$5:$F$4886,6,FALSE))))</f>
        <v>6760</v>
      </c>
    </row>
    <row r="161" spans="1:4" s="29" customFormat="1" ht="12" customHeight="1">
      <c r="A161" s="155" t="str">
        <f>"022107 2"</f>
        <v>022107 2</v>
      </c>
      <c r="B161" s="153" t="s">
        <v>40</v>
      </c>
      <c r="C161" s="156" t="str">
        <f>IF(OR($A161="",ISERROR(VALUE(LEFT($A161,6)))),"",IF(LEN($A161)=2,"WOJ. ",IF(LEN($A161)=4,IF(VALUE(RIGHT($A161,2))&gt;60,"","Powiat "),IF(VALUE(RIGHT($A161,1))=1,"m. ",IF(VALUE(RIGHT($A161,1))=2,"gm. w. ",IF(VALUE(RIGHT($A161,1))=8,"dz. ","gm. m.-w. ")))))&amp;IF(LEN($A161)=2,TRIM(UPPER(VLOOKUP($A161,GUS_tabl_1!$A$7:$B$22,2,FALSE))),IF(ISERROR(FIND("..",TRIM(VLOOKUP(IF(AND(LEN($A161)=4,VALUE(RIGHT($A161,2))&gt;60),$A161&amp;"01 1",$A161),IF(AND(LEN($A161)=4,VALUE(RIGHT($A161,2))&lt;60),GUS_tabl_2!$A$8:$B$464,GUS_tabl_21!$A$5:$B$4886),2,FALSE)))),TRIM(VLOOKUP(IF(AND(LEN($A161)=4,VALUE(RIGHT($A161,2))&gt;60),$A161&amp;"01 1",$A161),IF(AND(LEN($A161)=4,VALUE(RIGHT($A161,2))&lt;60),GUS_tabl_2!$A$8:$B$464,GUS_tabl_21!$A$5:$B$4886),2,FALSE)),LEFT(TRIM(VLOOKUP(IF(AND(LEN($A161)=4,VALUE(RIGHT($A161,2))&gt;60),$A161&amp;"01 1",$A161),IF(AND(LEN($A161)=4,VALUE(RIGHT($A161,2))&lt;60),GUS_tabl_2!$A$8:$B$464,GUS_tabl_21!$A$5:$B$4886),2,FALSE)),SUM(FIND("..",TRIM(VLOOKUP(IF(AND(LEN($A161)=4,VALUE(RIGHT($A161,2))&gt;60),$A161&amp;"01 1",$A161),IF(AND(LEN($A161)=4,VALUE(RIGHT($A161,2))&lt;60),GUS_tabl_2!$A$8:$B$464,GUS_tabl_21!$A$5:$B$4886),2,FALSE))),-1)))))</f>
        <v>gm. w. Stare Bogaczowice</v>
      </c>
      <c r="D161" s="141">
        <f>IF(OR($A161="",ISERROR(VALUE(LEFT($A161,6)))),"",IF(LEN($A161)=2,SUMIF($A162:$A$2965,$A161&amp;"??",$D162:$D$2965),IF(AND(LEN($A161)=4,VALUE(RIGHT($A161,2))&lt;=60),SUMIF($A162:$A$2965,$A161&amp;"????",$D162:$D$2965),VLOOKUP(IF(LEN($A161)=4,$A161&amp;"01 1",$A161),GUS_tabl_21!$A$5:$F$4886,6,FALSE))))</f>
        <v>4304</v>
      </c>
    </row>
    <row r="162" spans="1:4" s="29" customFormat="1" ht="12" customHeight="1">
      <c r="A162" s="155" t="str">
        <f>"022108 2"</f>
        <v>022108 2</v>
      </c>
      <c r="B162" s="153" t="s">
        <v>40</v>
      </c>
      <c r="C162" s="156" t="str">
        <f>IF(OR($A162="",ISERROR(VALUE(LEFT($A162,6)))),"",IF(LEN($A162)=2,"WOJ. ",IF(LEN($A162)=4,IF(VALUE(RIGHT($A162,2))&gt;60,"","Powiat "),IF(VALUE(RIGHT($A162,1))=1,"m. ",IF(VALUE(RIGHT($A162,1))=2,"gm. w. ",IF(VALUE(RIGHT($A162,1))=8,"dz. ","gm. m.-w. ")))))&amp;IF(LEN($A162)=2,TRIM(UPPER(VLOOKUP($A162,GUS_tabl_1!$A$7:$B$22,2,FALSE))),IF(ISERROR(FIND("..",TRIM(VLOOKUP(IF(AND(LEN($A162)=4,VALUE(RIGHT($A162,2))&gt;60),$A162&amp;"01 1",$A162),IF(AND(LEN($A162)=4,VALUE(RIGHT($A162,2))&lt;60),GUS_tabl_2!$A$8:$B$464,GUS_tabl_21!$A$5:$B$4886),2,FALSE)))),TRIM(VLOOKUP(IF(AND(LEN($A162)=4,VALUE(RIGHT($A162,2))&gt;60),$A162&amp;"01 1",$A162),IF(AND(LEN($A162)=4,VALUE(RIGHT($A162,2))&lt;60),GUS_tabl_2!$A$8:$B$464,GUS_tabl_21!$A$5:$B$4886),2,FALSE)),LEFT(TRIM(VLOOKUP(IF(AND(LEN($A162)=4,VALUE(RIGHT($A162,2))&gt;60),$A162&amp;"01 1",$A162),IF(AND(LEN($A162)=4,VALUE(RIGHT($A162,2))&lt;60),GUS_tabl_2!$A$8:$B$464,GUS_tabl_21!$A$5:$B$4886),2,FALSE)),SUM(FIND("..",TRIM(VLOOKUP(IF(AND(LEN($A162)=4,VALUE(RIGHT($A162,2))&gt;60),$A162&amp;"01 1",$A162),IF(AND(LEN($A162)=4,VALUE(RIGHT($A162,2))&lt;60),GUS_tabl_2!$A$8:$B$464,GUS_tabl_21!$A$5:$B$4886),2,FALSE))),-1)))))</f>
        <v>gm. w. Walim</v>
      </c>
      <c r="D162" s="141">
        <f>IF(OR($A162="",ISERROR(VALUE(LEFT($A162,6)))),"",IF(LEN($A162)=2,SUMIF($A163:$A$2965,$A162&amp;"??",$D163:$D$2965),IF(AND(LEN($A162)=4,VALUE(RIGHT($A162,2))&lt;=60),SUMIF($A163:$A$2965,$A162&amp;"????",$D163:$D$2965),VLOOKUP(IF(LEN($A162)=4,$A162&amp;"01 1",$A162),GUS_tabl_21!$A$5:$F$4886,6,FALSE))))</f>
        <v>5403</v>
      </c>
    </row>
    <row r="163" spans="1:4" s="29" customFormat="1" ht="12" customHeight="1">
      <c r="A163" s="155"/>
      <c r="B163" s="153" t="s">
        <v>40</v>
      </c>
      <c r="C163" s="156" t="str">
        <f>IF(OR($A163="",ISERROR(VALUE(LEFT($A163,6)))),"",IF(LEN($A163)=2,"WOJ. ",IF(LEN($A163)=4,IF(VALUE(RIGHT($A163,2))&gt;60,"","Powiat "),IF(VALUE(RIGHT($A163,1))=1,"m. ",IF(VALUE(RIGHT($A163,1))=2,"gm. w. ",IF(VALUE(RIGHT($A163,1))=8,"dz. ","gm. m.-w. ")))))&amp;IF(LEN($A163)=2,TRIM(UPPER(VLOOKUP($A163,GUS_tabl_1!$A$7:$B$22,2,FALSE))),IF(ISERROR(FIND("..",TRIM(VLOOKUP(IF(AND(LEN($A163)=4,VALUE(RIGHT($A163,2))&gt;60),$A163&amp;"01 1",$A163),IF(AND(LEN($A163)=4,VALUE(RIGHT($A163,2))&lt;60),GUS_tabl_2!$A$8:$B$464,GUS_tabl_21!$A$5:$B$4886),2,FALSE)))),TRIM(VLOOKUP(IF(AND(LEN($A163)=4,VALUE(RIGHT($A163,2))&gt;60),$A163&amp;"01 1",$A163),IF(AND(LEN($A163)=4,VALUE(RIGHT($A163,2))&lt;60),GUS_tabl_2!$A$8:$B$464,GUS_tabl_21!$A$5:$B$4886),2,FALSE)),LEFT(TRIM(VLOOKUP(IF(AND(LEN($A163)=4,VALUE(RIGHT($A163,2))&gt;60),$A163&amp;"01 1",$A163),IF(AND(LEN($A163)=4,VALUE(RIGHT($A163,2))&lt;60),GUS_tabl_2!$A$8:$B$464,GUS_tabl_21!$A$5:$B$4886),2,FALSE)),SUM(FIND("..",TRIM(VLOOKUP(IF(AND(LEN($A163)=4,VALUE(RIGHT($A163,2))&gt;60),$A163&amp;"01 1",$A163),IF(AND(LEN($A163)=4,VALUE(RIGHT($A163,2))&lt;60),GUS_tabl_2!$A$8:$B$464,GUS_tabl_21!$A$5:$B$4886),2,FALSE))),-1)))))</f>
        <v/>
      </c>
      <c r="D163" s="141" t="str">
        <f>IF(OR($A163="",ISERROR(VALUE(LEFT($A163,6)))),"",IF(LEN($A163)=2,SUMIF($A164:$A$2965,$A163&amp;"??",$D164:$D$2965),IF(AND(LEN($A163)=4,VALUE(RIGHT($A163,2))&lt;=60),SUMIF($A164:$A$2965,$A163&amp;"????",$D164:$D$2965),VLOOKUP(IF(LEN($A163)=4,$A163&amp;"01 1",$A163),GUS_tabl_21!$A$5:$F$4886,6,FALSE))))</f>
        <v/>
      </c>
    </row>
    <row r="164" spans="1:4" s="29" customFormat="1" ht="12" customHeight="1">
      <c r="A164" s="152" t="str">
        <f>"0222"</f>
        <v>0222</v>
      </c>
      <c r="B164" s="153" t="s">
        <v>40</v>
      </c>
      <c r="C164" s="154" t="str">
        <f>IF(OR($A164="",ISERROR(VALUE(LEFT($A164,6)))),"",IF(LEN($A164)=2,"WOJ. ",IF(LEN($A164)=4,IF(VALUE(RIGHT($A164,2))&gt;60,"","Powiat "),IF(VALUE(RIGHT($A164,1))=1,"m. ",IF(VALUE(RIGHT($A164,1))=2,"gm. w. ",IF(VALUE(RIGHT($A164,1))=8,"dz. ","gm. m.-w. ")))))&amp;IF(LEN($A164)=2,TRIM(UPPER(VLOOKUP($A164,GUS_tabl_1!$A$7:$B$22,2,FALSE))),IF(ISERROR(FIND("..",TRIM(VLOOKUP(IF(AND(LEN($A164)=4,VALUE(RIGHT($A164,2))&gt;60),$A164&amp;"01 1",$A164),IF(AND(LEN($A164)=4,VALUE(RIGHT($A164,2))&lt;60),GUS_tabl_2!$A$8:$B$464,GUS_tabl_21!$A$5:$B$4886),2,FALSE)))),TRIM(VLOOKUP(IF(AND(LEN($A164)=4,VALUE(RIGHT($A164,2))&gt;60),$A164&amp;"01 1",$A164),IF(AND(LEN($A164)=4,VALUE(RIGHT($A164,2))&lt;60),GUS_tabl_2!$A$8:$B$464,GUS_tabl_21!$A$5:$B$4886),2,FALSE)),LEFT(TRIM(VLOOKUP(IF(AND(LEN($A164)=4,VALUE(RIGHT($A164,2))&gt;60),$A164&amp;"01 1",$A164),IF(AND(LEN($A164)=4,VALUE(RIGHT($A164,2))&lt;60),GUS_tabl_2!$A$8:$B$464,GUS_tabl_21!$A$5:$B$4886),2,FALSE)),SUM(FIND("..",TRIM(VLOOKUP(IF(AND(LEN($A164)=4,VALUE(RIGHT($A164,2))&gt;60),$A164&amp;"01 1",$A164),IF(AND(LEN($A164)=4,VALUE(RIGHT($A164,2))&lt;60),GUS_tabl_2!$A$8:$B$464,GUS_tabl_21!$A$5:$B$4886),2,FALSE))),-1)))))</f>
        <v>Powiat wołowski</v>
      </c>
      <c r="D164" s="140">
        <f>IF(OR($A164="",ISERROR(VALUE(LEFT($A164,6)))),"",IF(LEN($A164)=2,SUMIF($A165:$A$2965,$A164&amp;"??",$D165:$D$2965),IF(AND(LEN($A164)=4,VALUE(RIGHT($A164,2))&lt;=60),SUMIF($A165:$A$2965,$A164&amp;"????",$D165:$D$2965),VLOOKUP(IF(LEN($A164)=4,$A164&amp;"01 1",$A164),GUS_tabl_21!$A$5:$F$4886,6,FALSE))))</f>
        <v>46818</v>
      </c>
    </row>
    <row r="165" spans="1:4" s="29" customFormat="1" ht="12" customHeight="1">
      <c r="A165" s="155" t="str">
        <f>"022201 3"</f>
        <v>022201 3</v>
      </c>
      <c r="B165" s="153" t="s">
        <v>40</v>
      </c>
      <c r="C165" s="156" t="str">
        <f>IF(OR($A165="",ISERROR(VALUE(LEFT($A165,6)))),"",IF(LEN($A165)=2,"WOJ. ",IF(LEN($A165)=4,IF(VALUE(RIGHT($A165,2))&gt;60,"","Powiat "),IF(VALUE(RIGHT($A165,1))=1,"m. ",IF(VALUE(RIGHT($A165,1))=2,"gm. w. ",IF(VALUE(RIGHT($A165,1))=8,"dz. ","gm. m.-w. ")))))&amp;IF(LEN($A165)=2,TRIM(UPPER(VLOOKUP($A165,GUS_tabl_1!$A$7:$B$22,2,FALSE))),IF(ISERROR(FIND("..",TRIM(VLOOKUP(IF(AND(LEN($A165)=4,VALUE(RIGHT($A165,2))&gt;60),$A165&amp;"01 1",$A165),IF(AND(LEN($A165)=4,VALUE(RIGHT($A165,2))&lt;60),GUS_tabl_2!$A$8:$B$464,GUS_tabl_21!$A$5:$B$4886),2,FALSE)))),TRIM(VLOOKUP(IF(AND(LEN($A165)=4,VALUE(RIGHT($A165,2))&gt;60),$A165&amp;"01 1",$A165),IF(AND(LEN($A165)=4,VALUE(RIGHT($A165,2))&lt;60),GUS_tabl_2!$A$8:$B$464,GUS_tabl_21!$A$5:$B$4886),2,FALSE)),LEFT(TRIM(VLOOKUP(IF(AND(LEN($A165)=4,VALUE(RIGHT($A165,2))&gt;60),$A165&amp;"01 1",$A165),IF(AND(LEN($A165)=4,VALUE(RIGHT($A165,2))&lt;60),GUS_tabl_2!$A$8:$B$464,GUS_tabl_21!$A$5:$B$4886),2,FALSE)),SUM(FIND("..",TRIM(VLOOKUP(IF(AND(LEN($A165)=4,VALUE(RIGHT($A165,2))&gt;60),$A165&amp;"01 1",$A165),IF(AND(LEN($A165)=4,VALUE(RIGHT($A165,2))&lt;60),GUS_tabl_2!$A$8:$B$464,GUS_tabl_21!$A$5:$B$4886),2,FALSE))),-1)))))</f>
        <v>gm. m.-w. Brzeg Dolny</v>
      </c>
      <c r="D165" s="141">
        <f>IF(OR($A165="",ISERROR(VALUE(LEFT($A165,6)))),"",IF(LEN($A165)=2,SUMIF($A166:$A$2965,$A165&amp;"??",$D166:$D$2965),IF(AND(LEN($A165)=4,VALUE(RIGHT($A165,2))&lt;=60),SUMIF($A166:$A$2965,$A165&amp;"????",$D166:$D$2965),VLOOKUP(IF(LEN($A165)=4,$A165&amp;"01 1",$A165),GUS_tabl_21!$A$5:$F$4886,6,FALSE))))</f>
        <v>16134</v>
      </c>
    </row>
    <row r="166" spans="1:4" s="29" customFormat="1" ht="12" customHeight="1">
      <c r="A166" s="155" t="str">
        <f>"022202 2"</f>
        <v>022202 2</v>
      </c>
      <c r="B166" s="153" t="s">
        <v>40</v>
      </c>
      <c r="C166" s="156" t="str">
        <f>IF(OR($A166="",ISERROR(VALUE(LEFT($A166,6)))),"",IF(LEN($A166)=2,"WOJ. ",IF(LEN($A166)=4,IF(VALUE(RIGHT($A166,2))&gt;60,"","Powiat "),IF(VALUE(RIGHT($A166,1))=1,"m. ",IF(VALUE(RIGHT($A166,1))=2,"gm. w. ",IF(VALUE(RIGHT($A166,1))=8,"dz. ","gm. m.-w. ")))))&amp;IF(LEN($A166)=2,TRIM(UPPER(VLOOKUP($A166,GUS_tabl_1!$A$7:$B$22,2,FALSE))),IF(ISERROR(FIND("..",TRIM(VLOOKUP(IF(AND(LEN($A166)=4,VALUE(RIGHT($A166,2))&gt;60),$A166&amp;"01 1",$A166),IF(AND(LEN($A166)=4,VALUE(RIGHT($A166,2))&lt;60),GUS_tabl_2!$A$8:$B$464,GUS_tabl_21!$A$5:$B$4886),2,FALSE)))),TRIM(VLOOKUP(IF(AND(LEN($A166)=4,VALUE(RIGHT($A166,2))&gt;60),$A166&amp;"01 1",$A166),IF(AND(LEN($A166)=4,VALUE(RIGHT($A166,2))&lt;60),GUS_tabl_2!$A$8:$B$464,GUS_tabl_21!$A$5:$B$4886),2,FALSE)),LEFT(TRIM(VLOOKUP(IF(AND(LEN($A166)=4,VALUE(RIGHT($A166,2))&gt;60),$A166&amp;"01 1",$A166),IF(AND(LEN($A166)=4,VALUE(RIGHT($A166,2))&lt;60),GUS_tabl_2!$A$8:$B$464,GUS_tabl_21!$A$5:$B$4886),2,FALSE)),SUM(FIND("..",TRIM(VLOOKUP(IF(AND(LEN($A166)=4,VALUE(RIGHT($A166,2))&gt;60),$A166&amp;"01 1",$A166),IF(AND(LEN($A166)=4,VALUE(RIGHT($A166,2))&lt;60),GUS_tabl_2!$A$8:$B$464,GUS_tabl_21!$A$5:$B$4886),2,FALSE))),-1)))))</f>
        <v>gm. w. Wińsko</v>
      </c>
      <c r="D166" s="141">
        <f>IF(OR($A166="",ISERROR(VALUE(LEFT($A166,6)))),"",IF(LEN($A166)=2,SUMIF($A167:$A$2965,$A166&amp;"??",$D167:$D$2965),IF(AND(LEN($A166)=4,VALUE(RIGHT($A166,2))&lt;=60),SUMIF($A167:$A$2965,$A166&amp;"????",$D167:$D$2965),VLOOKUP(IF(LEN($A166)=4,$A166&amp;"01 1",$A166),GUS_tabl_21!$A$5:$F$4886,6,FALSE))))</f>
        <v>8274</v>
      </c>
    </row>
    <row r="167" spans="1:4" s="29" customFormat="1" ht="12" customHeight="1">
      <c r="A167" s="155" t="str">
        <f>"022203 3"</f>
        <v>022203 3</v>
      </c>
      <c r="B167" s="153" t="s">
        <v>40</v>
      </c>
      <c r="C167" s="156" t="str">
        <f>IF(OR($A167="",ISERROR(VALUE(LEFT($A167,6)))),"",IF(LEN($A167)=2,"WOJ. ",IF(LEN($A167)=4,IF(VALUE(RIGHT($A167,2))&gt;60,"","Powiat "),IF(VALUE(RIGHT($A167,1))=1,"m. ",IF(VALUE(RIGHT($A167,1))=2,"gm. w. ",IF(VALUE(RIGHT($A167,1))=8,"dz. ","gm. m.-w. ")))))&amp;IF(LEN($A167)=2,TRIM(UPPER(VLOOKUP($A167,GUS_tabl_1!$A$7:$B$22,2,FALSE))),IF(ISERROR(FIND("..",TRIM(VLOOKUP(IF(AND(LEN($A167)=4,VALUE(RIGHT($A167,2))&gt;60),$A167&amp;"01 1",$A167),IF(AND(LEN($A167)=4,VALUE(RIGHT($A167,2))&lt;60),GUS_tabl_2!$A$8:$B$464,GUS_tabl_21!$A$5:$B$4886),2,FALSE)))),TRIM(VLOOKUP(IF(AND(LEN($A167)=4,VALUE(RIGHT($A167,2))&gt;60),$A167&amp;"01 1",$A167),IF(AND(LEN($A167)=4,VALUE(RIGHT($A167,2))&lt;60),GUS_tabl_2!$A$8:$B$464,GUS_tabl_21!$A$5:$B$4886),2,FALSE)),LEFT(TRIM(VLOOKUP(IF(AND(LEN($A167)=4,VALUE(RIGHT($A167,2))&gt;60),$A167&amp;"01 1",$A167),IF(AND(LEN($A167)=4,VALUE(RIGHT($A167,2))&lt;60),GUS_tabl_2!$A$8:$B$464,GUS_tabl_21!$A$5:$B$4886),2,FALSE)),SUM(FIND("..",TRIM(VLOOKUP(IF(AND(LEN($A167)=4,VALUE(RIGHT($A167,2))&gt;60),$A167&amp;"01 1",$A167),IF(AND(LEN($A167)=4,VALUE(RIGHT($A167,2))&lt;60),GUS_tabl_2!$A$8:$B$464,GUS_tabl_21!$A$5:$B$4886),2,FALSE))),-1)))))</f>
        <v>gm. m.-w. Wołów</v>
      </c>
      <c r="D167" s="141">
        <f>IF(OR($A167="",ISERROR(VALUE(LEFT($A167,6)))),"",IF(LEN($A167)=2,SUMIF($A168:$A$2965,$A167&amp;"??",$D168:$D$2965),IF(AND(LEN($A167)=4,VALUE(RIGHT($A167,2))&lt;=60),SUMIF($A168:$A$2965,$A167&amp;"????",$D168:$D$2965),VLOOKUP(IF(LEN($A167)=4,$A167&amp;"01 1",$A167),GUS_tabl_21!$A$5:$F$4886,6,FALSE))))</f>
        <v>22410</v>
      </c>
    </row>
    <row r="168" spans="1:4" s="29" customFormat="1" ht="12" customHeight="1">
      <c r="A168" s="152" t="str">
        <f>"0223"</f>
        <v>0223</v>
      </c>
      <c r="B168" s="153" t="s">
        <v>40</v>
      </c>
      <c r="C168" s="154" t="str">
        <f>IF(OR($A168="",ISERROR(VALUE(LEFT($A168,6)))),"",IF(LEN($A168)=2,"WOJ. ",IF(LEN($A168)=4,IF(VALUE(RIGHT($A168,2))&gt;60,"","Powiat "),IF(VALUE(RIGHT($A168,1))=1,"m. ",IF(VALUE(RIGHT($A168,1))=2,"gm. w. ",IF(VALUE(RIGHT($A168,1))=8,"dz. ","gm. m.-w. ")))))&amp;IF(LEN($A168)=2,TRIM(UPPER(VLOOKUP($A168,GUS_tabl_1!$A$7:$B$22,2,FALSE))),IF(ISERROR(FIND("..",TRIM(VLOOKUP(IF(AND(LEN($A168)=4,VALUE(RIGHT($A168,2))&gt;60),$A168&amp;"01 1",$A168),IF(AND(LEN($A168)=4,VALUE(RIGHT($A168,2))&lt;60),GUS_tabl_2!$A$8:$B$464,GUS_tabl_21!$A$5:$B$4886),2,FALSE)))),TRIM(VLOOKUP(IF(AND(LEN($A168)=4,VALUE(RIGHT($A168,2))&gt;60),$A168&amp;"01 1",$A168),IF(AND(LEN($A168)=4,VALUE(RIGHT($A168,2))&lt;60),GUS_tabl_2!$A$8:$B$464,GUS_tabl_21!$A$5:$B$4886),2,FALSE)),LEFT(TRIM(VLOOKUP(IF(AND(LEN($A168)=4,VALUE(RIGHT($A168,2))&gt;60),$A168&amp;"01 1",$A168),IF(AND(LEN($A168)=4,VALUE(RIGHT($A168,2))&lt;60),GUS_tabl_2!$A$8:$B$464,GUS_tabl_21!$A$5:$B$4886),2,FALSE)),SUM(FIND("..",TRIM(VLOOKUP(IF(AND(LEN($A168)=4,VALUE(RIGHT($A168,2))&gt;60),$A168&amp;"01 1",$A168),IF(AND(LEN($A168)=4,VALUE(RIGHT($A168,2))&lt;60),GUS_tabl_2!$A$8:$B$464,GUS_tabl_21!$A$5:$B$4886),2,FALSE))),-1)))))</f>
        <v>Powiat wrocławski</v>
      </c>
      <c r="D168" s="140">
        <f>IF(OR($A168="",ISERROR(VALUE(LEFT($A168,6)))),"",IF(LEN($A168)=2,SUMIF($A169:$A$2965,$A168&amp;"??",$D169:$D$2965),IF(AND(LEN($A168)=4,VALUE(RIGHT($A168,2))&lt;=60),SUMIF($A169:$A$2965,$A168&amp;"????",$D169:$D$2965),VLOOKUP(IF(LEN($A168)=4,$A168&amp;"01 1",$A168),GUS_tabl_21!$A$5:$F$4886,6,FALSE))))</f>
        <v>151385</v>
      </c>
    </row>
    <row r="169" spans="1:4" s="29" customFormat="1" ht="12" customHeight="1">
      <c r="A169" s="155" t="str">
        <f>"022301 2"</f>
        <v>022301 2</v>
      </c>
      <c r="B169" s="153" t="s">
        <v>40</v>
      </c>
      <c r="C169" s="156" t="str">
        <f>IF(OR($A169="",ISERROR(VALUE(LEFT($A169,6)))),"",IF(LEN($A169)=2,"WOJ. ",IF(LEN($A169)=4,IF(VALUE(RIGHT($A169,2))&gt;60,"","Powiat "),IF(VALUE(RIGHT($A169,1))=1,"m. ",IF(VALUE(RIGHT($A169,1))=2,"gm. w. ",IF(VALUE(RIGHT($A169,1))=8,"dz. ","gm. m.-w. ")))))&amp;IF(LEN($A169)=2,TRIM(UPPER(VLOOKUP($A169,GUS_tabl_1!$A$7:$B$22,2,FALSE))),IF(ISERROR(FIND("..",TRIM(VLOOKUP(IF(AND(LEN($A169)=4,VALUE(RIGHT($A169,2))&gt;60),$A169&amp;"01 1",$A169),IF(AND(LEN($A169)=4,VALUE(RIGHT($A169,2))&lt;60),GUS_tabl_2!$A$8:$B$464,GUS_tabl_21!$A$5:$B$4886),2,FALSE)))),TRIM(VLOOKUP(IF(AND(LEN($A169)=4,VALUE(RIGHT($A169,2))&gt;60),$A169&amp;"01 1",$A169),IF(AND(LEN($A169)=4,VALUE(RIGHT($A169,2))&lt;60),GUS_tabl_2!$A$8:$B$464,GUS_tabl_21!$A$5:$B$4886),2,FALSE)),LEFT(TRIM(VLOOKUP(IF(AND(LEN($A169)=4,VALUE(RIGHT($A169,2))&gt;60),$A169&amp;"01 1",$A169),IF(AND(LEN($A169)=4,VALUE(RIGHT($A169,2))&lt;60),GUS_tabl_2!$A$8:$B$464,GUS_tabl_21!$A$5:$B$4886),2,FALSE)),SUM(FIND("..",TRIM(VLOOKUP(IF(AND(LEN($A169)=4,VALUE(RIGHT($A169,2))&gt;60),$A169&amp;"01 1",$A169),IF(AND(LEN($A169)=4,VALUE(RIGHT($A169,2))&lt;60),GUS_tabl_2!$A$8:$B$464,GUS_tabl_21!$A$5:$B$4886),2,FALSE))),-1)))))</f>
        <v>gm. w. Czernica</v>
      </c>
      <c r="D169" s="141">
        <f>IF(OR($A169="",ISERROR(VALUE(LEFT($A169,6)))),"",IF(LEN($A169)=2,SUMIF($A170:$A$2965,$A169&amp;"??",$D170:$D$2965),IF(AND(LEN($A169)=4,VALUE(RIGHT($A169,2))&lt;=60),SUMIF($A170:$A$2965,$A169&amp;"????",$D170:$D$2965),VLOOKUP(IF(LEN($A169)=4,$A169&amp;"01 1",$A169),GUS_tabl_21!$A$5:$F$4886,6,FALSE))))</f>
        <v>16619</v>
      </c>
    </row>
    <row r="170" spans="1:4" s="29" customFormat="1" ht="12" customHeight="1">
      <c r="A170" s="155" t="str">
        <f>"022302 2"</f>
        <v>022302 2</v>
      </c>
      <c r="B170" s="153" t="s">
        <v>40</v>
      </c>
      <c r="C170" s="156" t="str">
        <f>IF(OR($A170="",ISERROR(VALUE(LEFT($A170,6)))),"",IF(LEN($A170)=2,"WOJ. ",IF(LEN($A170)=4,IF(VALUE(RIGHT($A170,2))&gt;60,"","Powiat "),IF(VALUE(RIGHT($A170,1))=1,"m. ",IF(VALUE(RIGHT($A170,1))=2,"gm. w. ",IF(VALUE(RIGHT($A170,1))=8,"dz. ","gm. m.-w. ")))))&amp;IF(LEN($A170)=2,TRIM(UPPER(VLOOKUP($A170,GUS_tabl_1!$A$7:$B$22,2,FALSE))),IF(ISERROR(FIND("..",TRIM(VLOOKUP(IF(AND(LEN($A170)=4,VALUE(RIGHT($A170,2))&gt;60),$A170&amp;"01 1",$A170),IF(AND(LEN($A170)=4,VALUE(RIGHT($A170,2))&lt;60),GUS_tabl_2!$A$8:$B$464,GUS_tabl_21!$A$5:$B$4886),2,FALSE)))),TRIM(VLOOKUP(IF(AND(LEN($A170)=4,VALUE(RIGHT($A170,2))&gt;60),$A170&amp;"01 1",$A170),IF(AND(LEN($A170)=4,VALUE(RIGHT($A170,2))&lt;60),GUS_tabl_2!$A$8:$B$464,GUS_tabl_21!$A$5:$B$4886),2,FALSE)),LEFT(TRIM(VLOOKUP(IF(AND(LEN($A170)=4,VALUE(RIGHT($A170,2))&gt;60),$A170&amp;"01 1",$A170),IF(AND(LEN($A170)=4,VALUE(RIGHT($A170,2))&lt;60),GUS_tabl_2!$A$8:$B$464,GUS_tabl_21!$A$5:$B$4886),2,FALSE)),SUM(FIND("..",TRIM(VLOOKUP(IF(AND(LEN($A170)=4,VALUE(RIGHT($A170,2))&gt;60),$A170&amp;"01 1",$A170),IF(AND(LEN($A170)=4,VALUE(RIGHT($A170,2))&lt;60),GUS_tabl_2!$A$8:$B$464,GUS_tabl_21!$A$5:$B$4886),2,FALSE))),-1)))))</f>
        <v>gm. w. Długołęka</v>
      </c>
      <c r="D170" s="141">
        <f>IF(OR($A170="",ISERROR(VALUE(LEFT($A170,6)))),"",IF(LEN($A170)=2,SUMIF($A171:$A$2965,$A170&amp;"??",$D171:$D$2965),IF(AND(LEN($A170)=4,VALUE(RIGHT($A170,2))&lt;=60),SUMIF($A171:$A$2965,$A170&amp;"????",$D171:$D$2965),VLOOKUP(IF(LEN($A170)=4,$A170&amp;"01 1",$A170),GUS_tabl_21!$A$5:$F$4886,6,FALSE))))</f>
        <v>33838</v>
      </c>
    </row>
    <row r="171" spans="1:4" s="29" customFormat="1" ht="12" customHeight="1">
      <c r="A171" s="155" t="str">
        <f>"022303 2"</f>
        <v>022303 2</v>
      </c>
      <c r="B171" s="153" t="s">
        <v>40</v>
      </c>
      <c r="C171" s="156" t="str">
        <f>IF(OR($A171="",ISERROR(VALUE(LEFT($A171,6)))),"",IF(LEN($A171)=2,"WOJ. ",IF(LEN($A171)=4,IF(VALUE(RIGHT($A171,2))&gt;60,"","Powiat "),IF(VALUE(RIGHT($A171,1))=1,"m. ",IF(VALUE(RIGHT($A171,1))=2,"gm. w. ",IF(VALUE(RIGHT($A171,1))=8,"dz. ","gm. m.-w. ")))))&amp;IF(LEN($A171)=2,TRIM(UPPER(VLOOKUP($A171,GUS_tabl_1!$A$7:$B$22,2,FALSE))),IF(ISERROR(FIND("..",TRIM(VLOOKUP(IF(AND(LEN($A171)=4,VALUE(RIGHT($A171,2))&gt;60),$A171&amp;"01 1",$A171),IF(AND(LEN($A171)=4,VALUE(RIGHT($A171,2))&lt;60),GUS_tabl_2!$A$8:$B$464,GUS_tabl_21!$A$5:$B$4886),2,FALSE)))),TRIM(VLOOKUP(IF(AND(LEN($A171)=4,VALUE(RIGHT($A171,2))&gt;60),$A171&amp;"01 1",$A171),IF(AND(LEN($A171)=4,VALUE(RIGHT($A171,2))&lt;60),GUS_tabl_2!$A$8:$B$464,GUS_tabl_21!$A$5:$B$4886),2,FALSE)),LEFT(TRIM(VLOOKUP(IF(AND(LEN($A171)=4,VALUE(RIGHT($A171,2))&gt;60),$A171&amp;"01 1",$A171),IF(AND(LEN($A171)=4,VALUE(RIGHT($A171,2))&lt;60),GUS_tabl_2!$A$8:$B$464,GUS_tabl_21!$A$5:$B$4886),2,FALSE)),SUM(FIND("..",TRIM(VLOOKUP(IF(AND(LEN($A171)=4,VALUE(RIGHT($A171,2))&gt;60),$A171&amp;"01 1",$A171),IF(AND(LEN($A171)=4,VALUE(RIGHT($A171,2))&lt;60),GUS_tabl_2!$A$8:$B$464,GUS_tabl_21!$A$5:$B$4886),2,FALSE))),-1)))))</f>
        <v>gm. w. Jordanów Śląski</v>
      </c>
      <c r="D171" s="141">
        <f>IF(OR($A171="",ISERROR(VALUE(LEFT($A171,6)))),"",IF(LEN($A171)=2,SUMIF($A172:$A$2965,$A171&amp;"??",$D172:$D$2965),IF(AND(LEN($A171)=4,VALUE(RIGHT($A171,2))&lt;=60),SUMIF($A172:$A$2965,$A171&amp;"????",$D172:$D$2965),VLOOKUP(IF(LEN($A171)=4,$A171&amp;"01 1",$A171),GUS_tabl_21!$A$5:$F$4886,6,FALSE))))</f>
        <v>3179</v>
      </c>
    </row>
    <row r="172" spans="1:4" s="29" customFormat="1" ht="12" customHeight="1">
      <c r="A172" s="155" t="str">
        <f>"022304 3"</f>
        <v>022304 3</v>
      </c>
      <c r="B172" s="153" t="s">
        <v>40</v>
      </c>
      <c r="C172" s="156" t="str">
        <f>IF(OR($A172="",ISERROR(VALUE(LEFT($A172,6)))),"",IF(LEN($A172)=2,"WOJ. ",IF(LEN($A172)=4,IF(VALUE(RIGHT($A172,2))&gt;60,"","Powiat "),IF(VALUE(RIGHT($A172,1))=1,"m. ",IF(VALUE(RIGHT($A172,1))=2,"gm. w. ",IF(VALUE(RIGHT($A172,1))=8,"dz. ","gm. m.-w. ")))))&amp;IF(LEN($A172)=2,TRIM(UPPER(VLOOKUP($A172,GUS_tabl_1!$A$7:$B$22,2,FALSE))),IF(ISERROR(FIND("..",TRIM(VLOOKUP(IF(AND(LEN($A172)=4,VALUE(RIGHT($A172,2))&gt;60),$A172&amp;"01 1",$A172),IF(AND(LEN($A172)=4,VALUE(RIGHT($A172,2))&lt;60),GUS_tabl_2!$A$8:$B$464,GUS_tabl_21!$A$5:$B$4886),2,FALSE)))),TRIM(VLOOKUP(IF(AND(LEN($A172)=4,VALUE(RIGHT($A172,2))&gt;60),$A172&amp;"01 1",$A172),IF(AND(LEN($A172)=4,VALUE(RIGHT($A172,2))&lt;60),GUS_tabl_2!$A$8:$B$464,GUS_tabl_21!$A$5:$B$4886),2,FALSE)),LEFT(TRIM(VLOOKUP(IF(AND(LEN($A172)=4,VALUE(RIGHT($A172,2))&gt;60),$A172&amp;"01 1",$A172),IF(AND(LEN($A172)=4,VALUE(RIGHT($A172,2))&lt;60),GUS_tabl_2!$A$8:$B$464,GUS_tabl_21!$A$5:$B$4886),2,FALSE)),SUM(FIND("..",TRIM(VLOOKUP(IF(AND(LEN($A172)=4,VALUE(RIGHT($A172,2))&gt;60),$A172&amp;"01 1",$A172),IF(AND(LEN($A172)=4,VALUE(RIGHT($A172,2))&lt;60),GUS_tabl_2!$A$8:$B$464,GUS_tabl_21!$A$5:$B$4886),2,FALSE))),-1)))))</f>
        <v>gm. m.-w. Kąty Wrocławskie</v>
      </c>
      <c r="D172" s="141">
        <f>IF(OR($A172="",ISERROR(VALUE(LEFT($A172,6)))),"",IF(LEN($A172)=2,SUMIF($A173:$A$2965,$A172&amp;"??",$D173:$D$2965),IF(AND(LEN($A172)=4,VALUE(RIGHT($A172,2))&lt;=60),SUMIF($A173:$A$2965,$A172&amp;"????",$D173:$D$2965),VLOOKUP(IF(LEN($A172)=4,$A172&amp;"01 1",$A172),GUS_tabl_21!$A$5:$F$4886,6,FALSE))))</f>
        <v>25282</v>
      </c>
    </row>
    <row r="173" spans="1:4" s="29" customFormat="1" ht="12" customHeight="1">
      <c r="A173" s="155" t="str">
        <f>"022305 2"</f>
        <v>022305 2</v>
      </c>
      <c r="B173" s="153" t="s">
        <v>40</v>
      </c>
      <c r="C173" s="156" t="str">
        <f>IF(OR($A173="",ISERROR(VALUE(LEFT($A173,6)))),"",IF(LEN($A173)=2,"WOJ. ",IF(LEN($A173)=4,IF(VALUE(RIGHT($A173,2))&gt;60,"","Powiat "),IF(VALUE(RIGHT($A173,1))=1,"m. ",IF(VALUE(RIGHT($A173,1))=2,"gm. w. ",IF(VALUE(RIGHT($A173,1))=8,"dz. ","gm. m.-w. ")))))&amp;IF(LEN($A173)=2,TRIM(UPPER(VLOOKUP($A173,GUS_tabl_1!$A$7:$B$22,2,FALSE))),IF(ISERROR(FIND("..",TRIM(VLOOKUP(IF(AND(LEN($A173)=4,VALUE(RIGHT($A173,2))&gt;60),$A173&amp;"01 1",$A173),IF(AND(LEN($A173)=4,VALUE(RIGHT($A173,2))&lt;60),GUS_tabl_2!$A$8:$B$464,GUS_tabl_21!$A$5:$B$4886),2,FALSE)))),TRIM(VLOOKUP(IF(AND(LEN($A173)=4,VALUE(RIGHT($A173,2))&gt;60),$A173&amp;"01 1",$A173),IF(AND(LEN($A173)=4,VALUE(RIGHT($A173,2))&lt;60),GUS_tabl_2!$A$8:$B$464,GUS_tabl_21!$A$5:$B$4886),2,FALSE)),LEFT(TRIM(VLOOKUP(IF(AND(LEN($A173)=4,VALUE(RIGHT($A173,2))&gt;60),$A173&amp;"01 1",$A173),IF(AND(LEN($A173)=4,VALUE(RIGHT($A173,2))&lt;60),GUS_tabl_2!$A$8:$B$464,GUS_tabl_21!$A$5:$B$4886),2,FALSE)),SUM(FIND("..",TRIM(VLOOKUP(IF(AND(LEN($A173)=4,VALUE(RIGHT($A173,2))&gt;60),$A173&amp;"01 1",$A173),IF(AND(LEN($A173)=4,VALUE(RIGHT($A173,2))&lt;60),GUS_tabl_2!$A$8:$B$464,GUS_tabl_21!$A$5:$B$4886),2,FALSE))),-1)))))</f>
        <v>gm. w. Kobierzyce</v>
      </c>
      <c r="D173" s="141">
        <f>IF(OR($A173="",ISERROR(VALUE(LEFT($A173,6)))),"",IF(LEN($A173)=2,SUMIF($A174:$A$2965,$A173&amp;"??",$D174:$D$2965),IF(AND(LEN($A173)=4,VALUE(RIGHT($A173,2))&lt;=60),SUMIF($A174:$A$2965,$A173&amp;"????",$D174:$D$2965),VLOOKUP(IF(LEN($A173)=4,$A173&amp;"01 1",$A173),GUS_tabl_21!$A$5:$F$4886,6,FALSE))))</f>
        <v>21760</v>
      </c>
    </row>
    <row r="174" spans="1:4" s="29" customFormat="1" ht="12" customHeight="1">
      <c r="A174" s="155" t="str">
        <f>"022306 2"</f>
        <v>022306 2</v>
      </c>
      <c r="B174" s="153" t="s">
        <v>40</v>
      </c>
      <c r="C174" s="156" t="str">
        <f>IF(OR($A174="",ISERROR(VALUE(LEFT($A174,6)))),"",IF(LEN($A174)=2,"WOJ. ",IF(LEN($A174)=4,IF(VALUE(RIGHT($A174,2))&gt;60,"","Powiat "),IF(VALUE(RIGHT($A174,1))=1,"m. ",IF(VALUE(RIGHT($A174,1))=2,"gm. w. ",IF(VALUE(RIGHT($A174,1))=8,"dz. ","gm. m.-w. ")))))&amp;IF(LEN($A174)=2,TRIM(UPPER(VLOOKUP($A174,GUS_tabl_1!$A$7:$B$22,2,FALSE))),IF(ISERROR(FIND("..",TRIM(VLOOKUP(IF(AND(LEN($A174)=4,VALUE(RIGHT($A174,2))&gt;60),$A174&amp;"01 1",$A174),IF(AND(LEN($A174)=4,VALUE(RIGHT($A174,2))&lt;60),GUS_tabl_2!$A$8:$B$464,GUS_tabl_21!$A$5:$B$4886),2,FALSE)))),TRIM(VLOOKUP(IF(AND(LEN($A174)=4,VALUE(RIGHT($A174,2))&gt;60),$A174&amp;"01 1",$A174),IF(AND(LEN($A174)=4,VALUE(RIGHT($A174,2))&lt;60),GUS_tabl_2!$A$8:$B$464,GUS_tabl_21!$A$5:$B$4886),2,FALSE)),LEFT(TRIM(VLOOKUP(IF(AND(LEN($A174)=4,VALUE(RIGHT($A174,2))&gt;60),$A174&amp;"01 1",$A174),IF(AND(LEN($A174)=4,VALUE(RIGHT($A174,2))&lt;60),GUS_tabl_2!$A$8:$B$464,GUS_tabl_21!$A$5:$B$4886),2,FALSE)),SUM(FIND("..",TRIM(VLOOKUP(IF(AND(LEN($A174)=4,VALUE(RIGHT($A174,2))&gt;60),$A174&amp;"01 1",$A174),IF(AND(LEN($A174)=4,VALUE(RIGHT($A174,2))&lt;60),GUS_tabl_2!$A$8:$B$464,GUS_tabl_21!$A$5:$B$4886),2,FALSE))),-1)))))</f>
        <v>gm. w. Mietków</v>
      </c>
      <c r="D174" s="141">
        <f>IF(OR($A174="",ISERROR(VALUE(LEFT($A174,6)))),"",IF(LEN($A174)=2,SUMIF($A175:$A$2965,$A174&amp;"??",$D175:$D$2965),IF(AND(LEN($A174)=4,VALUE(RIGHT($A174,2))&lt;=60),SUMIF($A175:$A$2965,$A174&amp;"????",$D175:$D$2965),VLOOKUP(IF(LEN($A174)=4,$A174&amp;"01 1",$A174),GUS_tabl_21!$A$5:$F$4886,6,FALSE))))</f>
        <v>3759</v>
      </c>
    </row>
    <row r="175" spans="1:4" s="29" customFormat="1" ht="12" customHeight="1">
      <c r="A175" s="155" t="str">
        <f>"022307 3"</f>
        <v>022307 3</v>
      </c>
      <c r="B175" s="153" t="s">
        <v>40</v>
      </c>
      <c r="C175" s="156" t="str">
        <f>IF(OR($A175="",ISERROR(VALUE(LEFT($A175,6)))),"",IF(LEN($A175)=2,"WOJ. ",IF(LEN($A175)=4,IF(VALUE(RIGHT($A175,2))&gt;60,"","Powiat "),IF(VALUE(RIGHT($A175,1))=1,"m. ",IF(VALUE(RIGHT($A175,1))=2,"gm. w. ",IF(VALUE(RIGHT($A175,1))=8,"dz. ","gm. m.-w. ")))))&amp;IF(LEN($A175)=2,TRIM(UPPER(VLOOKUP($A175,GUS_tabl_1!$A$7:$B$22,2,FALSE))),IF(ISERROR(FIND("..",TRIM(VLOOKUP(IF(AND(LEN($A175)=4,VALUE(RIGHT($A175,2))&gt;60),$A175&amp;"01 1",$A175),IF(AND(LEN($A175)=4,VALUE(RIGHT($A175,2))&lt;60),GUS_tabl_2!$A$8:$B$464,GUS_tabl_21!$A$5:$B$4886),2,FALSE)))),TRIM(VLOOKUP(IF(AND(LEN($A175)=4,VALUE(RIGHT($A175,2))&gt;60),$A175&amp;"01 1",$A175),IF(AND(LEN($A175)=4,VALUE(RIGHT($A175,2))&lt;60),GUS_tabl_2!$A$8:$B$464,GUS_tabl_21!$A$5:$B$4886),2,FALSE)),LEFT(TRIM(VLOOKUP(IF(AND(LEN($A175)=4,VALUE(RIGHT($A175,2))&gt;60),$A175&amp;"01 1",$A175),IF(AND(LEN($A175)=4,VALUE(RIGHT($A175,2))&lt;60),GUS_tabl_2!$A$8:$B$464,GUS_tabl_21!$A$5:$B$4886),2,FALSE)),SUM(FIND("..",TRIM(VLOOKUP(IF(AND(LEN($A175)=4,VALUE(RIGHT($A175,2))&gt;60),$A175&amp;"01 1",$A175),IF(AND(LEN($A175)=4,VALUE(RIGHT($A175,2))&lt;60),GUS_tabl_2!$A$8:$B$464,GUS_tabl_21!$A$5:$B$4886),2,FALSE))),-1)))))</f>
        <v>gm. m.-w. Sobótka</v>
      </c>
      <c r="D175" s="141">
        <f>IF(OR($A175="",ISERROR(VALUE(LEFT($A175,6)))),"",IF(LEN($A175)=2,SUMIF($A176:$A$2965,$A175&amp;"??",$D176:$D$2965),IF(AND(LEN($A175)=4,VALUE(RIGHT($A175,2))&lt;=60),SUMIF($A176:$A$2965,$A175&amp;"????",$D176:$D$2965),VLOOKUP(IF(LEN($A175)=4,$A175&amp;"01 1",$A175),GUS_tabl_21!$A$5:$F$4886,6,FALSE))))</f>
        <v>12914</v>
      </c>
    </row>
    <row r="176" spans="1:4" s="29" customFormat="1" ht="12" customHeight="1">
      <c r="A176" s="155" t="str">
        <f>"022308 3"</f>
        <v>022308 3</v>
      </c>
      <c r="B176" s="153" t="s">
        <v>40</v>
      </c>
      <c r="C176" s="156" t="str">
        <f>IF(OR($A176="",ISERROR(VALUE(LEFT($A176,6)))),"",IF(LEN($A176)=2,"WOJ. ",IF(LEN($A176)=4,IF(VALUE(RIGHT($A176,2))&gt;60,"","Powiat "),IF(VALUE(RIGHT($A176,1))=1,"m. ",IF(VALUE(RIGHT($A176,1))=2,"gm. w. ",IF(VALUE(RIGHT($A176,1))=8,"dz. ","gm. m.-w. ")))))&amp;IF(LEN($A176)=2,TRIM(UPPER(VLOOKUP($A176,GUS_tabl_1!$A$7:$B$22,2,FALSE))),IF(ISERROR(FIND("..",TRIM(VLOOKUP(IF(AND(LEN($A176)=4,VALUE(RIGHT($A176,2))&gt;60),$A176&amp;"01 1",$A176),IF(AND(LEN($A176)=4,VALUE(RIGHT($A176,2))&lt;60),GUS_tabl_2!$A$8:$B$464,GUS_tabl_21!$A$5:$B$4886),2,FALSE)))),TRIM(VLOOKUP(IF(AND(LEN($A176)=4,VALUE(RIGHT($A176,2))&gt;60),$A176&amp;"01 1",$A176),IF(AND(LEN($A176)=4,VALUE(RIGHT($A176,2))&lt;60),GUS_tabl_2!$A$8:$B$464,GUS_tabl_21!$A$5:$B$4886),2,FALSE)),LEFT(TRIM(VLOOKUP(IF(AND(LEN($A176)=4,VALUE(RIGHT($A176,2))&gt;60),$A176&amp;"01 1",$A176),IF(AND(LEN($A176)=4,VALUE(RIGHT($A176,2))&lt;60),GUS_tabl_2!$A$8:$B$464,GUS_tabl_21!$A$5:$B$4886),2,FALSE)),SUM(FIND("..",TRIM(VLOOKUP(IF(AND(LEN($A176)=4,VALUE(RIGHT($A176,2))&gt;60),$A176&amp;"01 1",$A176),IF(AND(LEN($A176)=4,VALUE(RIGHT($A176,2))&lt;60),GUS_tabl_2!$A$8:$B$464,GUS_tabl_21!$A$5:$B$4886),2,FALSE))),-1)))))</f>
        <v>gm. m.-w. Siechnice</v>
      </c>
      <c r="D176" s="141">
        <f>IF(OR($A176="",ISERROR(VALUE(LEFT($A176,6)))),"",IF(LEN($A176)=2,SUMIF($A177:$A$2965,$A176&amp;"??",$D177:$D$2965),IF(AND(LEN($A176)=4,VALUE(RIGHT($A176,2))&lt;=60),SUMIF($A177:$A$2965,$A176&amp;"????",$D177:$D$2965),VLOOKUP(IF(LEN($A176)=4,$A176&amp;"01 1",$A176),GUS_tabl_21!$A$5:$F$4886,6,FALSE))))</f>
        <v>22878</v>
      </c>
    </row>
    <row r="177" spans="1:4" s="29" customFormat="1" ht="12" customHeight="1">
      <c r="A177" s="155" t="str">
        <f>"022309 2"</f>
        <v>022309 2</v>
      </c>
      <c r="B177" s="153" t="s">
        <v>40</v>
      </c>
      <c r="C177" s="156" t="str">
        <f>IF(OR($A177="",ISERROR(VALUE(LEFT($A177,6)))),"",IF(LEN($A177)=2,"WOJ. ",IF(LEN($A177)=4,IF(VALUE(RIGHT($A177,2))&gt;60,"","Powiat "),IF(VALUE(RIGHT($A177,1))=1,"m. ",IF(VALUE(RIGHT($A177,1))=2,"gm. w. ",IF(VALUE(RIGHT($A177,1))=8,"dz. ","gm. m.-w. ")))))&amp;IF(LEN($A177)=2,TRIM(UPPER(VLOOKUP($A177,GUS_tabl_1!$A$7:$B$22,2,FALSE))),IF(ISERROR(FIND("..",TRIM(VLOOKUP(IF(AND(LEN($A177)=4,VALUE(RIGHT($A177,2))&gt;60),$A177&amp;"01 1",$A177),IF(AND(LEN($A177)=4,VALUE(RIGHT($A177,2))&lt;60),GUS_tabl_2!$A$8:$B$464,GUS_tabl_21!$A$5:$B$4886),2,FALSE)))),TRIM(VLOOKUP(IF(AND(LEN($A177)=4,VALUE(RIGHT($A177,2))&gt;60),$A177&amp;"01 1",$A177),IF(AND(LEN($A177)=4,VALUE(RIGHT($A177,2))&lt;60),GUS_tabl_2!$A$8:$B$464,GUS_tabl_21!$A$5:$B$4886),2,FALSE)),LEFT(TRIM(VLOOKUP(IF(AND(LEN($A177)=4,VALUE(RIGHT($A177,2))&gt;60),$A177&amp;"01 1",$A177),IF(AND(LEN($A177)=4,VALUE(RIGHT($A177,2))&lt;60),GUS_tabl_2!$A$8:$B$464,GUS_tabl_21!$A$5:$B$4886),2,FALSE)),SUM(FIND("..",TRIM(VLOOKUP(IF(AND(LEN($A177)=4,VALUE(RIGHT($A177,2))&gt;60),$A177&amp;"01 1",$A177),IF(AND(LEN($A177)=4,VALUE(RIGHT($A177,2))&lt;60),GUS_tabl_2!$A$8:$B$464,GUS_tabl_21!$A$5:$B$4886),2,FALSE))),-1)))))</f>
        <v>gm. w. Żórawina</v>
      </c>
      <c r="D177" s="141">
        <f>IF(OR($A177="",ISERROR(VALUE(LEFT($A177,6)))),"",IF(LEN($A177)=2,SUMIF($A178:$A$2965,$A177&amp;"??",$D178:$D$2965),IF(AND(LEN($A177)=4,VALUE(RIGHT($A177,2))&lt;=60),SUMIF($A178:$A$2965,$A177&amp;"????",$D178:$D$2965),VLOOKUP(IF(LEN($A177)=4,$A177&amp;"01 1",$A177),GUS_tabl_21!$A$5:$F$4886,6,FALSE))))</f>
        <v>11156</v>
      </c>
    </row>
    <row r="178" spans="1:4" s="29" customFormat="1" ht="12" customHeight="1">
      <c r="A178" s="152" t="str">
        <f>"0224"</f>
        <v>0224</v>
      </c>
      <c r="B178" s="153" t="s">
        <v>40</v>
      </c>
      <c r="C178" s="154" t="str">
        <f>IF(OR($A178="",ISERROR(VALUE(LEFT($A178,6)))),"",IF(LEN($A178)=2,"WOJ. ",IF(LEN($A178)=4,IF(VALUE(RIGHT($A178,2))&gt;60,"","Powiat "),IF(VALUE(RIGHT($A178,1))=1,"m. ",IF(VALUE(RIGHT($A178,1))=2,"gm. w. ",IF(VALUE(RIGHT($A178,1))=8,"dz. ","gm. m.-w. ")))))&amp;IF(LEN($A178)=2,TRIM(UPPER(VLOOKUP($A178,GUS_tabl_1!$A$7:$B$22,2,FALSE))),IF(ISERROR(FIND("..",TRIM(VLOOKUP(IF(AND(LEN($A178)=4,VALUE(RIGHT($A178,2))&gt;60),$A178&amp;"01 1",$A178),IF(AND(LEN($A178)=4,VALUE(RIGHT($A178,2))&lt;60),GUS_tabl_2!$A$8:$B$464,GUS_tabl_21!$A$5:$B$4886),2,FALSE)))),TRIM(VLOOKUP(IF(AND(LEN($A178)=4,VALUE(RIGHT($A178,2))&gt;60),$A178&amp;"01 1",$A178),IF(AND(LEN($A178)=4,VALUE(RIGHT($A178,2))&lt;60),GUS_tabl_2!$A$8:$B$464,GUS_tabl_21!$A$5:$B$4886),2,FALSE)),LEFT(TRIM(VLOOKUP(IF(AND(LEN($A178)=4,VALUE(RIGHT($A178,2))&gt;60),$A178&amp;"01 1",$A178),IF(AND(LEN($A178)=4,VALUE(RIGHT($A178,2))&lt;60),GUS_tabl_2!$A$8:$B$464,GUS_tabl_21!$A$5:$B$4886),2,FALSE)),SUM(FIND("..",TRIM(VLOOKUP(IF(AND(LEN($A178)=4,VALUE(RIGHT($A178,2))&gt;60),$A178&amp;"01 1",$A178),IF(AND(LEN($A178)=4,VALUE(RIGHT($A178,2))&lt;60),GUS_tabl_2!$A$8:$B$464,GUS_tabl_21!$A$5:$B$4886),2,FALSE))),-1)))))</f>
        <v>Powiat ząbkowicki</v>
      </c>
      <c r="D178" s="140">
        <f>IF(OR($A178="",ISERROR(VALUE(LEFT($A178,6)))),"",IF(LEN($A178)=2,SUMIF($A179:$A$2965,$A178&amp;"??",$D179:$D$2965),IF(AND(LEN($A178)=4,VALUE(RIGHT($A178,2))&lt;=60),SUMIF($A179:$A$2965,$A178&amp;"????",$D179:$D$2965),VLOOKUP(IF(LEN($A178)=4,$A178&amp;"01 1",$A178),GUS_tabl_21!$A$5:$F$4886,6,FALSE))))</f>
        <v>64802</v>
      </c>
    </row>
    <row r="179" spans="1:4" s="29" customFormat="1" ht="12" customHeight="1">
      <c r="A179" s="155" t="str">
        <f>"022401 3"</f>
        <v>022401 3</v>
      </c>
      <c r="B179" s="153" t="s">
        <v>40</v>
      </c>
      <c r="C179" s="156" t="str">
        <f>IF(OR($A179="",ISERROR(VALUE(LEFT($A179,6)))),"",IF(LEN($A179)=2,"WOJ. ",IF(LEN($A179)=4,IF(VALUE(RIGHT($A179,2))&gt;60,"","Powiat "),IF(VALUE(RIGHT($A179,1))=1,"m. ",IF(VALUE(RIGHT($A179,1))=2,"gm. w. ",IF(VALUE(RIGHT($A179,1))=8,"dz. ","gm. m.-w. ")))))&amp;IF(LEN($A179)=2,TRIM(UPPER(VLOOKUP($A179,GUS_tabl_1!$A$7:$B$22,2,FALSE))),IF(ISERROR(FIND("..",TRIM(VLOOKUP(IF(AND(LEN($A179)=4,VALUE(RIGHT($A179,2))&gt;60),$A179&amp;"01 1",$A179),IF(AND(LEN($A179)=4,VALUE(RIGHT($A179,2))&lt;60),GUS_tabl_2!$A$8:$B$464,GUS_tabl_21!$A$5:$B$4886),2,FALSE)))),TRIM(VLOOKUP(IF(AND(LEN($A179)=4,VALUE(RIGHT($A179,2))&gt;60),$A179&amp;"01 1",$A179),IF(AND(LEN($A179)=4,VALUE(RIGHT($A179,2))&lt;60),GUS_tabl_2!$A$8:$B$464,GUS_tabl_21!$A$5:$B$4886),2,FALSE)),LEFT(TRIM(VLOOKUP(IF(AND(LEN($A179)=4,VALUE(RIGHT($A179,2))&gt;60),$A179&amp;"01 1",$A179),IF(AND(LEN($A179)=4,VALUE(RIGHT($A179,2))&lt;60),GUS_tabl_2!$A$8:$B$464,GUS_tabl_21!$A$5:$B$4886),2,FALSE)),SUM(FIND("..",TRIM(VLOOKUP(IF(AND(LEN($A179)=4,VALUE(RIGHT($A179,2))&gt;60),$A179&amp;"01 1",$A179),IF(AND(LEN($A179)=4,VALUE(RIGHT($A179,2))&lt;60),GUS_tabl_2!$A$8:$B$464,GUS_tabl_21!$A$5:$B$4886),2,FALSE))),-1)))))</f>
        <v>gm. m.-w. Bardo</v>
      </c>
      <c r="D179" s="141">
        <f>IF(OR($A179="",ISERROR(VALUE(LEFT($A179,6)))),"",IF(LEN($A179)=2,SUMIF($A180:$A$2965,$A179&amp;"??",$D180:$D$2965),IF(AND(LEN($A179)=4,VALUE(RIGHT($A179,2))&lt;=60),SUMIF($A180:$A$2965,$A179&amp;"????",$D180:$D$2965),VLOOKUP(IF(LEN($A179)=4,$A179&amp;"01 1",$A179),GUS_tabl_21!$A$5:$F$4886,6,FALSE))))</f>
        <v>5286</v>
      </c>
    </row>
    <row r="180" spans="1:4" s="29" customFormat="1" ht="12" customHeight="1">
      <c r="A180" s="155" t="str">
        <f>"022402 2"</f>
        <v>022402 2</v>
      </c>
      <c r="B180" s="153" t="s">
        <v>40</v>
      </c>
      <c r="C180" s="156" t="str">
        <f>IF(OR($A180="",ISERROR(VALUE(LEFT($A180,6)))),"",IF(LEN($A180)=2,"WOJ. ",IF(LEN($A180)=4,IF(VALUE(RIGHT($A180,2))&gt;60,"","Powiat "),IF(VALUE(RIGHT($A180,1))=1,"m. ",IF(VALUE(RIGHT($A180,1))=2,"gm. w. ",IF(VALUE(RIGHT($A180,1))=8,"dz. ","gm. m.-w. ")))))&amp;IF(LEN($A180)=2,TRIM(UPPER(VLOOKUP($A180,GUS_tabl_1!$A$7:$B$22,2,FALSE))),IF(ISERROR(FIND("..",TRIM(VLOOKUP(IF(AND(LEN($A180)=4,VALUE(RIGHT($A180,2))&gt;60),$A180&amp;"01 1",$A180),IF(AND(LEN($A180)=4,VALUE(RIGHT($A180,2))&lt;60),GUS_tabl_2!$A$8:$B$464,GUS_tabl_21!$A$5:$B$4886),2,FALSE)))),TRIM(VLOOKUP(IF(AND(LEN($A180)=4,VALUE(RIGHT($A180,2))&gt;60),$A180&amp;"01 1",$A180),IF(AND(LEN($A180)=4,VALUE(RIGHT($A180,2))&lt;60),GUS_tabl_2!$A$8:$B$464,GUS_tabl_21!$A$5:$B$4886),2,FALSE)),LEFT(TRIM(VLOOKUP(IF(AND(LEN($A180)=4,VALUE(RIGHT($A180,2))&gt;60),$A180&amp;"01 1",$A180),IF(AND(LEN($A180)=4,VALUE(RIGHT($A180,2))&lt;60),GUS_tabl_2!$A$8:$B$464,GUS_tabl_21!$A$5:$B$4886),2,FALSE)),SUM(FIND("..",TRIM(VLOOKUP(IF(AND(LEN($A180)=4,VALUE(RIGHT($A180,2))&gt;60),$A180&amp;"01 1",$A180),IF(AND(LEN($A180)=4,VALUE(RIGHT($A180,2))&lt;60),GUS_tabl_2!$A$8:$B$464,GUS_tabl_21!$A$5:$B$4886),2,FALSE))),-1)))))</f>
        <v>gm. w. Ciepłowody</v>
      </c>
      <c r="D180" s="141">
        <f>IF(OR($A180="",ISERROR(VALUE(LEFT($A180,6)))),"",IF(LEN($A180)=2,SUMIF($A181:$A$2965,$A180&amp;"??",$D181:$D$2965),IF(AND(LEN($A180)=4,VALUE(RIGHT($A180,2))&lt;=60),SUMIF($A181:$A$2965,$A180&amp;"????",$D181:$D$2965),VLOOKUP(IF(LEN($A180)=4,$A180&amp;"01 1",$A180),GUS_tabl_21!$A$5:$F$4886,6,FALSE))))</f>
        <v>2989</v>
      </c>
    </row>
    <row r="181" spans="1:4" s="29" customFormat="1" ht="12" customHeight="1">
      <c r="A181" s="155" t="str">
        <f>"022403 2"</f>
        <v>022403 2</v>
      </c>
      <c r="B181" s="153" t="s">
        <v>40</v>
      </c>
      <c r="C181" s="156" t="str">
        <f>IF(OR($A181="",ISERROR(VALUE(LEFT($A181,6)))),"",IF(LEN($A181)=2,"WOJ. ",IF(LEN($A181)=4,IF(VALUE(RIGHT($A181,2))&gt;60,"","Powiat "),IF(VALUE(RIGHT($A181,1))=1,"m. ",IF(VALUE(RIGHT($A181,1))=2,"gm. w. ",IF(VALUE(RIGHT($A181,1))=8,"dz. ","gm. m.-w. ")))))&amp;IF(LEN($A181)=2,TRIM(UPPER(VLOOKUP($A181,GUS_tabl_1!$A$7:$B$22,2,FALSE))),IF(ISERROR(FIND("..",TRIM(VLOOKUP(IF(AND(LEN($A181)=4,VALUE(RIGHT($A181,2))&gt;60),$A181&amp;"01 1",$A181),IF(AND(LEN($A181)=4,VALUE(RIGHT($A181,2))&lt;60),GUS_tabl_2!$A$8:$B$464,GUS_tabl_21!$A$5:$B$4886),2,FALSE)))),TRIM(VLOOKUP(IF(AND(LEN($A181)=4,VALUE(RIGHT($A181,2))&gt;60),$A181&amp;"01 1",$A181),IF(AND(LEN($A181)=4,VALUE(RIGHT($A181,2))&lt;60),GUS_tabl_2!$A$8:$B$464,GUS_tabl_21!$A$5:$B$4886),2,FALSE)),LEFT(TRIM(VLOOKUP(IF(AND(LEN($A181)=4,VALUE(RIGHT($A181,2))&gt;60),$A181&amp;"01 1",$A181),IF(AND(LEN($A181)=4,VALUE(RIGHT($A181,2))&lt;60),GUS_tabl_2!$A$8:$B$464,GUS_tabl_21!$A$5:$B$4886),2,FALSE)),SUM(FIND("..",TRIM(VLOOKUP(IF(AND(LEN($A181)=4,VALUE(RIGHT($A181,2))&gt;60),$A181&amp;"01 1",$A181),IF(AND(LEN($A181)=4,VALUE(RIGHT($A181,2))&lt;60),GUS_tabl_2!$A$8:$B$464,GUS_tabl_21!$A$5:$B$4886),2,FALSE))),-1)))))</f>
        <v>gm. w. Kamieniec Ząbkowicki</v>
      </c>
      <c r="D181" s="141">
        <f>IF(OR($A181="",ISERROR(VALUE(LEFT($A181,6)))),"",IF(LEN($A181)=2,SUMIF($A182:$A$2965,$A181&amp;"??",$D182:$D$2965),IF(AND(LEN($A181)=4,VALUE(RIGHT($A181,2))&lt;=60),SUMIF($A182:$A$2965,$A181&amp;"????",$D182:$D$2965),VLOOKUP(IF(LEN($A181)=4,$A181&amp;"01 1",$A181),GUS_tabl_21!$A$5:$F$4886,6,FALSE))))</f>
        <v>8086</v>
      </c>
    </row>
    <row r="182" spans="1:4" s="29" customFormat="1" ht="12" customHeight="1">
      <c r="A182" s="155" t="str">
        <f>"022404 2"</f>
        <v>022404 2</v>
      </c>
      <c r="B182" s="153" t="s">
        <v>40</v>
      </c>
      <c r="C182" s="156" t="str">
        <f>IF(OR($A182="",ISERROR(VALUE(LEFT($A182,6)))),"",IF(LEN($A182)=2,"WOJ. ",IF(LEN($A182)=4,IF(VALUE(RIGHT($A182,2))&gt;60,"","Powiat "),IF(VALUE(RIGHT($A182,1))=1,"m. ",IF(VALUE(RIGHT($A182,1))=2,"gm. w. ",IF(VALUE(RIGHT($A182,1))=8,"dz. ","gm. m.-w. ")))))&amp;IF(LEN($A182)=2,TRIM(UPPER(VLOOKUP($A182,GUS_tabl_1!$A$7:$B$22,2,FALSE))),IF(ISERROR(FIND("..",TRIM(VLOOKUP(IF(AND(LEN($A182)=4,VALUE(RIGHT($A182,2))&gt;60),$A182&amp;"01 1",$A182),IF(AND(LEN($A182)=4,VALUE(RIGHT($A182,2))&lt;60),GUS_tabl_2!$A$8:$B$464,GUS_tabl_21!$A$5:$B$4886),2,FALSE)))),TRIM(VLOOKUP(IF(AND(LEN($A182)=4,VALUE(RIGHT($A182,2))&gt;60),$A182&amp;"01 1",$A182),IF(AND(LEN($A182)=4,VALUE(RIGHT($A182,2))&lt;60),GUS_tabl_2!$A$8:$B$464,GUS_tabl_21!$A$5:$B$4886),2,FALSE)),LEFT(TRIM(VLOOKUP(IF(AND(LEN($A182)=4,VALUE(RIGHT($A182,2))&gt;60),$A182&amp;"01 1",$A182),IF(AND(LEN($A182)=4,VALUE(RIGHT($A182,2))&lt;60),GUS_tabl_2!$A$8:$B$464,GUS_tabl_21!$A$5:$B$4886),2,FALSE)),SUM(FIND("..",TRIM(VLOOKUP(IF(AND(LEN($A182)=4,VALUE(RIGHT($A182,2))&gt;60),$A182&amp;"01 1",$A182),IF(AND(LEN($A182)=4,VALUE(RIGHT($A182,2))&lt;60),GUS_tabl_2!$A$8:$B$464,GUS_tabl_21!$A$5:$B$4886),2,FALSE))),-1)))))</f>
        <v>gm. w. Stoszowice</v>
      </c>
      <c r="D182" s="141">
        <f>IF(OR($A182="",ISERROR(VALUE(LEFT($A182,6)))),"",IF(LEN($A182)=2,SUMIF($A183:$A$2965,$A182&amp;"??",$D183:$D$2965),IF(AND(LEN($A182)=4,VALUE(RIGHT($A182,2))&lt;=60),SUMIF($A183:$A$2965,$A182&amp;"????",$D183:$D$2965),VLOOKUP(IF(LEN($A182)=4,$A182&amp;"01 1",$A182),GUS_tabl_21!$A$5:$F$4886,6,FALSE))))</f>
        <v>5381</v>
      </c>
    </row>
    <row r="183" spans="1:4" s="29" customFormat="1" ht="12" customHeight="1">
      <c r="A183" s="155" t="str">
        <f>"022405 3"</f>
        <v>022405 3</v>
      </c>
      <c r="B183" s="153" t="s">
        <v>40</v>
      </c>
      <c r="C183" s="156" t="str">
        <f>IF(OR($A183="",ISERROR(VALUE(LEFT($A183,6)))),"",IF(LEN($A183)=2,"WOJ. ",IF(LEN($A183)=4,IF(VALUE(RIGHT($A183,2))&gt;60,"","Powiat "),IF(VALUE(RIGHT($A183,1))=1,"m. ",IF(VALUE(RIGHT($A183,1))=2,"gm. w. ",IF(VALUE(RIGHT($A183,1))=8,"dz. ","gm. m.-w. ")))))&amp;IF(LEN($A183)=2,TRIM(UPPER(VLOOKUP($A183,GUS_tabl_1!$A$7:$B$22,2,FALSE))),IF(ISERROR(FIND("..",TRIM(VLOOKUP(IF(AND(LEN($A183)=4,VALUE(RIGHT($A183,2))&gt;60),$A183&amp;"01 1",$A183),IF(AND(LEN($A183)=4,VALUE(RIGHT($A183,2))&lt;60),GUS_tabl_2!$A$8:$B$464,GUS_tabl_21!$A$5:$B$4886),2,FALSE)))),TRIM(VLOOKUP(IF(AND(LEN($A183)=4,VALUE(RIGHT($A183,2))&gt;60),$A183&amp;"01 1",$A183),IF(AND(LEN($A183)=4,VALUE(RIGHT($A183,2))&lt;60),GUS_tabl_2!$A$8:$B$464,GUS_tabl_21!$A$5:$B$4886),2,FALSE)),LEFT(TRIM(VLOOKUP(IF(AND(LEN($A183)=4,VALUE(RIGHT($A183,2))&gt;60),$A183&amp;"01 1",$A183),IF(AND(LEN($A183)=4,VALUE(RIGHT($A183,2))&lt;60),GUS_tabl_2!$A$8:$B$464,GUS_tabl_21!$A$5:$B$4886),2,FALSE)),SUM(FIND("..",TRIM(VLOOKUP(IF(AND(LEN($A183)=4,VALUE(RIGHT($A183,2))&gt;60),$A183&amp;"01 1",$A183),IF(AND(LEN($A183)=4,VALUE(RIGHT($A183,2))&lt;60),GUS_tabl_2!$A$8:$B$464,GUS_tabl_21!$A$5:$B$4886),2,FALSE))),-1)))))</f>
        <v>gm. m.-w. Ząbkowice Śląskie</v>
      </c>
      <c r="D183" s="141">
        <f>IF(OR($A183="",ISERROR(VALUE(LEFT($A183,6)))),"",IF(LEN($A183)=2,SUMIF($A184:$A$2965,$A183&amp;"??",$D184:$D$2965),IF(AND(LEN($A183)=4,VALUE(RIGHT($A183,2))&lt;=60),SUMIF($A184:$A$2965,$A183&amp;"????",$D184:$D$2965),VLOOKUP(IF(LEN($A183)=4,$A183&amp;"01 1",$A183),GUS_tabl_21!$A$5:$F$4886,6,FALSE))))</f>
        <v>21664</v>
      </c>
    </row>
    <row r="184" spans="1:4" s="29" customFormat="1" ht="12" customHeight="1">
      <c r="A184" s="155" t="str">
        <f>"022406 3"</f>
        <v>022406 3</v>
      </c>
      <c r="B184" s="153" t="s">
        <v>40</v>
      </c>
      <c r="C184" s="156" t="str">
        <f>IF(OR($A184="",ISERROR(VALUE(LEFT($A184,6)))),"",IF(LEN($A184)=2,"WOJ. ",IF(LEN($A184)=4,IF(VALUE(RIGHT($A184,2))&gt;60,"","Powiat "),IF(VALUE(RIGHT($A184,1))=1,"m. ",IF(VALUE(RIGHT($A184,1))=2,"gm. w. ",IF(VALUE(RIGHT($A184,1))=8,"dz. ","gm. m.-w. ")))))&amp;IF(LEN($A184)=2,TRIM(UPPER(VLOOKUP($A184,GUS_tabl_1!$A$7:$B$22,2,FALSE))),IF(ISERROR(FIND("..",TRIM(VLOOKUP(IF(AND(LEN($A184)=4,VALUE(RIGHT($A184,2))&gt;60),$A184&amp;"01 1",$A184),IF(AND(LEN($A184)=4,VALUE(RIGHT($A184,2))&lt;60),GUS_tabl_2!$A$8:$B$464,GUS_tabl_21!$A$5:$B$4886),2,FALSE)))),TRIM(VLOOKUP(IF(AND(LEN($A184)=4,VALUE(RIGHT($A184,2))&gt;60),$A184&amp;"01 1",$A184),IF(AND(LEN($A184)=4,VALUE(RIGHT($A184,2))&lt;60),GUS_tabl_2!$A$8:$B$464,GUS_tabl_21!$A$5:$B$4886),2,FALSE)),LEFT(TRIM(VLOOKUP(IF(AND(LEN($A184)=4,VALUE(RIGHT($A184,2))&gt;60),$A184&amp;"01 1",$A184),IF(AND(LEN($A184)=4,VALUE(RIGHT($A184,2))&lt;60),GUS_tabl_2!$A$8:$B$464,GUS_tabl_21!$A$5:$B$4886),2,FALSE)),SUM(FIND("..",TRIM(VLOOKUP(IF(AND(LEN($A184)=4,VALUE(RIGHT($A184,2))&gt;60),$A184&amp;"01 1",$A184),IF(AND(LEN($A184)=4,VALUE(RIGHT($A184,2))&lt;60),GUS_tabl_2!$A$8:$B$464,GUS_tabl_21!$A$5:$B$4886),2,FALSE))),-1)))))</f>
        <v>gm. m.-w. Ziębice</v>
      </c>
      <c r="D184" s="141">
        <f>IF(OR($A184="",ISERROR(VALUE(LEFT($A184,6)))),"",IF(LEN($A184)=2,SUMIF($A185:$A$2965,$A184&amp;"??",$D185:$D$2965),IF(AND(LEN($A184)=4,VALUE(RIGHT($A184,2))&lt;=60),SUMIF($A185:$A$2965,$A184&amp;"????",$D185:$D$2965),VLOOKUP(IF(LEN($A184)=4,$A184&amp;"01 1",$A184),GUS_tabl_21!$A$5:$F$4886,6,FALSE))))</f>
        <v>16949</v>
      </c>
    </row>
    <row r="185" spans="1:4" s="29" customFormat="1" ht="12" customHeight="1">
      <c r="A185" s="155" t="str">
        <f>"022407 3"</f>
        <v>022407 3</v>
      </c>
      <c r="B185" s="153" t="s">
        <v>40</v>
      </c>
      <c r="C185" s="156" t="str">
        <f>IF(OR($A185="",ISERROR(VALUE(LEFT($A185,6)))),"",IF(LEN($A185)=2,"WOJ. ",IF(LEN($A185)=4,IF(VALUE(RIGHT($A185,2))&gt;60,"","Powiat "),IF(VALUE(RIGHT($A185,1))=1,"m. ",IF(VALUE(RIGHT($A185,1))=2,"gm. w. ",IF(VALUE(RIGHT($A185,1))=8,"dz. ","gm. m.-w. ")))))&amp;IF(LEN($A185)=2,TRIM(UPPER(VLOOKUP($A185,GUS_tabl_1!$A$7:$B$22,2,FALSE))),IF(ISERROR(FIND("..",TRIM(VLOOKUP(IF(AND(LEN($A185)=4,VALUE(RIGHT($A185,2))&gt;60),$A185&amp;"01 1",$A185),IF(AND(LEN($A185)=4,VALUE(RIGHT($A185,2))&lt;60),GUS_tabl_2!$A$8:$B$464,GUS_tabl_21!$A$5:$B$4886),2,FALSE)))),TRIM(VLOOKUP(IF(AND(LEN($A185)=4,VALUE(RIGHT($A185,2))&gt;60),$A185&amp;"01 1",$A185),IF(AND(LEN($A185)=4,VALUE(RIGHT($A185,2))&lt;60),GUS_tabl_2!$A$8:$B$464,GUS_tabl_21!$A$5:$B$4886),2,FALSE)),LEFT(TRIM(VLOOKUP(IF(AND(LEN($A185)=4,VALUE(RIGHT($A185,2))&gt;60),$A185&amp;"01 1",$A185),IF(AND(LEN($A185)=4,VALUE(RIGHT($A185,2))&lt;60),GUS_tabl_2!$A$8:$B$464,GUS_tabl_21!$A$5:$B$4886),2,FALSE)),SUM(FIND("..",TRIM(VLOOKUP(IF(AND(LEN($A185)=4,VALUE(RIGHT($A185,2))&gt;60),$A185&amp;"01 1",$A185),IF(AND(LEN($A185)=4,VALUE(RIGHT($A185,2))&lt;60),GUS_tabl_2!$A$8:$B$464,GUS_tabl_21!$A$5:$B$4886),2,FALSE))),-1)))))</f>
        <v>gm. m.-w. Złoty Stok</v>
      </c>
      <c r="D185" s="141">
        <f>IF(OR($A185="",ISERROR(VALUE(LEFT($A185,6)))),"",IF(LEN($A185)=2,SUMIF($A186:$A$2965,$A185&amp;"??",$D186:$D$2965),IF(AND(LEN($A185)=4,VALUE(RIGHT($A185,2))&lt;=60),SUMIF($A186:$A$2965,$A185&amp;"????",$D186:$D$2965),VLOOKUP(IF(LEN($A185)=4,$A185&amp;"01 1",$A185),GUS_tabl_21!$A$5:$F$4886,6,FALSE))))</f>
        <v>4447</v>
      </c>
    </row>
    <row r="186" spans="1:4" s="29" customFormat="1" ht="12" customHeight="1">
      <c r="A186" s="152" t="str">
        <f>"0225"</f>
        <v>0225</v>
      </c>
      <c r="B186" s="153" t="s">
        <v>40</v>
      </c>
      <c r="C186" s="154" t="str">
        <f>IF(OR($A186="",ISERROR(VALUE(LEFT($A186,6)))),"",IF(LEN($A186)=2,"WOJ. ",IF(LEN($A186)=4,IF(VALUE(RIGHT($A186,2))&gt;60,"","Powiat "),IF(VALUE(RIGHT($A186,1))=1,"m. ",IF(VALUE(RIGHT($A186,1))=2,"gm. w. ",IF(VALUE(RIGHT($A186,1))=8,"dz. ","gm. m.-w. ")))))&amp;IF(LEN($A186)=2,TRIM(UPPER(VLOOKUP($A186,GUS_tabl_1!$A$7:$B$22,2,FALSE))),IF(ISERROR(FIND("..",TRIM(VLOOKUP(IF(AND(LEN($A186)=4,VALUE(RIGHT($A186,2))&gt;60),$A186&amp;"01 1",$A186),IF(AND(LEN($A186)=4,VALUE(RIGHT($A186,2))&lt;60),GUS_tabl_2!$A$8:$B$464,GUS_tabl_21!$A$5:$B$4886),2,FALSE)))),TRIM(VLOOKUP(IF(AND(LEN($A186)=4,VALUE(RIGHT($A186,2))&gt;60),$A186&amp;"01 1",$A186),IF(AND(LEN($A186)=4,VALUE(RIGHT($A186,2))&lt;60),GUS_tabl_2!$A$8:$B$464,GUS_tabl_21!$A$5:$B$4886),2,FALSE)),LEFT(TRIM(VLOOKUP(IF(AND(LEN($A186)=4,VALUE(RIGHT($A186,2))&gt;60),$A186&amp;"01 1",$A186),IF(AND(LEN($A186)=4,VALUE(RIGHT($A186,2))&lt;60),GUS_tabl_2!$A$8:$B$464,GUS_tabl_21!$A$5:$B$4886),2,FALSE)),SUM(FIND("..",TRIM(VLOOKUP(IF(AND(LEN($A186)=4,VALUE(RIGHT($A186,2))&gt;60),$A186&amp;"01 1",$A186),IF(AND(LEN($A186)=4,VALUE(RIGHT($A186,2))&lt;60),GUS_tabl_2!$A$8:$B$464,GUS_tabl_21!$A$5:$B$4886),2,FALSE))),-1)))))</f>
        <v>Powiat zgorzelecki</v>
      </c>
      <c r="D186" s="140">
        <f>IF(OR($A186="",ISERROR(VALUE(LEFT($A186,6)))),"",IF(LEN($A186)=2,SUMIF($A187:$A$2965,$A186&amp;"??",$D187:$D$2965),IF(AND(LEN($A186)=4,VALUE(RIGHT($A186,2))&lt;=60),SUMIF($A187:$A$2965,$A186&amp;"????",$D187:$D$2965),VLOOKUP(IF(LEN($A186)=4,$A186&amp;"01 1",$A186),GUS_tabl_21!$A$5:$F$4886,6,FALSE))))</f>
        <v>89188</v>
      </c>
    </row>
    <row r="187" spans="1:4" s="29" customFormat="1" ht="12" customHeight="1">
      <c r="A187" s="155" t="str">
        <f>"022501 1"</f>
        <v>022501 1</v>
      </c>
      <c r="B187" s="153" t="s">
        <v>40</v>
      </c>
      <c r="C187" s="156" t="str">
        <f>IF(OR($A187="",ISERROR(VALUE(LEFT($A187,6)))),"",IF(LEN($A187)=2,"WOJ. ",IF(LEN($A187)=4,IF(VALUE(RIGHT($A187,2))&gt;60,"","Powiat "),IF(VALUE(RIGHT($A187,1))=1,"m. ",IF(VALUE(RIGHT($A187,1))=2,"gm. w. ",IF(VALUE(RIGHT($A187,1))=8,"dz. ","gm. m.-w. ")))))&amp;IF(LEN($A187)=2,TRIM(UPPER(VLOOKUP($A187,GUS_tabl_1!$A$7:$B$22,2,FALSE))),IF(ISERROR(FIND("..",TRIM(VLOOKUP(IF(AND(LEN($A187)=4,VALUE(RIGHT($A187,2))&gt;60),$A187&amp;"01 1",$A187),IF(AND(LEN($A187)=4,VALUE(RIGHT($A187,2))&lt;60),GUS_tabl_2!$A$8:$B$464,GUS_tabl_21!$A$5:$B$4886),2,FALSE)))),TRIM(VLOOKUP(IF(AND(LEN($A187)=4,VALUE(RIGHT($A187,2))&gt;60),$A187&amp;"01 1",$A187),IF(AND(LEN($A187)=4,VALUE(RIGHT($A187,2))&lt;60),GUS_tabl_2!$A$8:$B$464,GUS_tabl_21!$A$5:$B$4886),2,FALSE)),LEFT(TRIM(VLOOKUP(IF(AND(LEN($A187)=4,VALUE(RIGHT($A187,2))&gt;60),$A187&amp;"01 1",$A187),IF(AND(LEN($A187)=4,VALUE(RIGHT($A187,2))&lt;60),GUS_tabl_2!$A$8:$B$464,GUS_tabl_21!$A$5:$B$4886),2,FALSE)),SUM(FIND("..",TRIM(VLOOKUP(IF(AND(LEN($A187)=4,VALUE(RIGHT($A187,2))&gt;60),$A187&amp;"01 1",$A187),IF(AND(LEN($A187)=4,VALUE(RIGHT($A187,2))&lt;60),GUS_tabl_2!$A$8:$B$464,GUS_tabl_21!$A$5:$B$4886),2,FALSE))),-1)))))</f>
        <v>m. Zawidów</v>
      </c>
      <c r="D187" s="141">
        <f>IF(OR($A187="",ISERROR(VALUE(LEFT($A187,6)))),"",IF(LEN($A187)=2,SUMIF($A188:$A$2965,$A187&amp;"??",$D188:$D$2965),IF(AND(LEN($A187)=4,VALUE(RIGHT($A187,2))&lt;=60),SUMIF($A188:$A$2965,$A187&amp;"????",$D188:$D$2965),VLOOKUP(IF(LEN($A187)=4,$A187&amp;"01 1",$A187),GUS_tabl_21!$A$5:$F$4886,6,FALSE))))</f>
        <v>4180</v>
      </c>
    </row>
    <row r="188" spans="1:4" s="29" customFormat="1" ht="12" customHeight="1">
      <c r="A188" s="155" t="str">
        <f>"022502 1"</f>
        <v>022502 1</v>
      </c>
      <c r="B188" s="153" t="s">
        <v>40</v>
      </c>
      <c r="C188" s="156" t="str">
        <f>IF(OR($A188="",ISERROR(VALUE(LEFT($A188,6)))),"",IF(LEN($A188)=2,"WOJ. ",IF(LEN($A188)=4,IF(VALUE(RIGHT($A188,2))&gt;60,"","Powiat "),IF(VALUE(RIGHT($A188,1))=1,"m. ",IF(VALUE(RIGHT($A188,1))=2,"gm. w. ",IF(VALUE(RIGHT($A188,1))=8,"dz. ","gm. m.-w. ")))))&amp;IF(LEN($A188)=2,TRIM(UPPER(VLOOKUP($A188,GUS_tabl_1!$A$7:$B$22,2,FALSE))),IF(ISERROR(FIND("..",TRIM(VLOOKUP(IF(AND(LEN($A188)=4,VALUE(RIGHT($A188,2))&gt;60),$A188&amp;"01 1",$A188),IF(AND(LEN($A188)=4,VALUE(RIGHT($A188,2))&lt;60),GUS_tabl_2!$A$8:$B$464,GUS_tabl_21!$A$5:$B$4886),2,FALSE)))),TRIM(VLOOKUP(IF(AND(LEN($A188)=4,VALUE(RIGHT($A188,2))&gt;60),$A188&amp;"01 1",$A188),IF(AND(LEN($A188)=4,VALUE(RIGHT($A188,2))&lt;60),GUS_tabl_2!$A$8:$B$464,GUS_tabl_21!$A$5:$B$4886),2,FALSE)),LEFT(TRIM(VLOOKUP(IF(AND(LEN($A188)=4,VALUE(RIGHT($A188,2))&gt;60),$A188&amp;"01 1",$A188),IF(AND(LEN($A188)=4,VALUE(RIGHT($A188,2))&lt;60),GUS_tabl_2!$A$8:$B$464,GUS_tabl_21!$A$5:$B$4886),2,FALSE)),SUM(FIND("..",TRIM(VLOOKUP(IF(AND(LEN($A188)=4,VALUE(RIGHT($A188,2))&gt;60),$A188&amp;"01 1",$A188),IF(AND(LEN($A188)=4,VALUE(RIGHT($A188,2))&lt;60),GUS_tabl_2!$A$8:$B$464,GUS_tabl_21!$A$5:$B$4886),2,FALSE))),-1)))))</f>
        <v>m. Zgorzelec</v>
      </c>
      <c r="D188" s="141">
        <f>IF(OR($A188="",ISERROR(VALUE(LEFT($A188,6)))),"",IF(LEN($A188)=2,SUMIF($A189:$A$2965,$A188&amp;"??",$D189:$D$2965),IF(AND(LEN($A188)=4,VALUE(RIGHT($A188,2))&lt;=60),SUMIF($A189:$A$2965,$A188&amp;"????",$D189:$D$2965),VLOOKUP(IF(LEN($A188)=4,$A188&amp;"01 1",$A188),GUS_tabl_21!$A$5:$F$4886,6,FALSE))))</f>
        <v>30231</v>
      </c>
    </row>
    <row r="189" spans="1:4" s="29" customFormat="1" ht="12" customHeight="1">
      <c r="A189" s="155" t="str">
        <f>"022503 3"</f>
        <v>022503 3</v>
      </c>
      <c r="B189" s="153" t="s">
        <v>40</v>
      </c>
      <c r="C189" s="156" t="str">
        <f>IF(OR($A189="",ISERROR(VALUE(LEFT($A189,6)))),"",IF(LEN($A189)=2,"WOJ. ",IF(LEN($A189)=4,IF(VALUE(RIGHT($A189,2))&gt;60,"","Powiat "),IF(VALUE(RIGHT($A189,1))=1,"m. ",IF(VALUE(RIGHT($A189,1))=2,"gm. w. ",IF(VALUE(RIGHT($A189,1))=8,"dz. ","gm. m.-w. ")))))&amp;IF(LEN($A189)=2,TRIM(UPPER(VLOOKUP($A189,GUS_tabl_1!$A$7:$B$22,2,FALSE))),IF(ISERROR(FIND("..",TRIM(VLOOKUP(IF(AND(LEN($A189)=4,VALUE(RIGHT($A189,2))&gt;60),$A189&amp;"01 1",$A189),IF(AND(LEN($A189)=4,VALUE(RIGHT($A189,2))&lt;60),GUS_tabl_2!$A$8:$B$464,GUS_tabl_21!$A$5:$B$4886),2,FALSE)))),TRIM(VLOOKUP(IF(AND(LEN($A189)=4,VALUE(RIGHT($A189,2))&gt;60),$A189&amp;"01 1",$A189),IF(AND(LEN($A189)=4,VALUE(RIGHT($A189,2))&lt;60),GUS_tabl_2!$A$8:$B$464,GUS_tabl_21!$A$5:$B$4886),2,FALSE)),LEFT(TRIM(VLOOKUP(IF(AND(LEN($A189)=4,VALUE(RIGHT($A189,2))&gt;60),$A189&amp;"01 1",$A189),IF(AND(LEN($A189)=4,VALUE(RIGHT($A189,2))&lt;60),GUS_tabl_2!$A$8:$B$464,GUS_tabl_21!$A$5:$B$4886),2,FALSE)),SUM(FIND("..",TRIM(VLOOKUP(IF(AND(LEN($A189)=4,VALUE(RIGHT($A189,2))&gt;60),$A189&amp;"01 1",$A189),IF(AND(LEN($A189)=4,VALUE(RIGHT($A189,2))&lt;60),GUS_tabl_2!$A$8:$B$464,GUS_tabl_21!$A$5:$B$4886),2,FALSE))),-1)))))</f>
        <v>gm. m.-w. Bogatynia</v>
      </c>
      <c r="D189" s="141">
        <f>IF(OR($A189="",ISERROR(VALUE(LEFT($A189,6)))),"",IF(LEN($A189)=2,SUMIF($A190:$A$2965,$A189&amp;"??",$D190:$D$2965),IF(AND(LEN($A189)=4,VALUE(RIGHT($A189,2))&lt;=60),SUMIF($A190:$A$2965,$A189&amp;"????",$D190:$D$2965),VLOOKUP(IF(LEN($A189)=4,$A189&amp;"01 1",$A189),GUS_tabl_21!$A$5:$F$4886,6,FALSE))))</f>
        <v>22940</v>
      </c>
    </row>
    <row r="190" spans="1:4" s="29" customFormat="1" ht="12" customHeight="1">
      <c r="A190" s="155" t="str">
        <f>"022504 3"</f>
        <v>022504 3</v>
      </c>
      <c r="B190" s="153" t="s">
        <v>40</v>
      </c>
      <c r="C190" s="156" t="str">
        <f>IF(OR($A190="",ISERROR(VALUE(LEFT($A190,6)))),"",IF(LEN($A190)=2,"WOJ. ",IF(LEN($A190)=4,IF(VALUE(RIGHT($A190,2))&gt;60,"","Powiat "),IF(VALUE(RIGHT($A190,1))=1,"m. ",IF(VALUE(RIGHT($A190,1))=2,"gm. w. ",IF(VALUE(RIGHT($A190,1))=8,"dz. ","gm. m.-w. ")))))&amp;IF(LEN($A190)=2,TRIM(UPPER(VLOOKUP($A190,GUS_tabl_1!$A$7:$B$22,2,FALSE))),IF(ISERROR(FIND("..",TRIM(VLOOKUP(IF(AND(LEN($A190)=4,VALUE(RIGHT($A190,2))&gt;60),$A190&amp;"01 1",$A190),IF(AND(LEN($A190)=4,VALUE(RIGHT($A190,2))&lt;60),GUS_tabl_2!$A$8:$B$464,GUS_tabl_21!$A$5:$B$4886),2,FALSE)))),TRIM(VLOOKUP(IF(AND(LEN($A190)=4,VALUE(RIGHT($A190,2))&gt;60),$A190&amp;"01 1",$A190),IF(AND(LEN($A190)=4,VALUE(RIGHT($A190,2))&lt;60),GUS_tabl_2!$A$8:$B$464,GUS_tabl_21!$A$5:$B$4886),2,FALSE)),LEFT(TRIM(VLOOKUP(IF(AND(LEN($A190)=4,VALUE(RIGHT($A190,2))&gt;60),$A190&amp;"01 1",$A190),IF(AND(LEN($A190)=4,VALUE(RIGHT($A190,2))&lt;60),GUS_tabl_2!$A$8:$B$464,GUS_tabl_21!$A$5:$B$4886),2,FALSE)),SUM(FIND("..",TRIM(VLOOKUP(IF(AND(LEN($A190)=4,VALUE(RIGHT($A190,2))&gt;60),$A190&amp;"01 1",$A190),IF(AND(LEN($A190)=4,VALUE(RIGHT($A190,2))&lt;60),GUS_tabl_2!$A$8:$B$464,GUS_tabl_21!$A$5:$B$4886),2,FALSE))),-1)))))</f>
        <v>gm. m.-w. Pieńsk</v>
      </c>
      <c r="D190" s="141">
        <f>IF(OR($A190="",ISERROR(VALUE(LEFT($A190,6)))),"",IF(LEN($A190)=2,SUMIF($A191:$A$2965,$A190&amp;"??",$D191:$D$2965),IF(AND(LEN($A190)=4,VALUE(RIGHT($A190,2))&lt;=60),SUMIF($A191:$A$2965,$A190&amp;"????",$D191:$D$2965),VLOOKUP(IF(LEN($A190)=4,$A190&amp;"01 1",$A190),GUS_tabl_21!$A$5:$F$4886,6,FALSE))))</f>
        <v>9022</v>
      </c>
    </row>
    <row r="191" spans="1:4" s="29" customFormat="1" ht="12" customHeight="1">
      <c r="A191" s="155" t="str">
        <f>"022505 2"</f>
        <v>022505 2</v>
      </c>
      <c r="B191" s="153" t="s">
        <v>40</v>
      </c>
      <c r="C191" s="156" t="str">
        <f>IF(OR($A191="",ISERROR(VALUE(LEFT($A191,6)))),"",IF(LEN($A191)=2,"WOJ. ",IF(LEN($A191)=4,IF(VALUE(RIGHT($A191,2))&gt;60,"","Powiat "),IF(VALUE(RIGHT($A191,1))=1,"m. ",IF(VALUE(RIGHT($A191,1))=2,"gm. w. ",IF(VALUE(RIGHT($A191,1))=8,"dz. ","gm. m.-w. ")))))&amp;IF(LEN($A191)=2,TRIM(UPPER(VLOOKUP($A191,GUS_tabl_1!$A$7:$B$22,2,FALSE))),IF(ISERROR(FIND("..",TRIM(VLOOKUP(IF(AND(LEN($A191)=4,VALUE(RIGHT($A191,2))&gt;60),$A191&amp;"01 1",$A191),IF(AND(LEN($A191)=4,VALUE(RIGHT($A191,2))&lt;60),GUS_tabl_2!$A$8:$B$464,GUS_tabl_21!$A$5:$B$4886),2,FALSE)))),TRIM(VLOOKUP(IF(AND(LEN($A191)=4,VALUE(RIGHT($A191,2))&gt;60),$A191&amp;"01 1",$A191),IF(AND(LEN($A191)=4,VALUE(RIGHT($A191,2))&lt;60),GUS_tabl_2!$A$8:$B$464,GUS_tabl_21!$A$5:$B$4886),2,FALSE)),LEFT(TRIM(VLOOKUP(IF(AND(LEN($A191)=4,VALUE(RIGHT($A191,2))&gt;60),$A191&amp;"01 1",$A191),IF(AND(LEN($A191)=4,VALUE(RIGHT($A191,2))&lt;60),GUS_tabl_2!$A$8:$B$464,GUS_tabl_21!$A$5:$B$4886),2,FALSE)),SUM(FIND("..",TRIM(VLOOKUP(IF(AND(LEN($A191)=4,VALUE(RIGHT($A191,2))&gt;60),$A191&amp;"01 1",$A191),IF(AND(LEN($A191)=4,VALUE(RIGHT($A191,2))&lt;60),GUS_tabl_2!$A$8:$B$464,GUS_tabl_21!$A$5:$B$4886),2,FALSE))),-1)))))</f>
        <v>gm. w. Sulików</v>
      </c>
      <c r="D191" s="141">
        <f>IF(OR($A191="",ISERROR(VALUE(LEFT($A191,6)))),"",IF(LEN($A191)=2,SUMIF($A192:$A$2965,$A191&amp;"??",$D192:$D$2965),IF(AND(LEN($A191)=4,VALUE(RIGHT($A191,2))&lt;=60),SUMIF($A192:$A$2965,$A191&amp;"????",$D192:$D$2965),VLOOKUP(IF(LEN($A191)=4,$A191&amp;"01 1",$A191),GUS_tabl_21!$A$5:$F$4886,6,FALSE))))</f>
        <v>6012</v>
      </c>
    </row>
    <row r="192" spans="1:4" s="29" customFormat="1" ht="12" customHeight="1">
      <c r="A192" s="155" t="str">
        <f>"022506 3"</f>
        <v>022506 3</v>
      </c>
      <c r="B192" s="153" t="s">
        <v>40</v>
      </c>
      <c r="C192" s="156" t="str">
        <f>IF(OR($A192="",ISERROR(VALUE(LEFT($A192,6)))),"",IF(LEN($A192)=2,"WOJ. ",IF(LEN($A192)=4,IF(VALUE(RIGHT($A192,2))&gt;60,"","Powiat "),IF(VALUE(RIGHT($A192,1))=1,"m. ",IF(VALUE(RIGHT($A192,1))=2,"gm. w. ",IF(VALUE(RIGHT($A192,1))=8,"dz. ","gm. m.-w. ")))))&amp;IF(LEN($A192)=2,TRIM(UPPER(VLOOKUP($A192,GUS_tabl_1!$A$7:$B$22,2,FALSE))),IF(ISERROR(FIND("..",TRIM(VLOOKUP(IF(AND(LEN($A192)=4,VALUE(RIGHT($A192,2))&gt;60),$A192&amp;"01 1",$A192),IF(AND(LEN($A192)=4,VALUE(RIGHT($A192,2))&lt;60),GUS_tabl_2!$A$8:$B$464,GUS_tabl_21!$A$5:$B$4886),2,FALSE)))),TRIM(VLOOKUP(IF(AND(LEN($A192)=4,VALUE(RIGHT($A192,2))&gt;60),$A192&amp;"01 1",$A192),IF(AND(LEN($A192)=4,VALUE(RIGHT($A192,2))&lt;60),GUS_tabl_2!$A$8:$B$464,GUS_tabl_21!$A$5:$B$4886),2,FALSE)),LEFT(TRIM(VLOOKUP(IF(AND(LEN($A192)=4,VALUE(RIGHT($A192,2))&gt;60),$A192&amp;"01 1",$A192),IF(AND(LEN($A192)=4,VALUE(RIGHT($A192,2))&lt;60),GUS_tabl_2!$A$8:$B$464,GUS_tabl_21!$A$5:$B$4886),2,FALSE)),SUM(FIND("..",TRIM(VLOOKUP(IF(AND(LEN($A192)=4,VALUE(RIGHT($A192,2))&gt;60),$A192&amp;"01 1",$A192),IF(AND(LEN($A192)=4,VALUE(RIGHT($A192,2))&lt;60),GUS_tabl_2!$A$8:$B$464,GUS_tabl_21!$A$5:$B$4886),2,FALSE))),-1)))))</f>
        <v>gm. m.-w. Węgliniec</v>
      </c>
      <c r="D192" s="141">
        <f>IF(OR($A192="",ISERROR(VALUE(LEFT($A192,6)))),"",IF(LEN($A192)=2,SUMIF($A193:$A$2965,$A192&amp;"??",$D193:$D$2965),IF(AND(LEN($A192)=4,VALUE(RIGHT($A192,2))&lt;=60),SUMIF($A193:$A$2965,$A192&amp;"????",$D193:$D$2965),VLOOKUP(IF(LEN($A192)=4,$A192&amp;"01 1",$A192),GUS_tabl_21!$A$5:$F$4886,6,FALSE))))</f>
        <v>8287</v>
      </c>
    </row>
    <row r="193" spans="1:4" s="29" customFormat="1" ht="12" customHeight="1">
      <c r="A193" s="155" t="str">
        <f>"022507 2"</f>
        <v>022507 2</v>
      </c>
      <c r="B193" s="153" t="s">
        <v>40</v>
      </c>
      <c r="C193" s="156" t="str">
        <f>IF(OR($A193="",ISERROR(VALUE(LEFT($A193,6)))),"",IF(LEN($A193)=2,"WOJ. ",IF(LEN($A193)=4,IF(VALUE(RIGHT($A193,2))&gt;60,"","Powiat "),IF(VALUE(RIGHT($A193,1))=1,"m. ",IF(VALUE(RIGHT($A193,1))=2,"gm. w. ",IF(VALUE(RIGHT($A193,1))=8,"dz. ","gm. m.-w. ")))))&amp;IF(LEN($A193)=2,TRIM(UPPER(VLOOKUP($A193,GUS_tabl_1!$A$7:$B$22,2,FALSE))),IF(ISERROR(FIND("..",TRIM(VLOOKUP(IF(AND(LEN($A193)=4,VALUE(RIGHT($A193,2))&gt;60),$A193&amp;"01 1",$A193),IF(AND(LEN($A193)=4,VALUE(RIGHT($A193,2))&lt;60),GUS_tabl_2!$A$8:$B$464,GUS_tabl_21!$A$5:$B$4886),2,FALSE)))),TRIM(VLOOKUP(IF(AND(LEN($A193)=4,VALUE(RIGHT($A193,2))&gt;60),$A193&amp;"01 1",$A193),IF(AND(LEN($A193)=4,VALUE(RIGHT($A193,2))&lt;60),GUS_tabl_2!$A$8:$B$464,GUS_tabl_21!$A$5:$B$4886),2,FALSE)),LEFT(TRIM(VLOOKUP(IF(AND(LEN($A193)=4,VALUE(RIGHT($A193,2))&gt;60),$A193&amp;"01 1",$A193),IF(AND(LEN($A193)=4,VALUE(RIGHT($A193,2))&lt;60),GUS_tabl_2!$A$8:$B$464,GUS_tabl_21!$A$5:$B$4886),2,FALSE)),SUM(FIND("..",TRIM(VLOOKUP(IF(AND(LEN($A193)=4,VALUE(RIGHT($A193,2))&gt;60),$A193&amp;"01 1",$A193),IF(AND(LEN($A193)=4,VALUE(RIGHT($A193,2))&lt;60),GUS_tabl_2!$A$8:$B$464,GUS_tabl_21!$A$5:$B$4886),2,FALSE))),-1)))))</f>
        <v>gm. w. Zgorzelec</v>
      </c>
      <c r="D193" s="141">
        <f>IF(OR($A193="",ISERROR(VALUE(LEFT($A193,6)))),"",IF(LEN($A193)=2,SUMIF($A194:$A$2965,$A193&amp;"??",$D194:$D$2965),IF(AND(LEN($A193)=4,VALUE(RIGHT($A193,2))&lt;=60),SUMIF($A194:$A$2965,$A193&amp;"????",$D194:$D$2965),VLOOKUP(IF(LEN($A193)=4,$A193&amp;"01 1",$A193),GUS_tabl_21!$A$5:$F$4886,6,FALSE))))</f>
        <v>8516</v>
      </c>
    </row>
    <row r="194" spans="1:4" s="29" customFormat="1" ht="12" customHeight="1">
      <c r="A194" s="152" t="str">
        <f>"0226"</f>
        <v>0226</v>
      </c>
      <c r="B194" s="153" t="s">
        <v>40</v>
      </c>
      <c r="C194" s="154" t="str">
        <f>IF(OR($A194="",ISERROR(VALUE(LEFT($A194,6)))),"",IF(LEN($A194)=2,"WOJ. ",IF(LEN($A194)=4,IF(VALUE(RIGHT($A194,2))&gt;60,"","Powiat "),IF(VALUE(RIGHT($A194,1))=1,"m. ",IF(VALUE(RIGHT($A194,1))=2,"gm. w. ",IF(VALUE(RIGHT($A194,1))=8,"dz. ","gm. m.-w. ")))))&amp;IF(LEN($A194)=2,TRIM(UPPER(VLOOKUP($A194,GUS_tabl_1!$A$7:$B$22,2,FALSE))),IF(ISERROR(FIND("..",TRIM(VLOOKUP(IF(AND(LEN($A194)=4,VALUE(RIGHT($A194,2))&gt;60),$A194&amp;"01 1",$A194),IF(AND(LEN($A194)=4,VALUE(RIGHT($A194,2))&lt;60),GUS_tabl_2!$A$8:$B$464,GUS_tabl_21!$A$5:$B$4886),2,FALSE)))),TRIM(VLOOKUP(IF(AND(LEN($A194)=4,VALUE(RIGHT($A194,2))&gt;60),$A194&amp;"01 1",$A194),IF(AND(LEN($A194)=4,VALUE(RIGHT($A194,2))&lt;60),GUS_tabl_2!$A$8:$B$464,GUS_tabl_21!$A$5:$B$4886),2,FALSE)),LEFT(TRIM(VLOOKUP(IF(AND(LEN($A194)=4,VALUE(RIGHT($A194,2))&gt;60),$A194&amp;"01 1",$A194),IF(AND(LEN($A194)=4,VALUE(RIGHT($A194,2))&lt;60),GUS_tabl_2!$A$8:$B$464,GUS_tabl_21!$A$5:$B$4886),2,FALSE)),SUM(FIND("..",TRIM(VLOOKUP(IF(AND(LEN($A194)=4,VALUE(RIGHT($A194,2))&gt;60),$A194&amp;"01 1",$A194),IF(AND(LEN($A194)=4,VALUE(RIGHT($A194,2))&lt;60),GUS_tabl_2!$A$8:$B$464,GUS_tabl_21!$A$5:$B$4886),2,FALSE))),-1)))))</f>
        <v>Powiat złotoryjski</v>
      </c>
      <c r="D194" s="140">
        <f>IF(OR($A194="",ISERROR(VALUE(LEFT($A194,6)))),"",IF(LEN($A194)=2,SUMIF($A195:$A$2965,$A194&amp;"??",$D195:$D$2965),IF(AND(LEN($A194)=4,VALUE(RIGHT($A194,2))&lt;=60),SUMIF($A195:$A$2965,$A194&amp;"????",$D195:$D$2965),VLOOKUP(IF(LEN($A194)=4,$A194&amp;"01 1",$A194),GUS_tabl_21!$A$5:$F$4886,6,FALSE))))</f>
        <v>43490</v>
      </c>
    </row>
    <row r="195" spans="1:4" s="29" customFormat="1" ht="12" customHeight="1">
      <c r="A195" s="155" t="str">
        <f>"022601 1"</f>
        <v>022601 1</v>
      </c>
      <c r="B195" s="153" t="s">
        <v>40</v>
      </c>
      <c r="C195" s="156" t="str">
        <f>IF(OR($A195="",ISERROR(VALUE(LEFT($A195,6)))),"",IF(LEN($A195)=2,"WOJ. ",IF(LEN($A195)=4,IF(VALUE(RIGHT($A195,2))&gt;60,"","Powiat "),IF(VALUE(RIGHT($A195,1))=1,"m. ",IF(VALUE(RIGHT($A195,1))=2,"gm. w. ",IF(VALUE(RIGHT($A195,1))=8,"dz. ","gm. m.-w. ")))))&amp;IF(LEN($A195)=2,TRIM(UPPER(VLOOKUP($A195,GUS_tabl_1!$A$7:$B$22,2,FALSE))),IF(ISERROR(FIND("..",TRIM(VLOOKUP(IF(AND(LEN($A195)=4,VALUE(RIGHT($A195,2))&gt;60),$A195&amp;"01 1",$A195),IF(AND(LEN($A195)=4,VALUE(RIGHT($A195,2))&lt;60),GUS_tabl_2!$A$8:$B$464,GUS_tabl_21!$A$5:$B$4886),2,FALSE)))),TRIM(VLOOKUP(IF(AND(LEN($A195)=4,VALUE(RIGHT($A195,2))&gt;60),$A195&amp;"01 1",$A195),IF(AND(LEN($A195)=4,VALUE(RIGHT($A195,2))&lt;60),GUS_tabl_2!$A$8:$B$464,GUS_tabl_21!$A$5:$B$4886),2,FALSE)),LEFT(TRIM(VLOOKUP(IF(AND(LEN($A195)=4,VALUE(RIGHT($A195,2))&gt;60),$A195&amp;"01 1",$A195),IF(AND(LEN($A195)=4,VALUE(RIGHT($A195,2))&lt;60),GUS_tabl_2!$A$8:$B$464,GUS_tabl_21!$A$5:$B$4886),2,FALSE)),SUM(FIND("..",TRIM(VLOOKUP(IF(AND(LEN($A195)=4,VALUE(RIGHT($A195,2))&gt;60),$A195&amp;"01 1",$A195),IF(AND(LEN($A195)=4,VALUE(RIGHT($A195,2))&lt;60),GUS_tabl_2!$A$8:$B$464,GUS_tabl_21!$A$5:$B$4886),2,FALSE))),-1)))))</f>
        <v>m. Wojcieszów</v>
      </c>
      <c r="D195" s="141">
        <f>IF(OR($A195="",ISERROR(VALUE(LEFT($A195,6)))),"",IF(LEN($A195)=2,SUMIF($A196:$A$2965,$A195&amp;"??",$D196:$D$2965),IF(AND(LEN($A195)=4,VALUE(RIGHT($A195,2))&lt;=60),SUMIF($A196:$A$2965,$A195&amp;"????",$D196:$D$2965),VLOOKUP(IF(LEN($A195)=4,$A195&amp;"01 1",$A195),GUS_tabl_21!$A$5:$F$4886,6,FALSE))))</f>
        <v>3650</v>
      </c>
    </row>
    <row r="196" spans="1:4" s="29" customFormat="1" ht="12" customHeight="1">
      <c r="A196" s="155" t="str">
        <f>"022602 1"</f>
        <v>022602 1</v>
      </c>
      <c r="B196" s="153" t="s">
        <v>40</v>
      </c>
      <c r="C196" s="156" t="str">
        <f>IF(OR($A196="",ISERROR(VALUE(LEFT($A196,6)))),"",IF(LEN($A196)=2,"WOJ. ",IF(LEN($A196)=4,IF(VALUE(RIGHT($A196,2))&gt;60,"","Powiat "),IF(VALUE(RIGHT($A196,1))=1,"m. ",IF(VALUE(RIGHT($A196,1))=2,"gm. w. ",IF(VALUE(RIGHT($A196,1))=8,"dz. ","gm. m.-w. ")))))&amp;IF(LEN($A196)=2,TRIM(UPPER(VLOOKUP($A196,GUS_tabl_1!$A$7:$B$22,2,FALSE))),IF(ISERROR(FIND("..",TRIM(VLOOKUP(IF(AND(LEN($A196)=4,VALUE(RIGHT($A196,2))&gt;60),$A196&amp;"01 1",$A196),IF(AND(LEN($A196)=4,VALUE(RIGHT($A196,2))&lt;60),GUS_tabl_2!$A$8:$B$464,GUS_tabl_21!$A$5:$B$4886),2,FALSE)))),TRIM(VLOOKUP(IF(AND(LEN($A196)=4,VALUE(RIGHT($A196,2))&gt;60),$A196&amp;"01 1",$A196),IF(AND(LEN($A196)=4,VALUE(RIGHT($A196,2))&lt;60),GUS_tabl_2!$A$8:$B$464,GUS_tabl_21!$A$5:$B$4886),2,FALSE)),LEFT(TRIM(VLOOKUP(IF(AND(LEN($A196)=4,VALUE(RIGHT($A196,2))&gt;60),$A196&amp;"01 1",$A196),IF(AND(LEN($A196)=4,VALUE(RIGHT($A196,2))&lt;60),GUS_tabl_2!$A$8:$B$464,GUS_tabl_21!$A$5:$B$4886),2,FALSE)),SUM(FIND("..",TRIM(VLOOKUP(IF(AND(LEN($A196)=4,VALUE(RIGHT($A196,2))&gt;60),$A196&amp;"01 1",$A196),IF(AND(LEN($A196)=4,VALUE(RIGHT($A196,2))&lt;60),GUS_tabl_2!$A$8:$B$464,GUS_tabl_21!$A$5:$B$4886),2,FALSE))),-1)))))</f>
        <v>m. Złotoryja</v>
      </c>
      <c r="D196" s="141">
        <f>IF(OR($A196="",ISERROR(VALUE(LEFT($A196,6)))),"",IF(LEN($A196)=2,SUMIF($A197:$A$2965,$A196&amp;"??",$D197:$D$2965),IF(AND(LEN($A196)=4,VALUE(RIGHT($A196,2))&lt;=60),SUMIF($A197:$A$2965,$A196&amp;"????",$D197:$D$2965),VLOOKUP(IF(LEN($A196)=4,$A196&amp;"01 1",$A196),GUS_tabl_21!$A$5:$F$4886,6,FALSE))))</f>
        <v>15496</v>
      </c>
    </row>
    <row r="197" spans="1:4" s="29" customFormat="1" ht="12" customHeight="1">
      <c r="A197" s="155" t="str">
        <f>"022603 2"</f>
        <v>022603 2</v>
      </c>
      <c r="B197" s="153" t="s">
        <v>40</v>
      </c>
      <c r="C197" s="156" t="str">
        <f>IF(OR($A197="",ISERROR(VALUE(LEFT($A197,6)))),"",IF(LEN($A197)=2,"WOJ. ",IF(LEN($A197)=4,IF(VALUE(RIGHT($A197,2))&gt;60,"","Powiat "),IF(VALUE(RIGHT($A197,1))=1,"m. ",IF(VALUE(RIGHT($A197,1))=2,"gm. w. ",IF(VALUE(RIGHT($A197,1))=8,"dz. ","gm. m.-w. ")))))&amp;IF(LEN($A197)=2,TRIM(UPPER(VLOOKUP($A197,GUS_tabl_1!$A$7:$B$22,2,FALSE))),IF(ISERROR(FIND("..",TRIM(VLOOKUP(IF(AND(LEN($A197)=4,VALUE(RIGHT($A197,2))&gt;60),$A197&amp;"01 1",$A197),IF(AND(LEN($A197)=4,VALUE(RIGHT($A197,2))&lt;60),GUS_tabl_2!$A$8:$B$464,GUS_tabl_21!$A$5:$B$4886),2,FALSE)))),TRIM(VLOOKUP(IF(AND(LEN($A197)=4,VALUE(RIGHT($A197,2))&gt;60),$A197&amp;"01 1",$A197),IF(AND(LEN($A197)=4,VALUE(RIGHT($A197,2))&lt;60),GUS_tabl_2!$A$8:$B$464,GUS_tabl_21!$A$5:$B$4886),2,FALSE)),LEFT(TRIM(VLOOKUP(IF(AND(LEN($A197)=4,VALUE(RIGHT($A197,2))&gt;60),$A197&amp;"01 1",$A197),IF(AND(LEN($A197)=4,VALUE(RIGHT($A197,2))&lt;60),GUS_tabl_2!$A$8:$B$464,GUS_tabl_21!$A$5:$B$4886),2,FALSE)),SUM(FIND("..",TRIM(VLOOKUP(IF(AND(LEN($A197)=4,VALUE(RIGHT($A197,2))&gt;60),$A197&amp;"01 1",$A197),IF(AND(LEN($A197)=4,VALUE(RIGHT($A197,2))&lt;60),GUS_tabl_2!$A$8:$B$464,GUS_tabl_21!$A$5:$B$4886),2,FALSE))),-1)))))</f>
        <v>gm. w. Pielgrzymka</v>
      </c>
      <c r="D197" s="141">
        <f>IF(OR($A197="",ISERROR(VALUE(LEFT($A197,6)))),"",IF(LEN($A197)=2,SUMIF($A198:$A$2965,$A197&amp;"??",$D198:$D$2965),IF(AND(LEN($A197)=4,VALUE(RIGHT($A197,2))&lt;=60),SUMIF($A198:$A$2965,$A197&amp;"????",$D198:$D$2965),VLOOKUP(IF(LEN($A197)=4,$A197&amp;"01 1",$A197),GUS_tabl_21!$A$5:$F$4886,6,FALSE))))</f>
        <v>4551</v>
      </c>
    </row>
    <row r="198" spans="1:4" s="29" customFormat="1" ht="12" customHeight="1">
      <c r="A198" s="155" t="str">
        <f>"022604 3"</f>
        <v>022604 3</v>
      </c>
      <c r="B198" s="153" t="s">
        <v>40</v>
      </c>
      <c r="C198" s="156" t="str">
        <f>IF(OR($A198="",ISERROR(VALUE(LEFT($A198,6)))),"",IF(LEN($A198)=2,"WOJ. ",IF(LEN($A198)=4,IF(VALUE(RIGHT($A198,2))&gt;60,"","Powiat "),IF(VALUE(RIGHT($A198,1))=1,"m. ",IF(VALUE(RIGHT($A198,1))=2,"gm. w. ",IF(VALUE(RIGHT($A198,1))=8,"dz. ","gm. m.-w. ")))))&amp;IF(LEN($A198)=2,TRIM(UPPER(VLOOKUP($A198,GUS_tabl_1!$A$7:$B$22,2,FALSE))),IF(ISERROR(FIND("..",TRIM(VLOOKUP(IF(AND(LEN($A198)=4,VALUE(RIGHT($A198,2))&gt;60),$A198&amp;"01 1",$A198),IF(AND(LEN($A198)=4,VALUE(RIGHT($A198,2))&lt;60),GUS_tabl_2!$A$8:$B$464,GUS_tabl_21!$A$5:$B$4886),2,FALSE)))),TRIM(VLOOKUP(IF(AND(LEN($A198)=4,VALUE(RIGHT($A198,2))&gt;60),$A198&amp;"01 1",$A198),IF(AND(LEN($A198)=4,VALUE(RIGHT($A198,2))&lt;60),GUS_tabl_2!$A$8:$B$464,GUS_tabl_21!$A$5:$B$4886),2,FALSE)),LEFT(TRIM(VLOOKUP(IF(AND(LEN($A198)=4,VALUE(RIGHT($A198,2))&gt;60),$A198&amp;"01 1",$A198),IF(AND(LEN($A198)=4,VALUE(RIGHT($A198,2))&lt;60),GUS_tabl_2!$A$8:$B$464,GUS_tabl_21!$A$5:$B$4886),2,FALSE)),SUM(FIND("..",TRIM(VLOOKUP(IF(AND(LEN($A198)=4,VALUE(RIGHT($A198,2))&gt;60),$A198&amp;"01 1",$A198),IF(AND(LEN($A198)=4,VALUE(RIGHT($A198,2))&lt;60),GUS_tabl_2!$A$8:$B$464,GUS_tabl_21!$A$5:$B$4886),2,FALSE))),-1)))))</f>
        <v>gm. m.-w. Świerzawa</v>
      </c>
      <c r="D198" s="141">
        <f>IF(OR($A198="",ISERROR(VALUE(LEFT($A198,6)))),"",IF(LEN($A198)=2,SUMIF($A199:$A$2965,$A198&amp;"??",$D199:$D$2965),IF(AND(LEN($A198)=4,VALUE(RIGHT($A198,2))&lt;=60),SUMIF($A199:$A$2965,$A198&amp;"????",$D199:$D$2965),VLOOKUP(IF(LEN($A198)=4,$A198&amp;"01 1",$A198),GUS_tabl_21!$A$5:$F$4886,6,FALSE))))</f>
        <v>7503</v>
      </c>
    </row>
    <row r="199" spans="1:4" s="29" customFormat="1" ht="12" customHeight="1">
      <c r="A199" s="155" t="str">
        <f>"022605 2"</f>
        <v>022605 2</v>
      </c>
      <c r="B199" s="153" t="s">
        <v>40</v>
      </c>
      <c r="C199" s="156" t="str">
        <f>IF(OR($A199="",ISERROR(VALUE(LEFT($A199,6)))),"",IF(LEN($A199)=2,"WOJ. ",IF(LEN($A199)=4,IF(VALUE(RIGHT($A199,2))&gt;60,"","Powiat "),IF(VALUE(RIGHT($A199,1))=1,"m. ",IF(VALUE(RIGHT($A199,1))=2,"gm. w. ",IF(VALUE(RIGHT($A199,1))=8,"dz. ","gm. m.-w. ")))))&amp;IF(LEN($A199)=2,TRIM(UPPER(VLOOKUP($A199,GUS_tabl_1!$A$7:$B$22,2,FALSE))),IF(ISERROR(FIND("..",TRIM(VLOOKUP(IF(AND(LEN($A199)=4,VALUE(RIGHT($A199,2))&gt;60),$A199&amp;"01 1",$A199),IF(AND(LEN($A199)=4,VALUE(RIGHT($A199,2))&lt;60),GUS_tabl_2!$A$8:$B$464,GUS_tabl_21!$A$5:$B$4886),2,FALSE)))),TRIM(VLOOKUP(IF(AND(LEN($A199)=4,VALUE(RIGHT($A199,2))&gt;60),$A199&amp;"01 1",$A199),IF(AND(LEN($A199)=4,VALUE(RIGHT($A199,2))&lt;60),GUS_tabl_2!$A$8:$B$464,GUS_tabl_21!$A$5:$B$4886),2,FALSE)),LEFT(TRIM(VLOOKUP(IF(AND(LEN($A199)=4,VALUE(RIGHT($A199,2))&gt;60),$A199&amp;"01 1",$A199),IF(AND(LEN($A199)=4,VALUE(RIGHT($A199,2))&lt;60),GUS_tabl_2!$A$8:$B$464,GUS_tabl_21!$A$5:$B$4886),2,FALSE)),SUM(FIND("..",TRIM(VLOOKUP(IF(AND(LEN($A199)=4,VALUE(RIGHT($A199,2))&gt;60),$A199&amp;"01 1",$A199),IF(AND(LEN($A199)=4,VALUE(RIGHT($A199,2))&lt;60),GUS_tabl_2!$A$8:$B$464,GUS_tabl_21!$A$5:$B$4886),2,FALSE))),-1)))))</f>
        <v>gm. w. Zagrodno</v>
      </c>
      <c r="D199" s="141">
        <f>IF(OR($A199="",ISERROR(VALUE(LEFT($A199,6)))),"",IF(LEN($A199)=2,SUMIF($A200:$A$2965,$A199&amp;"??",$D200:$D$2965),IF(AND(LEN($A199)=4,VALUE(RIGHT($A199,2))&lt;=60),SUMIF($A200:$A$2965,$A199&amp;"????",$D200:$D$2965),VLOOKUP(IF(LEN($A199)=4,$A199&amp;"01 1",$A199),GUS_tabl_21!$A$5:$F$4886,6,FALSE))))</f>
        <v>5269</v>
      </c>
    </row>
    <row r="200" spans="1:4" s="29" customFormat="1" ht="12" customHeight="1">
      <c r="A200" s="155" t="str">
        <f>"022606 2"</f>
        <v>022606 2</v>
      </c>
      <c r="B200" s="153" t="s">
        <v>40</v>
      </c>
      <c r="C200" s="156" t="str">
        <f>IF(OR($A200="",ISERROR(VALUE(LEFT($A200,6)))),"",IF(LEN($A200)=2,"WOJ. ",IF(LEN($A200)=4,IF(VALUE(RIGHT($A200,2))&gt;60,"","Powiat "),IF(VALUE(RIGHT($A200,1))=1,"m. ",IF(VALUE(RIGHT($A200,1))=2,"gm. w. ",IF(VALUE(RIGHT($A200,1))=8,"dz. ","gm. m.-w. ")))))&amp;IF(LEN($A200)=2,TRIM(UPPER(VLOOKUP($A200,GUS_tabl_1!$A$7:$B$22,2,FALSE))),IF(ISERROR(FIND("..",TRIM(VLOOKUP(IF(AND(LEN($A200)=4,VALUE(RIGHT($A200,2))&gt;60),$A200&amp;"01 1",$A200),IF(AND(LEN($A200)=4,VALUE(RIGHT($A200,2))&lt;60),GUS_tabl_2!$A$8:$B$464,GUS_tabl_21!$A$5:$B$4886),2,FALSE)))),TRIM(VLOOKUP(IF(AND(LEN($A200)=4,VALUE(RIGHT($A200,2))&gt;60),$A200&amp;"01 1",$A200),IF(AND(LEN($A200)=4,VALUE(RIGHT($A200,2))&lt;60),GUS_tabl_2!$A$8:$B$464,GUS_tabl_21!$A$5:$B$4886),2,FALSE)),LEFT(TRIM(VLOOKUP(IF(AND(LEN($A200)=4,VALUE(RIGHT($A200,2))&gt;60),$A200&amp;"01 1",$A200),IF(AND(LEN($A200)=4,VALUE(RIGHT($A200,2))&lt;60),GUS_tabl_2!$A$8:$B$464,GUS_tabl_21!$A$5:$B$4886),2,FALSE)),SUM(FIND("..",TRIM(VLOOKUP(IF(AND(LEN($A200)=4,VALUE(RIGHT($A200,2))&gt;60),$A200&amp;"01 1",$A200),IF(AND(LEN($A200)=4,VALUE(RIGHT($A200,2))&lt;60),GUS_tabl_2!$A$8:$B$464,GUS_tabl_21!$A$5:$B$4886),2,FALSE))),-1)))))</f>
        <v>gm. w. Złotoryja</v>
      </c>
      <c r="D200" s="141">
        <f>IF(OR($A200="",ISERROR(VALUE(LEFT($A200,6)))),"",IF(LEN($A200)=2,SUMIF($A201:$A$2965,$A200&amp;"??",$D201:$D$2965),IF(AND(LEN($A200)=4,VALUE(RIGHT($A200,2))&lt;=60),SUMIF($A201:$A$2965,$A200&amp;"????",$D201:$D$2965),VLOOKUP(IF(LEN($A200)=4,$A200&amp;"01 1",$A200),GUS_tabl_21!$A$5:$F$4886,6,FALSE))))</f>
        <v>7021</v>
      </c>
    </row>
    <row r="201" spans="1:4" s="29" customFormat="1" ht="12" customHeight="1">
      <c r="A201" s="152"/>
      <c r="B201" s="153" t="s">
        <v>40</v>
      </c>
      <c r="C201" s="154" t="s">
        <v>0</v>
      </c>
      <c r="D201" s="140" t="str">
        <f>IF(OR($A201="",ISERROR(VALUE(LEFT($A201,6)))),"",IF(LEN($A201)=2,SUMIF($A202:$A$2965,$A201&amp;"??",$D202:$D$2965),IF(AND(LEN($A201)=4,VALUE(RIGHT($A201,2))&lt;=60),SUMIF($A202:$A$2965,$A201&amp;"????",$D202:$D$2965),VLOOKUP(IF(LEN($A201)=4,$A201&amp;"01 1",$A201),GUS_tabl_21!$A$5:$F$4886,6,FALSE))))</f>
        <v/>
      </c>
    </row>
    <row r="202" spans="1:4" s="29" customFormat="1" ht="12" customHeight="1">
      <c r="A202" s="152"/>
      <c r="B202" s="153" t="s">
        <v>40</v>
      </c>
      <c r="C202" s="154" t="s">
        <v>1</v>
      </c>
      <c r="D202" s="140" t="str">
        <f>IF(OR($A202="",ISERROR(VALUE(LEFT($A202,6)))),"",IF(LEN($A202)=2,SUMIF($A203:$A$2965,$A202&amp;"??",$D203:$D$2965),IF(AND(LEN($A202)=4,VALUE(RIGHT($A202,2))&lt;=60),SUMIF($A203:$A$2965,$A202&amp;"????",$D203:$D$2965),VLOOKUP(IF(LEN($A202)=4,$A202&amp;"01 1",$A202),GUS_tabl_21!$A$5:$F$4886,6,FALSE))))</f>
        <v/>
      </c>
    </row>
    <row r="203" spans="1:4" s="29" customFormat="1" ht="12" customHeight="1">
      <c r="A203" s="152" t="str">
        <f>"0261"</f>
        <v>0261</v>
      </c>
      <c r="B203" s="153" t="s">
        <v>40</v>
      </c>
      <c r="C203" s="154" t="str">
        <f>IF(OR($A203="",ISERROR(VALUE(LEFT($A203,6)))),"",IF(LEN($A203)=2,"WOJ. ",IF(LEN($A203)=4,IF(VALUE(RIGHT($A203,2))&gt;60,"","Powiat "),IF(VALUE(RIGHT($A203,1))=1,"m. ",IF(VALUE(RIGHT($A203,1))=2,"gm. w. ",IF(VALUE(RIGHT($A203,1))=8,"dz. ","gm. m.-w. ")))))&amp;IF(LEN($A203)=2,TRIM(UPPER(VLOOKUP($A203,GUS_tabl_1!$A$7:$B$22,2,FALSE))),IF(ISERROR(FIND("..",TRIM(VLOOKUP(IF(AND(LEN($A203)=4,VALUE(RIGHT($A203,2))&gt;60),$A203&amp;"01 1",$A203),IF(AND(LEN($A203)=4,VALUE(RIGHT($A203,2))&lt;60),GUS_tabl_2!$A$8:$B$464,GUS_tabl_21!$A$5:$B$4886),2,FALSE)))),TRIM(VLOOKUP(IF(AND(LEN($A203)=4,VALUE(RIGHT($A203,2))&gt;60),$A203&amp;"01 1",$A203),IF(AND(LEN($A203)=4,VALUE(RIGHT($A203,2))&lt;60),GUS_tabl_2!$A$8:$B$464,GUS_tabl_21!$A$5:$B$4886),2,FALSE)),LEFT(TRIM(VLOOKUP(IF(AND(LEN($A203)=4,VALUE(RIGHT($A203,2))&gt;60),$A203&amp;"01 1",$A203),IF(AND(LEN($A203)=4,VALUE(RIGHT($A203,2))&lt;60),GUS_tabl_2!$A$8:$B$464,GUS_tabl_21!$A$5:$B$4886),2,FALSE)),SUM(FIND("..",TRIM(VLOOKUP(IF(AND(LEN($A203)=4,VALUE(RIGHT($A203,2))&gt;60),$A203&amp;"01 1",$A203),IF(AND(LEN($A203)=4,VALUE(RIGHT($A203,2))&lt;60),GUS_tabl_2!$A$8:$B$464,GUS_tabl_21!$A$5:$B$4886),2,FALSE))),-1)))))</f>
        <v>Jelenia Góra</v>
      </c>
      <c r="D203" s="140">
        <f>IF(OR($A203="",ISERROR(VALUE(LEFT($A203,6)))),"",IF(LEN($A203)=2,SUMIF($A204:$A$2965,$A203&amp;"??",$D204:$D$2965),IF(AND(LEN($A203)=4,VALUE(RIGHT($A203,2))&lt;=60),SUMIF($A204:$A$2965,$A203&amp;"????",$D204:$D$2965),VLOOKUP(IF(LEN($A203)=4,$A203&amp;"01 1",$A203),GUS_tabl_21!$A$5:$F$4886,6,FALSE))))</f>
        <v>79061</v>
      </c>
    </row>
    <row r="204" spans="1:4" s="29" customFormat="1" ht="12" customHeight="1">
      <c r="A204" s="152" t="str">
        <f>"0262"</f>
        <v>0262</v>
      </c>
      <c r="B204" s="153" t="s">
        <v>40</v>
      </c>
      <c r="C204" s="154" t="str">
        <f>IF(OR($A204="",ISERROR(VALUE(LEFT($A204,6)))),"",IF(LEN($A204)=2,"WOJ. ",IF(LEN($A204)=4,IF(VALUE(RIGHT($A204,2))&gt;60,"","Powiat "),IF(VALUE(RIGHT($A204,1))=1,"m. ",IF(VALUE(RIGHT($A204,1))=2,"gm. w. ",IF(VALUE(RIGHT($A204,1))=8,"dz. ","gm. m.-w. ")))))&amp;IF(LEN($A204)=2,TRIM(UPPER(VLOOKUP($A204,GUS_tabl_1!$A$7:$B$22,2,FALSE))),IF(ISERROR(FIND("..",TRIM(VLOOKUP(IF(AND(LEN($A204)=4,VALUE(RIGHT($A204,2))&gt;60),$A204&amp;"01 1",$A204),IF(AND(LEN($A204)=4,VALUE(RIGHT($A204,2))&lt;60),GUS_tabl_2!$A$8:$B$464,GUS_tabl_21!$A$5:$B$4886),2,FALSE)))),TRIM(VLOOKUP(IF(AND(LEN($A204)=4,VALUE(RIGHT($A204,2))&gt;60),$A204&amp;"01 1",$A204),IF(AND(LEN($A204)=4,VALUE(RIGHT($A204,2))&lt;60),GUS_tabl_2!$A$8:$B$464,GUS_tabl_21!$A$5:$B$4886),2,FALSE)),LEFT(TRIM(VLOOKUP(IF(AND(LEN($A204)=4,VALUE(RIGHT($A204,2))&gt;60),$A204&amp;"01 1",$A204),IF(AND(LEN($A204)=4,VALUE(RIGHT($A204,2))&lt;60),GUS_tabl_2!$A$8:$B$464,GUS_tabl_21!$A$5:$B$4886),2,FALSE)),SUM(FIND("..",TRIM(VLOOKUP(IF(AND(LEN($A204)=4,VALUE(RIGHT($A204,2))&gt;60),$A204&amp;"01 1",$A204),IF(AND(LEN($A204)=4,VALUE(RIGHT($A204,2))&lt;60),GUS_tabl_2!$A$8:$B$464,GUS_tabl_21!$A$5:$B$4886),2,FALSE))),-1)))))</f>
        <v>Legnica</v>
      </c>
      <c r="D204" s="140">
        <f>IF(OR($A204="",ISERROR(VALUE(LEFT($A204,6)))),"",IF(LEN($A204)=2,SUMIF($A205:$A$2965,$A204&amp;"??",$D205:$D$2965),IF(AND(LEN($A204)=4,VALUE(RIGHT($A204,2))&lt;=60),SUMIF($A205:$A$2965,$A204&amp;"????",$D205:$D$2965),VLOOKUP(IF(LEN($A204)=4,$A204&amp;"01 1",$A204),GUS_tabl_21!$A$5:$F$4886,6,FALSE))))</f>
        <v>99350</v>
      </c>
    </row>
    <row r="205" spans="1:4" s="29" customFormat="1" ht="12" customHeight="1">
      <c r="A205" s="152" t="str">
        <f>"0264"</f>
        <v>0264</v>
      </c>
      <c r="B205" s="153" t="s">
        <v>40</v>
      </c>
      <c r="C205" s="154" t="str">
        <f>IF(OR($A205="",ISERROR(VALUE(LEFT($A205,6)))),"",IF(LEN($A205)=2,"WOJ. ",IF(LEN($A205)=4,IF(VALUE(RIGHT($A205,2))&gt;60,"","Powiat "),IF(VALUE(RIGHT($A205,1))=1,"m. ",IF(VALUE(RIGHT($A205,1))=2,"gm. w. ",IF(VALUE(RIGHT($A205,1))=8,"dz. ","gm. m.-w. ")))))&amp;IF(LEN($A205)=2,TRIM(UPPER(VLOOKUP($A205,GUS_tabl_1!$A$7:$B$22,2,FALSE))),IF(ISERROR(FIND("..",TRIM(VLOOKUP(IF(AND(LEN($A205)=4,VALUE(RIGHT($A205,2))&gt;60),$A205&amp;"01 1",$A205),IF(AND(LEN($A205)=4,VALUE(RIGHT($A205,2))&lt;60),GUS_tabl_2!$A$8:$B$464,GUS_tabl_21!$A$5:$B$4886),2,FALSE)))),TRIM(VLOOKUP(IF(AND(LEN($A205)=4,VALUE(RIGHT($A205,2))&gt;60),$A205&amp;"01 1",$A205),IF(AND(LEN($A205)=4,VALUE(RIGHT($A205,2))&lt;60),GUS_tabl_2!$A$8:$B$464,GUS_tabl_21!$A$5:$B$4886),2,FALSE)),LEFT(TRIM(VLOOKUP(IF(AND(LEN($A205)=4,VALUE(RIGHT($A205,2))&gt;60),$A205&amp;"01 1",$A205),IF(AND(LEN($A205)=4,VALUE(RIGHT($A205,2))&lt;60),GUS_tabl_2!$A$8:$B$464,GUS_tabl_21!$A$5:$B$4886),2,FALSE)),SUM(FIND("..",TRIM(VLOOKUP(IF(AND(LEN($A205)=4,VALUE(RIGHT($A205,2))&gt;60),$A205&amp;"01 1",$A205),IF(AND(LEN($A205)=4,VALUE(RIGHT($A205,2))&lt;60),GUS_tabl_2!$A$8:$B$464,GUS_tabl_21!$A$5:$B$4886),2,FALSE))),-1)))))</f>
        <v>Wrocław (a)</v>
      </c>
      <c r="D205" s="140">
        <f>IF(OR($A205="",ISERROR(VALUE(LEFT($A205,6)))),"",IF(LEN($A205)=2,SUMIF($A206:$A$2965,$A205&amp;"??",$D206:$D$2965),IF(AND(LEN($A205)=4,VALUE(RIGHT($A205,2))&lt;=60),SUMIF($A206:$A$2965,$A205&amp;"????",$D206:$D$2965),VLOOKUP(IF(LEN($A205)=4,$A205&amp;"01 1",$A205),GUS_tabl_21!$A$5:$F$4886,6,FALSE))))</f>
        <v>642869</v>
      </c>
    </row>
    <row r="206" spans="1:4" s="29" customFormat="1" ht="12" customHeight="1">
      <c r="A206" s="152" t="str">
        <f>"0265"</f>
        <v>0265</v>
      </c>
      <c r="B206" s="153" t="s">
        <v>40</v>
      </c>
      <c r="C206" s="154" t="str">
        <f>IF(OR($A206="",ISERROR(VALUE(LEFT($A206,6)))),"",IF(LEN($A206)=2,"WOJ. ",IF(LEN($A206)=4,IF(VALUE(RIGHT($A206,2))&gt;60,"","Powiat "),IF(VALUE(RIGHT($A206,1))=1,"m. ",IF(VALUE(RIGHT($A206,1))=2,"gm. w. ",IF(VALUE(RIGHT($A206,1))=8,"dz. ","gm. m.-w. ")))))&amp;IF(LEN($A206)=2,TRIM(UPPER(VLOOKUP($A206,GUS_tabl_1!$A$7:$B$22,2,FALSE))),IF(ISERROR(FIND("..",TRIM(VLOOKUP(IF(AND(LEN($A206)=4,VALUE(RIGHT($A206,2))&gt;60),$A206&amp;"01 1",$A206),IF(AND(LEN($A206)=4,VALUE(RIGHT($A206,2))&lt;60),GUS_tabl_2!$A$8:$B$464,GUS_tabl_21!$A$5:$B$4886),2,FALSE)))),TRIM(VLOOKUP(IF(AND(LEN($A206)=4,VALUE(RIGHT($A206,2))&gt;60),$A206&amp;"01 1",$A206),IF(AND(LEN($A206)=4,VALUE(RIGHT($A206,2))&lt;60),GUS_tabl_2!$A$8:$B$464,GUS_tabl_21!$A$5:$B$4886),2,FALSE)),LEFT(TRIM(VLOOKUP(IF(AND(LEN($A206)=4,VALUE(RIGHT($A206,2))&gt;60),$A206&amp;"01 1",$A206),IF(AND(LEN($A206)=4,VALUE(RIGHT($A206,2))&lt;60),GUS_tabl_2!$A$8:$B$464,GUS_tabl_21!$A$5:$B$4886),2,FALSE)),SUM(FIND("..",TRIM(VLOOKUP(IF(AND(LEN($A206)=4,VALUE(RIGHT($A206,2))&gt;60),$A206&amp;"01 1",$A206),IF(AND(LEN($A206)=4,VALUE(RIGHT($A206,2))&lt;60),GUS_tabl_2!$A$8:$B$464,GUS_tabl_21!$A$5:$B$4886),2,FALSE))),-1)))))</f>
        <v>Wałbrzych</v>
      </c>
      <c r="D206" s="140">
        <f>IF(OR($A206="",ISERROR(VALUE(LEFT($A206,6)))),"",IF(LEN($A206)=2,SUMIF($A207:$A$2965,$A206&amp;"??",$D207:$D$2965),IF(AND(LEN($A206)=4,VALUE(RIGHT($A206,2))&lt;=60),SUMIF($A207:$A$2965,$A206&amp;"????",$D207:$D$2965),VLOOKUP(IF(LEN($A206)=4,$A206&amp;"01 1",$A206),GUS_tabl_21!$A$5:$F$4886,6,FALSE))))</f>
        <v>111356</v>
      </c>
    </row>
    <row r="207" spans="1:4" s="29" customFormat="1" ht="12" customHeight="1">
      <c r="A207" s="152"/>
      <c r="B207" s="153" t="s">
        <v>40</v>
      </c>
      <c r="C207" s="154" t="str">
        <f>IF(OR($A207="",ISERROR(VALUE(LEFT($A207,6)))),"",IF(LEN($A207)=2,"WOJ. ",IF(LEN($A207)=4,IF(VALUE(RIGHT($A207,2))&gt;60,"","Powiat "),IF(VALUE(RIGHT($A207,1))=1,"m. ",IF(VALUE(RIGHT($A207,1))=2,"gm. w. ","gm. m.-w. "))))&amp;IF(LEN($A207)=2,TRIM(UPPER(VLOOKUP($A207,GUS_tabl_1!$A$7:$B$22,2,FALSE))),TRIM(VLOOKUP(IF(AND(LEN($A207)=4,VALUE(RIGHT($A207,2))&gt;60),$A207&amp;"01 1",$A207),IF(AND(LEN($A207)=4,VALUE(RIGHT($A207,2))&lt;60),GUS_tabl_2!$A$8:$B$464,GUS_tabl_21!$A$5:$B$4886),2,FALSE))))</f>
        <v/>
      </c>
      <c r="D207" s="140" t="str">
        <f>IF(OR($A207="",ISERROR(VALUE(LEFT($A207,6)))),"",IF(LEN($A207)=2,SUMIF($A208:$A$2965,$A207&amp;"??",$D208:$D$2965),IF(AND(LEN($A207)=4,VALUE(RIGHT($A207,2))&lt;=60),SUMIF($A208:$A$2965,$A207&amp;"????",$D208:$D$2965),VLOOKUP(IF(LEN($A207)=4,$A207&amp;"01 1",$A207),GUS_tabl_21!$A$5:$F$4886,6,FALSE))))</f>
        <v/>
      </c>
    </row>
    <row r="208" spans="1:4" s="29" customFormat="1" ht="12" customHeight="1">
      <c r="A208" s="152"/>
      <c r="B208" s="153" t="s">
        <v>40</v>
      </c>
      <c r="C208" s="154" t="str">
        <f>IF(OR($A208="",ISERROR(VALUE(LEFT($A208,6)))),"",IF(LEN($A208)=2,"WOJ. ",IF(LEN($A208)=4,IF(VALUE(RIGHT($A208,2))&gt;60,"","Powiat "),IF(VALUE(RIGHT($A208,1))=1,"m. ",IF(VALUE(RIGHT($A208,1))=2,"gm. w. ","gm. m.-w. "))))&amp;IF(LEN($A208)=2,TRIM(UPPER(VLOOKUP($A208,GUS_tabl_1!$A$7:$B$22,2,FALSE))),TRIM(VLOOKUP(IF(AND(LEN($A208)=4,VALUE(RIGHT($A208,2))&gt;60),$A208&amp;"01 1",$A208),IF(AND(LEN($A208)=4,VALUE(RIGHT($A208,2))&lt;60),GUS_tabl_2!$A$8:$B$464,GUS_tabl_21!$A$5:$B$4886),2,FALSE))))</f>
        <v/>
      </c>
      <c r="D208" s="140" t="str">
        <f>IF(OR($A208="",ISERROR(VALUE(LEFT($A208,6)))),"",IF(LEN($A208)=2,SUMIF($A209:$A$2965,$A208&amp;"??",$D209:$D$2965),IF(AND(LEN($A208)=4,VALUE(RIGHT($A208,2))&lt;=60),SUMIF($A209:$A$2965,$A208&amp;"????",$D209:$D$2965),VLOOKUP(IF(LEN($A208)=4,$A208&amp;"01 1",$A208),GUS_tabl_21!$A$5:$F$4886,6,FALSE))))</f>
        <v/>
      </c>
    </row>
    <row r="209" spans="1:4" s="29" customFormat="1" ht="12" customHeight="1">
      <c r="A209" s="152"/>
      <c r="B209" s="153" t="s">
        <v>40</v>
      </c>
      <c r="C209" s="154" t="str">
        <f>IF(OR($A209="",ISERROR(VALUE(LEFT($A209,6)))),"",IF(LEN($A209)=2,"WOJ. ",IF(LEN($A209)=4,IF(VALUE(RIGHT($A209,2))&gt;60,"","Powiat "),IF(VALUE(RIGHT($A209,1))=1,"m. ",IF(VALUE(RIGHT($A209,1))=2,"gm. w. ","gm. m.-w. "))))&amp;IF(LEN($A209)=2,TRIM(UPPER(VLOOKUP($A209,GUS_tabl_1!$A$7:$B$22,2,FALSE))),TRIM(VLOOKUP(IF(AND(LEN($A209)=4,VALUE(RIGHT($A209,2))&gt;60),$A209&amp;"01 1",$A209),IF(AND(LEN($A209)=4,VALUE(RIGHT($A209,2))&lt;60),GUS_tabl_2!$A$8:$B$464,GUS_tabl_21!$A$5:$B$4886),2,FALSE))))</f>
        <v/>
      </c>
      <c r="D209" s="140" t="str">
        <f>IF(OR($A209="",ISERROR(VALUE(LEFT($A209,6)))),"",IF(LEN($A209)=2,SUMIF($A210:$A$2965,$A209&amp;"??",$D210:$D$2965),IF(AND(LEN($A209)=4,VALUE(RIGHT($A209,2))&lt;=60),SUMIF($A210:$A$2965,$A209&amp;"????",$D210:$D$2965),VLOOKUP(IF(LEN($A209)=4,$A209&amp;"01 1",$A209),GUS_tabl_21!$A$5:$F$4886,6,FALSE))))</f>
        <v/>
      </c>
    </row>
    <row r="210" spans="1:4" s="29" customFormat="1" ht="12" customHeight="1">
      <c r="A210" s="152"/>
      <c r="B210" s="153" t="s">
        <v>40</v>
      </c>
      <c r="C210" s="154" t="str">
        <f>IF(OR($A210="",ISERROR(VALUE(LEFT($A210,6)))),"",IF(LEN($A210)=2,"WOJ. ",IF(LEN($A210)=4,IF(VALUE(RIGHT($A210,2))&gt;60,"","Powiat "),IF(VALUE(RIGHT($A210,1))=1,"m. ",IF(VALUE(RIGHT($A210,1))=2,"gm. w. ","gm. m.-w. "))))&amp;IF(LEN($A210)=2,TRIM(UPPER(VLOOKUP($A210,GUS_tabl_1!$A$7:$B$22,2,FALSE))),TRIM(VLOOKUP(IF(AND(LEN($A210)=4,VALUE(RIGHT($A210,2))&gt;60),$A210&amp;"01 1",$A210),IF(AND(LEN($A210)=4,VALUE(RIGHT($A210,2))&lt;60),GUS_tabl_2!$A$8:$B$464,GUS_tabl_21!$A$5:$B$4886),2,FALSE))))</f>
        <v/>
      </c>
      <c r="D210" s="140" t="str">
        <f>IF(OR($A210="",ISERROR(VALUE(LEFT($A210,6)))),"",IF(LEN($A210)=2,SUMIF($A211:$A$2965,$A210&amp;"??",$D211:$D$2965),IF(AND(LEN($A210)=4,VALUE(RIGHT($A210,2))&lt;=60),SUMIF($A211:$A$2965,$A210&amp;"????",$D211:$D$2965),VLOOKUP(IF(LEN($A210)=4,$A210&amp;"01 1",$A210),GUS_tabl_21!$A$5:$F$4886,6,FALSE))))</f>
        <v/>
      </c>
    </row>
    <row r="211" spans="1:4" s="29" customFormat="1" ht="12" customHeight="1">
      <c r="A211" s="157"/>
      <c r="B211" s="153" t="s">
        <v>40</v>
      </c>
      <c r="C211" s="154" t="str">
        <f>IF(OR($A211="",ISERROR(VALUE(LEFT($A211,6)))),"",IF(LEN($A211)=2,"WOJ. ",IF(LEN($A211)=4,IF(VALUE(RIGHT($A211,2))&gt;60,"","Powiat "),IF(VALUE(RIGHT($A211,1))=1,"m. ",IF(VALUE(RIGHT($A211,1))=2,"gm. w. ","gm. m.-w. "))))&amp;IF(LEN($A211)=2,TRIM(UPPER(VLOOKUP($A211,GUS_tabl_1!$A$7:$B$22,2,FALSE))),TRIM(VLOOKUP(IF(AND(LEN($A211)=4,VALUE(RIGHT($A211,2))&gt;60),$A211&amp;"01 1",$A211),IF(AND(LEN($A211)=4,VALUE(RIGHT($A211,2))&lt;60),GUS_tabl_2!$A$8:$B$464,GUS_tabl_21!$A$5:$B$4886),2,FALSE))))</f>
        <v/>
      </c>
      <c r="D211" s="140"/>
    </row>
    <row r="212" spans="1:4" ht="12.75" thickBot="1">
      <c r="C212" s="143" t="str">
        <f>IF(OR($A212="",ISERROR(VALUE(LEFT($A212,6)))),"",IF(LEN($A212)=2,"WOJ. ",IF(LEN($A212)=4,IF(VALUE(RIGHT($A212,2))&gt;60,"","Powiat "),IF(VALUE(RIGHT($A212,1))=1,"m. ",IF(VALUE(RIGHT($A212,1))=2,"gm. w. ","gm. m.-w. "))))&amp;IF(LEN($A212)=2,TRIM(UPPER(VLOOKUP($A212,GUS_tabl_1!$A$7:$B$22,2,FALSE))),TRIM(VLOOKUP(IF(AND(LEN($A212)=4,VALUE(RIGHT($A212,2))&gt;60),$A212&amp;"01 1",$A212),IF(AND(LEN($A212)=4,VALUE(RIGHT($A212,2))&lt;60),GUS_tabl_2!$A$8:$B$464,GUS_tabl_21!$A$5:$B$4886),2,FALSE))))</f>
        <v/>
      </c>
    </row>
    <row r="213" spans="1:4" ht="28.5" customHeight="1" thickTop="1">
      <c r="A213" s="241" t="s">
        <v>97</v>
      </c>
      <c r="B213" s="247" t="s">
        <v>60</v>
      </c>
      <c r="C213" s="243" t="s">
        <v>7311</v>
      </c>
      <c r="D213" s="245" t="s">
        <v>6</v>
      </c>
    </row>
    <row r="214" spans="1:4" ht="25.5" customHeight="1" thickBot="1">
      <c r="A214" s="242"/>
      <c r="B214" s="254"/>
      <c r="C214" s="244"/>
      <c r="D214" s="246"/>
    </row>
    <row r="215" spans="1:4" s="29" customFormat="1" ht="12" customHeight="1" thickTop="1">
      <c r="A215" s="158"/>
      <c r="B215" s="153"/>
      <c r="C215" s="154" t="str">
        <f>IF(OR($A215="",ISERROR(VALUE(LEFT($A215,6)))),"",IF(LEN($A215)=2,"WOJ. ",IF(LEN($A215)=4,IF(VALUE(RIGHT($A215,2))&gt;60,"","Powiat "),IF(VALUE(RIGHT($A215,1))=1,"m. ",IF(VALUE(RIGHT($A215,1))=2,"gm. w. ",IF(VALUE(RIGHT($A215,1))=8,"dz. ","gm. m.-w. ")))))&amp;IF(LEN($A215)=2,TRIM(UPPER(VLOOKUP($A215,GUS_tabl_1!$A$7:$B$22,2,FALSE))),IF(ISERROR(FIND("..",TRIM(VLOOKUP(IF(AND(LEN($A215)=4,VALUE(RIGHT($A215,2))&gt;60),$A215&amp;"01 1",$A215),IF(AND(LEN($A215)=4,VALUE(RIGHT($A215,2))&lt;60),GUS_tabl_2!$A$8:$B$464,GUS_tabl_21!$A$5:$B$4886),2,FALSE)))),TRIM(VLOOKUP(IF(AND(LEN($A215)=4,VALUE(RIGHT($A215,2))&gt;60),$A215&amp;"01 1",$A215),IF(AND(LEN($A215)=4,VALUE(RIGHT($A215,2))&lt;60),GUS_tabl_2!$A$8:$B$464,GUS_tabl_21!$A$5:$B$4886),2,FALSE)),LEFT(TRIM(VLOOKUP(IF(AND(LEN($A215)=4,VALUE(RIGHT($A215,2))&gt;60),$A215&amp;"01 1",$A215),IF(AND(LEN($A215)=4,VALUE(RIGHT($A215,2))&lt;60),GUS_tabl_2!$A$8:$B$464,GUS_tabl_21!$A$5:$B$4886),2,FALSE)),SUM(FIND("..",TRIM(VLOOKUP(IF(AND(LEN($A215)=4,VALUE(RIGHT($A215,2))&gt;60),$A215&amp;"01 1",$A215),IF(AND(LEN($A215)=4,VALUE(RIGHT($A215,2))&lt;60),GUS_tabl_2!$A$8:$B$464,GUS_tabl_21!$A$5:$B$4886),2,FALSE))),-1)))))</f>
        <v/>
      </c>
      <c r="D215" s="140" t="str">
        <f>IF(OR($A215="",ISERROR(VALUE(LEFT($A215,6)))),"",IF(LEN($A215)=2,SUMIF($A216:$A$2965,$A215&amp;"??",$D216:$D$2965),IF(AND(LEN($A215)=4,VALUE(RIGHT($A215,2))&lt;=60),SUMIF($A216:$A$2965,$A215&amp;"????",$D216:$D$2965),VLOOKUP(IF(LEN($A215)=4,$A215&amp;"01 1",$A215),GUS_tabl_21!$A$5:$F$4886,6,FALSE))))</f>
        <v/>
      </c>
    </row>
    <row r="216" spans="1:4" s="29" customFormat="1" ht="12" customHeight="1">
      <c r="A216" s="152" t="str">
        <f>"04"</f>
        <v>04</v>
      </c>
      <c r="B216" s="153" t="s">
        <v>46</v>
      </c>
      <c r="C216" s="154" t="str">
        <f>IF(OR($A216="",ISERROR(VALUE(LEFT($A216,6)))),"",IF(LEN($A216)=2,"WOJ. ",IF(LEN($A216)=4,IF(VALUE(RIGHT($A216,2))&gt;60,"","Powiat "),IF(VALUE(RIGHT($A216,1))=1,"m. ",IF(VALUE(RIGHT($A216,1))=2,"gm. w. ",IF(VALUE(RIGHT($A216,1))=8,"dz. ","gm. m.-w. ")))))&amp;IF(LEN($A216)=2,TRIM(UPPER(VLOOKUP($A216,GUS_tabl_1!$A$7:$B$22,2,FALSE))),IF(ISERROR(FIND("..",TRIM(VLOOKUP(IF(AND(LEN($A216)=4,VALUE(RIGHT($A216,2))&gt;60),$A216&amp;"01 1",$A216),IF(AND(LEN($A216)=4,VALUE(RIGHT($A216,2))&lt;60),GUS_tabl_2!$A$8:$B$464,GUS_tabl_21!$A$5:$B$4886),2,FALSE)))),TRIM(VLOOKUP(IF(AND(LEN($A216)=4,VALUE(RIGHT($A216,2))&gt;60),$A216&amp;"01 1",$A216),IF(AND(LEN($A216)=4,VALUE(RIGHT($A216,2))&lt;60),GUS_tabl_2!$A$8:$B$464,GUS_tabl_21!$A$5:$B$4886),2,FALSE)),LEFT(TRIM(VLOOKUP(IF(AND(LEN($A216)=4,VALUE(RIGHT($A216,2))&gt;60),$A216&amp;"01 1",$A216),IF(AND(LEN($A216)=4,VALUE(RIGHT($A216,2))&lt;60),GUS_tabl_2!$A$8:$B$464,GUS_tabl_21!$A$5:$B$4886),2,FALSE)),SUM(FIND("..",TRIM(VLOOKUP(IF(AND(LEN($A216)=4,VALUE(RIGHT($A216,2))&gt;60),$A216&amp;"01 1",$A216),IF(AND(LEN($A216)=4,VALUE(RIGHT($A216,2))&lt;60),GUS_tabl_2!$A$8:$B$464,GUS_tabl_21!$A$5:$B$4886),2,FALSE))),-1)))))</f>
        <v>WOJ. KUJAWSKO-POMORSKIE</v>
      </c>
      <c r="D216" s="140">
        <f>IF(OR($A216="",ISERROR(VALUE(LEFT($A216,6)))),"",IF(LEN($A216)=2,SUMIF($A217:$A$2965,$A216&amp;"??",$D217:$D$2965),IF(AND(LEN($A216)=4,VALUE(RIGHT($A216,2))&lt;=60),SUMIF($A217:$A$2965,$A216&amp;"????",$D217:$D$2965),VLOOKUP(IF(LEN($A216)=4,$A216&amp;"01 1",$A216),GUS_tabl_21!$A$5:$F$4886,6,FALSE))))</f>
        <v>2072373</v>
      </c>
    </row>
    <row r="217" spans="1:4" s="29" customFormat="1" ht="12" customHeight="1">
      <c r="A217" s="152"/>
      <c r="B217" s="153" t="s">
        <v>46</v>
      </c>
      <c r="C217" s="154" t="str">
        <f>IF(OR($A217="",ISERROR(VALUE(LEFT($A217,6)))),"",IF(LEN($A217)=2,"WOJ. ",IF(LEN($A217)=4,IF(VALUE(RIGHT($A217,2))&gt;60,"","Powiat "),IF(VALUE(RIGHT($A217,1))=1,"m. ",IF(VALUE(RIGHT($A217,1))=2,"gm. w. ",IF(VALUE(RIGHT($A217,1))=8,"dz. ","gm. m.-w. ")))))&amp;IF(LEN($A217)=2,TRIM(UPPER(VLOOKUP($A217,GUS_tabl_1!$A$7:$B$22,2,FALSE))),IF(ISERROR(FIND("..",TRIM(VLOOKUP(IF(AND(LEN($A217)=4,VALUE(RIGHT($A217,2))&gt;60),$A217&amp;"01 1",$A217),IF(AND(LEN($A217)=4,VALUE(RIGHT($A217,2))&lt;60),GUS_tabl_2!$A$8:$B$464,GUS_tabl_21!$A$5:$B$4886),2,FALSE)))),TRIM(VLOOKUP(IF(AND(LEN($A217)=4,VALUE(RIGHT($A217,2))&gt;60),$A217&amp;"01 1",$A217),IF(AND(LEN($A217)=4,VALUE(RIGHT($A217,2))&lt;60),GUS_tabl_2!$A$8:$B$464,GUS_tabl_21!$A$5:$B$4886),2,FALSE)),LEFT(TRIM(VLOOKUP(IF(AND(LEN($A217)=4,VALUE(RIGHT($A217,2))&gt;60),$A217&amp;"01 1",$A217),IF(AND(LEN($A217)=4,VALUE(RIGHT($A217,2))&lt;60),GUS_tabl_2!$A$8:$B$464,GUS_tabl_21!$A$5:$B$4886),2,FALSE)),SUM(FIND("..",TRIM(VLOOKUP(IF(AND(LEN($A217)=4,VALUE(RIGHT($A217,2))&gt;60),$A217&amp;"01 1",$A217),IF(AND(LEN($A217)=4,VALUE(RIGHT($A217,2))&lt;60),GUS_tabl_2!$A$8:$B$464,GUS_tabl_21!$A$5:$B$4886),2,FALSE))),-1)))))</f>
        <v/>
      </c>
      <c r="D217" s="140" t="str">
        <f>IF(OR($A217="",ISERROR(VALUE(LEFT($A217,6)))),"",IF(LEN($A217)=2,SUMIF($A218:$A$2965,$A217&amp;"??",$D218:$D$2965),IF(AND(LEN($A217)=4,VALUE(RIGHT($A217,2))&lt;=60),SUMIF($A218:$A$2965,$A217&amp;"????",$D218:$D$2965),VLOOKUP(IF(LEN($A217)=4,$A217&amp;"01 1",$A217),GUS_tabl_21!$A$5:$F$4886,6,FALSE))))</f>
        <v/>
      </c>
    </row>
    <row r="218" spans="1:4" s="29" customFormat="1" ht="12" customHeight="1">
      <c r="A218" s="152" t="str">
        <f>"0401"</f>
        <v>0401</v>
      </c>
      <c r="B218" s="153" t="s">
        <v>46</v>
      </c>
      <c r="C218" s="154" t="str">
        <f>IF(OR($A218="",ISERROR(VALUE(LEFT($A218,6)))),"",IF(LEN($A218)=2,"WOJ. ",IF(LEN($A218)=4,IF(VALUE(RIGHT($A218,2))&gt;60,"","Powiat "),IF(VALUE(RIGHT($A218,1))=1,"m. ",IF(VALUE(RIGHT($A218,1))=2,"gm. w. ",IF(VALUE(RIGHT($A218,1))=8,"dz. ","gm. m.-w. ")))))&amp;IF(LEN($A218)=2,TRIM(UPPER(VLOOKUP($A218,GUS_tabl_1!$A$7:$B$22,2,FALSE))),IF(ISERROR(FIND("..",TRIM(VLOOKUP(IF(AND(LEN($A218)=4,VALUE(RIGHT($A218,2))&gt;60),$A218&amp;"01 1",$A218),IF(AND(LEN($A218)=4,VALUE(RIGHT($A218,2))&lt;60),GUS_tabl_2!$A$8:$B$464,GUS_tabl_21!$A$5:$B$4886),2,FALSE)))),TRIM(VLOOKUP(IF(AND(LEN($A218)=4,VALUE(RIGHT($A218,2))&gt;60),$A218&amp;"01 1",$A218),IF(AND(LEN($A218)=4,VALUE(RIGHT($A218,2))&lt;60),GUS_tabl_2!$A$8:$B$464,GUS_tabl_21!$A$5:$B$4886),2,FALSE)),LEFT(TRIM(VLOOKUP(IF(AND(LEN($A218)=4,VALUE(RIGHT($A218,2))&gt;60),$A218&amp;"01 1",$A218),IF(AND(LEN($A218)=4,VALUE(RIGHT($A218,2))&lt;60),GUS_tabl_2!$A$8:$B$464,GUS_tabl_21!$A$5:$B$4886),2,FALSE)),SUM(FIND("..",TRIM(VLOOKUP(IF(AND(LEN($A218)=4,VALUE(RIGHT($A218,2))&gt;60),$A218&amp;"01 1",$A218),IF(AND(LEN($A218)=4,VALUE(RIGHT($A218,2))&lt;60),GUS_tabl_2!$A$8:$B$464,GUS_tabl_21!$A$5:$B$4886),2,FALSE))),-1)))))</f>
        <v>Powiat aleksandrowski</v>
      </c>
      <c r="D218" s="140">
        <f>IF(OR($A218="",ISERROR(VALUE(LEFT($A218,6)))),"",IF(LEN($A218)=2,SUMIF($A219:$A$2965,$A218&amp;"??",$D219:$D$2965),IF(AND(LEN($A218)=4,VALUE(RIGHT($A218,2))&lt;=60),SUMIF($A219:$A$2965,$A218&amp;"????",$D219:$D$2965),VLOOKUP(IF(LEN($A218)=4,$A218&amp;"01 1",$A218),GUS_tabl_21!$A$5:$F$4886,6,FALSE))))</f>
        <v>55066</v>
      </c>
    </row>
    <row r="219" spans="1:4" s="29" customFormat="1" ht="12" customHeight="1">
      <c r="A219" s="155" t="str">
        <f>"040101 1"</f>
        <v>040101 1</v>
      </c>
      <c r="B219" s="153" t="s">
        <v>46</v>
      </c>
      <c r="C219" s="156" t="str">
        <f>IF(OR($A219="",ISERROR(VALUE(LEFT($A219,6)))),"",IF(LEN($A219)=2,"WOJ. ",IF(LEN($A219)=4,IF(VALUE(RIGHT($A219,2))&gt;60,"","Powiat "),IF(VALUE(RIGHT($A219,1))=1,"m. ",IF(VALUE(RIGHT($A219,1))=2,"gm. w. ",IF(VALUE(RIGHT($A219,1))=8,"dz. ","gm. m.-w. ")))))&amp;IF(LEN($A219)=2,TRIM(UPPER(VLOOKUP($A219,GUS_tabl_1!$A$7:$B$22,2,FALSE))),IF(ISERROR(FIND("..",TRIM(VLOOKUP(IF(AND(LEN($A219)=4,VALUE(RIGHT($A219,2))&gt;60),$A219&amp;"01 1",$A219),IF(AND(LEN($A219)=4,VALUE(RIGHT($A219,2))&lt;60),GUS_tabl_2!$A$8:$B$464,GUS_tabl_21!$A$5:$B$4886),2,FALSE)))),TRIM(VLOOKUP(IF(AND(LEN($A219)=4,VALUE(RIGHT($A219,2))&gt;60),$A219&amp;"01 1",$A219),IF(AND(LEN($A219)=4,VALUE(RIGHT($A219,2))&lt;60),GUS_tabl_2!$A$8:$B$464,GUS_tabl_21!$A$5:$B$4886),2,FALSE)),LEFT(TRIM(VLOOKUP(IF(AND(LEN($A219)=4,VALUE(RIGHT($A219,2))&gt;60),$A219&amp;"01 1",$A219),IF(AND(LEN($A219)=4,VALUE(RIGHT($A219,2))&lt;60),GUS_tabl_2!$A$8:$B$464,GUS_tabl_21!$A$5:$B$4886),2,FALSE)),SUM(FIND("..",TRIM(VLOOKUP(IF(AND(LEN($A219)=4,VALUE(RIGHT($A219,2))&gt;60),$A219&amp;"01 1",$A219),IF(AND(LEN($A219)=4,VALUE(RIGHT($A219,2))&lt;60),GUS_tabl_2!$A$8:$B$464,GUS_tabl_21!$A$5:$B$4886),2,FALSE))),-1)))))</f>
        <v>m. Aleksandrów Kujawski</v>
      </c>
      <c r="D219" s="141">
        <f>IF(OR($A219="",ISERROR(VALUE(LEFT($A219,6)))),"",IF(LEN($A219)=2,SUMIF($A220:$A$2965,$A219&amp;"??",$D220:$D$2965),IF(AND(LEN($A219)=4,VALUE(RIGHT($A219,2))&lt;=60),SUMIF($A220:$A$2965,$A219&amp;"????",$D220:$D$2965),VLOOKUP(IF(LEN($A219)=4,$A219&amp;"01 1",$A219),GUS_tabl_21!$A$5:$F$4886,6,FALSE))))</f>
        <v>12102</v>
      </c>
    </row>
    <row r="220" spans="1:4" s="29" customFormat="1" ht="12" customHeight="1">
      <c r="A220" s="155" t="str">
        <f>"040102 1"</f>
        <v>040102 1</v>
      </c>
      <c r="B220" s="153" t="s">
        <v>46</v>
      </c>
      <c r="C220" s="156" t="str">
        <f>IF(OR($A220="",ISERROR(VALUE(LEFT($A220,6)))),"",IF(LEN($A220)=2,"WOJ. ",IF(LEN($A220)=4,IF(VALUE(RIGHT($A220,2))&gt;60,"","Powiat "),IF(VALUE(RIGHT($A220,1))=1,"m. ",IF(VALUE(RIGHT($A220,1))=2,"gm. w. ",IF(VALUE(RIGHT($A220,1))=8,"dz. ","gm. m.-w. ")))))&amp;IF(LEN($A220)=2,TRIM(UPPER(VLOOKUP($A220,GUS_tabl_1!$A$7:$B$22,2,FALSE))),IF(ISERROR(FIND("..",TRIM(VLOOKUP(IF(AND(LEN($A220)=4,VALUE(RIGHT($A220,2))&gt;60),$A220&amp;"01 1",$A220),IF(AND(LEN($A220)=4,VALUE(RIGHT($A220,2))&lt;60),GUS_tabl_2!$A$8:$B$464,GUS_tabl_21!$A$5:$B$4886),2,FALSE)))),TRIM(VLOOKUP(IF(AND(LEN($A220)=4,VALUE(RIGHT($A220,2))&gt;60),$A220&amp;"01 1",$A220),IF(AND(LEN($A220)=4,VALUE(RIGHT($A220,2))&lt;60),GUS_tabl_2!$A$8:$B$464,GUS_tabl_21!$A$5:$B$4886),2,FALSE)),LEFT(TRIM(VLOOKUP(IF(AND(LEN($A220)=4,VALUE(RIGHT($A220,2))&gt;60),$A220&amp;"01 1",$A220),IF(AND(LEN($A220)=4,VALUE(RIGHT($A220,2))&lt;60),GUS_tabl_2!$A$8:$B$464,GUS_tabl_21!$A$5:$B$4886),2,FALSE)),SUM(FIND("..",TRIM(VLOOKUP(IF(AND(LEN($A220)=4,VALUE(RIGHT($A220,2))&gt;60),$A220&amp;"01 1",$A220),IF(AND(LEN($A220)=4,VALUE(RIGHT($A220,2))&lt;60),GUS_tabl_2!$A$8:$B$464,GUS_tabl_21!$A$5:$B$4886),2,FALSE))),-1)))))</f>
        <v>m. Ciechocinek</v>
      </c>
      <c r="D220" s="141">
        <f>IF(OR($A220="",ISERROR(VALUE(LEFT($A220,6)))),"",IF(LEN($A220)=2,SUMIF($A221:$A$2965,$A220&amp;"??",$D221:$D$2965),IF(AND(LEN($A220)=4,VALUE(RIGHT($A220,2))&lt;=60),SUMIF($A221:$A$2965,$A220&amp;"????",$D221:$D$2965),VLOOKUP(IF(LEN($A220)=4,$A220&amp;"01 1",$A220),GUS_tabl_21!$A$5:$F$4886,6,FALSE))))</f>
        <v>10618</v>
      </c>
    </row>
    <row r="221" spans="1:4" s="29" customFormat="1" ht="12" customHeight="1">
      <c r="A221" s="155" t="str">
        <f>"040103 1"</f>
        <v>040103 1</v>
      </c>
      <c r="B221" s="153" t="s">
        <v>46</v>
      </c>
      <c r="C221" s="156" t="str">
        <f>IF(OR($A221="",ISERROR(VALUE(LEFT($A221,6)))),"",IF(LEN($A221)=2,"WOJ. ",IF(LEN($A221)=4,IF(VALUE(RIGHT($A221,2))&gt;60,"","Powiat "),IF(VALUE(RIGHT($A221,1))=1,"m. ",IF(VALUE(RIGHT($A221,1))=2,"gm. w. ",IF(VALUE(RIGHT($A221,1))=8,"dz. ","gm. m.-w. ")))))&amp;IF(LEN($A221)=2,TRIM(UPPER(VLOOKUP($A221,GUS_tabl_1!$A$7:$B$22,2,FALSE))),IF(ISERROR(FIND("..",TRIM(VLOOKUP(IF(AND(LEN($A221)=4,VALUE(RIGHT($A221,2))&gt;60),$A221&amp;"01 1",$A221),IF(AND(LEN($A221)=4,VALUE(RIGHT($A221,2))&lt;60),GUS_tabl_2!$A$8:$B$464,GUS_tabl_21!$A$5:$B$4886),2,FALSE)))),TRIM(VLOOKUP(IF(AND(LEN($A221)=4,VALUE(RIGHT($A221,2))&gt;60),$A221&amp;"01 1",$A221),IF(AND(LEN($A221)=4,VALUE(RIGHT($A221,2))&lt;60),GUS_tabl_2!$A$8:$B$464,GUS_tabl_21!$A$5:$B$4886),2,FALSE)),LEFT(TRIM(VLOOKUP(IF(AND(LEN($A221)=4,VALUE(RIGHT($A221,2))&gt;60),$A221&amp;"01 1",$A221),IF(AND(LEN($A221)=4,VALUE(RIGHT($A221,2))&lt;60),GUS_tabl_2!$A$8:$B$464,GUS_tabl_21!$A$5:$B$4886),2,FALSE)),SUM(FIND("..",TRIM(VLOOKUP(IF(AND(LEN($A221)=4,VALUE(RIGHT($A221,2))&gt;60),$A221&amp;"01 1",$A221),IF(AND(LEN($A221)=4,VALUE(RIGHT($A221,2))&lt;60),GUS_tabl_2!$A$8:$B$464,GUS_tabl_21!$A$5:$B$4886),2,FALSE))),-1)))))</f>
        <v>m. Nieszawa</v>
      </c>
      <c r="D221" s="141">
        <f>IF(OR($A221="",ISERROR(VALUE(LEFT($A221,6)))),"",IF(LEN($A221)=2,SUMIF($A222:$A$2965,$A221&amp;"??",$D222:$D$2965),IF(AND(LEN($A221)=4,VALUE(RIGHT($A221,2))&lt;=60),SUMIF($A222:$A$2965,$A221&amp;"????",$D222:$D$2965),VLOOKUP(IF(LEN($A221)=4,$A221&amp;"01 1",$A221),GUS_tabl_21!$A$5:$F$4886,6,FALSE))))</f>
        <v>1843</v>
      </c>
    </row>
    <row r="222" spans="1:4" s="29" customFormat="1" ht="12" customHeight="1">
      <c r="A222" s="155" t="str">
        <f>"040104 2"</f>
        <v>040104 2</v>
      </c>
      <c r="B222" s="153" t="s">
        <v>46</v>
      </c>
      <c r="C222" s="156" t="str">
        <f>IF(OR($A222="",ISERROR(VALUE(LEFT($A222,6)))),"",IF(LEN($A222)=2,"WOJ. ",IF(LEN($A222)=4,IF(VALUE(RIGHT($A222,2))&gt;60,"","Powiat "),IF(VALUE(RIGHT($A222,1))=1,"m. ",IF(VALUE(RIGHT($A222,1))=2,"gm. w. ",IF(VALUE(RIGHT($A222,1))=8,"dz. ","gm. m.-w. ")))))&amp;IF(LEN($A222)=2,TRIM(UPPER(VLOOKUP($A222,GUS_tabl_1!$A$7:$B$22,2,FALSE))),IF(ISERROR(FIND("..",TRIM(VLOOKUP(IF(AND(LEN($A222)=4,VALUE(RIGHT($A222,2))&gt;60),$A222&amp;"01 1",$A222),IF(AND(LEN($A222)=4,VALUE(RIGHT($A222,2))&lt;60),GUS_tabl_2!$A$8:$B$464,GUS_tabl_21!$A$5:$B$4886),2,FALSE)))),TRIM(VLOOKUP(IF(AND(LEN($A222)=4,VALUE(RIGHT($A222,2))&gt;60),$A222&amp;"01 1",$A222),IF(AND(LEN($A222)=4,VALUE(RIGHT($A222,2))&lt;60),GUS_tabl_2!$A$8:$B$464,GUS_tabl_21!$A$5:$B$4886),2,FALSE)),LEFT(TRIM(VLOOKUP(IF(AND(LEN($A222)=4,VALUE(RIGHT($A222,2))&gt;60),$A222&amp;"01 1",$A222),IF(AND(LEN($A222)=4,VALUE(RIGHT($A222,2))&lt;60),GUS_tabl_2!$A$8:$B$464,GUS_tabl_21!$A$5:$B$4886),2,FALSE)),SUM(FIND("..",TRIM(VLOOKUP(IF(AND(LEN($A222)=4,VALUE(RIGHT($A222,2))&gt;60),$A222&amp;"01 1",$A222),IF(AND(LEN($A222)=4,VALUE(RIGHT($A222,2))&lt;60),GUS_tabl_2!$A$8:$B$464,GUS_tabl_21!$A$5:$B$4886),2,FALSE))),-1)))))</f>
        <v>gm. w. Aleksandrów Kujawski</v>
      </c>
      <c r="D222" s="141">
        <f>IF(OR($A222="",ISERROR(VALUE(LEFT($A222,6)))),"",IF(LEN($A222)=2,SUMIF($A223:$A$2965,$A222&amp;"??",$D223:$D$2965),IF(AND(LEN($A222)=4,VALUE(RIGHT($A222,2))&lt;=60),SUMIF($A223:$A$2965,$A222&amp;"????",$D223:$D$2965),VLOOKUP(IF(LEN($A222)=4,$A222&amp;"01 1",$A222),GUS_tabl_21!$A$5:$F$4886,6,FALSE))))</f>
        <v>11943</v>
      </c>
    </row>
    <row r="223" spans="1:4" s="29" customFormat="1" ht="12" customHeight="1">
      <c r="A223" s="155" t="str">
        <f>"040105 2"</f>
        <v>040105 2</v>
      </c>
      <c r="B223" s="153" t="s">
        <v>46</v>
      </c>
      <c r="C223" s="156" t="str">
        <f>IF(OR($A223="",ISERROR(VALUE(LEFT($A223,6)))),"",IF(LEN($A223)=2,"WOJ. ",IF(LEN($A223)=4,IF(VALUE(RIGHT($A223,2))&gt;60,"","Powiat "),IF(VALUE(RIGHT($A223,1))=1,"m. ",IF(VALUE(RIGHT($A223,1))=2,"gm. w. ",IF(VALUE(RIGHT($A223,1))=8,"dz. ","gm. m.-w. ")))))&amp;IF(LEN($A223)=2,TRIM(UPPER(VLOOKUP($A223,GUS_tabl_1!$A$7:$B$22,2,FALSE))),IF(ISERROR(FIND("..",TRIM(VLOOKUP(IF(AND(LEN($A223)=4,VALUE(RIGHT($A223,2))&gt;60),$A223&amp;"01 1",$A223),IF(AND(LEN($A223)=4,VALUE(RIGHT($A223,2))&lt;60),GUS_tabl_2!$A$8:$B$464,GUS_tabl_21!$A$5:$B$4886),2,FALSE)))),TRIM(VLOOKUP(IF(AND(LEN($A223)=4,VALUE(RIGHT($A223,2))&gt;60),$A223&amp;"01 1",$A223),IF(AND(LEN($A223)=4,VALUE(RIGHT($A223,2))&lt;60),GUS_tabl_2!$A$8:$B$464,GUS_tabl_21!$A$5:$B$4886),2,FALSE)),LEFT(TRIM(VLOOKUP(IF(AND(LEN($A223)=4,VALUE(RIGHT($A223,2))&gt;60),$A223&amp;"01 1",$A223),IF(AND(LEN($A223)=4,VALUE(RIGHT($A223,2))&lt;60),GUS_tabl_2!$A$8:$B$464,GUS_tabl_21!$A$5:$B$4886),2,FALSE)),SUM(FIND("..",TRIM(VLOOKUP(IF(AND(LEN($A223)=4,VALUE(RIGHT($A223,2))&gt;60),$A223&amp;"01 1",$A223),IF(AND(LEN($A223)=4,VALUE(RIGHT($A223,2))&lt;60),GUS_tabl_2!$A$8:$B$464,GUS_tabl_21!$A$5:$B$4886),2,FALSE))),-1)))))</f>
        <v>gm. w. Bądkowo</v>
      </c>
      <c r="D223" s="141">
        <f>IF(OR($A223="",ISERROR(VALUE(LEFT($A223,6)))),"",IF(LEN($A223)=2,SUMIF($A224:$A$2965,$A223&amp;"??",$D224:$D$2965),IF(AND(LEN($A223)=4,VALUE(RIGHT($A223,2))&lt;=60),SUMIF($A224:$A$2965,$A223&amp;"????",$D224:$D$2965),VLOOKUP(IF(LEN($A223)=4,$A223&amp;"01 1",$A223),GUS_tabl_21!$A$5:$F$4886,6,FALSE))))</f>
        <v>4222</v>
      </c>
    </row>
    <row r="224" spans="1:4" s="29" customFormat="1" ht="12" customHeight="1">
      <c r="A224" s="155" t="str">
        <f>"040106 2"</f>
        <v>040106 2</v>
      </c>
      <c r="B224" s="153" t="s">
        <v>46</v>
      </c>
      <c r="C224" s="156" t="str">
        <f>IF(OR($A224="",ISERROR(VALUE(LEFT($A224,6)))),"",IF(LEN($A224)=2,"WOJ. ",IF(LEN($A224)=4,IF(VALUE(RIGHT($A224,2))&gt;60,"","Powiat "),IF(VALUE(RIGHT($A224,1))=1,"m. ",IF(VALUE(RIGHT($A224,1))=2,"gm. w. ",IF(VALUE(RIGHT($A224,1))=8,"dz. ","gm. m.-w. ")))))&amp;IF(LEN($A224)=2,TRIM(UPPER(VLOOKUP($A224,GUS_tabl_1!$A$7:$B$22,2,FALSE))),IF(ISERROR(FIND("..",TRIM(VLOOKUP(IF(AND(LEN($A224)=4,VALUE(RIGHT($A224,2))&gt;60),$A224&amp;"01 1",$A224),IF(AND(LEN($A224)=4,VALUE(RIGHT($A224,2))&lt;60),GUS_tabl_2!$A$8:$B$464,GUS_tabl_21!$A$5:$B$4886),2,FALSE)))),TRIM(VLOOKUP(IF(AND(LEN($A224)=4,VALUE(RIGHT($A224,2))&gt;60),$A224&amp;"01 1",$A224),IF(AND(LEN($A224)=4,VALUE(RIGHT($A224,2))&lt;60),GUS_tabl_2!$A$8:$B$464,GUS_tabl_21!$A$5:$B$4886),2,FALSE)),LEFT(TRIM(VLOOKUP(IF(AND(LEN($A224)=4,VALUE(RIGHT($A224,2))&gt;60),$A224&amp;"01 1",$A224),IF(AND(LEN($A224)=4,VALUE(RIGHT($A224,2))&lt;60),GUS_tabl_2!$A$8:$B$464,GUS_tabl_21!$A$5:$B$4886),2,FALSE)),SUM(FIND("..",TRIM(VLOOKUP(IF(AND(LEN($A224)=4,VALUE(RIGHT($A224,2))&gt;60),$A224&amp;"01 1",$A224),IF(AND(LEN($A224)=4,VALUE(RIGHT($A224,2))&lt;60),GUS_tabl_2!$A$8:$B$464,GUS_tabl_21!$A$5:$B$4886),2,FALSE))),-1)))))</f>
        <v>gm. w. Koneck</v>
      </c>
      <c r="D224" s="141">
        <f>IF(OR($A224="",ISERROR(VALUE(LEFT($A224,6)))),"",IF(LEN($A224)=2,SUMIF($A225:$A$2965,$A224&amp;"??",$D225:$D$2965),IF(AND(LEN($A224)=4,VALUE(RIGHT($A224,2))&lt;=60),SUMIF($A225:$A$2965,$A224&amp;"????",$D225:$D$2965),VLOOKUP(IF(LEN($A224)=4,$A224&amp;"01 1",$A224),GUS_tabl_21!$A$5:$F$4886,6,FALSE))))</f>
        <v>3125</v>
      </c>
    </row>
    <row r="225" spans="1:4" s="29" customFormat="1" ht="12" customHeight="1">
      <c r="A225" s="155" t="str">
        <f>"040107 2"</f>
        <v>040107 2</v>
      </c>
      <c r="B225" s="153" t="s">
        <v>46</v>
      </c>
      <c r="C225" s="156" t="str">
        <f>IF(OR($A225="",ISERROR(VALUE(LEFT($A225,6)))),"",IF(LEN($A225)=2,"WOJ. ",IF(LEN($A225)=4,IF(VALUE(RIGHT($A225,2))&gt;60,"","Powiat "),IF(VALUE(RIGHT($A225,1))=1,"m. ",IF(VALUE(RIGHT($A225,1))=2,"gm. w. ",IF(VALUE(RIGHT($A225,1))=8,"dz. ","gm. m.-w. ")))))&amp;IF(LEN($A225)=2,TRIM(UPPER(VLOOKUP($A225,GUS_tabl_1!$A$7:$B$22,2,FALSE))),IF(ISERROR(FIND("..",TRIM(VLOOKUP(IF(AND(LEN($A225)=4,VALUE(RIGHT($A225,2))&gt;60),$A225&amp;"01 1",$A225),IF(AND(LEN($A225)=4,VALUE(RIGHT($A225,2))&lt;60),GUS_tabl_2!$A$8:$B$464,GUS_tabl_21!$A$5:$B$4886),2,FALSE)))),TRIM(VLOOKUP(IF(AND(LEN($A225)=4,VALUE(RIGHT($A225,2))&gt;60),$A225&amp;"01 1",$A225),IF(AND(LEN($A225)=4,VALUE(RIGHT($A225,2))&lt;60),GUS_tabl_2!$A$8:$B$464,GUS_tabl_21!$A$5:$B$4886),2,FALSE)),LEFT(TRIM(VLOOKUP(IF(AND(LEN($A225)=4,VALUE(RIGHT($A225,2))&gt;60),$A225&amp;"01 1",$A225),IF(AND(LEN($A225)=4,VALUE(RIGHT($A225,2))&lt;60),GUS_tabl_2!$A$8:$B$464,GUS_tabl_21!$A$5:$B$4886),2,FALSE)),SUM(FIND("..",TRIM(VLOOKUP(IF(AND(LEN($A225)=4,VALUE(RIGHT($A225,2))&gt;60),$A225&amp;"01 1",$A225),IF(AND(LEN($A225)=4,VALUE(RIGHT($A225,2))&lt;60),GUS_tabl_2!$A$8:$B$464,GUS_tabl_21!$A$5:$B$4886),2,FALSE))),-1)))))</f>
        <v>gm. w. Raciążek</v>
      </c>
      <c r="D225" s="141">
        <f>IF(OR($A225="",ISERROR(VALUE(LEFT($A225,6)))),"",IF(LEN($A225)=2,SUMIF($A226:$A$2965,$A225&amp;"??",$D226:$D$2965),IF(AND(LEN($A225)=4,VALUE(RIGHT($A225,2))&lt;=60),SUMIF($A226:$A$2965,$A225&amp;"????",$D226:$D$2965),VLOOKUP(IF(LEN($A225)=4,$A225&amp;"01 1",$A225),GUS_tabl_21!$A$5:$F$4886,6,FALSE))))</f>
        <v>3138</v>
      </c>
    </row>
    <row r="226" spans="1:4" s="29" customFormat="1" ht="12" customHeight="1">
      <c r="A226" s="155" t="str">
        <f>"040108 2"</f>
        <v>040108 2</v>
      </c>
      <c r="B226" s="153" t="s">
        <v>46</v>
      </c>
      <c r="C226" s="156" t="str">
        <f>IF(OR($A226="",ISERROR(VALUE(LEFT($A226,6)))),"",IF(LEN($A226)=2,"WOJ. ",IF(LEN($A226)=4,IF(VALUE(RIGHT($A226,2))&gt;60,"","Powiat "),IF(VALUE(RIGHT($A226,1))=1,"m. ",IF(VALUE(RIGHT($A226,1))=2,"gm. w. ",IF(VALUE(RIGHT($A226,1))=8,"dz. ","gm. m.-w. ")))))&amp;IF(LEN($A226)=2,TRIM(UPPER(VLOOKUP($A226,GUS_tabl_1!$A$7:$B$22,2,FALSE))),IF(ISERROR(FIND("..",TRIM(VLOOKUP(IF(AND(LEN($A226)=4,VALUE(RIGHT($A226,2))&gt;60),$A226&amp;"01 1",$A226),IF(AND(LEN($A226)=4,VALUE(RIGHT($A226,2))&lt;60),GUS_tabl_2!$A$8:$B$464,GUS_tabl_21!$A$5:$B$4886),2,FALSE)))),TRIM(VLOOKUP(IF(AND(LEN($A226)=4,VALUE(RIGHT($A226,2))&gt;60),$A226&amp;"01 1",$A226),IF(AND(LEN($A226)=4,VALUE(RIGHT($A226,2))&lt;60),GUS_tabl_2!$A$8:$B$464,GUS_tabl_21!$A$5:$B$4886),2,FALSE)),LEFT(TRIM(VLOOKUP(IF(AND(LEN($A226)=4,VALUE(RIGHT($A226,2))&gt;60),$A226&amp;"01 1",$A226),IF(AND(LEN($A226)=4,VALUE(RIGHT($A226,2))&lt;60),GUS_tabl_2!$A$8:$B$464,GUS_tabl_21!$A$5:$B$4886),2,FALSE)),SUM(FIND("..",TRIM(VLOOKUP(IF(AND(LEN($A226)=4,VALUE(RIGHT($A226,2))&gt;60),$A226&amp;"01 1",$A226),IF(AND(LEN($A226)=4,VALUE(RIGHT($A226,2))&lt;60),GUS_tabl_2!$A$8:$B$464,GUS_tabl_21!$A$5:$B$4886),2,FALSE))),-1)))))</f>
        <v>gm. w. Waganiec</v>
      </c>
      <c r="D226" s="141">
        <f>IF(OR($A226="",ISERROR(VALUE(LEFT($A226,6)))),"",IF(LEN($A226)=2,SUMIF($A227:$A$2965,$A226&amp;"??",$D227:$D$2965),IF(AND(LEN($A226)=4,VALUE(RIGHT($A226,2))&lt;=60),SUMIF($A227:$A$2965,$A226&amp;"????",$D227:$D$2965),VLOOKUP(IF(LEN($A226)=4,$A226&amp;"01 1",$A226),GUS_tabl_21!$A$5:$F$4886,6,FALSE))))</f>
        <v>4566</v>
      </c>
    </row>
    <row r="227" spans="1:4" s="29" customFormat="1" ht="12" customHeight="1">
      <c r="A227" s="155" t="str">
        <f>"040109 2"</f>
        <v>040109 2</v>
      </c>
      <c r="B227" s="153" t="s">
        <v>46</v>
      </c>
      <c r="C227" s="156" t="str">
        <f>IF(OR($A227="",ISERROR(VALUE(LEFT($A227,6)))),"",IF(LEN($A227)=2,"WOJ. ",IF(LEN($A227)=4,IF(VALUE(RIGHT($A227,2))&gt;60,"","Powiat "),IF(VALUE(RIGHT($A227,1))=1,"m. ",IF(VALUE(RIGHT($A227,1))=2,"gm. w. ",IF(VALUE(RIGHT($A227,1))=8,"dz. ","gm. m.-w. ")))))&amp;IF(LEN($A227)=2,TRIM(UPPER(VLOOKUP($A227,GUS_tabl_1!$A$7:$B$22,2,FALSE))),IF(ISERROR(FIND("..",TRIM(VLOOKUP(IF(AND(LEN($A227)=4,VALUE(RIGHT($A227,2))&gt;60),$A227&amp;"01 1",$A227),IF(AND(LEN($A227)=4,VALUE(RIGHT($A227,2))&lt;60),GUS_tabl_2!$A$8:$B$464,GUS_tabl_21!$A$5:$B$4886),2,FALSE)))),TRIM(VLOOKUP(IF(AND(LEN($A227)=4,VALUE(RIGHT($A227,2))&gt;60),$A227&amp;"01 1",$A227),IF(AND(LEN($A227)=4,VALUE(RIGHT($A227,2))&lt;60),GUS_tabl_2!$A$8:$B$464,GUS_tabl_21!$A$5:$B$4886),2,FALSE)),LEFT(TRIM(VLOOKUP(IF(AND(LEN($A227)=4,VALUE(RIGHT($A227,2))&gt;60),$A227&amp;"01 1",$A227),IF(AND(LEN($A227)=4,VALUE(RIGHT($A227,2))&lt;60),GUS_tabl_2!$A$8:$B$464,GUS_tabl_21!$A$5:$B$4886),2,FALSE)),SUM(FIND("..",TRIM(VLOOKUP(IF(AND(LEN($A227)=4,VALUE(RIGHT($A227,2))&gt;60),$A227&amp;"01 1",$A227),IF(AND(LEN($A227)=4,VALUE(RIGHT($A227,2))&lt;60),GUS_tabl_2!$A$8:$B$464,GUS_tabl_21!$A$5:$B$4886),2,FALSE))),-1)))))</f>
        <v>gm. w. Zakrzewo</v>
      </c>
      <c r="D227" s="141">
        <f>IF(OR($A227="",ISERROR(VALUE(LEFT($A227,6)))),"",IF(LEN($A227)=2,SUMIF($A228:$A$2965,$A227&amp;"??",$D228:$D$2965),IF(AND(LEN($A227)=4,VALUE(RIGHT($A227,2))&lt;=60),SUMIF($A228:$A$2965,$A227&amp;"????",$D228:$D$2965),VLOOKUP(IF(LEN($A227)=4,$A227&amp;"01 1",$A227),GUS_tabl_21!$A$5:$F$4886,6,FALSE))))</f>
        <v>3509</v>
      </c>
    </row>
    <row r="228" spans="1:4" s="29" customFormat="1" ht="12" customHeight="1">
      <c r="A228" s="152" t="str">
        <f>"0402"</f>
        <v>0402</v>
      </c>
      <c r="B228" s="153" t="s">
        <v>46</v>
      </c>
      <c r="C228" s="154" t="str">
        <f>IF(OR($A228="",ISERROR(VALUE(LEFT($A228,6)))),"",IF(LEN($A228)=2,"WOJ. ",IF(LEN($A228)=4,IF(VALUE(RIGHT($A228,2))&gt;60,"","Powiat "),IF(VALUE(RIGHT($A228,1))=1,"m. ",IF(VALUE(RIGHT($A228,1))=2,"gm. w. ",IF(VALUE(RIGHT($A228,1))=8,"dz. ","gm. m.-w. ")))))&amp;IF(LEN($A228)=2,TRIM(UPPER(VLOOKUP($A228,GUS_tabl_1!$A$7:$B$22,2,FALSE))),IF(ISERROR(FIND("..",TRIM(VLOOKUP(IF(AND(LEN($A228)=4,VALUE(RIGHT($A228,2))&gt;60),$A228&amp;"01 1",$A228),IF(AND(LEN($A228)=4,VALUE(RIGHT($A228,2))&lt;60),GUS_tabl_2!$A$8:$B$464,GUS_tabl_21!$A$5:$B$4886),2,FALSE)))),TRIM(VLOOKUP(IF(AND(LEN($A228)=4,VALUE(RIGHT($A228,2))&gt;60),$A228&amp;"01 1",$A228),IF(AND(LEN($A228)=4,VALUE(RIGHT($A228,2))&lt;60),GUS_tabl_2!$A$8:$B$464,GUS_tabl_21!$A$5:$B$4886),2,FALSE)),LEFT(TRIM(VLOOKUP(IF(AND(LEN($A228)=4,VALUE(RIGHT($A228,2))&gt;60),$A228&amp;"01 1",$A228),IF(AND(LEN($A228)=4,VALUE(RIGHT($A228,2))&lt;60),GUS_tabl_2!$A$8:$B$464,GUS_tabl_21!$A$5:$B$4886),2,FALSE)),SUM(FIND("..",TRIM(VLOOKUP(IF(AND(LEN($A228)=4,VALUE(RIGHT($A228,2))&gt;60),$A228&amp;"01 1",$A228),IF(AND(LEN($A228)=4,VALUE(RIGHT($A228,2))&lt;60),GUS_tabl_2!$A$8:$B$464,GUS_tabl_21!$A$5:$B$4886),2,FALSE))),-1)))))</f>
        <v>Powiat brodnicki</v>
      </c>
      <c r="D228" s="140">
        <f>IF(OR($A228="",ISERROR(VALUE(LEFT($A228,6)))),"",IF(LEN($A228)=2,SUMIF($A229:$A$2965,$A228&amp;"??",$D229:$D$2965),IF(AND(LEN($A228)=4,VALUE(RIGHT($A228,2))&lt;=60),SUMIF($A229:$A$2965,$A228&amp;"????",$D229:$D$2965),VLOOKUP(IF(LEN($A228)=4,$A228&amp;"01 1",$A228),GUS_tabl_21!$A$5:$F$4886,6,FALSE))))</f>
        <v>79097</v>
      </c>
    </row>
    <row r="229" spans="1:4" s="29" customFormat="1" ht="12" customHeight="1">
      <c r="A229" s="155" t="str">
        <f>"040201 1"</f>
        <v>040201 1</v>
      </c>
      <c r="B229" s="153" t="s">
        <v>46</v>
      </c>
      <c r="C229" s="156" t="str">
        <f>IF(OR($A229="",ISERROR(VALUE(LEFT($A229,6)))),"",IF(LEN($A229)=2,"WOJ. ",IF(LEN($A229)=4,IF(VALUE(RIGHT($A229,2))&gt;60,"","Powiat "),IF(VALUE(RIGHT($A229,1))=1,"m. ",IF(VALUE(RIGHT($A229,1))=2,"gm. w. ",IF(VALUE(RIGHT($A229,1))=8,"dz. ","gm. m.-w. ")))))&amp;IF(LEN($A229)=2,TRIM(UPPER(VLOOKUP($A229,GUS_tabl_1!$A$7:$B$22,2,FALSE))),IF(ISERROR(FIND("..",TRIM(VLOOKUP(IF(AND(LEN($A229)=4,VALUE(RIGHT($A229,2))&gt;60),$A229&amp;"01 1",$A229),IF(AND(LEN($A229)=4,VALUE(RIGHT($A229,2))&lt;60),GUS_tabl_2!$A$8:$B$464,GUS_tabl_21!$A$5:$B$4886),2,FALSE)))),TRIM(VLOOKUP(IF(AND(LEN($A229)=4,VALUE(RIGHT($A229,2))&gt;60),$A229&amp;"01 1",$A229),IF(AND(LEN($A229)=4,VALUE(RIGHT($A229,2))&lt;60),GUS_tabl_2!$A$8:$B$464,GUS_tabl_21!$A$5:$B$4886),2,FALSE)),LEFT(TRIM(VLOOKUP(IF(AND(LEN($A229)=4,VALUE(RIGHT($A229,2))&gt;60),$A229&amp;"01 1",$A229),IF(AND(LEN($A229)=4,VALUE(RIGHT($A229,2))&lt;60),GUS_tabl_2!$A$8:$B$464,GUS_tabl_21!$A$5:$B$4886),2,FALSE)),SUM(FIND("..",TRIM(VLOOKUP(IF(AND(LEN($A229)=4,VALUE(RIGHT($A229,2))&gt;60),$A229&amp;"01 1",$A229),IF(AND(LEN($A229)=4,VALUE(RIGHT($A229,2))&lt;60),GUS_tabl_2!$A$8:$B$464,GUS_tabl_21!$A$5:$B$4886),2,FALSE))),-1)))))</f>
        <v>m. Brodnica</v>
      </c>
      <c r="D229" s="141">
        <f>IF(OR($A229="",ISERROR(VALUE(LEFT($A229,6)))),"",IF(LEN($A229)=2,SUMIF($A230:$A$2965,$A229&amp;"??",$D230:$D$2965),IF(AND(LEN($A229)=4,VALUE(RIGHT($A229,2))&lt;=60),SUMIF($A230:$A$2965,$A229&amp;"????",$D230:$D$2965),VLOOKUP(IF(LEN($A229)=4,$A229&amp;"01 1",$A229),GUS_tabl_21!$A$5:$F$4886,6,FALSE))))</f>
        <v>28880</v>
      </c>
    </row>
    <row r="230" spans="1:4" s="29" customFormat="1" ht="12" customHeight="1">
      <c r="A230" s="155" t="str">
        <f>"040202 2"</f>
        <v>040202 2</v>
      </c>
      <c r="B230" s="153" t="s">
        <v>46</v>
      </c>
      <c r="C230" s="156" t="str">
        <f>IF(OR($A230="",ISERROR(VALUE(LEFT($A230,6)))),"",IF(LEN($A230)=2,"WOJ. ",IF(LEN($A230)=4,IF(VALUE(RIGHT($A230,2))&gt;60,"","Powiat "),IF(VALUE(RIGHT($A230,1))=1,"m. ",IF(VALUE(RIGHT($A230,1))=2,"gm. w. ",IF(VALUE(RIGHT($A230,1))=8,"dz. ","gm. m.-w. ")))))&amp;IF(LEN($A230)=2,TRIM(UPPER(VLOOKUP($A230,GUS_tabl_1!$A$7:$B$22,2,FALSE))),IF(ISERROR(FIND("..",TRIM(VLOOKUP(IF(AND(LEN($A230)=4,VALUE(RIGHT($A230,2))&gt;60),$A230&amp;"01 1",$A230),IF(AND(LEN($A230)=4,VALUE(RIGHT($A230,2))&lt;60),GUS_tabl_2!$A$8:$B$464,GUS_tabl_21!$A$5:$B$4886),2,FALSE)))),TRIM(VLOOKUP(IF(AND(LEN($A230)=4,VALUE(RIGHT($A230,2))&gt;60),$A230&amp;"01 1",$A230),IF(AND(LEN($A230)=4,VALUE(RIGHT($A230,2))&lt;60),GUS_tabl_2!$A$8:$B$464,GUS_tabl_21!$A$5:$B$4886),2,FALSE)),LEFT(TRIM(VLOOKUP(IF(AND(LEN($A230)=4,VALUE(RIGHT($A230,2))&gt;60),$A230&amp;"01 1",$A230),IF(AND(LEN($A230)=4,VALUE(RIGHT($A230,2))&lt;60),GUS_tabl_2!$A$8:$B$464,GUS_tabl_21!$A$5:$B$4886),2,FALSE)),SUM(FIND("..",TRIM(VLOOKUP(IF(AND(LEN($A230)=4,VALUE(RIGHT($A230,2))&gt;60),$A230&amp;"01 1",$A230),IF(AND(LEN($A230)=4,VALUE(RIGHT($A230,2))&lt;60),GUS_tabl_2!$A$8:$B$464,GUS_tabl_21!$A$5:$B$4886),2,FALSE))),-1)))))</f>
        <v>gm. w. Bobrowo</v>
      </c>
      <c r="D230" s="141">
        <f>IF(OR($A230="",ISERROR(VALUE(LEFT($A230,6)))),"",IF(LEN($A230)=2,SUMIF($A231:$A$2965,$A230&amp;"??",$D231:$D$2965),IF(AND(LEN($A230)=4,VALUE(RIGHT($A230,2))&lt;=60),SUMIF($A231:$A$2965,$A230&amp;"????",$D231:$D$2965),VLOOKUP(IF(LEN($A230)=4,$A230&amp;"01 1",$A230),GUS_tabl_21!$A$5:$F$4886,6,FALSE))))</f>
        <v>6325</v>
      </c>
    </row>
    <row r="231" spans="1:4" s="29" customFormat="1" ht="12" customHeight="1">
      <c r="A231" s="155" t="str">
        <f>"040203 2"</f>
        <v>040203 2</v>
      </c>
      <c r="B231" s="153" t="s">
        <v>46</v>
      </c>
      <c r="C231" s="156" t="str">
        <f>IF(OR($A231="",ISERROR(VALUE(LEFT($A231,6)))),"",IF(LEN($A231)=2,"WOJ. ",IF(LEN($A231)=4,IF(VALUE(RIGHT($A231,2))&gt;60,"","Powiat "),IF(VALUE(RIGHT($A231,1))=1,"m. ",IF(VALUE(RIGHT($A231,1))=2,"gm. w. ",IF(VALUE(RIGHT($A231,1))=8,"dz. ","gm. m.-w. ")))))&amp;IF(LEN($A231)=2,TRIM(UPPER(VLOOKUP($A231,GUS_tabl_1!$A$7:$B$22,2,FALSE))),IF(ISERROR(FIND("..",TRIM(VLOOKUP(IF(AND(LEN($A231)=4,VALUE(RIGHT($A231,2))&gt;60),$A231&amp;"01 1",$A231),IF(AND(LEN($A231)=4,VALUE(RIGHT($A231,2))&lt;60),GUS_tabl_2!$A$8:$B$464,GUS_tabl_21!$A$5:$B$4886),2,FALSE)))),TRIM(VLOOKUP(IF(AND(LEN($A231)=4,VALUE(RIGHT($A231,2))&gt;60),$A231&amp;"01 1",$A231),IF(AND(LEN($A231)=4,VALUE(RIGHT($A231,2))&lt;60),GUS_tabl_2!$A$8:$B$464,GUS_tabl_21!$A$5:$B$4886),2,FALSE)),LEFT(TRIM(VLOOKUP(IF(AND(LEN($A231)=4,VALUE(RIGHT($A231,2))&gt;60),$A231&amp;"01 1",$A231),IF(AND(LEN($A231)=4,VALUE(RIGHT($A231,2))&lt;60),GUS_tabl_2!$A$8:$B$464,GUS_tabl_21!$A$5:$B$4886),2,FALSE)),SUM(FIND("..",TRIM(VLOOKUP(IF(AND(LEN($A231)=4,VALUE(RIGHT($A231,2))&gt;60),$A231&amp;"01 1",$A231),IF(AND(LEN($A231)=4,VALUE(RIGHT($A231,2))&lt;60),GUS_tabl_2!$A$8:$B$464,GUS_tabl_21!$A$5:$B$4886),2,FALSE))),-1)))))</f>
        <v>gm. w. Brodnica</v>
      </c>
      <c r="D231" s="141">
        <f>IF(OR($A231="",ISERROR(VALUE(LEFT($A231,6)))),"",IF(LEN($A231)=2,SUMIF($A232:$A$2965,$A231&amp;"??",$D232:$D$2965),IF(AND(LEN($A231)=4,VALUE(RIGHT($A231,2))&lt;=60),SUMIF($A232:$A$2965,$A231&amp;"????",$D232:$D$2965),VLOOKUP(IF(LEN($A231)=4,$A231&amp;"01 1",$A231),GUS_tabl_21!$A$5:$F$4886,6,FALSE))))</f>
        <v>8533</v>
      </c>
    </row>
    <row r="232" spans="1:4" s="29" customFormat="1" ht="12" customHeight="1">
      <c r="A232" s="155" t="str">
        <f>"040204 2"</f>
        <v>040204 2</v>
      </c>
      <c r="B232" s="153" t="s">
        <v>46</v>
      </c>
      <c r="C232" s="156" t="str">
        <f>IF(OR($A232="",ISERROR(VALUE(LEFT($A232,6)))),"",IF(LEN($A232)=2,"WOJ. ",IF(LEN($A232)=4,IF(VALUE(RIGHT($A232,2))&gt;60,"","Powiat "),IF(VALUE(RIGHT($A232,1))=1,"m. ",IF(VALUE(RIGHT($A232,1))=2,"gm. w. ",IF(VALUE(RIGHT($A232,1))=8,"dz. ","gm. m.-w. ")))))&amp;IF(LEN($A232)=2,TRIM(UPPER(VLOOKUP($A232,GUS_tabl_1!$A$7:$B$22,2,FALSE))),IF(ISERROR(FIND("..",TRIM(VLOOKUP(IF(AND(LEN($A232)=4,VALUE(RIGHT($A232,2))&gt;60),$A232&amp;"01 1",$A232),IF(AND(LEN($A232)=4,VALUE(RIGHT($A232,2))&lt;60),GUS_tabl_2!$A$8:$B$464,GUS_tabl_21!$A$5:$B$4886),2,FALSE)))),TRIM(VLOOKUP(IF(AND(LEN($A232)=4,VALUE(RIGHT($A232,2))&gt;60),$A232&amp;"01 1",$A232),IF(AND(LEN($A232)=4,VALUE(RIGHT($A232,2))&lt;60),GUS_tabl_2!$A$8:$B$464,GUS_tabl_21!$A$5:$B$4886),2,FALSE)),LEFT(TRIM(VLOOKUP(IF(AND(LEN($A232)=4,VALUE(RIGHT($A232,2))&gt;60),$A232&amp;"01 1",$A232),IF(AND(LEN($A232)=4,VALUE(RIGHT($A232,2))&lt;60),GUS_tabl_2!$A$8:$B$464,GUS_tabl_21!$A$5:$B$4886),2,FALSE)),SUM(FIND("..",TRIM(VLOOKUP(IF(AND(LEN($A232)=4,VALUE(RIGHT($A232,2))&gt;60),$A232&amp;"01 1",$A232),IF(AND(LEN($A232)=4,VALUE(RIGHT($A232,2))&lt;60),GUS_tabl_2!$A$8:$B$464,GUS_tabl_21!$A$5:$B$4886),2,FALSE))),-1)))))</f>
        <v>gm. w. Brzozie</v>
      </c>
      <c r="D232" s="141">
        <f>IF(OR($A232="",ISERROR(VALUE(LEFT($A232,6)))),"",IF(LEN($A232)=2,SUMIF($A233:$A$2965,$A232&amp;"??",$D233:$D$2965),IF(AND(LEN($A232)=4,VALUE(RIGHT($A232,2))&lt;=60),SUMIF($A233:$A$2965,$A232&amp;"????",$D233:$D$2965),VLOOKUP(IF(LEN($A232)=4,$A232&amp;"01 1",$A232),GUS_tabl_21!$A$5:$F$4886,6,FALSE))))</f>
        <v>3824</v>
      </c>
    </row>
    <row r="233" spans="1:4" s="29" customFormat="1" ht="12" customHeight="1">
      <c r="A233" s="155" t="str">
        <f>"040205 3"</f>
        <v>040205 3</v>
      </c>
      <c r="B233" s="153" t="s">
        <v>46</v>
      </c>
      <c r="C233" s="156" t="str">
        <f>IF(OR($A233="",ISERROR(VALUE(LEFT($A233,6)))),"",IF(LEN($A233)=2,"WOJ. ",IF(LEN($A233)=4,IF(VALUE(RIGHT($A233,2))&gt;60,"","Powiat "),IF(VALUE(RIGHT($A233,1))=1,"m. ",IF(VALUE(RIGHT($A233,1))=2,"gm. w. ",IF(VALUE(RIGHT($A233,1))=8,"dz. ","gm. m.-w. ")))))&amp;IF(LEN($A233)=2,TRIM(UPPER(VLOOKUP($A233,GUS_tabl_1!$A$7:$B$22,2,FALSE))),IF(ISERROR(FIND("..",TRIM(VLOOKUP(IF(AND(LEN($A233)=4,VALUE(RIGHT($A233,2))&gt;60),$A233&amp;"01 1",$A233),IF(AND(LEN($A233)=4,VALUE(RIGHT($A233,2))&lt;60),GUS_tabl_2!$A$8:$B$464,GUS_tabl_21!$A$5:$B$4886),2,FALSE)))),TRIM(VLOOKUP(IF(AND(LEN($A233)=4,VALUE(RIGHT($A233,2))&gt;60),$A233&amp;"01 1",$A233),IF(AND(LEN($A233)=4,VALUE(RIGHT($A233,2))&lt;60),GUS_tabl_2!$A$8:$B$464,GUS_tabl_21!$A$5:$B$4886),2,FALSE)),LEFT(TRIM(VLOOKUP(IF(AND(LEN($A233)=4,VALUE(RIGHT($A233,2))&gt;60),$A233&amp;"01 1",$A233),IF(AND(LEN($A233)=4,VALUE(RIGHT($A233,2))&lt;60),GUS_tabl_2!$A$8:$B$464,GUS_tabl_21!$A$5:$B$4886),2,FALSE)),SUM(FIND("..",TRIM(VLOOKUP(IF(AND(LEN($A233)=4,VALUE(RIGHT($A233,2))&gt;60),$A233&amp;"01 1",$A233),IF(AND(LEN($A233)=4,VALUE(RIGHT($A233,2))&lt;60),GUS_tabl_2!$A$8:$B$464,GUS_tabl_21!$A$5:$B$4886),2,FALSE))),-1)))))</f>
        <v>gm. m.-w. Górzno</v>
      </c>
      <c r="D233" s="141">
        <f>IF(OR($A233="",ISERROR(VALUE(LEFT($A233,6)))),"",IF(LEN($A233)=2,SUMIF($A234:$A$2965,$A233&amp;"??",$D234:$D$2965),IF(AND(LEN($A233)=4,VALUE(RIGHT($A233,2))&lt;=60),SUMIF($A234:$A$2965,$A233&amp;"????",$D234:$D$2965),VLOOKUP(IF(LEN($A233)=4,$A233&amp;"01 1",$A233),GUS_tabl_21!$A$5:$F$4886,6,FALSE))))</f>
        <v>3913</v>
      </c>
    </row>
    <row r="234" spans="1:4" s="29" customFormat="1" ht="12" customHeight="1">
      <c r="A234" s="155" t="str">
        <f>"040206 2"</f>
        <v>040206 2</v>
      </c>
      <c r="B234" s="153" t="s">
        <v>46</v>
      </c>
      <c r="C234" s="156" t="str">
        <f>IF(OR($A234="",ISERROR(VALUE(LEFT($A234,6)))),"",IF(LEN($A234)=2,"WOJ. ",IF(LEN($A234)=4,IF(VALUE(RIGHT($A234,2))&gt;60,"","Powiat "),IF(VALUE(RIGHT($A234,1))=1,"m. ",IF(VALUE(RIGHT($A234,1))=2,"gm. w. ",IF(VALUE(RIGHT($A234,1))=8,"dz. ","gm. m.-w. ")))))&amp;IF(LEN($A234)=2,TRIM(UPPER(VLOOKUP($A234,GUS_tabl_1!$A$7:$B$22,2,FALSE))),IF(ISERROR(FIND("..",TRIM(VLOOKUP(IF(AND(LEN($A234)=4,VALUE(RIGHT($A234,2))&gt;60),$A234&amp;"01 1",$A234),IF(AND(LEN($A234)=4,VALUE(RIGHT($A234,2))&lt;60),GUS_tabl_2!$A$8:$B$464,GUS_tabl_21!$A$5:$B$4886),2,FALSE)))),TRIM(VLOOKUP(IF(AND(LEN($A234)=4,VALUE(RIGHT($A234,2))&gt;60),$A234&amp;"01 1",$A234),IF(AND(LEN($A234)=4,VALUE(RIGHT($A234,2))&lt;60),GUS_tabl_2!$A$8:$B$464,GUS_tabl_21!$A$5:$B$4886),2,FALSE)),LEFT(TRIM(VLOOKUP(IF(AND(LEN($A234)=4,VALUE(RIGHT($A234,2))&gt;60),$A234&amp;"01 1",$A234),IF(AND(LEN($A234)=4,VALUE(RIGHT($A234,2))&lt;60),GUS_tabl_2!$A$8:$B$464,GUS_tabl_21!$A$5:$B$4886),2,FALSE)),SUM(FIND("..",TRIM(VLOOKUP(IF(AND(LEN($A234)=4,VALUE(RIGHT($A234,2))&gt;60),$A234&amp;"01 1",$A234),IF(AND(LEN($A234)=4,VALUE(RIGHT($A234,2))&lt;60),GUS_tabl_2!$A$8:$B$464,GUS_tabl_21!$A$5:$B$4886),2,FALSE))),-1)))))</f>
        <v>gm. w. Bartniczka</v>
      </c>
      <c r="D234" s="141">
        <f>IF(OR($A234="",ISERROR(VALUE(LEFT($A234,6)))),"",IF(LEN($A234)=2,SUMIF($A235:$A$2965,$A234&amp;"??",$D235:$D$2965),IF(AND(LEN($A234)=4,VALUE(RIGHT($A234,2))&lt;=60),SUMIF($A235:$A$2965,$A234&amp;"????",$D235:$D$2965),VLOOKUP(IF(LEN($A234)=4,$A234&amp;"01 1",$A234),GUS_tabl_21!$A$5:$F$4886,6,FALSE))))</f>
        <v>4691</v>
      </c>
    </row>
    <row r="235" spans="1:4" s="29" customFormat="1" ht="12" customHeight="1">
      <c r="A235" s="155" t="str">
        <f>"040207 3"</f>
        <v>040207 3</v>
      </c>
      <c r="B235" s="153" t="s">
        <v>46</v>
      </c>
      <c r="C235" s="156" t="str">
        <f>IF(OR($A235="",ISERROR(VALUE(LEFT($A235,6)))),"",IF(LEN($A235)=2,"WOJ. ",IF(LEN($A235)=4,IF(VALUE(RIGHT($A235,2))&gt;60,"","Powiat "),IF(VALUE(RIGHT($A235,1))=1,"m. ",IF(VALUE(RIGHT($A235,1))=2,"gm. w. ",IF(VALUE(RIGHT($A235,1))=8,"dz. ","gm. m.-w. ")))))&amp;IF(LEN($A235)=2,TRIM(UPPER(VLOOKUP($A235,GUS_tabl_1!$A$7:$B$22,2,FALSE))),IF(ISERROR(FIND("..",TRIM(VLOOKUP(IF(AND(LEN($A235)=4,VALUE(RIGHT($A235,2))&gt;60),$A235&amp;"01 1",$A235),IF(AND(LEN($A235)=4,VALUE(RIGHT($A235,2))&lt;60),GUS_tabl_2!$A$8:$B$464,GUS_tabl_21!$A$5:$B$4886),2,FALSE)))),TRIM(VLOOKUP(IF(AND(LEN($A235)=4,VALUE(RIGHT($A235,2))&gt;60),$A235&amp;"01 1",$A235),IF(AND(LEN($A235)=4,VALUE(RIGHT($A235,2))&lt;60),GUS_tabl_2!$A$8:$B$464,GUS_tabl_21!$A$5:$B$4886),2,FALSE)),LEFT(TRIM(VLOOKUP(IF(AND(LEN($A235)=4,VALUE(RIGHT($A235,2))&gt;60),$A235&amp;"01 1",$A235),IF(AND(LEN($A235)=4,VALUE(RIGHT($A235,2))&lt;60),GUS_tabl_2!$A$8:$B$464,GUS_tabl_21!$A$5:$B$4886),2,FALSE)),SUM(FIND("..",TRIM(VLOOKUP(IF(AND(LEN($A235)=4,VALUE(RIGHT($A235,2))&gt;60),$A235&amp;"01 1",$A235),IF(AND(LEN($A235)=4,VALUE(RIGHT($A235,2))&lt;60),GUS_tabl_2!$A$8:$B$464,GUS_tabl_21!$A$5:$B$4886),2,FALSE))),-1)))))</f>
        <v>gm. m.-w. Jabłonowo Pomorskie</v>
      </c>
      <c r="D235" s="141">
        <f>IF(OR($A235="",ISERROR(VALUE(LEFT($A235,6)))),"",IF(LEN($A235)=2,SUMIF($A236:$A$2965,$A235&amp;"??",$D236:$D$2965),IF(AND(LEN($A235)=4,VALUE(RIGHT($A235,2))&lt;=60),SUMIF($A236:$A$2965,$A235&amp;"????",$D236:$D$2965),VLOOKUP(IF(LEN($A235)=4,$A235&amp;"01 1",$A235),GUS_tabl_21!$A$5:$F$4886,6,FALSE))))</f>
        <v>8872</v>
      </c>
    </row>
    <row r="236" spans="1:4" s="29" customFormat="1" ht="12" customHeight="1">
      <c r="A236" s="155" t="str">
        <f>"040208 2"</f>
        <v>040208 2</v>
      </c>
      <c r="B236" s="153" t="s">
        <v>46</v>
      </c>
      <c r="C236" s="156" t="str">
        <f>IF(OR($A236="",ISERROR(VALUE(LEFT($A236,6)))),"",IF(LEN($A236)=2,"WOJ. ",IF(LEN($A236)=4,IF(VALUE(RIGHT($A236,2))&gt;60,"","Powiat "),IF(VALUE(RIGHT($A236,1))=1,"m. ",IF(VALUE(RIGHT($A236,1))=2,"gm. w. ",IF(VALUE(RIGHT($A236,1))=8,"dz. ","gm. m.-w. ")))))&amp;IF(LEN($A236)=2,TRIM(UPPER(VLOOKUP($A236,GUS_tabl_1!$A$7:$B$22,2,FALSE))),IF(ISERROR(FIND("..",TRIM(VLOOKUP(IF(AND(LEN($A236)=4,VALUE(RIGHT($A236,2))&gt;60),$A236&amp;"01 1",$A236),IF(AND(LEN($A236)=4,VALUE(RIGHT($A236,2))&lt;60),GUS_tabl_2!$A$8:$B$464,GUS_tabl_21!$A$5:$B$4886),2,FALSE)))),TRIM(VLOOKUP(IF(AND(LEN($A236)=4,VALUE(RIGHT($A236,2))&gt;60),$A236&amp;"01 1",$A236),IF(AND(LEN($A236)=4,VALUE(RIGHT($A236,2))&lt;60),GUS_tabl_2!$A$8:$B$464,GUS_tabl_21!$A$5:$B$4886),2,FALSE)),LEFT(TRIM(VLOOKUP(IF(AND(LEN($A236)=4,VALUE(RIGHT($A236,2))&gt;60),$A236&amp;"01 1",$A236),IF(AND(LEN($A236)=4,VALUE(RIGHT($A236,2))&lt;60),GUS_tabl_2!$A$8:$B$464,GUS_tabl_21!$A$5:$B$4886),2,FALSE)),SUM(FIND("..",TRIM(VLOOKUP(IF(AND(LEN($A236)=4,VALUE(RIGHT($A236,2))&gt;60),$A236&amp;"01 1",$A236),IF(AND(LEN($A236)=4,VALUE(RIGHT($A236,2))&lt;60),GUS_tabl_2!$A$8:$B$464,GUS_tabl_21!$A$5:$B$4886),2,FALSE))),-1)))))</f>
        <v>gm. w. Osiek</v>
      </c>
      <c r="D236" s="141">
        <f>IF(OR($A236="",ISERROR(VALUE(LEFT($A236,6)))),"",IF(LEN($A236)=2,SUMIF($A237:$A$2965,$A236&amp;"??",$D237:$D$2965),IF(AND(LEN($A236)=4,VALUE(RIGHT($A236,2))&lt;=60),SUMIF($A237:$A$2965,$A236&amp;"????",$D237:$D$2965),VLOOKUP(IF(LEN($A236)=4,$A236&amp;"01 1",$A236),GUS_tabl_21!$A$5:$F$4886,6,FALSE))))</f>
        <v>4043</v>
      </c>
    </row>
    <row r="237" spans="1:4" s="29" customFormat="1" ht="12" customHeight="1">
      <c r="A237" s="155" t="str">
        <f>"040209 2"</f>
        <v>040209 2</v>
      </c>
      <c r="B237" s="153" t="s">
        <v>46</v>
      </c>
      <c r="C237" s="156" t="str">
        <f>IF(OR($A237="",ISERROR(VALUE(LEFT($A237,6)))),"",IF(LEN($A237)=2,"WOJ. ",IF(LEN($A237)=4,IF(VALUE(RIGHT($A237,2))&gt;60,"","Powiat "),IF(VALUE(RIGHT($A237,1))=1,"m. ",IF(VALUE(RIGHT($A237,1))=2,"gm. w. ",IF(VALUE(RIGHT($A237,1))=8,"dz. ","gm. m.-w. ")))))&amp;IF(LEN($A237)=2,TRIM(UPPER(VLOOKUP($A237,GUS_tabl_1!$A$7:$B$22,2,FALSE))),IF(ISERROR(FIND("..",TRIM(VLOOKUP(IF(AND(LEN($A237)=4,VALUE(RIGHT($A237,2))&gt;60),$A237&amp;"01 1",$A237),IF(AND(LEN($A237)=4,VALUE(RIGHT($A237,2))&lt;60),GUS_tabl_2!$A$8:$B$464,GUS_tabl_21!$A$5:$B$4886),2,FALSE)))),TRIM(VLOOKUP(IF(AND(LEN($A237)=4,VALUE(RIGHT($A237,2))&gt;60),$A237&amp;"01 1",$A237),IF(AND(LEN($A237)=4,VALUE(RIGHT($A237,2))&lt;60),GUS_tabl_2!$A$8:$B$464,GUS_tabl_21!$A$5:$B$4886),2,FALSE)),LEFT(TRIM(VLOOKUP(IF(AND(LEN($A237)=4,VALUE(RIGHT($A237,2))&gt;60),$A237&amp;"01 1",$A237),IF(AND(LEN($A237)=4,VALUE(RIGHT($A237,2))&lt;60),GUS_tabl_2!$A$8:$B$464,GUS_tabl_21!$A$5:$B$4886),2,FALSE)),SUM(FIND("..",TRIM(VLOOKUP(IF(AND(LEN($A237)=4,VALUE(RIGHT($A237,2))&gt;60),$A237&amp;"01 1",$A237),IF(AND(LEN($A237)=4,VALUE(RIGHT($A237,2))&lt;60),GUS_tabl_2!$A$8:$B$464,GUS_tabl_21!$A$5:$B$4886),2,FALSE))),-1)))))</f>
        <v>gm. w. Świedziebnia</v>
      </c>
      <c r="D237" s="141">
        <f>IF(OR($A237="",ISERROR(VALUE(LEFT($A237,6)))),"",IF(LEN($A237)=2,SUMIF($A238:$A$2965,$A237&amp;"??",$D238:$D$2965),IF(AND(LEN($A237)=4,VALUE(RIGHT($A237,2))&lt;=60),SUMIF($A238:$A$2965,$A237&amp;"????",$D238:$D$2965),VLOOKUP(IF(LEN($A237)=4,$A237&amp;"01 1",$A237),GUS_tabl_21!$A$5:$F$4886,6,FALSE))))</f>
        <v>5161</v>
      </c>
    </row>
    <row r="238" spans="1:4" s="29" customFormat="1" ht="12" customHeight="1">
      <c r="A238" s="155" t="str">
        <f>"040210 2"</f>
        <v>040210 2</v>
      </c>
      <c r="B238" s="153" t="s">
        <v>46</v>
      </c>
      <c r="C238" s="156" t="str">
        <f>IF(OR($A238="",ISERROR(VALUE(LEFT($A238,6)))),"",IF(LEN($A238)=2,"WOJ. ",IF(LEN($A238)=4,IF(VALUE(RIGHT($A238,2))&gt;60,"","Powiat "),IF(VALUE(RIGHT($A238,1))=1,"m. ",IF(VALUE(RIGHT($A238,1))=2,"gm. w. ",IF(VALUE(RIGHT($A238,1))=8,"dz. ","gm. m.-w. ")))))&amp;IF(LEN($A238)=2,TRIM(UPPER(VLOOKUP($A238,GUS_tabl_1!$A$7:$B$22,2,FALSE))),IF(ISERROR(FIND("..",TRIM(VLOOKUP(IF(AND(LEN($A238)=4,VALUE(RIGHT($A238,2))&gt;60),$A238&amp;"01 1",$A238),IF(AND(LEN($A238)=4,VALUE(RIGHT($A238,2))&lt;60),GUS_tabl_2!$A$8:$B$464,GUS_tabl_21!$A$5:$B$4886),2,FALSE)))),TRIM(VLOOKUP(IF(AND(LEN($A238)=4,VALUE(RIGHT($A238,2))&gt;60),$A238&amp;"01 1",$A238),IF(AND(LEN($A238)=4,VALUE(RIGHT($A238,2))&lt;60),GUS_tabl_2!$A$8:$B$464,GUS_tabl_21!$A$5:$B$4886),2,FALSE)),LEFT(TRIM(VLOOKUP(IF(AND(LEN($A238)=4,VALUE(RIGHT($A238,2))&gt;60),$A238&amp;"01 1",$A238),IF(AND(LEN($A238)=4,VALUE(RIGHT($A238,2))&lt;60),GUS_tabl_2!$A$8:$B$464,GUS_tabl_21!$A$5:$B$4886),2,FALSE)),SUM(FIND("..",TRIM(VLOOKUP(IF(AND(LEN($A238)=4,VALUE(RIGHT($A238,2))&gt;60),$A238&amp;"01 1",$A238),IF(AND(LEN($A238)=4,VALUE(RIGHT($A238,2))&lt;60),GUS_tabl_2!$A$8:$B$464,GUS_tabl_21!$A$5:$B$4886),2,FALSE))),-1)))))</f>
        <v>gm. w. Zbiczno</v>
      </c>
      <c r="D238" s="141">
        <f>IF(OR($A238="",ISERROR(VALUE(LEFT($A238,6)))),"",IF(LEN($A238)=2,SUMIF($A239:$A$2965,$A238&amp;"??",$D239:$D$2965),IF(AND(LEN($A238)=4,VALUE(RIGHT($A238,2))&lt;=60),SUMIF($A239:$A$2965,$A238&amp;"????",$D239:$D$2965),VLOOKUP(IF(LEN($A238)=4,$A238&amp;"01 1",$A238),GUS_tabl_21!$A$5:$F$4886,6,FALSE))))</f>
        <v>4855</v>
      </c>
    </row>
    <row r="239" spans="1:4" s="29" customFormat="1" ht="12" customHeight="1">
      <c r="A239" s="152" t="str">
        <f>"0403"</f>
        <v>0403</v>
      </c>
      <c r="B239" s="153" t="s">
        <v>46</v>
      </c>
      <c r="C239" s="154" t="str">
        <f>IF(OR($A239="",ISERROR(VALUE(LEFT($A239,6)))),"",IF(LEN($A239)=2,"WOJ. ",IF(LEN($A239)=4,IF(VALUE(RIGHT($A239,2))&gt;60,"","Powiat "),IF(VALUE(RIGHT($A239,1))=1,"m. ",IF(VALUE(RIGHT($A239,1))=2,"gm. w. ",IF(VALUE(RIGHT($A239,1))=8,"dz. ","gm. m.-w. ")))))&amp;IF(LEN($A239)=2,TRIM(UPPER(VLOOKUP($A239,GUS_tabl_1!$A$7:$B$22,2,FALSE))),IF(ISERROR(FIND("..",TRIM(VLOOKUP(IF(AND(LEN($A239)=4,VALUE(RIGHT($A239,2))&gt;60),$A239&amp;"01 1",$A239),IF(AND(LEN($A239)=4,VALUE(RIGHT($A239,2))&lt;60),GUS_tabl_2!$A$8:$B$464,GUS_tabl_21!$A$5:$B$4886),2,FALSE)))),TRIM(VLOOKUP(IF(AND(LEN($A239)=4,VALUE(RIGHT($A239,2))&gt;60),$A239&amp;"01 1",$A239),IF(AND(LEN($A239)=4,VALUE(RIGHT($A239,2))&lt;60),GUS_tabl_2!$A$8:$B$464,GUS_tabl_21!$A$5:$B$4886),2,FALSE)),LEFT(TRIM(VLOOKUP(IF(AND(LEN($A239)=4,VALUE(RIGHT($A239,2))&gt;60),$A239&amp;"01 1",$A239),IF(AND(LEN($A239)=4,VALUE(RIGHT($A239,2))&lt;60),GUS_tabl_2!$A$8:$B$464,GUS_tabl_21!$A$5:$B$4886),2,FALSE)),SUM(FIND("..",TRIM(VLOOKUP(IF(AND(LEN($A239)=4,VALUE(RIGHT($A239,2))&gt;60),$A239&amp;"01 1",$A239),IF(AND(LEN($A239)=4,VALUE(RIGHT($A239,2))&lt;60),GUS_tabl_2!$A$8:$B$464,GUS_tabl_21!$A$5:$B$4886),2,FALSE))),-1)))))</f>
        <v>Powiat bydgoski</v>
      </c>
      <c r="D239" s="140">
        <f>IF(OR($A239="",ISERROR(VALUE(LEFT($A239,6)))),"",IF(LEN($A239)=2,SUMIF($A240:$A$2965,$A239&amp;"??",$D240:$D$2965),IF(AND(LEN($A239)=4,VALUE(RIGHT($A239,2))&lt;=60),SUMIF($A240:$A$2965,$A239&amp;"????",$D240:$D$2965),VLOOKUP(IF(LEN($A239)=4,$A239&amp;"01 1",$A239),GUS_tabl_21!$A$5:$F$4886,6,FALSE))))</f>
        <v>118683</v>
      </c>
    </row>
    <row r="240" spans="1:4" s="29" customFormat="1" ht="12" customHeight="1">
      <c r="A240" s="155" t="str">
        <f>"040301 2"</f>
        <v>040301 2</v>
      </c>
      <c r="B240" s="153" t="s">
        <v>46</v>
      </c>
      <c r="C240" s="156" t="str">
        <f>IF(OR($A240="",ISERROR(VALUE(LEFT($A240,6)))),"",IF(LEN($A240)=2,"WOJ. ",IF(LEN($A240)=4,IF(VALUE(RIGHT($A240,2))&gt;60,"","Powiat "),IF(VALUE(RIGHT($A240,1))=1,"m. ",IF(VALUE(RIGHT($A240,1))=2,"gm. w. ",IF(VALUE(RIGHT($A240,1))=8,"dz. ","gm. m.-w. ")))))&amp;IF(LEN($A240)=2,TRIM(UPPER(VLOOKUP($A240,GUS_tabl_1!$A$7:$B$22,2,FALSE))),IF(ISERROR(FIND("..",TRIM(VLOOKUP(IF(AND(LEN($A240)=4,VALUE(RIGHT($A240,2))&gt;60),$A240&amp;"01 1",$A240),IF(AND(LEN($A240)=4,VALUE(RIGHT($A240,2))&lt;60),GUS_tabl_2!$A$8:$B$464,GUS_tabl_21!$A$5:$B$4886),2,FALSE)))),TRIM(VLOOKUP(IF(AND(LEN($A240)=4,VALUE(RIGHT($A240,2))&gt;60),$A240&amp;"01 1",$A240),IF(AND(LEN($A240)=4,VALUE(RIGHT($A240,2))&lt;60),GUS_tabl_2!$A$8:$B$464,GUS_tabl_21!$A$5:$B$4886),2,FALSE)),LEFT(TRIM(VLOOKUP(IF(AND(LEN($A240)=4,VALUE(RIGHT($A240,2))&gt;60),$A240&amp;"01 1",$A240),IF(AND(LEN($A240)=4,VALUE(RIGHT($A240,2))&lt;60),GUS_tabl_2!$A$8:$B$464,GUS_tabl_21!$A$5:$B$4886),2,FALSE)),SUM(FIND("..",TRIM(VLOOKUP(IF(AND(LEN($A240)=4,VALUE(RIGHT($A240,2))&gt;60),$A240&amp;"01 1",$A240),IF(AND(LEN($A240)=4,VALUE(RIGHT($A240,2))&lt;60),GUS_tabl_2!$A$8:$B$464,GUS_tabl_21!$A$5:$B$4886),2,FALSE))),-1)))))</f>
        <v>gm. w. Białe Błota</v>
      </c>
      <c r="D240" s="141">
        <f>IF(OR($A240="",ISERROR(VALUE(LEFT($A240,6)))),"",IF(LEN($A240)=2,SUMIF($A241:$A$2965,$A240&amp;"??",$D241:$D$2965),IF(AND(LEN($A240)=4,VALUE(RIGHT($A240,2))&lt;=60),SUMIF($A241:$A$2965,$A240&amp;"????",$D241:$D$2965),VLOOKUP(IF(LEN($A240)=4,$A240&amp;"01 1",$A240),GUS_tabl_21!$A$5:$F$4886,6,FALSE))))</f>
        <v>22450</v>
      </c>
    </row>
    <row r="241" spans="1:4" s="29" customFormat="1" ht="12" customHeight="1">
      <c r="A241" s="155" t="str">
        <f>"040302 2"</f>
        <v>040302 2</v>
      </c>
      <c r="B241" s="153" t="s">
        <v>46</v>
      </c>
      <c r="C241" s="156" t="str">
        <f>IF(OR($A241="",ISERROR(VALUE(LEFT($A241,6)))),"",IF(LEN($A241)=2,"WOJ. ",IF(LEN($A241)=4,IF(VALUE(RIGHT($A241,2))&gt;60,"","Powiat "),IF(VALUE(RIGHT($A241,1))=1,"m. ",IF(VALUE(RIGHT($A241,1))=2,"gm. w. ",IF(VALUE(RIGHT($A241,1))=8,"dz. ","gm. m.-w. ")))))&amp;IF(LEN($A241)=2,TRIM(UPPER(VLOOKUP($A241,GUS_tabl_1!$A$7:$B$22,2,FALSE))),IF(ISERROR(FIND("..",TRIM(VLOOKUP(IF(AND(LEN($A241)=4,VALUE(RIGHT($A241,2))&gt;60),$A241&amp;"01 1",$A241),IF(AND(LEN($A241)=4,VALUE(RIGHT($A241,2))&lt;60),GUS_tabl_2!$A$8:$B$464,GUS_tabl_21!$A$5:$B$4886),2,FALSE)))),TRIM(VLOOKUP(IF(AND(LEN($A241)=4,VALUE(RIGHT($A241,2))&gt;60),$A241&amp;"01 1",$A241),IF(AND(LEN($A241)=4,VALUE(RIGHT($A241,2))&lt;60),GUS_tabl_2!$A$8:$B$464,GUS_tabl_21!$A$5:$B$4886),2,FALSE)),LEFT(TRIM(VLOOKUP(IF(AND(LEN($A241)=4,VALUE(RIGHT($A241,2))&gt;60),$A241&amp;"01 1",$A241),IF(AND(LEN($A241)=4,VALUE(RIGHT($A241,2))&lt;60),GUS_tabl_2!$A$8:$B$464,GUS_tabl_21!$A$5:$B$4886),2,FALSE)),SUM(FIND("..",TRIM(VLOOKUP(IF(AND(LEN($A241)=4,VALUE(RIGHT($A241,2))&gt;60),$A241&amp;"01 1",$A241),IF(AND(LEN($A241)=4,VALUE(RIGHT($A241,2))&lt;60),GUS_tabl_2!$A$8:$B$464,GUS_tabl_21!$A$5:$B$4886),2,FALSE))),-1)))))</f>
        <v>gm. w. Dąbrowa Chełmińska</v>
      </c>
      <c r="D241" s="141">
        <f>IF(OR($A241="",ISERROR(VALUE(LEFT($A241,6)))),"",IF(LEN($A241)=2,SUMIF($A242:$A$2965,$A241&amp;"??",$D242:$D$2965),IF(AND(LEN($A241)=4,VALUE(RIGHT($A241,2))&lt;=60),SUMIF($A242:$A$2965,$A241&amp;"????",$D242:$D$2965),VLOOKUP(IF(LEN($A241)=4,$A241&amp;"01 1",$A241),GUS_tabl_21!$A$5:$F$4886,6,FALSE))))</f>
        <v>8369</v>
      </c>
    </row>
    <row r="242" spans="1:4" s="29" customFormat="1" ht="12" customHeight="1">
      <c r="A242" s="155" t="str">
        <f>"040303 2"</f>
        <v>040303 2</v>
      </c>
      <c r="B242" s="153" t="s">
        <v>46</v>
      </c>
      <c r="C242" s="156" t="str">
        <f>IF(OR($A242="",ISERROR(VALUE(LEFT($A242,6)))),"",IF(LEN($A242)=2,"WOJ. ",IF(LEN($A242)=4,IF(VALUE(RIGHT($A242,2))&gt;60,"","Powiat "),IF(VALUE(RIGHT($A242,1))=1,"m. ",IF(VALUE(RIGHT($A242,1))=2,"gm. w. ",IF(VALUE(RIGHT($A242,1))=8,"dz. ","gm. m.-w. ")))))&amp;IF(LEN($A242)=2,TRIM(UPPER(VLOOKUP($A242,GUS_tabl_1!$A$7:$B$22,2,FALSE))),IF(ISERROR(FIND("..",TRIM(VLOOKUP(IF(AND(LEN($A242)=4,VALUE(RIGHT($A242,2))&gt;60),$A242&amp;"01 1",$A242),IF(AND(LEN($A242)=4,VALUE(RIGHT($A242,2))&lt;60),GUS_tabl_2!$A$8:$B$464,GUS_tabl_21!$A$5:$B$4886),2,FALSE)))),TRIM(VLOOKUP(IF(AND(LEN($A242)=4,VALUE(RIGHT($A242,2))&gt;60),$A242&amp;"01 1",$A242),IF(AND(LEN($A242)=4,VALUE(RIGHT($A242,2))&lt;60),GUS_tabl_2!$A$8:$B$464,GUS_tabl_21!$A$5:$B$4886),2,FALSE)),LEFT(TRIM(VLOOKUP(IF(AND(LEN($A242)=4,VALUE(RIGHT($A242,2))&gt;60),$A242&amp;"01 1",$A242),IF(AND(LEN($A242)=4,VALUE(RIGHT($A242,2))&lt;60),GUS_tabl_2!$A$8:$B$464,GUS_tabl_21!$A$5:$B$4886),2,FALSE)),SUM(FIND("..",TRIM(VLOOKUP(IF(AND(LEN($A242)=4,VALUE(RIGHT($A242,2))&gt;60),$A242&amp;"01 1",$A242),IF(AND(LEN($A242)=4,VALUE(RIGHT($A242,2))&lt;60),GUS_tabl_2!$A$8:$B$464,GUS_tabl_21!$A$5:$B$4886),2,FALSE))),-1)))))</f>
        <v>gm. w. Dobrcz</v>
      </c>
      <c r="D242" s="141">
        <f>IF(OR($A242="",ISERROR(VALUE(LEFT($A242,6)))),"",IF(LEN($A242)=2,SUMIF($A243:$A$2965,$A242&amp;"??",$D243:$D$2965),IF(AND(LEN($A242)=4,VALUE(RIGHT($A242,2))&lt;=60),SUMIF($A243:$A$2965,$A242&amp;"????",$D243:$D$2965),VLOOKUP(IF(LEN($A242)=4,$A242&amp;"01 1",$A242),GUS_tabl_21!$A$5:$F$4886,6,FALSE))))</f>
        <v>11802</v>
      </c>
    </row>
    <row r="243" spans="1:4" s="29" customFormat="1" ht="12" customHeight="1">
      <c r="A243" s="155" t="str">
        <f>"040304 3"</f>
        <v>040304 3</v>
      </c>
      <c r="B243" s="153" t="s">
        <v>46</v>
      </c>
      <c r="C243" s="156" t="str">
        <f>IF(OR($A243="",ISERROR(VALUE(LEFT($A243,6)))),"",IF(LEN($A243)=2,"WOJ. ",IF(LEN($A243)=4,IF(VALUE(RIGHT($A243,2))&gt;60,"","Powiat "),IF(VALUE(RIGHT($A243,1))=1,"m. ",IF(VALUE(RIGHT($A243,1))=2,"gm. w. ",IF(VALUE(RIGHT($A243,1))=8,"dz. ","gm. m.-w. ")))))&amp;IF(LEN($A243)=2,TRIM(UPPER(VLOOKUP($A243,GUS_tabl_1!$A$7:$B$22,2,FALSE))),IF(ISERROR(FIND("..",TRIM(VLOOKUP(IF(AND(LEN($A243)=4,VALUE(RIGHT($A243,2))&gt;60),$A243&amp;"01 1",$A243),IF(AND(LEN($A243)=4,VALUE(RIGHT($A243,2))&lt;60),GUS_tabl_2!$A$8:$B$464,GUS_tabl_21!$A$5:$B$4886),2,FALSE)))),TRIM(VLOOKUP(IF(AND(LEN($A243)=4,VALUE(RIGHT($A243,2))&gt;60),$A243&amp;"01 1",$A243),IF(AND(LEN($A243)=4,VALUE(RIGHT($A243,2))&lt;60),GUS_tabl_2!$A$8:$B$464,GUS_tabl_21!$A$5:$B$4886),2,FALSE)),LEFT(TRIM(VLOOKUP(IF(AND(LEN($A243)=4,VALUE(RIGHT($A243,2))&gt;60),$A243&amp;"01 1",$A243),IF(AND(LEN($A243)=4,VALUE(RIGHT($A243,2))&lt;60),GUS_tabl_2!$A$8:$B$464,GUS_tabl_21!$A$5:$B$4886),2,FALSE)),SUM(FIND("..",TRIM(VLOOKUP(IF(AND(LEN($A243)=4,VALUE(RIGHT($A243,2))&gt;60),$A243&amp;"01 1",$A243),IF(AND(LEN($A243)=4,VALUE(RIGHT($A243,2))&lt;60),GUS_tabl_2!$A$8:$B$464,GUS_tabl_21!$A$5:$B$4886),2,FALSE))),-1)))))</f>
        <v>gm. m.-w. Koronowo</v>
      </c>
      <c r="D243" s="141">
        <f>IF(OR($A243="",ISERROR(VALUE(LEFT($A243,6)))),"",IF(LEN($A243)=2,SUMIF($A244:$A$2965,$A243&amp;"??",$D244:$D$2965),IF(AND(LEN($A243)=4,VALUE(RIGHT($A243,2))&lt;=60),SUMIF($A244:$A$2965,$A243&amp;"????",$D244:$D$2965),VLOOKUP(IF(LEN($A243)=4,$A243&amp;"01 1",$A243),GUS_tabl_21!$A$5:$F$4886,6,FALSE))))</f>
        <v>24056</v>
      </c>
    </row>
    <row r="244" spans="1:4" s="29" customFormat="1" ht="12" customHeight="1">
      <c r="A244" s="155" t="str">
        <f>"040305 2"</f>
        <v>040305 2</v>
      </c>
      <c r="B244" s="153" t="s">
        <v>46</v>
      </c>
      <c r="C244" s="156" t="str">
        <f>IF(OR($A244="",ISERROR(VALUE(LEFT($A244,6)))),"",IF(LEN($A244)=2,"WOJ. ",IF(LEN($A244)=4,IF(VALUE(RIGHT($A244,2))&gt;60,"","Powiat "),IF(VALUE(RIGHT($A244,1))=1,"m. ",IF(VALUE(RIGHT($A244,1))=2,"gm. w. ",IF(VALUE(RIGHT($A244,1))=8,"dz. ","gm. m.-w. ")))))&amp;IF(LEN($A244)=2,TRIM(UPPER(VLOOKUP($A244,GUS_tabl_1!$A$7:$B$22,2,FALSE))),IF(ISERROR(FIND("..",TRIM(VLOOKUP(IF(AND(LEN($A244)=4,VALUE(RIGHT($A244,2))&gt;60),$A244&amp;"01 1",$A244),IF(AND(LEN($A244)=4,VALUE(RIGHT($A244,2))&lt;60),GUS_tabl_2!$A$8:$B$464,GUS_tabl_21!$A$5:$B$4886),2,FALSE)))),TRIM(VLOOKUP(IF(AND(LEN($A244)=4,VALUE(RIGHT($A244,2))&gt;60),$A244&amp;"01 1",$A244),IF(AND(LEN($A244)=4,VALUE(RIGHT($A244,2))&lt;60),GUS_tabl_2!$A$8:$B$464,GUS_tabl_21!$A$5:$B$4886),2,FALSE)),LEFT(TRIM(VLOOKUP(IF(AND(LEN($A244)=4,VALUE(RIGHT($A244,2))&gt;60),$A244&amp;"01 1",$A244),IF(AND(LEN($A244)=4,VALUE(RIGHT($A244,2))&lt;60),GUS_tabl_2!$A$8:$B$464,GUS_tabl_21!$A$5:$B$4886),2,FALSE)),SUM(FIND("..",TRIM(VLOOKUP(IF(AND(LEN($A244)=4,VALUE(RIGHT($A244,2))&gt;60),$A244&amp;"01 1",$A244),IF(AND(LEN($A244)=4,VALUE(RIGHT($A244,2))&lt;60),GUS_tabl_2!$A$8:$B$464,GUS_tabl_21!$A$5:$B$4886),2,FALSE))),-1)))))</f>
        <v>gm. w. Nowa Wieś Wielka</v>
      </c>
      <c r="D244" s="141">
        <f>IF(OR($A244="",ISERROR(VALUE(LEFT($A244,6)))),"",IF(LEN($A244)=2,SUMIF($A245:$A$2965,$A244&amp;"??",$D245:$D$2965),IF(AND(LEN($A244)=4,VALUE(RIGHT($A244,2))&lt;=60),SUMIF($A245:$A$2965,$A244&amp;"????",$D245:$D$2965),VLOOKUP(IF(LEN($A244)=4,$A244&amp;"01 1",$A244),GUS_tabl_21!$A$5:$F$4886,6,FALSE))))</f>
        <v>10195</v>
      </c>
    </row>
    <row r="245" spans="1:4" s="29" customFormat="1" ht="12" customHeight="1">
      <c r="A245" s="155" t="str">
        <f>"040306 2"</f>
        <v>040306 2</v>
      </c>
      <c r="B245" s="153" t="s">
        <v>46</v>
      </c>
      <c r="C245" s="156" t="str">
        <f>IF(OR($A245="",ISERROR(VALUE(LEFT($A245,6)))),"",IF(LEN($A245)=2,"WOJ. ",IF(LEN($A245)=4,IF(VALUE(RIGHT($A245,2))&gt;60,"","Powiat "),IF(VALUE(RIGHT($A245,1))=1,"m. ",IF(VALUE(RIGHT($A245,1))=2,"gm. w. ",IF(VALUE(RIGHT($A245,1))=8,"dz. ","gm. m.-w. ")))))&amp;IF(LEN($A245)=2,TRIM(UPPER(VLOOKUP($A245,GUS_tabl_1!$A$7:$B$22,2,FALSE))),IF(ISERROR(FIND("..",TRIM(VLOOKUP(IF(AND(LEN($A245)=4,VALUE(RIGHT($A245,2))&gt;60),$A245&amp;"01 1",$A245),IF(AND(LEN($A245)=4,VALUE(RIGHT($A245,2))&lt;60),GUS_tabl_2!$A$8:$B$464,GUS_tabl_21!$A$5:$B$4886),2,FALSE)))),TRIM(VLOOKUP(IF(AND(LEN($A245)=4,VALUE(RIGHT($A245,2))&gt;60),$A245&amp;"01 1",$A245),IF(AND(LEN($A245)=4,VALUE(RIGHT($A245,2))&lt;60),GUS_tabl_2!$A$8:$B$464,GUS_tabl_21!$A$5:$B$4886),2,FALSE)),LEFT(TRIM(VLOOKUP(IF(AND(LEN($A245)=4,VALUE(RIGHT($A245,2))&gt;60),$A245&amp;"01 1",$A245),IF(AND(LEN($A245)=4,VALUE(RIGHT($A245,2))&lt;60),GUS_tabl_2!$A$8:$B$464,GUS_tabl_21!$A$5:$B$4886),2,FALSE)),SUM(FIND("..",TRIM(VLOOKUP(IF(AND(LEN($A245)=4,VALUE(RIGHT($A245,2))&gt;60),$A245&amp;"01 1",$A245),IF(AND(LEN($A245)=4,VALUE(RIGHT($A245,2))&lt;60),GUS_tabl_2!$A$8:$B$464,GUS_tabl_21!$A$5:$B$4886),2,FALSE))),-1)))))</f>
        <v>gm. w. Osielsko</v>
      </c>
      <c r="D245" s="141">
        <f>IF(OR($A245="",ISERROR(VALUE(LEFT($A245,6)))),"",IF(LEN($A245)=2,SUMIF($A246:$A$2965,$A245&amp;"??",$D246:$D$2965),IF(AND(LEN($A245)=4,VALUE(RIGHT($A245,2))&lt;=60),SUMIF($A246:$A$2965,$A245&amp;"????",$D246:$D$2965),VLOOKUP(IF(LEN($A245)=4,$A245&amp;"01 1",$A245),GUS_tabl_21!$A$5:$F$4886,6,FALSE))))</f>
        <v>14771</v>
      </c>
    </row>
    <row r="246" spans="1:4" s="29" customFormat="1" ht="12" customHeight="1">
      <c r="A246" s="155" t="str">
        <f>"040307 2"</f>
        <v>040307 2</v>
      </c>
      <c r="B246" s="153" t="s">
        <v>46</v>
      </c>
      <c r="C246" s="156" t="str">
        <f>IF(OR($A246="",ISERROR(VALUE(LEFT($A246,6)))),"",IF(LEN($A246)=2,"WOJ. ",IF(LEN($A246)=4,IF(VALUE(RIGHT($A246,2))&gt;60,"","Powiat "),IF(VALUE(RIGHT($A246,1))=1,"m. ",IF(VALUE(RIGHT($A246,1))=2,"gm. w. ",IF(VALUE(RIGHT($A246,1))=8,"dz. ","gm. m.-w. ")))))&amp;IF(LEN($A246)=2,TRIM(UPPER(VLOOKUP($A246,GUS_tabl_1!$A$7:$B$22,2,FALSE))),IF(ISERROR(FIND("..",TRIM(VLOOKUP(IF(AND(LEN($A246)=4,VALUE(RIGHT($A246,2))&gt;60),$A246&amp;"01 1",$A246),IF(AND(LEN($A246)=4,VALUE(RIGHT($A246,2))&lt;60),GUS_tabl_2!$A$8:$B$464,GUS_tabl_21!$A$5:$B$4886),2,FALSE)))),TRIM(VLOOKUP(IF(AND(LEN($A246)=4,VALUE(RIGHT($A246,2))&gt;60),$A246&amp;"01 1",$A246),IF(AND(LEN($A246)=4,VALUE(RIGHT($A246,2))&lt;60),GUS_tabl_2!$A$8:$B$464,GUS_tabl_21!$A$5:$B$4886),2,FALSE)),LEFT(TRIM(VLOOKUP(IF(AND(LEN($A246)=4,VALUE(RIGHT($A246,2))&gt;60),$A246&amp;"01 1",$A246),IF(AND(LEN($A246)=4,VALUE(RIGHT($A246,2))&lt;60),GUS_tabl_2!$A$8:$B$464,GUS_tabl_21!$A$5:$B$4886),2,FALSE)),SUM(FIND("..",TRIM(VLOOKUP(IF(AND(LEN($A246)=4,VALUE(RIGHT($A246,2))&gt;60),$A246&amp;"01 1",$A246),IF(AND(LEN($A246)=4,VALUE(RIGHT($A246,2))&lt;60),GUS_tabl_2!$A$8:$B$464,GUS_tabl_21!$A$5:$B$4886),2,FALSE))),-1)))))</f>
        <v>gm. w. Sicienko</v>
      </c>
      <c r="D246" s="141">
        <f>IF(OR($A246="",ISERROR(VALUE(LEFT($A246,6)))),"",IF(LEN($A246)=2,SUMIF($A247:$A$2965,$A246&amp;"??",$D247:$D$2965),IF(AND(LEN($A246)=4,VALUE(RIGHT($A246,2))&lt;=60),SUMIF($A247:$A$2965,$A246&amp;"????",$D247:$D$2965),VLOOKUP(IF(LEN($A246)=4,$A246&amp;"01 1",$A246),GUS_tabl_21!$A$5:$F$4886,6,FALSE))))</f>
        <v>10241</v>
      </c>
    </row>
    <row r="247" spans="1:4" s="29" customFormat="1" ht="12" customHeight="1">
      <c r="A247" s="155" t="str">
        <f>"040308 3"</f>
        <v>040308 3</v>
      </c>
      <c r="B247" s="153" t="s">
        <v>46</v>
      </c>
      <c r="C247" s="156" t="str">
        <f>IF(OR($A247="",ISERROR(VALUE(LEFT($A247,6)))),"",IF(LEN($A247)=2,"WOJ. ",IF(LEN($A247)=4,IF(VALUE(RIGHT($A247,2))&gt;60,"","Powiat "),IF(VALUE(RIGHT($A247,1))=1,"m. ",IF(VALUE(RIGHT($A247,1))=2,"gm. w. ",IF(VALUE(RIGHT($A247,1))=8,"dz. ","gm. m.-w. ")))))&amp;IF(LEN($A247)=2,TRIM(UPPER(VLOOKUP($A247,GUS_tabl_1!$A$7:$B$22,2,FALSE))),IF(ISERROR(FIND("..",TRIM(VLOOKUP(IF(AND(LEN($A247)=4,VALUE(RIGHT($A247,2))&gt;60),$A247&amp;"01 1",$A247),IF(AND(LEN($A247)=4,VALUE(RIGHT($A247,2))&lt;60),GUS_tabl_2!$A$8:$B$464,GUS_tabl_21!$A$5:$B$4886),2,FALSE)))),TRIM(VLOOKUP(IF(AND(LEN($A247)=4,VALUE(RIGHT($A247,2))&gt;60),$A247&amp;"01 1",$A247),IF(AND(LEN($A247)=4,VALUE(RIGHT($A247,2))&lt;60),GUS_tabl_2!$A$8:$B$464,GUS_tabl_21!$A$5:$B$4886),2,FALSE)),LEFT(TRIM(VLOOKUP(IF(AND(LEN($A247)=4,VALUE(RIGHT($A247,2))&gt;60),$A247&amp;"01 1",$A247),IF(AND(LEN($A247)=4,VALUE(RIGHT($A247,2))&lt;60),GUS_tabl_2!$A$8:$B$464,GUS_tabl_21!$A$5:$B$4886),2,FALSE)),SUM(FIND("..",TRIM(VLOOKUP(IF(AND(LEN($A247)=4,VALUE(RIGHT($A247,2))&gt;60),$A247&amp;"01 1",$A247),IF(AND(LEN($A247)=4,VALUE(RIGHT($A247,2))&lt;60),GUS_tabl_2!$A$8:$B$464,GUS_tabl_21!$A$5:$B$4886),2,FALSE))),-1)))))</f>
        <v>gm. m.-w. Solec Kujawski</v>
      </c>
      <c r="D247" s="141">
        <f>IF(OR($A247="",ISERROR(VALUE(LEFT($A247,6)))),"",IF(LEN($A247)=2,SUMIF($A248:$A$2965,$A247&amp;"??",$D248:$D$2965),IF(AND(LEN($A247)=4,VALUE(RIGHT($A247,2))&lt;=60),SUMIF($A248:$A$2965,$A247&amp;"????",$D248:$D$2965),VLOOKUP(IF(LEN($A247)=4,$A247&amp;"01 1",$A247),GUS_tabl_21!$A$5:$F$4886,6,FALSE))))</f>
        <v>16799</v>
      </c>
    </row>
    <row r="248" spans="1:4" s="29" customFormat="1" ht="12" customHeight="1">
      <c r="A248" s="152" t="str">
        <f>"0404"</f>
        <v>0404</v>
      </c>
      <c r="B248" s="153" t="s">
        <v>46</v>
      </c>
      <c r="C248" s="154" t="str">
        <f>IF(OR($A248="",ISERROR(VALUE(LEFT($A248,6)))),"",IF(LEN($A248)=2,"WOJ. ",IF(LEN($A248)=4,IF(VALUE(RIGHT($A248,2))&gt;60,"","Powiat "),IF(VALUE(RIGHT($A248,1))=1,"m. ",IF(VALUE(RIGHT($A248,1))=2,"gm. w. ",IF(VALUE(RIGHT($A248,1))=8,"dz. ","gm. m.-w. ")))))&amp;IF(LEN($A248)=2,TRIM(UPPER(VLOOKUP($A248,GUS_tabl_1!$A$7:$B$22,2,FALSE))),IF(ISERROR(FIND("..",TRIM(VLOOKUP(IF(AND(LEN($A248)=4,VALUE(RIGHT($A248,2))&gt;60),$A248&amp;"01 1",$A248),IF(AND(LEN($A248)=4,VALUE(RIGHT($A248,2))&lt;60),GUS_tabl_2!$A$8:$B$464,GUS_tabl_21!$A$5:$B$4886),2,FALSE)))),TRIM(VLOOKUP(IF(AND(LEN($A248)=4,VALUE(RIGHT($A248,2))&gt;60),$A248&amp;"01 1",$A248),IF(AND(LEN($A248)=4,VALUE(RIGHT($A248,2))&lt;60),GUS_tabl_2!$A$8:$B$464,GUS_tabl_21!$A$5:$B$4886),2,FALSE)),LEFT(TRIM(VLOOKUP(IF(AND(LEN($A248)=4,VALUE(RIGHT($A248,2))&gt;60),$A248&amp;"01 1",$A248),IF(AND(LEN($A248)=4,VALUE(RIGHT($A248,2))&lt;60),GUS_tabl_2!$A$8:$B$464,GUS_tabl_21!$A$5:$B$4886),2,FALSE)),SUM(FIND("..",TRIM(VLOOKUP(IF(AND(LEN($A248)=4,VALUE(RIGHT($A248,2))&gt;60),$A248&amp;"01 1",$A248),IF(AND(LEN($A248)=4,VALUE(RIGHT($A248,2))&lt;60),GUS_tabl_2!$A$8:$B$464,GUS_tabl_21!$A$5:$B$4886),2,FALSE))),-1)))))</f>
        <v>Powiat chełmiński</v>
      </c>
      <c r="D248" s="140">
        <f>IF(OR($A248="",ISERROR(VALUE(LEFT($A248,6)))),"",IF(LEN($A248)=2,SUMIF($A249:$A$2965,$A248&amp;"??",$D249:$D$2965),IF(AND(LEN($A248)=4,VALUE(RIGHT($A248,2))&lt;=60),SUMIF($A249:$A$2965,$A248&amp;"????",$D249:$D$2965),VLOOKUP(IF(LEN($A248)=4,$A248&amp;"01 1",$A248),GUS_tabl_21!$A$5:$F$4886,6,FALSE))))</f>
        <v>51925</v>
      </c>
    </row>
    <row r="249" spans="1:4" s="29" customFormat="1" ht="12" customHeight="1">
      <c r="A249" s="155" t="str">
        <f>"040401 1"</f>
        <v>040401 1</v>
      </c>
      <c r="B249" s="153" t="s">
        <v>46</v>
      </c>
      <c r="C249" s="156" t="str">
        <f>IF(OR($A249="",ISERROR(VALUE(LEFT($A249,6)))),"",IF(LEN($A249)=2,"WOJ. ",IF(LEN($A249)=4,IF(VALUE(RIGHT($A249,2))&gt;60,"","Powiat "),IF(VALUE(RIGHT($A249,1))=1,"m. ",IF(VALUE(RIGHT($A249,1))=2,"gm. w. ",IF(VALUE(RIGHT($A249,1))=8,"dz. ","gm. m.-w. ")))))&amp;IF(LEN($A249)=2,TRIM(UPPER(VLOOKUP($A249,GUS_tabl_1!$A$7:$B$22,2,FALSE))),IF(ISERROR(FIND("..",TRIM(VLOOKUP(IF(AND(LEN($A249)=4,VALUE(RIGHT($A249,2))&gt;60),$A249&amp;"01 1",$A249),IF(AND(LEN($A249)=4,VALUE(RIGHT($A249,2))&lt;60),GUS_tabl_2!$A$8:$B$464,GUS_tabl_21!$A$5:$B$4886),2,FALSE)))),TRIM(VLOOKUP(IF(AND(LEN($A249)=4,VALUE(RIGHT($A249,2))&gt;60),$A249&amp;"01 1",$A249),IF(AND(LEN($A249)=4,VALUE(RIGHT($A249,2))&lt;60),GUS_tabl_2!$A$8:$B$464,GUS_tabl_21!$A$5:$B$4886),2,FALSE)),LEFT(TRIM(VLOOKUP(IF(AND(LEN($A249)=4,VALUE(RIGHT($A249,2))&gt;60),$A249&amp;"01 1",$A249),IF(AND(LEN($A249)=4,VALUE(RIGHT($A249,2))&lt;60),GUS_tabl_2!$A$8:$B$464,GUS_tabl_21!$A$5:$B$4886),2,FALSE)),SUM(FIND("..",TRIM(VLOOKUP(IF(AND(LEN($A249)=4,VALUE(RIGHT($A249,2))&gt;60),$A249&amp;"01 1",$A249),IF(AND(LEN($A249)=4,VALUE(RIGHT($A249,2))&lt;60),GUS_tabl_2!$A$8:$B$464,GUS_tabl_21!$A$5:$B$4886),2,FALSE))),-1)))))</f>
        <v>m. Chełmno</v>
      </c>
      <c r="D249" s="141">
        <f>IF(OR($A249="",ISERROR(VALUE(LEFT($A249,6)))),"",IF(LEN($A249)=2,SUMIF($A250:$A$2965,$A249&amp;"??",$D250:$D$2965),IF(AND(LEN($A249)=4,VALUE(RIGHT($A249,2))&lt;=60),SUMIF($A250:$A$2965,$A249&amp;"????",$D250:$D$2965),VLOOKUP(IF(LEN($A249)=4,$A249&amp;"01 1",$A249),GUS_tabl_21!$A$5:$F$4886,6,FALSE))))</f>
        <v>19510</v>
      </c>
    </row>
    <row r="250" spans="1:4" s="29" customFormat="1" ht="12" customHeight="1">
      <c r="A250" s="155" t="str">
        <f>"040402 2"</f>
        <v>040402 2</v>
      </c>
      <c r="B250" s="153" t="s">
        <v>46</v>
      </c>
      <c r="C250" s="156" t="str">
        <f>IF(OR($A250="",ISERROR(VALUE(LEFT($A250,6)))),"",IF(LEN($A250)=2,"WOJ. ",IF(LEN($A250)=4,IF(VALUE(RIGHT($A250,2))&gt;60,"","Powiat "),IF(VALUE(RIGHT($A250,1))=1,"m. ",IF(VALUE(RIGHT($A250,1))=2,"gm. w. ",IF(VALUE(RIGHT($A250,1))=8,"dz. ","gm. m.-w. ")))))&amp;IF(LEN($A250)=2,TRIM(UPPER(VLOOKUP($A250,GUS_tabl_1!$A$7:$B$22,2,FALSE))),IF(ISERROR(FIND("..",TRIM(VLOOKUP(IF(AND(LEN($A250)=4,VALUE(RIGHT($A250,2))&gt;60),$A250&amp;"01 1",$A250),IF(AND(LEN($A250)=4,VALUE(RIGHT($A250,2))&lt;60),GUS_tabl_2!$A$8:$B$464,GUS_tabl_21!$A$5:$B$4886),2,FALSE)))),TRIM(VLOOKUP(IF(AND(LEN($A250)=4,VALUE(RIGHT($A250,2))&gt;60),$A250&amp;"01 1",$A250),IF(AND(LEN($A250)=4,VALUE(RIGHT($A250,2))&lt;60),GUS_tabl_2!$A$8:$B$464,GUS_tabl_21!$A$5:$B$4886),2,FALSE)),LEFT(TRIM(VLOOKUP(IF(AND(LEN($A250)=4,VALUE(RIGHT($A250,2))&gt;60),$A250&amp;"01 1",$A250),IF(AND(LEN($A250)=4,VALUE(RIGHT($A250,2))&lt;60),GUS_tabl_2!$A$8:$B$464,GUS_tabl_21!$A$5:$B$4886),2,FALSE)),SUM(FIND("..",TRIM(VLOOKUP(IF(AND(LEN($A250)=4,VALUE(RIGHT($A250,2))&gt;60),$A250&amp;"01 1",$A250),IF(AND(LEN($A250)=4,VALUE(RIGHT($A250,2))&lt;60),GUS_tabl_2!$A$8:$B$464,GUS_tabl_21!$A$5:$B$4886),2,FALSE))),-1)))))</f>
        <v>gm. w. Chełmno</v>
      </c>
      <c r="D250" s="141">
        <f>IF(OR($A250="",ISERROR(VALUE(LEFT($A250,6)))),"",IF(LEN($A250)=2,SUMIF($A251:$A$2965,$A250&amp;"??",$D251:$D$2965),IF(AND(LEN($A250)=4,VALUE(RIGHT($A250,2))&lt;=60),SUMIF($A251:$A$2965,$A250&amp;"????",$D251:$D$2965),VLOOKUP(IF(LEN($A250)=4,$A250&amp;"01 1",$A250),GUS_tabl_21!$A$5:$F$4886,6,FALSE))))</f>
        <v>6092</v>
      </c>
    </row>
    <row r="251" spans="1:4" s="29" customFormat="1" ht="12" customHeight="1">
      <c r="A251" s="155" t="str">
        <f>"040403 2"</f>
        <v>040403 2</v>
      </c>
      <c r="B251" s="153" t="s">
        <v>46</v>
      </c>
      <c r="C251" s="156" t="str">
        <f>IF(OR($A251="",ISERROR(VALUE(LEFT($A251,6)))),"",IF(LEN($A251)=2,"WOJ. ",IF(LEN($A251)=4,IF(VALUE(RIGHT($A251,2))&gt;60,"","Powiat "),IF(VALUE(RIGHT($A251,1))=1,"m. ",IF(VALUE(RIGHT($A251,1))=2,"gm. w. ",IF(VALUE(RIGHT($A251,1))=8,"dz. ","gm. m.-w. ")))))&amp;IF(LEN($A251)=2,TRIM(UPPER(VLOOKUP($A251,GUS_tabl_1!$A$7:$B$22,2,FALSE))),IF(ISERROR(FIND("..",TRIM(VLOOKUP(IF(AND(LEN($A251)=4,VALUE(RIGHT($A251,2))&gt;60),$A251&amp;"01 1",$A251),IF(AND(LEN($A251)=4,VALUE(RIGHT($A251,2))&lt;60),GUS_tabl_2!$A$8:$B$464,GUS_tabl_21!$A$5:$B$4886),2,FALSE)))),TRIM(VLOOKUP(IF(AND(LEN($A251)=4,VALUE(RIGHT($A251,2))&gt;60),$A251&amp;"01 1",$A251),IF(AND(LEN($A251)=4,VALUE(RIGHT($A251,2))&lt;60),GUS_tabl_2!$A$8:$B$464,GUS_tabl_21!$A$5:$B$4886),2,FALSE)),LEFT(TRIM(VLOOKUP(IF(AND(LEN($A251)=4,VALUE(RIGHT($A251,2))&gt;60),$A251&amp;"01 1",$A251),IF(AND(LEN($A251)=4,VALUE(RIGHT($A251,2))&lt;60),GUS_tabl_2!$A$8:$B$464,GUS_tabl_21!$A$5:$B$4886),2,FALSE)),SUM(FIND("..",TRIM(VLOOKUP(IF(AND(LEN($A251)=4,VALUE(RIGHT($A251,2))&gt;60),$A251&amp;"01 1",$A251),IF(AND(LEN($A251)=4,VALUE(RIGHT($A251,2))&lt;60),GUS_tabl_2!$A$8:$B$464,GUS_tabl_21!$A$5:$B$4886),2,FALSE))),-1)))))</f>
        <v>gm. w. Kijewo Królewskie</v>
      </c>
      <c r="D251" s="141">
        <f>IF(OR($A251="",ISERROR(VALUE(LEFT($A251,6)))),"",IF(LEN($A251)=2,SUMIF($A252:$A$2965,$A251&amp;"??",$D252:$D$2965),IF(AND(LEN($A251)=4,VALUE(RIGHT($A251,2))&lt;=60),SUMIF($A252:$A$2965,$A251&amp;"????",$D252:$D$2965),VLOOKUP(IF(LEN($A251)=4,$A251&amp;"01 1",$A251),GUS_tabl_21!$A$5:$F$4886,6,FALSE))))</f>
        <v>4516</v>
      </c>
    </row>
    <row r="252" spans="1:4" s="29" customFormat="1" ht="12" customHeight="1">
      <c r="A252" s="155" t="str">
        <f>"040404 2"</f>
        <v>040404 2</v>
      </c>
      <c r="B252" s="153" t="s">
        <v>46</v>
      </c>
      <c r="C252" s="156" t="str">
        <f>IF(OR($A252="",ISERROR(VALUE(LEFT($A252,6)))),"",IF(LEN($A252)=2,"WOJ. ",IF(LEN($A252)=4,IF(VALUE(RIGHT($A252,2))&gt;60,"","Powiat "),IF(VALUE(RIGHT($A252,1))=1,"m. ",IF(VALUE(RIGHT($A252,1))=2,"gm. w. ",IF(VALUE(RIGHT($A252,1))=8,"dz. ","gm. m.-w. ")))))&amp;IF(LEN($A252)=2,TRIM(UPPER(VLOOKUP($A252,GUS_tabl_1!$A$7:$B$22,2,FALSE))),IF(ISERROR(FIND("..",TRIM(VLOOKUP(IF(AND(LEN($A252)=4,VALUE(RIGHT($A252,2))&gt;60),$A252&amp;"01 1",$A252),IF(AND(LEN($A252)=4,VALUE(RIGHT($A252,2))&lt;60),GUS_tabl_2!$A$8:$B$464,GUS_tabl_21!$A$5:$B$4886),2,FALSE)))),TRIM(VLOOKUP(IF(AND(LEN($A252)=4,VALUE(RIGHT($A252,2))&gt;60),$A252&amp;"01 1",$A252),IF(AND(LEN($A252)=4,VALUE(RIGHT($A252,2))&lt;60),GUS_tabl_2!$A$8:$B$464,GUS_tabl_21!$A$5:$B$4886),2,FALSE)),LEFT(TRIM(VLOOKUP(IF(AND(LEN($A252)=4,VALUE(RIGHT($A252,2))&gt;60),$A252&amp;"01 1",$A252),IF(AND(LEN($A252)=4,VALUE(RIGHT($A252,2))&lt;60),GUS_tabl_2!$A$8:$B$464,GUS_tabl_21!$A$5:$B$4886),2,FALSE)),SUM(FIND("..",TRIM(VLOOKUP(IF(AND(LEN($A252)=4,VALUE(RIGHT($A252,2))&gt;60),$A252&amp;"01 1",$A252),IF(AND(LEN($A252)=4,VALUE(RIGHT($A252,2))&lt;60),GUS_tabl_2!$A$8:$B$464,GUS_tabl_21!$A$5:$B$4886),2,FALSE))),-1)))))</f>
        <v>gm. w. Lisewo</v>
      </c>
      <c r="D252" s="141">
        <f>IF(OR($A252="",ISERROR(VALUE(LEFT($A252,6)))),"",IF(LEN($A252)=2,SUMIF($A253:$A$2965,$A252&amp;"??",$D253:$D$2965),IF(AND(LEN($A252)=4,VALUE(RIGHT($A252,2))&lt;=60),SUMIF($A253:$A$2965,$A252&amp;"????",$D253:$D$2965),VLOOKUP(IF(LEN($A252)=4,$A252&amp;"01 1",$A252),GUS_tabl_21!$A$5:$F$4886,6,FALSE))))</f>
        <v>5199</v>
      </c>
    </row>
    <row r="253" spans="1:4" s="29" customFormat="1" ht="12" customHeight="1">
      <c r="A253" s="155" t="str">
        <f>"040405 2"</f>
        <v>040405 2</v>
      </c>
      <c r="B253" s="153" t="s">
        <v>46</v>
      </c>
      <c r="C253" s="156" t="str">
        <f>IF(OR($A253="",ISERROR(VALUE(LEFT($A253,6)))),"",IF(LEN($A253)=2,"WOJ. ",IF(LEN($A253)=4,IF(VALUE(RIGHT($A253,2))&gt;60,"","Powiat "),IF(VALUE(RIGHT($A253,1))=1,"m. ",IF(VALUE(RIGHT($A253,1))=2,"gm. w. ",IF(VALUE(RIGHT($A253,1))=8,"dz. ","gm. m.-w. ")))))&amp;IF(LEN($A253)=2,TRIM(UPPER(VLOOKUP($A253,GUS_tabl_1!$A$7:$B$22,2,FALSE))),IF(ISERROR(FIND("..",TRIM(VLOOKUP(IF(AND(LEN($A253)=4,VALUE(RIGHT($A253,2))&gt;60),$A253&amp;"01 1",$A253),IF(AND(LEN($A253)=4,VALUE(RIGHT($A253,2))&lt;60),GUS_tabl_2!$A$8:$B$464,GUS_tabl_21!$A$5:$B$4886),2,FALSE)))),TRIM(VLOOKUP(IF(AND(LEN($A253)=4,VALUE(RIGHT($A253,2))&gt;60),$A253&amp;"01 1",$A253),IF(AND(LEN($A253)=4,VALUE(RIGHT($A253,2))&lt;60),GUS_tabl_2!$A$8:$B$464,GUS_tabl_21!$A$5:$B$4886),2,FALSE)),LEFT(TRIM(VLOOKUP(IF(AND(LEN($A253)=4,VALUE(RIGHT($A253,2))&gt;60),$A253&amp;"01 1",$A253),IF(AND(LEN($A253)=4,VALUE(RIGHT($A253,2))&lt;60),GUS_tabl_2!$A$8:$B$464,GUS_tabl_21!$A$5:$B$4886),2,FALSE)),SUM(FIND("..",TRIM(VLOOKUP(IF(AND(LEN($A253)=4,VALUE(RIGHT($A253,2))&gt;60),$A253&amp;"01 1",$A253),IF(AND(LEN($A253)=4,VALUE(RIGHT($A253,2))&lt;60),GUS_tabl_2!$A$8:$B$464,GUS_tabl_21!$A$5:$B$4886),2,FALSE))),-1)))))</f>
        <v>gm. w. Papowo Biskupie</v>
      </c>
      <c r="D253" s="141">
        <f>IF(OR($A253="",ISERROR(VALUE(LEFT($A253,6)))),"",IF(LEN($A253)=2,SUMIF($A254:$A$2965,$A253&amp;"??",$D254:$D$2965),IF(AND(LEN($A253)=4,VALUE(RIGHT($A253,2))&lt;=60),SUMIF($A254:$A$2965,$A253&amp;"????",$D254:$D$2965),VLOOKUP(IF(LEN($A253)=4,$A253&amp;"01 1",$A253),GUS_tabl_21!$A$5:$F$4886,6,FALSE))))</f>
        <v>4343</v>
      </c>
    </row>
    <row r="254" spans="1:4" s="29" customFormat="1" ht="12" customHeight="1">
      <c r="A254" s="155" t="str">
        <f>"040406 2"</f>
        <v>040406 2</v>
      </c>
      <c r="B254" s="153" t="s">
        <v>46</v>
      </c>
      <c r="C254" s="156" t="str">
        <f>IF(OR($A254="",ISERROR(VALUE(LEFT($A254,6)))),"",IF(LEN($A254)=2,"WOJ. ",IF(LEN($A254)=4,IF(VALUE(RIGHT($A254,2))&gt;60,"","Powiat "),IF(VALUE(RIGHT($A254,1))=1,"m. ",IF(VALUE(RIGHT($A254,1))=2,"gm. w. ",IF(VALUE(RIGHT($A254,1))=8,"dz. ","gm. m.-w. ")))))&amp;IF(LEN($A254)=2,TRIM(UPPER(VLOOKUP($A254,GUS_tabl_1!$A$7:$B$22,2,FALSE))),IF(ISERROR(FIND("..",TRIM(VLOOKUP(IF(AND(LEN($A254)=4,VALUE(RIGHT($A254,2))&gt;60),$A254&amp;"01 1",$A254),IF(AND(LEN($A254)=4,VALUE(RIGHT($A254,2))&lt;60),GUS_tabl_2!$A$8:$B$464,GUS_tabl_21!$A$5:$B$4886),2,FALSE)))),TRIM(VLOOKUP(IF(AND(LEN($A254)=4,VALUE(RIGHT($A254,2))&gt;60),$A254&amp;"01 1",$A254),IF(AND(LEN($A254)=4,VALUE(RIGHT($A254,2))&lt;60),GUS_tabl_2!$A$8:$B$464,GUS_tabl_21!$A$5:$B$4886),2,FALSE)),LEFT(TRIM(VLOOKUP(IF(AND(LEN($A254)=4,VALUE(RIGHT($A254,2))&gt;60),$A254&amp;"01 1",$A254),IF(AND(LEN($A254)=4,VALUE(RIGHT($A254,2))&lt;60),GUS_tabl_2!$A$8:$B$464,GUS_tabl_21!$A$5:$B$4886),2,FALSE)),SUM(FIND("..",TRIM(VLOOKUP(IF(AND(LEN($A254)=4,VALUE(RIGHT($A254,2))&gt;60),$A254&amp;"01 1",$A254),IF(AND(LEN($A254)=4,VALUE(RIGHT($A254,2))&lt;60),GUS_tabl_2!$A$8:$B$464,GUS_tabl_21!$A$5:$B$4886),2,FALSE))),-1)))))</f>
        <v>gm. w. Stolno</v>
      </c>
      <c r="D254" s="141">
        <f>IF(OR($A254="",ISERROR(VALUE(LEFT($A254,6)))),"",IF(LEN($A254)=2,SUMIF($A255:$A$2965,$A254&amp;"??",$D255:$D$2965),IF(AND(LEN($A254)=4,VALUE(RIGHT($A254,2))&lt;=60),SUMIF($A255:$A$2965,$A254&amp;"????",$D255:$D$2965),VLOOKUP(IF(LEN($A254)=4,$A254&amp;"01 1",$A254),GUS_tabl_21!$A$5:$F$4886,6,FALSE))))</f>
        <v>5309</v>
      </c>
    </row>
    <row r="255" spans="1:4" s="29" customFormat="1" ht="12" customHeight="1">
      <c r="A255" s="155" t="str">
        <f>"040407 2"</f>
        <v>040407 2</v>
      </c>
      <c r="B255" s="153" t="s">
        <v>46</v>
      </c>
      <c r="C255" s="156" t="str">
        <f>IF(OR($A255="",ISERROR(VALUE(LEFT($A255,6)))),"",IF(LEN($A255)=2,"WOJ. ",IF(LEN($A255)=4,IF(VALUE(RIGHT($A255,2))&gt;60,"","Powiat "),IF(VALUE(RIGHT($A255,1))=1,"m. ",IF(VALUE(RIGHT($A255,1))=2,"gm. w. ",IF(VALUE(RIGHT($A255,1))=8,"dz. ","gm. m.-w. ")))))&amp;IF(LEN($A255)=2,TRIM(UPPER(VLOOKUP($A255,GUS_tabl_1!$A$7:$B$22,2,FALSE))),IF(ISERROR(FIND("..",TRIM(VLOOKUP(IF(AND(LEN($A255)=4,VALUE(RIGHT($A255,2))&gt;60),$A255&amp;"01 1",$A255),IF(AND(LEN($A255)=4,VALUE(RIGHT($A255,2))&lt;60),GUS_tabl_2!$A$8:$B$464,GUS_tabl_21!$A$5:$B$4886),2,FALSE)))),TRIM(VLOOKUP(IF(AND(LEN($A255)=4,VALUE(RIGHT($A255,2))&gt;60),$A255&amp;"01 1",$A255),IF(AND(LEN($A255)=4,VALUE(RIGHT($A255,2))&lt;60),GUS_tabl_2!$A$8:$B$464,GUS_tabl_21!$A$5:$B$4886),2,FALSE)),LEFT(TRIM(VLOOKUP(IF(AND(LEN($A255)=4,VALUE(RIGHT($A255,2))&gt;60),$A255&amp;"01 1",$A255),IF(AND(LEN($A255)=4,VALUE(RIGHT($A255,2))&lt;60),GUS_tabl_2!$A$8:$B$464,GUS_tabl_21!$A$5:$B$4886),2,FALSE)),SUM(FIND("..",TRIM(VLOOKUP(IF(AND(LEN($A255)=4,VALUE(RIGHT($A255,2))&gt;60),$A255&amp;"01 1",$A255),IF(AND(LEN($A255)=4,VALUE(RIGHT($A255,2))&lt;60),GUS_tabl_2!$A$8:$B$464,GUS_tabl_21!$A$5:$B$4886),2,FALSE))),-1)))))</f>
        <v>gm. w. Unisław</v>
      </c>
      <c r="D255" s="141">
        <f>IF(OR($A255="",ISERROR(VALUE(LEFT($A255,6)))),"",IF(LEN($A255)=2,SUMIF($A256:$A$2965,$A255&amp;"??",$D256:$D$2965),IF(AND(LEN($A255)=4,VALUE(RIGHT($A255,2))&lt;=60),SUMIF($A256:$A$2965,$A255&amp;"????",$D256:$D$2965),VLOOKUP(IF(LEN($A255)=4,$A255&amp;"01 1",$A255),GUS_tabl_21!$A$5:$F$4886,6,FALSE))))</f>
        <v>6956</v>
      </c>
    </row>
    <row r="256" spans="1:4" s="29" customFormat="1" ht="12" customHeight="1">
      <c r="A256" s="152" t="str">
        <f>"0405"</f>
        <v>0405</v>
      </c>
      <c r="B256" s="153" t="s">
        <v>46</v>
      </c>
      <c r="C256" s="154" t="str">
        <f>IF(OR($A256="",ISERROR(VALUE(LEFT($A256,6)))),"",IF(LEN($A256)=2,"WOJ. ",IF(LEN($A256)=4,IF(VALUE(RIGHT($A256,2))&gt;60,"","Powiat "),IF(VALUE(RIGHT($A256,1))=1,"m. ",IF(VALUE(RIGHT($A256,1))=2,"gm. w. ",IF(VALUE(RIGHT($A256,1))=8,"dz. ","gm. m.-w. ")))))&amp;IF(LEN($A256)=2,TRIM(UPPER(VLOOKUP($A256,GUS_tabl_1!$A$7:$B$22,2,FALSE))),IF(ISERROR(FIND("..",TRIM(VLOOKUP(IF(AND(LEN($A256)=4,VALUE(RIGHT($A256,2))&gt;60),$A256&amp;"01 1",$A256),IF(AND(LEN($A256)=4,VALUE(RIGHT($A256,2))&lt;60),GUS_tabl_2!$A$8:$B$464,GUS_tabl_21!$A$5:$B$4886),2,FALSE)))),TRIM(VLOOKUP(IF(AND(LEN($A256)=4,VALUE(RIGHT($A256,2))&gt;60),$A256&amp;"01 1",$A256),IF(AND(LEN($A256)=4,VALUE(RIGHT($A256,2))&lt;60),GUS_tabl_2!$A$8:$B$464,GUS_tabl_21!$A$5:$B$4886),2,FALSE)),LEFT(TRIM(VLOOKUP(IF(AND(LEN($A256)=4,VALUE(RIGHT($A256,2))&gt;60),$A256&amp;"01 1",$A256),IF(AND(LEN($A256)=4,VALUE(RIGHT($A256,2))&lt;60),GUS_tabl_2!$A$8:$B$464,GUS_tabl_21!$A$5:$B$4886),2,FALSE)),SUM(FIND("..",TRIM(VLOOKUP(IF(AND(LEN($A256)=4,VALUE(RIGHT($A256,2))&gt;60),$A256&amp;"01 1",$A256),IF(AND(LEN($A256)=4,VALUE(RIGHT($A256,2))&lt;60),GUS_tabl_2!$A$8:$B$464,GUS_tabl_21!$A$5:$B$4886),2,FALSE))),-1)))))</f>
        <v>Powiat golubsko-dobrzyński</v>
      </c>
      <c r="D256" s="140">
        <f>IF(OR($A256="",ISERROR(VALUE(LEFT($A256,6)))),"",IF(LEN($A256)=2,SUMIF($A257:$A$2965,$A256&amp;"??",$D257:$D$2965),IF(AND(LEN($A256)=4,VALUE(RIGHT($A256,2))&lt;=60),SUMIF($A257:$A$2965,$A256&amp;"????",$D257:$D$2965),VLOOKUP(IF(LEN($A256)=4,$A256&amp;"01 1",$A256),GUS_tabl_21!$A$5:$F$4886,6,FALSE))))</f>
        <v>45018</v>
      </c>
    </row>
    <row r="257" spans="1:4" s="29" customFormat="1" ht="12" customHeight="1">
      <c r="A257" s="155" t="str">
        <f>"040501 1"</f>
        <v>040501 1</v>
      </c>
      <c r="B257" s="153" t="s">
        <v>46</v>
      </c>
      <c r="C257" s="156" t="str">
        <f>IF(OR($A257="",ISERROR(VALUE(LEFT($A257,6)))),"",IF(LEN($A257)=2,"WOJ. ",IF(LEN($A257)=4,IF(VALUE(RIGHT($A257,2))&gt;60,"","Powiat "),IF(VALUE(RIGHT($A257,1))=1,"m. ",IF(VALUE(RIGHT($A257,1))=2,"gm. w. ",IF(VALUE(RIGHT($A257,1))=8,"dz. ","gm. m.-w. ")))))&amp;IF(LEN($A257)=2,TRIM(UPPER(VLOOKUP($A257,GUS_tabl_1!$A$7:$B$22,2,FALSE))),IF(ISERROR(FIND("..",TRIM(VLOOKUP(IF(AND(LEN($A257)=4,VALUE(RIGHT($A257,2))&gt;60),$A257&amp;"01 1",$A257),IF(AND(LEN($A257)=4,VALUE(RIGHT($A257,2))&lt;60),GUS_tabl_2!$A$8:$B$464,GUS_tabl_21!$A$5:$B$4886),2,FALSE)))),TRIM(VLOOKUP(IF(AND(LEN($A257)=4,VALUE(RIGHT($A257,2))&gt;60),$A257&amp;"01 1",$A257),IF(AND(LEN($A257)=4,VALUE(RIGHT($A257,2))&lt;60),GUS_tabl_2!$A$8:$B$464,GUS_tabl_21!$A$5:$B$4886),2,FALSE)),LEFT(TRIM(VLOOKUP(IF(AND(LEN($A257)=4,VALUE(RIGHT($A257,2))&gt;60),$A257&amp;"01 1",$A257),IF(AND(LEN($A257)=4,VALUE(RIGHT($A257,2))&lt;60),GUS_tabl_2!$A$8:$B$464,GUS_tabl_21!$A$5:$B$4886),2,FALSE)),SUM(FIND("..",TRIM(VLOOKUP(IF(AND(LEN($A257)=4,VALUE(RIGHT($A257,2))&gt;60),$A257&amp;"01 1",$A257),IF(AND(LEN($A257)=4,VALUE(RIGHT($A257,2))&lt;60),GUS_tabl_2!$A$8:$B$464,GUS_tabl_21!$A$5:$B$4886),2,FALSE))),-1)))))</f>
        <v>m. Golub-Dobrzyń</v>
      </c>
      <c r="D257" s="141">
        <f>IF(OR($A257="",ISERROR(VALUE(LEFT($A257,6)))),"",IF(LEN($A257)=2,SUMIF($A258:$A$2965,$A257&amp;"??",$D258:$D$2965),IF(AND(LEN($A257)=4,VALUE(RIGHT($A257,2))&lt;=60),SUMIF($A258:$A$2965,$A257&amp;"????",$D258:$D$2965),VLOOKUP(IF(LEN($A257)=4,$A257&amp;"01 1",$A257),GUS_tabl_21!$A$5:$F$4886,6,FALSE))))</f>
        <v>12546</v>
      </c>
    </row>
    <row r="258" spans="1:4" s="29" customFormat="1" ht="12" customHeight="1">
      <c r="A258" s="155" t="str">
        <f>"040502 2"</f>
        <v>040502 2</v>
      </c>
      <c r="B258" s="153" t="s">
        <v>46</v>
      </c>
      <c r="C258" s="156" t="str">
        <f>IF(OR($A258="",ISERROR(VALUE(LEFT($A258,6)))),"",IF(LEN($A258)=2,"WOJ. ",IF(LEN($A258)=4,IF(VALUE(RIGHT($A258,2))&gt;60,"","Powiat "),IF(VALUE(RIGHT($A258,1))=1,"m. ",IF(VALUE(RIGHT($A258,1))=2,"gm. w. ",IF(VALUE(RIGHT($A258,1))=8,"dz. ","gm. m.-w. ")))))&amp;IF(LEN($A258)=2,TRIM(UPPER(VLOOKUP($A258,GUS_tabl_1!$A$7:$B$22,2,FALSE))),IF(ISERROR(FIND("..",TRIM(VLOOKUP(IF(AND(LEN($A258)=4,VALUE(RIGHT($A258,2))&gt;60),$A258&amp;"01 1",$A258),IF(AND(LEN($A258)=4,VALUE(RIGHT($A258,2))&lt;60),GUS_tabl_2!$A$8:$B$464,GUS_tabl_21!$A$5:$B$4886),2,FALSE)))),TRIM(VLOOKUP(IF(AND(LEN($A258)=4,VALUE(RIGHT($A258,2))&gt;60),$A258&amp;"01 1",$A258),IF(AND(LEN($A258)=4,VALUE(RIGHT($A258,2))&lt;60),GUS_tabl_2!$A$8:$B$464,GUS_tabl_21!$A$5:$B$4886),2,FALSE)),LEFT(TRIM(VLOOKUP(IF(AND(LEN($A258)=4,VALUE(RIGHT($A258,2))&gt;60),$A258&amp;"01 1",$A258),IF(AND(LEN($A258)=4,VALUE(RIGHT($A258,2))&lt;60),GUS_tabl_2!$A$8:$B$464,GUS_tabl_21!$A$5:$B$4886),2,FALSE)),SUM(FIND("..",TRIM(VLOOKUP(IF(AND(LEN($A258)=4,VALUE(RIGHT($A258,2))&gt;60),$A258&amp;"01 1",$A258),IF(AND(LEN($A258)=4,VALUE(RIGHT($A258,2))&lt;60),GUS_tabl_2!$A$8:$B$464,GUS_tabl_21!$A$5:$B$4886),2,FALSE))),-1)))))</f>
        <v>gm. w. Ciechocin</v>
      </c>
      <c r="D258" s="141">
        <f>IF(OR($A258="",ISERROR(VALUE(LEFT($A258,6)))),"",IF(LEN($A258)=2,SUMIF($A259:$A$2965,$A258&amp;"??",$D259:$D$2965),IF(AND(LEN($A258)=4,VALUE(RIGHT($A258,2))&lt;=60),SUMIF($A259:$A$2965,$A258&amp;"????",$D259:$D$2965),VLOOKUP(IF(LEN($A258)=4,$A258&amp;"01 1",$A258),GUS_tabl_21!$A$5:$F$4886,6,FALSE))))</f>
        <v>4022</v>
      </c>
    </row>
    <row r="259" spans="1:4" s="29" customFormat="1" ht="12" customHeight="1">
      <c r="A259" s="155" t="str">
        <f>"040503 2"</f>
        <v>040503 2</v>
      </c>
      <c r="B259" s="153" t="s">
        <v>46</v>
      </c>
      <c r="C259" s="156" t="str">
        <f>IF(OR($A259="",ISERROR(VALUE(LEFT($A259,6)))),"",IF(LEN($A259)=2,"WOJ. ",IF(LEN($A259)=4,IF(VALUE(RIGHT($A259,2))&gt;60,"","Powiat "),IF(VALUE(RIGHT($A259,1))=1,"m. ",IF(VALUE(RIGHT($A259,1))=2,"gm. w. ",IF(VALUE(RIGHT($A259,1))=8,"dz. ","gm. m.-w. ")))))&amp;IF(LEN($A259)=2,TRIM(UPPER(VLOOKUP($A259,GUS_tabl_1!$A$7:$B$22,2,FALSE))),IF(ISERROR(FIND("..",TRIM(VLOOKUP(IF(AND(LEN($A259)=4,VALUE(RIGHT($A259,2))&gt;60),$A259&amp;"01 1",$A259),IF(AND(LEN($A259)=4,VALUE(RIGHT($A259,2))&lt;60),GUS_tabl_2!$A$8:$B$464,GUS_tabl_21!$A$5:$B$4886),2,FALSE)))),TRIM(VLOOKUP(IF(AND(LEN($A259)=4,VALUE(RIGHT($A259,2))&gt;60),$A259&amp;"01 1",$A259),IF(AND(LEN($A259)=4,VALUE(RIGHT($A259,2))&lt;60),GUS_tabl_2!$A$8:$B$464,GUS_tabl_21!$A$5:$B$4886),2,FALSE)),LEFT(TRIM(VLOOKUP(IF(AND(LEN($A259)=4,VALUE(RIGHT($A259,2))&gt;60),$A259&amp;"01 1",$A259),IF(AND(LEN($A259)=4,VALUE(RIGHT($A259,2))&lt;60),GUS_tabl_2!$A$8:$B$464,GUS_tabl_21!$A$5:$B$4886),2,FALSE)),SUM(FIND("..",TRIM(VLOOKUP(IF(AND(LEN($A259)=4,VALUE(RIGHT($A259,2))&gt;60),$A259&amp;"01 1",$A259),IF(AND(LEN($A259)=4,VALUE(RIGHT($A259,2))&lt;60),GUS_tabl_2!$A$8:$B$464,GUS_tabl_21!$A$5:$B$4886),2,FALSE))),-1)))))</f>
        <v>gm. w. Golub-Dobrzyń</v>
      </c>
      <c r="D259" s="141">
        <f>IF(OR($A259="",ISERROR(VALUE(LEFT($A259,6)))),"",IF(LEN($A259)=2,SUMIF($A260:$A$2965,$A259&amp;"??",$D260:$D$2965),IF(AND(LEN($A259)=4,VALUE(RIGHT($A259,2))&lt;=60),SUMIF($A260:$A$2965,$A259&amp;"????",$D260:$D$2965),VLOOKUP(IF(LEN($A259)=4,$A259&amp;"01 1",$A259),GUS_tabl_21!$A$5:$F$4886,6,FALSE))))</f>
        <v>8781</v>
      </c>
    </row>
    <row r="260" spans="1:4" s="29" customFormat="1" ht="12" customHeight="1">
      <c r="A260" s="155" t="str">
        <f>"040504 3"</f>
        <v>040504 3</v>
      </c>
      <c r="B260" s="153" t="s">
        <v>46</v>
      </c>
      <c r="C260" s="156" t="str">
        <f>IF(OR($A260="",ISERROR(VALUE(LEFT($A260,6)))),"",IF(LEN($A260)=2,"WOJ. ",IF(LEN($A260)=4,IF(VALUE(RIGHT($A260,2))&gt;60,"","Powiat "),IF(VALUE(RIGHT($A260,1))=1,"m. ",IF(VALUE(RIGHT($A260,1))=2,"gm. w. ",IF(VALUE(RIGHT($A260,1))=8,"dz. ","gm. m.-w. ")))))&amp;IF(LEN($A260)=2,TRIM(UPPER(VLOOKUP($A260,GUS_tabl_1!$A$7:$B$22,2,FALSE))),IF(ISERROR(FIND("..",TRIM(VLOOKUP(IF(AND(LEN($A260)=4,VALUE(RIGHT($A260,2))&gt;60),$A260&amp;"01 1",$A260),IF(AND(LEN($A260)=4,VALUE(RIGHT($A260,2))&lt;60),GUS_tabl_2!$A$8:$B$464,GUS_tabl_21!$A$5:$B$4886),2,FALSE)))),TRIM(VLOOKUP(IF(AND(LEN($A260)=4,VALUE(RIGHT($A260,2))&gt;60),$A260&amp;"01 1",$A260),IF(AND(LEN($A260)=4,VALUE(RIGHT($A260,2))&lt;60),GUS_tabl_2!$A$8:$B$464,GUS_tabl_21!$A$5:$B$4886),2,FALSE)),LEFT(TRIM(VLOOKUP(IF(AND(LEN($A260)=4,VALUE(RIGHT($A260,2))&gt;60),$A260&amp;"01 1",$A260),IF(AND(LEN($A260)=4,VALUE(RIGHT($A260,2))&lt;60),GUS_tabl_2!$A$8:$B$464,GUS_tabl_21!$A$5:$B$4886),2,FALSE)),SUM(FIND("..",TRIM(VLOOKUP(IF(AND(LEN($A260)=4,VALUE(RIGHT($A260,2))&gt;60),$A260&amp;"01 1",$A260),IF(AND(LEN($A260)=4,VALUE(RIGHT($A260,2))&lt;60),GUS_tabl_2!$A$8:$B$464,GUS_tabl_21!$A$5:$B$4886),2,FALSE))),-1)))))</f>
        <v>gm. m.-w. Kowalewo Pomorskie</v>
      </c>
      <c r="D260" s="141">
        <f>IF(OR($A260="",ISERROR(VALUE(LEFT($A260,6)))),"",IF(LEN($A260)=2,SUMIF($A261:$A$2965,$A260&amp;"??",$D261:$D$2965),IF(AND(LEN($A260)=4,VALUE(RIGHT($A260,2))&lt;=60),SUMIF($A261:$A$2965,$A260&amp;"????",$D261:$D$2965),VLOOKUP(IF(LEN($A260)=4,$A260&amp;"01 1",$A260),GUS_tabl_21!$A$5:$F$4886,6,FALSE))))</f>
        <v>11453</v>
      </c>
    </row>
    <row r="261" spans="1:4" s="29" customFormat="1" ht="12" customHeight="1">
      <c r="A261" s="155" t="str">
        <f>"040505 2"</f>
        <v>040505 2</v>
      </c>
      <c r="B261" s="153" t="s">
        <v>46</v>
      </c>
      <c r="C261" s="156" t="str">
        <f>IF(OR($A261="",ISERROR(VALUE(LEFT($A261,6)))),"",IF(LEN($A261)=2,"WOJ. ",IF(LEN($A261)=4,IF(VALUE(RIGHT($A261,2))&gt;60,"","Powiat "),IF(VALUE(RIGHT($A261,1))=1,"m. ",IF(VALUE(RIGHT($A261,1))=2,"gm. w. ",IF(VALUE(RIGHT($A261,1))=8,"dz. ","gm. m.-w. ")))))&amp;IF(LEN($A261)=2,TRIM(UPPER(VLOOKUP($A261,GUS_tabl_1!$A$7:$B$22,2,FALSE))),IF(ISERROR(FIND("..",TRIM(VLOOKUP(IF(AND(LEN($A261)=4,VALUE(RIGHT($A261,2))&gt;60),$A261&amp;"01 1",$A261),IF(AND(LEN($A261)=4,VALUE(RIGHT($A261,2))&lt;60),GUS_tabl_2!$A$8:$B$464,GUS_tabl_21!$A$5:$B$4886),2,FALSE)))),TRIM(VLOOKUP(IF(AND(LEN($A261)=4,VALUE(RIGHT($A261,2))&gt;60),$A261&amp;"01 1",$A261),IF(AND(LEN($A261)=4,VALUE(RIGHT($A261,2))&lt;60),GUS_tabl_2!$A$8:$B$464,GUS_tabl_21!$A$5:$B$4886),2,FALSE)),LEFT(TRIM(VLOOKUP(IF(AND(LEN($A261)=4,VALUE(RIGHT($A261,2))&gt;60),$A261&amp;"01 1",$A261),IF(AND(LEN($A261)=4,VALUE(RIGHT($A261,2))&lt;60),GUS_tabl_2!$A$8:$B$464,GUS_tabl_21!$A$5:$B$4886),2,FALSE)),SUM(FIND("..",TRIM(VLOOKUP(IF(AND(LEN($A261)=4,VALUE(RIGHT($A261,2))&gt;60),$A261&amp;"01 1",$A261),IF(AND(LEN($A261)=4,VALUE(RIGHT($A261,2))&lt;60),GUS_tabl_2!$A$8:$B$464,GUS_tabl_21!$A$5:$B$4886),2,FALSE))),-1)))))</f>
        <v>gm. w. Radomin</v>
      </c>
      <c r="D261" s="141">
        <f>IF(OR($A261="",ISERROR(VALUE(LEFT($A261,6)))),"",IF(LEN($A261)=2,SUMIF($A262:$A$2965,$A261&amp;"??",$D262:$D$2965),IF(AND(LEN($A261)=4,VALUE(RIGHT($A261,2))&lt;=60),SUMIF($A262:$A$2965,$A261&amp;"????",$D262:$D$2965),VLOOKUP(IF(LEN($A261)=4,$A261&amp;"01 1",$A261),GUS_tabl_21!$A$5:$F$4886,6,FALSE))))</f>
        <v>3837</v>
      </c>
    </row>
    <row r="262" spans="1:4" s="29" customFormat="1" ht="12" customHeight="1">
      <c r="A262" s="155" t="str">
        <f>"040506 2"</f>
        <v>040506 2</v>
      </c>
      <c r="B262" s="153" t="s">
        <v>46</v>
      </c>
      <c r="C262" s="156" t="str">
        <f>IF(OR($A262="",ISERROR(VALUE(LEFT($A262,6)))),"",IF(LEN($A262)=2,"WOJ. ",IF(LEN($A262)=4,IF(VALUE(RIGHT($A262,2))&gt;60,"","Powiat "),IF(VALUE(RIGHT($A262,1))=1,"m. ",IF(VALUE(RIGHT($A262,1))=2,"gm. w. ",IF(VALUE(RIGHT($A262,1))=8,"dz. ","gm. m.-w. ")))))&amp;IF(LEN($A262)=2,TRIM(UPPER(VLOOKUP($A262,GUS_tabl_1!$A$7:$B$22,2,FALSE))),IF(ISERROR(FIND("..",TRIM(VLOOKUP(IF(AND(LEN($A262)=4,VALUE(RIGHT($A262,2))&gt;60),$A262&amp;"01 1",$A262),IF(AND(LEN($A262)=4,VALUE(RIGHT($A262,2))&lt;60),GUS_tabl_2!$A$8:$B$464,GUS_tabl_21!$A$5:$B$4886),2,FALSE)))),TRIM(VLOOKUP(IF(AND(LEN($A262)=4,VALUE(RIGHT($A262,2))&gt;60),$A262&amp;"01 1",$A262),IF(AND(LEN($A262)=4,VALUE(RIGHT($A262,2))&lt;60),GUS_tabl_2!$A$8:$B$464,GUS_tabl_21!$A$5:$B$4886),2,FALSE)),LEFT(TRIM(VLOOKUP(IF(AND(LEN($A262)=4,VALUE(RIGHT($A262,2))&gt;60),$A262&amp;"01 1",$A262),IF(AND(LEN($A262)=4,VALUE(RIGHT($A262,2))&lt;60),GUS_tabl_2!$A$8:$B$464,GUS_tabl_21!$A$5:$B$4886),2,FALSE)),SUM(FIND("..",TRIM(VLOOKUP(IF(AND(LEN($A262)=4,VALUE(RIGHT($A262,2))&gt;60),$A262&amp;"01 1",$A262),IF(AND(LEN($A262)=4,VALUE(RIGHT($A262,2))&lt;60),GUS_tabl_2!$A$8:$B$464,GUS_tabl_21!$A$5:$B$4886),2,FALSE))),-1)))))</f>
        <v>gm. w. Zbójno</v>
      </c>
      <c r="D262" s="141">
        <f>IF(OR($A262="",ISERROR(VALUE(LEFT($A262,6)))),"",IF(LEN($A262)=2,SUMIF($A263:$A$2965,$A262&amp;"??",$D263:$D$2965),IF(AND(LEN($A262)=4,VALUE(RIGHT($A262,2))&lt;=60),SUMIF($A263:$A$2965,$A262&amp;"????",$D263:$D$2965),VLOOKUP(IF(LEN($A262)=4,$A262&amp;"01 1",$A262),GUS_tabl_21!$A$5:$F$4886,6,FALSE))))</f>
        <v>4379</v>
      </c>
    </row>
    <row r="263" spans="1:4" s="29" customFormat="1" ht="12" customHeight="1">
      <c r="A263" s="152" t="str">
        <f>"0406"</f>
        <v>0406</v>
      </c>
      <c r="B263" s="153" t="s">
        <v>46</v>
      </c>
      <c r="C263" s="154" t="str">
        <f>IF(OR($A263="",ISERROR(VALUE(LEFT($A263,6)))),"",IF(LEN($A263)=2,"WOJ. ",IF(LEN($A263)=4,IF(VALUE(RIGHT($A263,2))&gt;60,"","Powiat "),IF(VALUE(RIGHT($A263,1))=1,"m. ",IF(VALUE(RIGHT($A263,1))=2,"gm. w. ",IF(VALUE(RIGHT($A263,1))=8,"dz. ","gm. m.-w. ")))))&amp;IF(LEN($A263)=2,TRIM(UPPER(VLOOKUP($A263,GUS_tabl_1!$A$7:$B$22,2,FALSE))),IF(ISERROR(FIND("..",TRIM(VLOOKUP(IF(AND(LEN($A263)=4,VALUE(RIGHT($A263,2))&gt;60),$A263&amp;"01 1",$A263),IF(AND(LEN($A263)=4,VALUE(RIGHT($A263,2))&lt;60),GUS_tabl_2!$A$8:$B$464,GUS_tabl_21!$A$5:$B$4886),2,FALSE)))),TRIM(VLOOKUP(IF(AND(LEN($A263)=4,VALUE(RIGHT($A263,2))&gt;60),$A263&amp;"01 1",$A263),IF(AND(LEN($A263)=4,VALUE(RIGHT($A263,2))&lt;60),GUS_tabl_2!$A$8:$B$464,GUS_tabl_21!$A$5:$B$4886),2,FALSE)),LEFT(TRIM(VLOOKUP(IF(AND(LEN($A263)=4,VALUE(RIGHT($A263,2))&gt;60),$A263&amp;"01 1",$A263),IF(AND(LEN($A263)=4,VALUE(RIGHT($A263,2))&lt;60),GUS_tabl_2!$A$8:$B$464,GUS_tabl_21!$A$5:$B$4886),2,FALSE)),SUM(FIND("..",TRIM(VLOOKUP(IF(AND(LEN($A263)=4,VALUE(RIGHT($A263,2))&gt;60),$A263&amp;"01 1",$A263),IF(AND(LEN($A263)=4,VALUE(RIGHT($A263,2))&lt;60),GUS_tabl_2!$A$8:$B$464,GUS_tabl_21!$A$5:$B$4886),2,FALSE))),-1)))))</f>
        <v>Powiat grudziądzki</v>
      </c>
      <c r="D263" s="140">
        <f>IF(OR($A263="",ISERROR(VALUE(LEFT($A263,6)))),"",IF(LEN($A263)=2,SUMIF($A264:$A$2965,$A263&amp;"??",$D264:$D$2965),IF(AND(LEN($A263)=4,VALUE(RIGHT($A263,2))&lt;=60),SUMIF($A264:$A$2965,$A263&amp;"????",$D264:$D$2965),VLOOKUP(IF(LEN($A263)=4,$A263&amp;"01 1",$A263),GUS_tabl_21!$A$5:$F$4886,6,FALSE))))</f>
        <v>40238</v>
      </c>
    </row>
    <row r="264" spans="1:4" s="29" customFormat="1" ht="12" customHeight="1">
      <c r="A264" s="155" t="str">
        <f>"040601 2"</f>
        <v>040601 2</v>
      </c>
      <c r="B264" s="153" t="s">
        <v>46</v>
      </c>
      <c r="C264" s="156" t="str">
        <f>IF(OR($A264="",ISERROR(VALUE(LEFT($A264,6)))),"",IF(LEN($A264)=2,"WOJ. ",IF(LEN($A264)=4,IF(VALUE(RIGHT($A264,2))&gt;60,"","Powiat "),IF(VALUE(RIGHT($A264,1))=1,"m. ",IF(VALUE(RIGHT($A264,1))=2,"gm. w. ",IF(VALUE(RIGHT($A264,1))=8,"dz. ","gm. m.-w. ")))))&amp;IF(LEN($A264)=2,TRIM(UPPER(VLOOKUP($A264,GUS_tabl_1!$A$7:$B$22,2,FALSE))),IF(ISERROR(FIND("..",TRIM(VLOOKUP(IF(AND(LEN($A264)=4,VALUE(RIGHT($A264,2))&gt;60),$A264&amp;"01 1",$A264),IF(AND(LEN($A264)=4,VALUE(RIGHT($A264,2))&lt;60),GUS_tabl_2!$A$8:$B$464,GUS_tabl_21!$A$5:$B$4886),2,FALSE)))),TRIM(VLOOKUP(IF(AND(LEN($A264)=4,VALUE(RIGHT($A264,2))&gt;60),$A264&amp;"01 1",$A264),IF(AND(LEN($A264)=4,VALUE(RIGHT($A264,2))&lt;60),GUS_tabl_2!$A$8:$B$464,GUS_tabl_21!$A$5:$B$4886),2,FALSE)),LEFT(TRIM(VLOOKUP(IF(AND(LEN($A264)=4,VALUE(RIGHT($A264,2))&gt;60),$A264&amp;"01 1",$A264),IF(AND(LEN($A264)=4,VALUE(RIGHT($A264,2))&lt;60),GUS_tabl_2!$A$8:$B$464,GUS_tabl_21!$A$5:$B$4886),2,FALSE)),SUM(FIND("..",TRIM(VLOOKUP(IF(AND(LEN($A264)=4,VALUE(RIGHT($A264,2))&gt;60),$A264&amp;"01 1",$A264),IF(AND(LEN($A264)=4,VALUE(RIGHT($A264,2))&lt;60),GUS_tabl_2!$A$8:$B$464,GUS_tabl_21!$A$5:$B$4886),2,FALSE))),-1)))))</f>
        <v>gm. w. Grudziądz</v>
      </c>
      <c r="D264" s="141">
        <f>IF(OR($A264="",ISERROR(VALUE(LEFT($A264,6)))),"",IF(LEN($A264)=2,SUMIF($A265:$A$2965,$A264&amp;"??",$D265:$D$2965),IF(AND(LEN($A264)=4,VALUE(RIGHT($A264,2))&lt;=60),SUMIF($A265:$A$2965,$A264&amp;"????",$D265:$D$2965),VLOOKUP(IF(LEN($A264)=4,$A264&amp;"01 1",$A264),GUS_tabl_21!$A$5:$F$4886,6,FALSE))))</f>
        <v>12954</v>
      </c>
    </row>
    <row r="265" spans="1:4" s="29" customFormat="1" ht="12" customHeight="1">
      <c r="A265" s="155" t="str">
        <f>"040602 2"</f>
        <v>040602 2</v>
      </c>
      <c r="B265" s="153" t="s">
        <v>46</v>
      </c>
      <c r="C265" s="156" t="str">
        <f>IF(OR($A265="",ISERROR(VALUE(LEFT($A265,6)))),"",IF(LEN($A265)=2,"WOJ. ",IF(LEN($A265)=4,IF(VALUE(RIGHT($A265,2))&gt;60,"","Powiat "),IF(VALUE(RIGHT($A265,1))=1,"m. ",IF(VALUE(RIGHT($A265,1))=2,"gm. w. ",IF(VALUE(RIGHT($A265,1))=8,"dz. ","gm. m.-w. ")))))&amp;IF(LEN($A265)=2,TRIM(UPPER(VLOOKUP($A265,GUS_tabl_1!$A$7:$B$22,2,FALSE))),IF(ISERROR(FIND("..",TRIM(VLOOKUP(IF(AND(LEN($A265)=4,VALUE(RIGHT($A265,2))&gt;60),$A265&amp;"01 1",$A265),IF(AND(LEN($A265)=4,VALUE(RIGHT($A265,2))&lt;60),GUS_tabl_2!$A$8:$B$464,GUS_tabl_21!$A$5:$B$4886),2,FALSE)))),TRIM(VLOOKUP(IF(AND(LEN($A265)=4,VALUE(RIGHT($A265,2))&gt;60),$A265&amp;"01 1",$A265),IF(AND(LEN($A265)=4,VALUE(RIGHT($A265,2))&lt;60),GUS_tabl_2!$A$8:$B$464,GUS_tabl_21!$A$5:$B$4886),2,FALSE)),LEFT(TRIM(VLOOKUP(IF(AND(LEN($A265)=4,VALUE(RIGHT($A265,2))&gt;60),$A265&amp;"01 1",$A265),IF(AND(LEN($A265)=4,VALUE(RIGHT($A265,2))&lt;60),GUS_tabl_2!$A$8:$B$464,GUS_tabl_21!$A$5:$B$4886),2,FALSE)),SUM(FIND("..",TRIM(VLOOKUP(IF(AND(LEN($A265)=4,VALUE(RIGHT($A265,2))&gt;60),$A265&amp;"01 1",$A265),IF(AND(LEN($A265)=4,VALUE(RIGHT($A265,2))&lt;60),GUS_tabl_2!$A$8:$B$464,GUS_tabl_21!$A$5:$B$4886),2,FALSE))),-1)))))</f>
        <v>gm. w. Gruta</v>
      </c>
      <c r="D265" s="141">
        <f>IF(OR($A265="",ISERROR(VALUE(LEFT($A265,6)))),"",IF(LEN($A265)=2,SUMIF($A266:$A$2965,$A265&amp;"??",$D266:$D$2965),IF(AND(LEN($A265)=4,VALUE(RIGHT($A265,2))&lt;=60),SUMIF($A266:$A$2965,$A265&amp;"????",$D266:$D$2965),VLOOKUP(IF(LEN($A265)=4,$A265&amp;"01 1",$A265),GUS_tabl_21!$A$5:$F$4886,6,FALSE))))</f>
        <v>6396</v>
      </c>
    </row>
    <row r="266" spans="1:4" s="29" customFormat="1" ht="12" customHeight="1">
      <c r="A266" s="155" t="str">
        <f>"040603 3"</f>
        <v>040603 3</v>
      </c>
      <c r="B266" s="153" t="s">
        <v>46</v>
      </c>
      <c r="C266" s="156" t="str">
        <f>IF(OR($A266="",ISERROR(VALUE(LEFT($A266,6)))),"",IF(LEN($A266)=2,"WOJ. ",IF(LEN($A266)=4,IF(VALUE(RIGHT($A266,2))&gt;60,"","Powiat "),IF(VALUE(RIGHT($A266,1))=1,"m. ",IF(VALUE(RIGHT($A266,1))=2,"gm. w. ",IF(VALUE(RIGHT($A266,1))=8,"dz. ","gm. m.-w. ")))))&amp;IF(LEN($A266)=2,TRIM(UPPER(VLOOKUP($A266,GUS_tabl_1!$A$7:$B$22,2,FALSE))),IF(ISERROR(FIND("..",TRIM(VLOOKUP(IF(AND(LEN($A266)=4,VALUE(RIGHT($A266,2))&gt;60),$A266&amp;"01 1",$A266),IF(AND(LEN($A266)=4,VALUE(RIGHT($A266,2))&lt;60),GUS_tabl_2!$A$8:$B$464,GUS_tabl_21!$A$5:$B$4886),2,FALSE)))),TRIM(VLOOKUP(IF(AND(LEN($A266)=4,VALUE(RIGHT($A266,2))&gt;60),$A266&amp;"01 1",$A266),IF(AND(LEN($A266)=4,VALUE(RIGHT($A266,2))&lt;60),GUS_tabl_2!$A$8:$B$464,GUS_tabl_21!$A$5:$B$4886),2,FALSE)),LEFT(TRIM(VLOOKUP(IF(AND(LEN($A266)=4,VALUE(RIGHT($A266,2))&gt;60),$A266&amp;"01 1",$A266),IF(AND(LEN($A266)=4,VALUE(RIGHT($A266,2))&lt;60),GUS_tabl_2!$A$8:$B$464,GUS_tabl_21!$A$5:$B$4886),2,FALSE)),SUM(FIND("..",TRIM(VLOOKUP(IF(AND(LEN($A266)=4,VALUE(RIGHT($A266,2))&gt;60),$A266&amp;"01 1",$A266),IF(AND(LEN($A266)=4,VALUE(RIGHT($A266,2))&lt;60),GUS_tabl_2!$A$8:$B$464,GUS_tabl_21!$A$5:$B$4886),2,FALSE))),-1)))))</f>
        <v>gm. m.-w. Łasin</v>
      </c>
      <c r="D266" s="141">
        <f>IF(OR($A266="",ISERROR(VALUE(LEFT($A266,6)))),"",IF(LEN($A266)=2,SUMIF($A267:$A$2965,$A266&amp;"??",$D267:$D$2965),IF(AND(LEN($A266)=4,VALUE(RIGHT($A266,2))&lt;=60),SUMIF($A267:$A$2965,$A266&amp;"????",$D267:$D$2965),VLOOKUP(IF(LEN($A266)=4,$A266&amp;"01 1",$A266),GUS_tabl_21!$A$5:$F$4886,6,FALSE))))</f>
        <v>7839</v>
      </c>
    </row>
    <row r="267" spans="1:4" s="29" customFormat="1" ht="9.75" customHeight="1">
      <c r="A267" s="155" t="str">
        <f>"040604 3"</f>
        <v>040604 3</v>
      </c>
      <c r="B267" s="153" t="s">
        <v>46</v>
      </c>
      <c r="C267" s="156" t="str">
        <f>IF(OR($A267="",ISERROR(VALUE(LEFT($A267,6)))),"",IF(LEN($A267)=2,"WOJ. ",IF(LEN($A267)=4,IF(VALUE(RIGHT($A267,2))&gt;60,"","Powiat "),IF(VALUE(RIGHT($A267,1))=1,"m. ",IF(VALUE(RIGHT($A267,1))=2,"gm. w. ",IF(VALUE(RIGHT($A267,1))=8,"dz. ","gm. m.-w. ")))))&amp;IF(LEN($A267)=2,TRIM(UPPER(VLOOKUP($A267,GUS_tabl_1!$A$7:$B$22,2,FALSE))),IF(ISERROR(FIND("..",TRIM(VLOOKUP(IF(AND(LEN($A267)=4,VALUE(RIGHT($A267,2))&gt;60),$A267&amp;"01 1",$A267),IF(AND(LEN($A267)=4,VALUE(RIGHT($A267,2))&lt;60),GUS_tabl_2!$A$8:$B$464,GUS_tabl_21!$A$5:$B$4886),2,FALSE)))),TRIM(VLOOKUP(IF(AND(LEN($A267)=4,VALUE(RIGHT($A267,2))&gt;60),$A267&amp;"01 1",$A267),IF(AND(LEN($A267)=4,VALUE(RIGHT($A267,2))&lt;60),GUS_tabl_2!$A$8:$B$464,GUS_tabl_21!$A$5:$B$4886),2,FALSE)),LEFT(TRIM(VLOOKUP(IF(AND(LEN($A267)=4,VALUE(RIGHT($A267,2))&gt;60),$A267&amp;"01 1",$A267),IF(AND(LEN($A267)=4,VALUE(RIGHT($A267,2))&lt;60),GUS_tabl_2!$A$8:$B$464,GUS_tabl_21!$A$5:$B$4886),2,FALSE)),SUM(FIND("..",TRIM(VLOOKUP(IF(AND(LEN($A267)=4,VALUE(RIGHT($A267,2))&gt;60),$A267&amp;"01 1",$A267),IF(AND(LEN($A267)=4,VALUE(RIGHT($A267,2))&lt;60),GUS_tabl_2!$A$8:$B$464,GUS_tabl_21!$A$5:$B$4886),2,FALSE))),-1)))))</f>
        <v>gm. m.-w. Radzyń Chełmiński</v>
      </c>
      <c r="D267" s="141">
        <f>IF(OR($A267="",ISERROR(VALUE(LEFT($A267,6)))),"",IF(LEN($A267)=2,SUMIF($A268:$A$2965,$A267&amp;"??",$D268:$D$2965),IF(AND(LEN($A267)=4,VALUE(RIGHT($A267,2))&lt;=60),SUMIF($A268:$A$2965,$A267&amp;"????",$D268:$D$2965),VLOOKUP(IF(LEN($A267)=4,$A267&amp;"01 1",$A267),GUS_tabl_21!$A$5:$F$4886,6,FALSE))))</f>
        <v>4638</v>
      </c>
    </row>
    <row r="268" spans="1:4" s="29" customFormat="1" ht="12" customHeight="1">
      <c r="A268" s="155" t="str">
        <f>"040605 2"</f>
        <v>040605 2</v>
      </c>
      <c r="B268" s="153" t="s">
        <v>46</v>
      </c>
      <c r="C268" s="156" t="str">
        <f>IF(OR($A268="",ISERROR(VALUE(LEFT($A268,6)))),"",IF(LEN($A268)=2,"WOJ. ",IF(LEN($A268)=4,IF(VALUE(RIGHT($A268,2))&gt;60,"","Powiat "),IF(VALUE(RIGHT($A268,1))=1,"m. ",IF(VALUE(RIGHT($A268,1))=2,"gm. w. ",IF(VALUE(RIGHT($A268,1))=8,"dz. ","gm. m.-w. ")))))&amp;IF(LEN($A268)=2,TRIM(UPPER(VLOOKUP($A268,GUS_tabl_1!$A$7:$B$22,2,FALSE))),IF(ISERROR(FIND("..",TRIM(VLOOKUP(IF(AND(LEN($A268)=4,VALUE(RIGHT($A268,2))&gt;60),$A268&amp;"01 1",$A268),IF(AND(LEN($A268)=4,VALUE(RIGHT($A268,2))&lt;60),GUS_tabl_2!$A$8:$B$464,GUS_tabl_21!$A$5:$B$4886),2,FALSE)))),TRIM(VLOOKUP(IF(AND(LEN($A268)=4,VALUE(RIGHT($A268,2))&gt;60),$A268&amp;"01 1",$A268),IF(AND(LEN($A268)=4,VALUE(RIGHT($A268,2))&lt;60),GUS_tabl_2!$A$8:$B$464,GUS_tabl_21!$A$5:$B$4886),2,FALSE)),LEFT(TRIM(VLOOKUP(IF(AND(LEN($A268)=4,VALUE(RIGHT($A268,2))&gt;60),$A268&amp;"01 1",$A268),IF(AND(LEN($A268)=4,VALUE(RIGHT($A268,2))&lt;60),GUS_tabl_2!$A$8:$B$464,GUS_tabl_21!$A$5:$B$4886),2,FALSE)),SUM(FIND("..",TRIM(VLOOKUP(IF(AND(LEN($A268)=4,VALUE(RIGHT($A268,2))&gt;60),$A268&amp;"01 1",$A268),IF(AND(LEN($A268)=4,VALUE(RIGHT($A268,2))&lt;60),GUS_tabl_2!$A$8:$B$464,GUS_tabl_21!$A$5:$B$4886),2,FALSE))),-1)))))</f>
        <v>gm. w. Rogóźno</v>
      </c>
      <c r="D268" s="141">
        <f>IF(OR($A268="",ISERROR(VALUE(LEFT($A268,6)))),"",IF(LEN($A268)=2,SUMIF($A269:$A$2965,$A268&amp;"??",$D269:$D$2965),IF(AND(LEN($A268)=4,VALUE(RIGHT($A268,2))&lt;=60),SUMIF($A269:$A$2965,$A268&amp;"????",$D269:$D$2965),VLOOKUP(IF(LEN($A268)=4,$A268&amp;"01 1",$A268),GUS_tabl_21!$A$5:$F$4886,6,FALSE))))</f>
        <v>4241</v>
      </c>
    </row>
    <row r="269" spans="1:4" s="29" customFormat="1" ht="12" customHeight="1">
      <c r="A269" s="155" t="str">
        <f>"040606 2"</f>
        <v>040606 2</v>
      </c>
      <c r="B269" s="153" t="s">
        <v>46</v>
      </c>
      <c r="C269" s="156" t="str">
        <f>IF(OR($A269="",ISERROR(VALUE(LEFT($A269,6)))),"",IF(LEN($A269)=2,"WOJ. ",IF(LEN($A269)=4,IF(VALUE(RIGHT($A269,2))&gt;60,"","Powiat "),IF(VALUE(RIGHT($A269,1))=1,"m. ",IF(VALUE(RIGHT($A269,1))=2,"gm. w. ",IF(VALUE(RIGHT($A269,1))=8,"dz. ","gm. m.-w. ")))))&amp;IF(LEN($A269)=2,TRIM(UPPER(VLOOKUP($A269,GUS_tabl_1!$A$7:$B$22,2,FALSE))),IF(ISERROR(FIND("..",TRIM(VLOOKUP(IF(AND(LEN($A269)=4,VALUE(RIGHT($A269,2))&gt;60),$A269&amp;"01 1",$A269),IF(AND(LEN($A269)=4,VALUE(RIGHT($A269,2))&lt;60),GUS_tabl_2!$A$8:$B$464,GUS_tabl_21!$A$5:$B$4886),2,FALSE)))),TRIM(VLOOKUP(IF(AND(LEN($A269)=4,VALUE(RIGHT($A269,2))&gt;60),$A269&amp;"01 1",$A269),IF(AND(LEN($A269)=4,VALUE(RIGHT($A269,2))&lt;60),GUS_tabl_2!$A$8:$B$464,GUS_tabl_21!$A$5:$B$4886),2,FALSE)),LEFT(TRIM(VLOOKUP(IF(AND(LEN($A269)=4,VALUE(RIGHT($A269,2))&gt;60),$A269&amp;"01 1",$A269),IF(AND(LEN($A269)=4,VALUE(RIGHT($A269,2))&lt;60),GUS_tabl_2!$A$8:$B$464,GUS_tabl_21!$A$5:$B$4886),2,FALSE)),SUM(FIND("..",TRIM(VLOOKUP(IF(AND(LEN($A269)=4,VALUE(RIGHT($A269,2))&gt;60),$A269&amp;"01 1",$A269),IF(AND(LEN($A269)=4,VALUE(RIGHT($A269,2))&lt;60),GUS_tabl_2!$A$8:$B$464,GUS_tabl_21!$A$5:$B$4886),2,FALSE))),-1)))))</f>
        <v>gm. w. Świecie nad Osą</v>
      </c>
      <c r="D269" s="141">
        <f>IF(OR($A269="",ISERROR(VALUE(LEFT($A269,6)))),"",IF(LEN($A269)=2,SUMIF($A270:$A$2965,$A269&amp;"??",$D270:$D$2965),IF(AND(LEN($A269)=4,VALUE(RIGHT($A269,2))&lt;=60),SUMIF($A270:$A$2965,$A269&amp;"????",$D270:$D$2965),VLOOKUP(IF(LEN($A269)=4,$A269&amp;"01 1",$A269),GUS_tabl_21!$A$5:$F$4886,6,FALSE))))</f>
        <v>4170</v>
      </c>
    </row>
    <row r="270" spans="1:4" s="29" customFormat="1" ht="12" customHeight="1">
      <c r="A270" s="152" t="str">
        <f>"0407"</f>
        <v>0407</v>
      </c>
      <c r="B270" s="153" t="s">
        <v>46</v>
      </c>
      <c r="C270" s="154" t="str">
        <f>IF(OR($A270="",ISERROR(VALUE(LEFT($A270,6)))),"",IF(LEN($A270)=2,"WOJ. ",IF(LEN($A270)=4,IF(VALUE(RIGHT($A270,2))&gt;60,"","Powiat "),IF(VALUE(RIGHT($A270,1))=1,"m. ",IF(VALUE(RIGHT($A270,1))=2,"gm. w. ",IF(VALUE(RIGHT($A270,1))=8,"dz. ","gm. m.-w. ")))))&amp;IF(LEN($A270)=2,TRIM(UPPER(VLOOKUP($A270,GUS_tabl_1!$A$7:$B$22,2,FALSE))),IF(ISERROR(FIND("..",TRIM(VLOOKUP(IF(AND(LEN($A270)=4,VALUE(RIGHT($A270,2))&gt;60),$A270&amp;"01 1",$A270),IF(AND(LEN($A270)=4,VALUE(RIGHT($A270,2))&lt;60),GUS_tabl_2!$A$8:$B$464,GUS_tabl_21!$A$5:$B$4886),2,FALSE)))),TRIM(VLOOKUP(IF(AND(LEN($A270)=4,VALUE(RIGHT($A270,2))&gt;60),$A270&amp;"01 1",$A270),IF(AND(LEN($A270)=4,VALUE(RIGHT($A270,2))&lt;60),GUS_tabl_2!$A$8:$B$464,GUS_tabl_21!$A$5:$B$4886),2,FALSE)),LEFT(TRIM(VLOOKUP(IF(AND(LEN($A270)=4,VALUE(RIGHT($A270,2))&gt;60),$A270&amp;"01 1",$A270),IF(AND(LEN($A270)=4,VALUE(RIGHT($A270,2))&lt;60),GUS_tabl_2!$A$8:$B$464,GUS_tabl_21!$A$5:$B$4886),2,FALSE)),SUM(FIND("..",TRIM(VLOOKUP(IF(AND(LEN($A270)=4,VALUE(RIGHT($A270,2))&gt;60),$A270&amp;"01 1",$A270),IF(AND(LEN($A270)=4,VALUE(RIGHT($A270,2))&lt;60),GUS_tabl_2!$A$8:$B$464,GUS_tabl_21!$A$5:$B$4886),2,FALSE))),-1)))))</f>
        <v>Powiat inowrocławski</v>
      </c>
      <c r="D270" s="140">
        <f>IF(OR($A270="",ISERROR(VALUE(LEFT($A270,6)))),"",IF(LEN($A270)=2,SUMIF($A271:$A$2965,$A270&amp;"??",$D271:$D$2965),IF(AND(LEN($A270)=4,VALUE(RIGHT($A270,2))&lt;=60),SUMIF($A271:$A$2965,$A270&amp;"????",$D271:$D$2965),VLOOKUP(IF(LEN($A270)=4,$A270&amp;"01 1",$A270),GUS_tabl_21!$A$5:$F$4886,6,FALSE))))</f>
        <v>159814</v>
      </c>
    </row>
    <row r="271" spans="1:4" s="29" customFormat="1" ht="12" customHeight="1">
      <c r="A271" s="155" t="str">
        <f>"040701 1"</f>
        <v>040701 1</v>
      </c>
      <c r="B271" s="153" t="s">
        <v>46</v>
      </c>
      <c r="C271" s="156" t="str">
        <f>IF(OR($A271="",ISERROR(VALUE(LEFT($A271,6)))),"",IF(LEN($A271)=2,"WOJ. ",IF(LEN($A271)=4,IF(VALUE(RIGHT($A271,2))&gt;60,"","Powiat "),IF(VALUE(RIGHT($A271,1))=1,"m. ",IF(VALUE(RIGHT($A271,1))=2,"gm. w. ",IF(VALUE(RIGHT($A271,1))=8,"dz. ","gm. m.-w. ")))))&amp;IF(LEN($A271)=2,TRIM(UPPER(VLOOKUP($A271,GUS_tabl_1!$A$7:$B$22,2,FALSE))),IF(ISERROR(FIND("..",TRIM(VLOOKUP(IF(AND(LEN($A271)=4,VALUE(RIGHT($A271,2))&gt;60),$A271&amp;"01 1",$A271),IF(AND(LEN($A271)=4,VALUE(RIGHT($A271,2))&lt;60),GUS_tabl_2!$A$8:$B$464,GUS_tabl_21!$A$5:$B$4886),2,FALSE)))),TRIM(VLOOKUP(IF(AND(LEN($A271)=4,VALUE(RIGHT($A271,2))&gt;60),$A271&amp;"01 1",$A271),IF(AND(LEN($A271)=4,VALUE(RIGHT($A271,2))&lt;60),GUS_tabl_2!$A$8:$B$464,GUS_tabl_21!$A$5:$B$4886),2,FALSE)),LEFT(TRIM(VLOOKUP(IF(AND(LEN($A271)=4,VALUE(RIGHT($A271,2))&gt;60),$A271&amp;"01 1",$A271),IF(AND(LEN($A271)=4,VALUE(RIGHT($A271,2))&lt;60),GUS_tabl_2!$A$8:$B$464,GUS_tabl_21!$A$5:$B$4886),2,FALSE)),SUM(FIND("..",TRIM(VLOOKUP(IF(AND(LEN($A271)=4,VALUE(RIGHT($A271,2))&gt;60),$A271&amp;"01 1",$A271),IF(AND(LEN($A271)=4,VALUE(RIGHT($A271,2))&lt;60),GUS_tabl_2!$A$8:$B$464,GUS_tabl_21!$A$5:$B$4886),2,FALSE))),-1)))))</f>
        <v>m. Inowrocław</v>
      </c>
      <c r="D271" s="141">
        <f>IF(OR($A271="",ISERROR(VALUE(LEFT($A271,6)))),"",IF(LEN($A271)=2,SUMIF($A272:$A$2965,$A271&amp;"??",$D272:$D$2965),IF(AND(LEN($A271)=4,VALUE(RIGHT($A271,2))&lt;=60),SUMIF($A272:$A$2965,$A271&amp;"????",$D272:$D$2965),VLOOKUP(IF(LEN($A271)=4,$A271&amp;"01 1",$A271),GUS_tabl_21!$A$5:$F$4886,6,FALSE))))</f>
        <v>72561</v>
      </c>
    </row>
    <row r="272" spans="1:4" s="29" customFormat="1" ht="12" customHeight="1">
      <c r="A272" s="155" t="str">
        <f>"040702 2"</f>
        <v>040702 2</v>
      </c>
      <c r="B272" s="153" t="s">
        <v>46</v>
      </c>
      <c r="C272" s="156" t="str">
        <f>IF(OR($A272="",ISERROR(VALUE(LEFT($A272,6)))),"",IF(LEN($A272)=2,"WOJ. ",IF(LEN($A272)=4,IF(VALUE(RIGHT($A272,2))&gt;60,"","Powiat "),IF(VALUE(RIGHT($A272,1))=1,"m. ",IF(VALUE(RIGHT($A272,1))=2,"gm. w. ",IF(VALUE(RIGHT($A272,1))=8,"dz. ","gm. m.-w. ")))))&amp;IF(LEN($A272)=2,TRIM(UPPER(VLOOKUP($A272,GUS_tabl_1!$A$7:$B$22,2,FALSE))),IF(ISERROR(FIND("..",TRIM(VLOOKUP(IF(AND(LEN($A272)=4,VALUE(RIGHT($A272,2))&gt;60),$A272&amp;"01 1",$A272),IF(AND(LEN($A272)=4,VALUE(RIGHT($A272,2))&lt;60),GUS_tabl_2!$A$8:$B$464,GUS_tabl_21!$A$5:$B$4886),2,FALSE)))),TRIM(VLOOKUP(IF(AND(LEN($A272)=4,VALUE(RIGHT($A272,2))&gt;60),$A272&amp;"01 1",$A272),IF(AND(LEN($A272)=4,VALUE(RIGHT($A272,2))&lt;60),GUS_tabl_2!$A$8:$B$464,GUS_tabl_21!$A$5:$B$4886),2,FALSE)),LEFT(TRIM(VLOOKUP(IF(AND(LEN($A272)=4,VALUE(RIGHT($A272,2))&gt;60),$A272&amp;"01 1",$A272),IF(AND(LEN($A272)=4,VALUE(RIGHT($A272,2))&lt;60),GUS_tabl_2!$A$8:$B$464,GUS_tabl_21!$A$5:$B$4886),2,FALSE)),SUM(FIND("..",TRIM(VLOOKUP(IF(AND(LEN($A272)=4,VALUE(RIGHT($A272,2))&gt;60),$A272&amp;"01 1",$A272),IF(AND(LEN($A272)=4,VALUE(RIGHT($A272,2))&lt;60),GUS_tabl_2!$A$8:$B$464,GUS_tabl_21!$A$5:$B$4886),2,FALSE))),-1)))))</f>
        <v>gm. w. Dąbrowa Biskupia</v>
      </c>
      <c r="D272" s="141">
        <f>IF(OR($A272="",ISERROR(VALUE(LEFT($A272,6)))),"",IF(LEN($A272)=2,SUMIF($A273:$A$2965,$A272&amp;"??",$D273:$D$2965),IF(AND(LEN($A272)=4,VALUE(RIGHT($A272,2))&lt;=60),SUMIF($A273:$A$2965,$A272&amp;"????",$D273:$D$2965),VLOOKUP(IF(LEN($A272)=4,$A272&amp;"01 1",$A272),GUS_tabl_21!$A$5:$F$4886,6,FALSE))))</f>
        <v>5104</v>
      </c>
    </row>
    <row r="273" spans="1:4" s="29" customFormat="1" ht="12" customHeight="1">
      <c r="A273" s="155" t="str">
        <f>"040703 3"</f>
        <v>040703 3</v>
      </c>
      <c r="B273" s="153" t="s">
        <v>46</v>
      </c>
      <c r="C273" s="156" t="str">
        <f>IF(OR($A273="",ISERROR(VALUE(LEFT($A273,6)))),"",IF(LEN($A273)=2,"WOJ. ",IF(LEN($A273)=4,IF(VALUE(RIGHT($A273,2))&gt;60,"","Powiat "),IF(VALUE(RIGHT($A273,1))=1,"m. ",IF(VALUE(RIGHT($A273,1))=2,"gm. w. ",IF(VALUE(RIGHT($A273,1))=8,"dz. ","gm. m.-w. ")))))&amp;IF(LEN($A273)=2,TRIM(UPPER(VLOOKUP($A273,GUS_tabl_1!$A$7:$B$22,2,FALSE))),IF(ISERROR(FIND("..",TRIM(VLOOKUP(IF(AND(LEN($A273)=4,VALUE(RIGHT($A273,2))&gt;60),$A273&amp;"01 1",$A273),IF(AND(LEN($A273)=4,VALUE(RIGHT($A273,2))&lt;60),GUS_tabl_2!$A$8:$B$464,GUS_tabl_21!$A$5:$B$4886),2,FALSE)))),TRIM(VLOOKUP(IF(AND(LEN($A273)=4,VALUE(RIGHT($A273,2))&gt;60),$A273&amp;"01 1",$A273),IF(AND(LEN($A273)=4,VALUE(RIGHT($A273,2))&lt;60),GUS_tabl_2!$A$8:$B$464,GUS_tabl_21!$A$5:$B$4886),2,FALSE)),LEFT(TRIM(VLOOKUP(IF(AND(LEN($A273)=4,VALUE(RIGHT($A273,2))&gt;60),$A273&amp;"01 1",$A273),IF(AND(LEN($A273)=4,VALUE(RIGHT($A273,2))&lt;60),GUS_tabl_2!$A$8:$B$464,GUS_tabl_21!$A$5:$B$4886),2,FALSE)),SUM(FIND("..",TRIM(VLOOKUP(IF(AND(LEN($A273)=4,VALUE(RIGHT($A273,2))&gt;60),$A273&amp;"01 1",$A273),IF(AND(LEN($A273)=4,VALUE(RIGHT($A273,2))&lt;60),GUS_tabl_2!$A$8:$B$464,GUS_tabl_21!$A$5:$B$4886),2,FALSE))),-1)))))</f>
        <v>gm. m.-w. Gniewkowo</v>
      </c>
      <c r="D273" s="141">
        <f>IF(OR($A273="",ISERROR(VALUE(LEFT($A273,6)))),"",IF(LEN($A273)=2,SUMIF($A274:$A$2965,$A273&amp;"??",$D274:$D$2965),IF(AND(LEN($A273)=4,VALUE(RIGHT($A273,2))&lt;=60),SUMIF($A274:$A$2965,$A273&amp;"????",$D274:$D$2965),VLOOKUP(IF(LEN($A273)=4,$A273&amp;"01 1",$A273),GUS_tabl_21!$A$5:$F$4886,6,FALSE))))</f>
        <v>14388</v>
      </c>
    </row>
    <row r="274" spans="1:4" s="29" customFormat="1" ht="12" customHeight="1">
      <c r="A274" s="155" t="str">
        <f>"040704 2"</f>
        <v>040704 2</v>
      </c>
      <c r="B274" s="153" t="s">
        <v>46</v>
      </c>
      <c r="C274" s="156" t="str">
        <f>IF(OR($A274="",ISERROR(VALUE(LEFT($A274,6)))),"",IF(LEN($A274)=2,"WOJ. ",IF(LEN($A274)=4,IF(VALUE(RIGHT($A274,2))&gt;60,"","Powiat "),IF(VALUE(RIGHT($A274,1))=1,"m. ",IF(VALUE(RIGHT($A274,1))=2,"gm. w. ",IF(VALUE(RIGHT($A274,1))=8,"dz. ","gm. m.-w. ")))))&amp;IF(LEN($A274)=2,TRIM(UPPER(VLOOKUP($A274,GUS_tabl_1!$A$7:$B$22,2,FALSE))),IF(ISERROR(FIND("..",TRIM(VLOOKUP(IF(AND(LEN($A274)=4,VALUE(RIGHT($A274,2))&gt;60),$A274&amp;"01 1",$A274),IF(AND(LEN($A274)=4,VALUE(RIGHT($A274,2))&lt;60),GUS_tabl_2!$A$8:$B$464,GUS_tabl_21!$A$5:$B$4886),2,FALSE)))),TRIM(VLOOKUP(IF(AND(LEN($A274)=4,VALUE(RIGHT($A274,2))&gt;60),$A274&amp;"01 1",$A274),IF(AND(LEN($A274)=4,VALUE(RIGHT($A274,2))&lt;60),GUS_tabl_2!$A$8:$B$464,GUS_tabl_21!$A$5:$B$4886),2,FALSE)),LEFT(TRIM(VLOOKUP(IF(AND(LEN($A274)=4,VALUE(RIGHT($A274,2))&gt;60),$A274&amp;"01 1",$A274),IF(AND(LEN($A274)=4,VALUE(RIGHT($A274,2))&lt;60),GUS_tabl_2!$A$8:$B$464,GUS_tabl_21!$A$5:$B$4886),2,FALSE)),SUM(FIND("..",TRIM(VLOOKUP(IF(AND(LEN($A274)=4,VALUE(RIGHT($A274,2))&gt;60),$A274&amp;"01 1",$A274),IF(AND(LEN($A274)=4,VALUE(RIGHT($A274,2))&lt;60),GUS_tabl_2!$A$8:$B$464,GUS_tabl_21!$A$5:$B$4886),2,FALSE))),-1)))))</f>
        <v>gm. w. Inowrocław</v>
      </c>
      <c r="D274" s="141">
        <f>IF(OR($A274="",ISERROR(VALUE(LEFT($A274,6)))),"",IF(LEN($A274)=2,SUMIF($A275:$A$2965,$A274&amp;"??",$D275:$D$2965),IF(AND(LEN($A274)=4,VALUE(RIGHT($A274,2))&lt;=60),SUMIF($A275:$A$2965,$A274&amp;"????",$D275:$D$2965),VLOOKUP(IF(LEN($A274)=4,$A274&amp;"01 1",$A274),GUS_tabl_21!$A$5:$F$4886,6,FALSE))))</f>
        <v>11825</v>
      </c>
    </row>
    <row r="275" spans="1:4" s="29" customFormat="1" ht="12" customHeight="1">
      <c r="A275" s="155" t="str">
        <f>"040705 3"</f>
        <v>040705 3</v>
      </c>
      <c r="B275" s="153" t="s">
        <v>46</v>
      </c>
      <c r="C275" s="156" t="str">
        <f>IF(OR($A275="",ISERROR(VALUE(LEFT($A275,6)))),"",IF(LEN($A275)=2,"WOJ. ",IF(LEN($A275)=4,IF(VALUE(RIGHT($A275,2))&gt;60,"","Powiat "),IF(VALUE(RIGHT($A275,1))=1,"m. ",IF(VALUE(RIGHT($A275,1))=2,"gm. w. ",IF(VALUE(RIGHT($A275,1))=8,"dz. ","gm. m.-w. ")))))&amp;IF(LEN($A275)=2,TRIM(UPPER(VLOOKUP($A275,GUS_tabl_1!$A$7:$B$22,2,FALSE))),IF(ISERROR(FIND("..",TRIM(VLOOKUP(IF(AND(LEN($A275)=4,VALUE(RIGHT($A275,2))&gt;60),$A275&amp;"01 1",$A275),IF(AND(LEN($A275)=4,VALUE(RIGHT($A275,2))&lt;60),GUS_tabl_2!$A$8:$B$464,GUS_tabl_21!$A$5:$B$4886),2,FALSE)))),TRIM(VLOOKUP(IF(AND(LEN($A275)=4,VALUE(RIGHT($A275,2))&gt;60),$A275&amp;"01 1",$A275),IF(AND(LEN($A275)=4,VALUE(RIGHT($A275,2))&lt;60),GUS_tabl_2!$A$8:$B$464,GUS_tabl_21!$A$5:$B$4886),2,FALSE)),LEFT(TRIM(VLOOKUP(IF(AND(LEN($A275)=4,VALUE(RIGHT($A275,2))&gt;60),$A275&amp;"01 1",$A275),IF(AND(LEN($A275)=4,VALUE(RIGHT($A275,2))&lt;60),GUS_tabl_2!$A$8:$B$464,GUS_tabl_21!$A$5:$B$4886),2,FALSE)),SUM(FIND("..",TRIM(VLOOKUP(IF(AND(LEN($A275)=4,VALUE(RIGHT($A275,2))&gt;60),$A275&amp;"01 1",$A275),IF(AND(LEN($A275)=4,VALUE(RIGHT($A275,2))&lt;60),GUS_tabl_2!$A$8:$B$464,GUS_tabl_21!$A$5:$B$4886),2,FALSE))),-1)))))</f>
        <v>gm. m.-w. Janikowo</v>
      </c>
      <c r="D275" s="141">
        <f>IF(OR($A275="",ISERROR(VALUE(LEFT($A275,6)))),"",IF(LEN($A275)=2,SUMIF($A276:$A$2965,$A275&amp;"??",$D276:$D$2965),IF(AND(LEN($A275)=4,VALUE(RIGHT($A275,2))&lt;=60),SUMIF($A276:$A$2965,$A275&amp;"????",$D276:$D$2965),VLOOKUP(IF(LEN($A275)=4,$A275&amp;"01 1",$A275),GUS_tabl_21!$A$5:$F$4886,6,FALSE))))</f>
        <v>13067</v>
      </c>
    </row>
    <row r="276" spans="1:4" s="29" customFormat="1" ht="12" customHeight="1">
      <c r="A276" s="155" t="str">
        <f>"040706 3"</f>
        <v>040706 3</v>
      </c>
      <c r="B276" s="153" t="s">
        <v>46</v>
      </c>
      <c r="C276" s="156" t="str">
        <f>IF(OR($A276="",ISERROR(VALUE(LEFT($A276,6)))),"",IF(LEN($A276)=2,"WOJ. ",IF(LEN($A276)=4,IF(VALUE(RIGHT($A276,2))&gt;60,"","Powiat "),IF(VALUE(RIGHT($A276,1))=1,"m. ",IF(VALUE(RIGHT($A276,1))=2,"gm. w. ",IF(VALUE(RIGHT($A276,1))=8,"dz. ","gm. m.-w. ")))))&amp;IF(LEN($A276)=2,TRIM(UPPER(VLOOKUP($A276,GUS_tabl_1!$A$7:$B$22,2,FALSE))),IF(ISERROR(FIND("..",TRIM(VLOOKUP(IF(AND(LEN($A276)=4,VALUE(RIGHT($A276,2))&gt;60),$A276&amp;"01 1",$A276),IF(AND(LEN($A276)=4,VALUE(RIGHT($A276,2))&lt;60),GUS_tabl_2!$A$8:$B$464,GUS_tabl_21!$A$5:$B$4886),2,FALSE)))),TRIM(VLOOKUP(IF(AND(LEN($A276)=4,VALUE(RIGHT($A276,2))&gt;60),$A276&amp;"01 1",$A276),IF(AND(LEN($A276)=4,VALUE(RIGHT($A276,2))&lt;60),GUS_tabl_2!$A$8:$B$464,GUS_tabl_21!$A$5:$B$4886),2,FALSE)),LEFT(TRIM(VLOOKUP(IF(AND(LEN($A276)=4,VALUE(RIGHT($A276,2))&gt;60),$A276&amp;"01 1",$A276),IF(AND(LEN($A276)=4,VALUE(RIGHT($A276,2))&lt;60),GUS_tabl_2!$A$8:$B$464,GUS_tabl_21!$A$5:$B$4886),2,FALSE)),SUM(FIND("..",TRIM(VLOOKUP(IF(AND(LEN($A276)=4,VALUE(RIGHT($A276,2))&gt;60),$A276&amp;"01 1",$A276),IF(AND(LEN($A276)=4,VALUE(RIGHT($A276,2))&lt;60),GUS_tabl_2!$A$8:$B$464,GUS_tabl_21!$A$5:$B$4886),2,FALSE))),-1)))))</f>
        <v>gm. m.-w. Kruszwica</v>
      </c>
      <c r="D276" s="141">
        <f>IF(OR($A276="",ISERROR(VALUE(LEFT($A276,6)))),"",IF(LEN($A276)=2,SUMIF($A277:$A$2965,$A276&amp;"??",$D277:$D$2965),IF(AND(LEN($A276)=4,VALUE(RIGHT($A276,2))&lt;=60),SUMIF($A277:$A$2965,$A276&amp;"????",$D277:$D$2965),VLOOKUP(IF(LEN($A276)=4,$A276&amp;"01 1",$A276),GUS_tabl_21!$A$5:$F$4886,6,FALSE))))</f>
        <v>19213</v>
      </c>
    </row>
    <row r="277" spans="1:4" s="29" customFormat="1" ht="12" customHeight="1">
      <c r="A277" s="155" t="str">
        <f>"040707 3"</f>
        <v>040707 3</v>
      </c>
      <c r="B277" s="153" t="s">
        <v>46</v>
      </c>
      <c r="C277" s="156" t="str">
        <f>IF(OR($A277="",ISERROR(VALUE(LEFT($A277,6)))),"",IF(LEN($A277)=2,"WOJ. ",IF(LEN($A277)=4,IF(VALUE(RIGHT($A277,2))&gt;60,"","Powiat "),IF(VALUE(RIGHT($A277,1))=1,"m. ",IF(VALUE(RIGHT($A277,1))=2,"gm. w. ",IF(VALUE(RIGHT($A277,1))=8,"dz. ","gm. m.-w. ")))))&amp;IF(LEN($A277)=2,TRIM(UPPER(VLOOKUP($A277,GUS_tabl_1!$A$7:$B$22,2,FALSE))),IF(ISERROR(FIND("..",TRIM(VLOOKUP(IF(AND(LEN($A277)=4,VALUE(RIGHT($A277,2))&gt;60),$A277&amp;"01 1",$A277),IF(AND(LEN($A277)=4,VALUE(RIGHT($A277,2))&lt;60),GUS_tabl_2!$A$8:$B$464,GUS_tabl_21!$A$5:$B$4886),2,FALSE)))),TRIM(VLOOKUP(IF(AND(LEN($A277)=4,VALUE(RIGHT($A277,2))&gt;60),$A277&amp;"01 1",$A277),IF(AND(LEN($A277)=4,VALUE(RIGHT($A277,2))&lt;60),GUS_tabl_2!$A$8:$B$464,GUS_tabl_21!$A$5:$B$4886),2,FALSE)),LEFT(TRIM(VLOOKUP(IF(AND(LEN($A277)=4,VALUE(RIGHT($A277,2))&gt;60),$A277&amp;"01 1",$A277),IF(AND(LEN($A277)=4,VALUE(RIGHT($A277,2))&lt;60),GUS_tabl_2!$A$8:$B$464,GUS_tabl_21!$A$5:$B$4886),2,FALSE)),SUM(FIND("..",TRIM(VLOOKUP(IF(AND(LEN($A277)=4,VALUE(RIGHT($A277,2))&gt;60),$A277&amp;"01 1",$A277),IF(AND(LEN($A277)=4,VALUE(RIGHT($A277,2))&lt;60),GUS_tabl_2!$A$8:$B$464,GUS_tabl_21!$A$5:$B$4886),2,FALSE))),-1)))))</f>
        <v>gm. m.-w. Pakość</v>
      </c>
      <c r="D277" s="141">
        <f>IF(OR($A277="",ISERROR(VALUE(LEFT($A277,6)))),"",IF(LEN($A277)=2,SUMIF($A278:$A$2965,$A277&amp;"??",$D278:$D$2965),IF(AND(LEN($A277)=4,VALUE(RIGHT($A277,2))&lt;=60),SUMIF($A278:$A$2965,$A277&amp;"????",$D278:$D$2965),VLOOKUP(IF(LEN($A277)=4,$A277&amp;"01 1",$A277),GUS_tabl_21!$A$5:$F$4886,6,FALSE))))</f>
        <v>9793</v>
      </c>
    </row>
    <row r="278" spans="1:4" s="29" customFormat="1" ht="12" customHeight="1">
      <c r="A278" s="155" t="str">
        <f>"040708 2"</f>
        <v>040708 2</v>
      </c>
      <c r="B278" s="153" t="s">
        <v>46</v>
      </c>
      <c r="C278" s="156" t="str">
        <f>IF(OR($A278="",ISERROR(VALUE(LEFT($A278,6)))),"",IF(LEN($A278)=2,"WOJ. ",IF(LEN($A278)=4,IF(VALUE(RIGHT($A278,2))&gt;60,"","Powiat "),IF(VALUE(RIGHT($A278,1))=1,"m. ",IF(VALUE(RIGHT($A278,1))=2,"gm. w. ",IF(VALUE(RIGHT($A278,1))=8,"dz. ","gm. m.-w. ")))))&amp;IF(LEN($A278)=2,TRIM(UPPER(VLOOKUP($A278,GUS_tabl_1!$A$7:$B$22,2,FALSE))),IF(ISERROR(FIND("..",TRIM(VLOOKUP(IF(AND(LEN($A278)=4,VALUE(RIGHT($A278,2))&gt;60),$A278&amp;"01 1",$A278),IF(AND(LEN($A278)=4,VALUE(RIGHT($A278,2))&lt;60),GUS_tabl_2!$A$8:$B$464,GUS_tabl_21!$A$5:$B$4886),2,FALSE)))),TRIM(VLOOKUP(IF(AND(LEN($A278)=4,VALUE(RIGHT($A278,2))&gt;60),$A278&amp;"01 1",$A278),IF(AND(LEN($A278)=4,VALUE(RIGHT($A278,2))&lt;60),GUS_tabl_2!$A$8:$B$464,GUS_tabl_21!$A$5:$B$4886),2,FALSE)),LEFT(TRIM(VLOOKUP(IF(AND(LEN($A278)=4,VALUE(RIGHT($A278,2))&gt;60),$A278&amp;"01 1",$A278),IF(AND(LEN($A278)=4,VALUE(RIGHT($A278,2))&lt;60),GUS_tabl_2!$A$8:$B$464,GUS_tabl_21!$A$5:$B$4886),2,FALSE)),SUM(FIND("..",TRIM(VLOOKUP(IF(AND(LEN($A278)=4,VALUE(RIGHT($A278,2))&gt;60),$A278&amp;"01 1",$A278),IF(AND(LEN($A278)=4,VALUE(RIGHT($A278,2))&lt;60),GUS_tabl_2!$A$8:$B$464,GUS_tabl_21!$A$5:$B$4886),2,FALSE))),-1)))))</f>
        <v>gm. w. Rojewo</v>
      </c>
      <c r="D278" s="141">
        <f>IF(OR($A278="",ISERROR(VALUE(LEFT($A278,6)))),"",IF(LEN($A278)=2,SUMIF($A279:$A$2965,$A278&amp;"??",$D279:$D$2965),IF(AND(LEN($A278)=4,VALUE(RIGHT($A278,2))&lt;=60),SUMIF($A279:$A$2965,$A278&amp;"????",$D279:$D$2965),VLOOKUP(IF(LEN($A278)=4,$A278&amp;"01 1",$A278),GUS_tabl_21!$A$5:$F$4886,6,FALSE))))</f>
        <v>4718</v>
      </c>
    </row>
    <row r="279" spans="1:4" s="29" customFormat="1" ht="12" customHeight="1">
      <c r="A279" s="155" t="str">
        <f>"040709 2"</f>
        <v>040709 2</v>
      </c>
      <c r="B279" s="153" t="s">
        <v>46</v>
      </c>
      <c r="C279" s="156" t="str">
        <f>IF(OR($A279="",ISERROR(VALUE(LEFT($A279,6)))),"",IF(LEN($A279)=2,"WOJ. ",IF(LEN($A279)=4,IF(VALUE(RIGHT($A279,2))&gt;60,"","Powiat "),IF(VALUE(RIGHT($A279,1))=1,"m. ",IF(VALUE(RIGHT($A279,1))=2,"gm. w. ",IF(VALUE(RIGHT($A279,1))=8,"dz. ","gm. m.-w. ")))))&amp;IF(LEN($A279)=2,TRIM(UPPER(VLOOKUP($A279,GUS_tabl_1!$A$7:$B$22,2,FALSE))),IF(ISERROR(FIND("..",TRIM(VLOOKUP(IF(AND(LEN($A279)=4,VALUE(RIGHT($A279,2))&gt;60),$A279&amp;"01 1",$A279),IF(AND(LEN($A279)=4,VALUE(RIGHT($A279,2))&lt;60),GUS_tabl_2!$A$8:$B$464,GUS_tabl_21!$A$5:$B$4886),2,FALSE)))),TRIM(VLOOKUP(IF(AND(LEN($A279)=4,VALUE(RIGHT($A279,2))&gt;60),$A279&amp;"01 1",$A279),IF(AND(LEN($A279)=4,VALUE(RIGHT($A279,2))&lt;60),GUS_tabl_2!$A$8:$B$464,GUS_tabl_21!$A$5:$B$4886),2,FALSE)),LEFT(TRIM(VLOOKUP(IF(AND(LEN($A279)=4,VALUE(RIGHT($A279,2))&gt;60),$A279&amp;"01 1",$A279),IF(AND(LEN($A279)=4,VALUE(RIGHT($A279,2))&lt;60),GUS_tabl_2!$A$8:$B$464,GUS_tabl_21!$A$5:$B$4886),2,FALSE)),SUM(FIND("..",TRIM(VLOOKUP(IF(AND(LEN($A279)=4,VALUE(RIGHT($A279,2))&gt;60),$A279&amp;"01 1",$A279),IF(AND(LEN($A279)=4,VALUE(RIGHT($A279,2))&lt;60),GUS_tabl_2!$A$8:$B$464,GUS_tabl_21!$A$5:$B$4886),2,FALSE))),-1)))))</f>
        <v>gm. w. Złotniki Kujawskie</v>
      </c>
      <c r="D279" s="141">
        <f>IF(OR($A279="",ISERROR(VALUE(LEFT($A279,6)))),"",IF(LEN($A279)=2,SUMIF($A280:$A$2965,$A279&amp;"??",$D280:$D$2965),IF(AND(LEN($A279)=4,VALUE(RIGHT($A279,2))&lt;=60),SUMIF($A280:$A$2965,$A279&amp;"????",$D280:$D$2965),VLOOKUP(IF(LEN($A279)=4,$A279&amp;"01 1",$A279),GUS_tabl_21!$A$5:$F$4886,6,FALSE))))</f>
        <v>9145</v>
      </c>
    </row>
    <row r="280" spans="1:4" s="29" customFormat="1" ht="12" customHeight="1">
      <c r="A280" s="152" t="str">
        <f>"0408"</f>
        <v>0408</v>
      </c>
      <c r="B280" s="153" t="s">
        <v>46</v>
      </c>
      <c r="C280" s="154" t="str">
        <f>IF(OR($A280="",ISERROR(VALUE(LEFT($A280,6)))),"",IF(LEN($A280)=2,"WOJ. ",IF(LEN($A280)=4,IF(VALUE(RIGHT($A280,2))&gt;60,"","Powiat "),IF(VALUE(RIGHT($A280,1))=1,"m. ",IF(VALUE(RIGHT($A280,1))=2,"gm. w. ",IF(VALUE(RIGHT($A280,1))=8,"dz. ","gm. m.-w. ")))))&amp;IF(LEN($A280)=2,TRIM(UPPER(VLOOKUP($A280,GUS_tabl_1!$A$7:$B$22,2,FALSE))),IF(ISERROR(FIND("..",TRIM(VLOOKUP(IF(AND(LEN($A280)=4,VALUE(RIGHT($A280,2))&gt;60),$A280&amp;"01 1",$A280),IF(AND(LEN($A280)=4,VALUE(RIGHT($A280,2))&lt;60),GUS_tabl_2!$A$8:$B$464,GUS_tabl_21!$A$5:$B$4886),2,FALSE)))),TRIM(VLOOKUP(IF(AND(LEN($A280)=4,VALUE(RIGHT($A280,2))&gt;60),$A280&amp;"01 1",$A280),IF(AND(LEN($A280)=4,VALUE(RIGHT($A280,2))&lt;60),GUS_tabl_2!$A$8:$B$464,GUS_tabl_21!$A$5:$B$4886),2,FALSE)),LEFT(TRIM(VLOOKUP(IF(AND(LEN($A280)=4,VALUE(RIGHT($A280,2))&gt;60),$A280&amp;"01 1",$A280),IF(AND(LEN($A280)=4,VALUE(RIGHT($A280,2))&lt;60),GUS_tabl_2!$A$8:$B$464,GUS_tabl_21!$A$5:$B$4886),2,FALSE)),SUM(FIND("..",TRIM(VLOOKUP(IF(AND(LEN($A280)=4,VALUE(RIGHT($A280,2))&gt;60),$A280&amp;"01 1",$A280),IF(AND(LEN($A280)=4,VALUE(RIGHT($A280,2))&lt;60),GUS_tabl_2!$A$8:$B$464,GUS_tabl_21!$A$5:$B$4886),2,FALSE))),-1)))))</f>
        <v>Powiat lipnowski</v>
      </c>
      <c r="D280" s="140">
        <f>IF(OR($A280="",ISERROR(VALUE(LEFT($A280,6)))),"",IF(LEN($A280)=2,SUMIF($A281:$A$2965,$A280&amp;"??",$D281:$D$2965),IF(AND(LEN($A280)=4,VALUE(RIGHT($A280,2))&lt;=60),SUMIF($A281:$A$2965,$A280&amp;"????",$D281:$D$2965),VLOOKUP(IF(LEN($A280)=4,$A280&amp;"01 1",$A280),GUS_tabl_21!$A$5:$F$4886,6,FALSE))))</f>
        <v>65750</v>
      </c>
    </row>
    <row r="281" spans="1:4" s="29" customFormat="1" ht="12" customHeight="1">
      <c r="A281" s="155" t="str">
        <f>"040801 1"</f>
        <v>040801 1</v>
      </c>
      <c r="B281" s="153" t="s">
        <v>46</v>
      </c>
      <c r="C281" s="156" t="str">
        <f>IF(OR($A281="",ISERROR(VALUE(LEFT($A281,6)))),"",IF(LEN($A281)=2,"WOJ. ",IF(LEN($A281)=4,IF(VALUE(RIGHT($A281,2))&gt;60,"","Powiat "),IF(VALUE(RIGHT($A281,1))=1,"m. ",IF(VALUE(RIGHT($A281,1))=2,"gm. w. ",IF(VALUE(RIGHT($A281,1))=8,"dz. ","gm. m.-w. ")))))&amp;IF(LEN($A281)=2,TRIM(UPPER(VLOOKUP($A281,GUS_tabl_1!$A$7:$B$22,2,FALSE))),IF(ISERROR(FIND("..",TRIM(VLOOKUP(IF(AND(LEN($A281)=4,VALUE(RIGHT($A281,2))&gt;60),$A281&amp;"01 1",$A281),IF(AND(LEN($A281)=4,VALUE(RIGHT($A281,2))&lt;60),GUS_tabl_2!$A$8:$B$464,GUS_tabl_21!$A$5:$B$4886),2,FALSE)))),TRIM(VLOOKUP(IF(AND(LEN($A281)=4,VALUE(RIGHT($A281,2))&gt;60),$A281&amp;"01 1",$A281),IF(AND(LEN($A281)=4,VALUE(RIGHT($A281,2))&lt;60),GUS_tabl_2!$A$8:$B$464,GUS_tabl_21!$A$5:$B$4886),2,FALSE)),LEFT(TRIM(VLOOKUP(IF(AND(LEN($A281)=4,VALUE(RIGHT($A281,2))&gt;60),$A281&amp;"01 1",$A281),IF(AND(LEN($A281)=4,VALUE(RIGHT($A281,2))&lt;60),GUS_tabl_2!$A$8:$B$464,GUS_tabl_21!$A$5:$B$4886),2,FALSE)),SUM(FIND("..",TRIM(VLOOKUP(IF(AND(LEN($A281)=4,VALUE(RIGHT($A281,2))&gt;60),$A281&amp;"01 1",$A281),IF(AND(LEN($A281)=4,VALUE(RIGHT($A281,2))&lt;60),GUS_tabl_2!$A$8:$B$464,GUS_tabl_21!$A$5:$B$4886),2,FALSE))),-1)))))</f>
        <v>m. Lipno</v>
      </c>
      <c r="D281" s="141">
        <f>IF(OR($A281="",ISERROR(VALUE(LEFT($A281,6)))),"",IF(LEN($A281)=2,SUMIF($A282:$A$2965,$A281&amp;"??",$D282:$D$2965),IF(AND(LEN($A281)=4,VALUE(RIGHT($A281,2))&lt;=60),SUMIF($A282:$A$2965,$A281&amp;"????",$D282:$D$2965),VLOOKUP(IF(LEN($A281)=4,$A281&amp;"01 1",$A281),GUS_tabl_21!$A$5:$F$4886,6,FALSE))))</f>
        <v>14371</v>
      </c>
    </row>
    <row r="282" spans="1:4" s="29" customFormat="1" ht="12" customHeight="1">
      <c r="A282" s="155" t="str">
        <f>"040802 2"</f>
        <v>040802 2</v>
      </c>
      <c r="B282" s="153" t="s">
        <v>46</v>
      </c>
      <c r="C282" s="156" t="str">
        <f>IF(OR($A282="",ISERROR(VALUE(LEFT($A282,6)))),"",IF(LEN($A282)=2,"WOJ. ",IF(LEN($A282)=4,IF(VALUE(RIGHT($A282,2))&gt;60,"","Powiat "),IF(VALUE(RIGHT($A282,1))=1,"m. ",IF(VALUE(RIGHT($A282,1))=2,"gm. w. ",IF(VALUE(RIGHT($A282,1))=8,"dz. ","gm. m.-w. ")))))&amp;IF(LEN($A282)=2,TRIM(UPPER(VLOOKUP($A282,GUS_tabl_1!$A$7:$B$22,2,FALSE))),IF(ISERROR(FIND("..",TRIM(VLOOKUP(IF(AND(LEN($A282)=4,VALUE(RIGHT($A282,2))&gt;60),$A282&amp;"01 1",$A282),IF(AND(LEN($A282)=4,VALUE(RIGHT($A282,2))&lt;60),GUS_tabl_2!$A$8:$B$464,GUS_tabl_21!$A$5:$B$4886),2,FALSE)))),TRIM(VLOOKUP(IF(AND(LEN($A282)=4,VALUE(RIGHT($A282,2))&gt;60),$A282&amp;"01 1",$A282),IF(AND(LEN($A282)=4,VALUE(RIGHT($A282,2))&lt;60),GUS_tabl_2!$A$8:$B$464,GUS_tabl_21!$A$5:$B$4886),2,FALSE)),LEFT(TRIM(VLOOKUP(IF(AND(LEN($A282)=4,VALUE(RIGHT($A282,2))&gt;60),$A282&amp;"01 1",$A282),IF(AND(LEN($A282)=4,VALUE(RIGHT($A282,2))&lt;60),GUS_tabl_2!$A$8:$B$464,GUS_tabl_21!$A$5:$B$4886),2,FALSE)),SUM(FIND("..",TRIM(VLOOKUP(IF(AND(LEN($A282)=4,VALUE(RIGHT($A282,2))&gt;60),$A282&amp;"01 1",$A282),IF(AND(LEN($A282)=4,VALUE(RIGHT($A282,2))&lt;60),GUS_tabl_2!$A$8:$B$464,GUS_tabl_21!$A$5:$B$4886),2,FALSE))),-1)))))</f>
        <v>gm. w. Bobrowniki</v>
      </c>
      <c r="D282" s="141">
        <f>IF(OR($A282="",ISERROR(VALUE(LEFT($A282,6)))),"",IF(LEN($A282)=2,SUMIF($A283:$A$2965,$A282&amp;"??",$D283:$D$2965),IF(AND(LEN($A282)=4,VALUE(RIGHT($A282,2))&lt;=60),SUMIF($A283:$A$2965,$A282&amp;"????",$D283:$D$2965),VLOOKUP(IF(LEN($A282)=4,$A282&amp;"01 1",$A282),GUS_tabl_21!$A$5:$F$4886,6,FALSE))))</f>
        <v>3086</v>
      </c>
    </row>
    <row r="283" spans="1:4" s="29" customFormat="1" ht="12" customHeight="1">
      <c r="A283" s="155" t="str">
        <f>"040803 2"</f>
        <v>040803 2</v>
      </c>
      <c r="B283" s="153" t="s">
        <v>46</v>
      </c>
      <c r="C283" s="156" t="str">
        <f>IF(OR($A283="",ISERROR(VALUE(LEFT($A283,6)))),"",IF(LEN($A283)=2,"WOJ. ",IF(LEN($A283)=4,IF(VALUE(RIGHT($A283,2))&gt;60,"","Powiat "),IF(VALUE(RIGHT($A283,1))=1,"m. ",IF(VALUE(RIGHT($A283,1))=2,"gm. w. ",IF(VALUE(RIGHT($A283,1))=8,"dz. ","gm. m.-w. ")))))&amp;IF(LEN($A283)=2,TRIM(UPPER(VLOOKUP($A283,GUS_tabl_1!$A$7:$B$22,2,FALSE))),IF(ISERROR(FIND("..",TRIM(VLOOKUP(IF(AND(LEN($A283)=4,VALUE(RIGHT($A283,2))&gt;60),$A283&amp;"01 1",$A283),IF(AND(LEN($A283)=4,VALUE(RIGHT($A283,2))&lt;60),GUS_tabl_2!$A$8:$B$464,GUS_tabl_21!$A$5:$B$4886),2,FALSE)))),TRIM(VLOOKUP(IF(AND(LEN($A283)=4,VALUE(RIGHT($A283,2))&gt;60),$A283&amp;"01 1",$A283),IF(AND(LEN($A283)=4,VALUE(RIGHT($A283,2))&lt;60),GUS_tabl_2!$A$8:$B$464,GUS_tabl_21!$A$5:$B$4886),2,FALSE)),LEFT(TRIM(VLOOKUP(IF(AND(LEN($A283)=4,VALUE(RIGHT($A283,2))&gt;60),$A283&amp;"01 1",$A283),IF(AND(LEN($A283)=4,VALUE(RIGHT($A283,2))&lt;60),GUS_tabl_2!$A$8:$B$464,GUS_tabl_21!$A$5:$B$4886),2,FALSE)),SUM(FIND("..",TRIM(VLOOKUP(IF(AND(LEN($A283)=4,VALUE(RIGHT($A283,2))&gt;60),$A283&amp;"01 1",$A283),IF(AND(LEN($A283)=4,VALUE(RIGHT($A283,2))&lt;60),GUS_tabl_2!$A$8:$B$464,GUS_tabl_21!$A$5:$B$4886),2,FALSE))),-1)))))</f>
        <v>gm. w. Chrostkowo</v>
      </c>
      <c r="D283" s="141">
        <f>IF(OR($A283="",ISERROR(VALUE(LEFT($A283,6)))),"",IF(LEN($A283)=2,SUMIF($A284:$A$2965,$A283&amp;"??",$D284:$D$2965),IF(AND(LEN($A283)=4,VALUE(RIGHT($A283,2))&lt;=60),SUMIF($A284:$A$2965,$A283&amp;"????",$D284:$D$2965),VLOOKUP(IF(LEN($A283)=4,$A283&amp;"01 1",$A283),GUS_tabl_21!$A$5:$F$4886,6,FALSE))))</f>
        <v>2870</v>
      </c>
    </row>
    <row r="284" spans="1:4" s="29" customFormat="1" ht="12" customHeight="1">
      <c r="A284" s="155" t="str">
        <f>"040804 3"</f>
        <v>040804 3</v>
      </c>
      <c r="B284" s="153" t="s">
        <v>46</v>
      </c>
      <c r="C284" s="156" t="str">
        <f>IF(OR($A284="",ISERROR(VALUE(LEFT($A284,6)))),"",IF(LEN($A284)=2,"WOJ. ",IF(LEN($A284)=4,IF(VALUE(RIGHT($A284,2))&gt;60,"","Powiat "),IF(VALUE(RIGHT($A284,1))=1,"m. ",IF(VALUE(RIGHT($A284,1))=2,"gm. w. ",IF(VALUE(RIGHT($A284,1))=8,"dz. ","gm. m.-w. ")))))&amp;IF(LEN($A284)=2,TRIM(UPPER(VLOOKUP($A284,GUS_tabl_1!$A$7:$B$22,2,FALSE))),IF(ISERROR(FIND("..",TRIM(VLOOKUP(IF(AND(LEN($A284)=4,VALUE(RIGHT($A284,2))&gt;60),$A284&amp;"01 1",$A284),IF(AND(LEN($A284)=4,VALUE(RIGHT($A284,2))&lt;60),GUS_tabl_2!$A$8:$B$464,GUS_tabl_21!$A$5:$B$4886),2,FALSE)))),TRIM(VLOOKUP(IF(AND(LEN($A284)=4,VALUE(RIGHT($A284,2))&gt;60),$A284&amp;"01 1",$A284),IF(AND(LEN($A284)=4,VALUE(RIGHT($A284,2))&lt;60),GUS_tabl_2!$A$8:$B$464,GUS_tabl_21!$A$5:$B$4886),2,FALSE)),LEFT(TRIM(VLOOKUP(IF(AND(LEN($A284)=4,VALUE(RIGHT($A284,2))&gt;60),$A284&amp;"01 1",$A284),IF(AND(LEN($A284)=4,VALUE(RIGHT($A284,2))&lt;60),GUS_tabl_2!$A$8:$B$464,GUS_tabl_21!$A$5:$B$4886),2,FALSE)),SUM(FIND("..",TRIM(VLOOKUP(IF(AND(LEN($A284)=4,VALUE(RIGHT($A284,2))&gt;60),$A284&amp;"01 1",$A284),IF(AND(LEN($A284)=4,VALUE(RIGHT($A284,2))&lt;60),GUS_tabl_2!$A$8:$B$464,GUS_tabl_21!$A$5:$B$4886),2,FALSE))),-1)))))</f>
        <v>gm. m.-w. Dobrzyń nad Wisłą</v>
      </c>
      <c r="D284" s="141">
        <f>IF(OR($A284="",ISERROR(VALUE(LEFT($A284,6)))),"",IF(LEN($A284)=2,SUMIF($A285:$A$2965,$A284&amp;"??",$D285:$D$2965),IF(AND(LEN($A284)=4,VALUE(RIGHT($A284,2))&lt;=60),SUMIF($A285:$A$2965,$A284&amp;"????",$D285:$D$2965),VLOOKUP(IF(LEN($A284)=4,$A284&amp;"01 1",$A284),GUS_tabl_21!$A$5:$F$4886,6,FALSE))))</f>
        <v>7584</v>
      </c>
    </row>
    <row r="285" spans="1:4" s="29" customFormat="1" ht="12" customHeight="1">
      <c r="A285" s="155" t="str">
        <f>"040805 2"</f>
        <v>040805 2</v>
      </c>
      <c r="B285" s="153" t="s">
        <v>46</v>
      </c>
      <c r="C285" s="156" t="str">
        <f>IF(OR($A285="",ISERROR(VALUE(LEFT($A285,6)))),"",IF(LEN($A285)=2,"WOJ. ",IF(LEN($A285)=4,IF(VALUE(RIGHT($A285,2))&gt;60,"","Powiat "),IF(VALUE(RIGHT($A285,1))=1,"m. ",IF(VALUE(RIGHT($A285,1))=2,"gm. w. ",IF(VALUE(RIGHT($A285,1))=8,"dz. ","gm. m.-w. ")))))&amp;IF(LEN($A285)=2,TRIM(UPPER(VLOOKUP($A285,GUS_tabl_1!$A$7:$B$22,2,FALSE))),IF(ISERROR(FIND("..",TRIM(VLOOKUP(IF(AND(LEN($A285)=4,VALUE(RIGHT($A285,2))&gt;60),$A285&amp;"01 1",$A285),IF(AND(LEN($A285)=4,VALUE(RIGHT($A285,2))&lt;60),GUS_tabl_2!$A$8:$B$464,GUS_tabl_21!$A$5:$B$4886),2,FALSE)))),TRIM(VLOOKUP(IF(AND(LEN($A285)=4,VALUE(RIGHT($A285,2))&gt;60),$A285&amp;"01 1",$A285),IF(AND(LEN($A285)=4,VALUE(RIGHT($A285,2))&lt;60),GUS_tabl_2!$A$8:$B$464,GUS_tabl_21!$A$5:$B$4886),2,FALSE)),LEFT(TRIM(VLOOKUP(IF(AND(LEN($A285)=4,VALUE(RIGHT($A285,2))&gt;60),$A285&amp;"01 1",$A285),IF(AND(LEN($A285)=4,VALUE(RIGHT($A285,2))&lt;60),GUS_tabl_2!$A$8:$B$464,GUS_tabl_21!$A$5:$B$4886),2,FALSE)),SUM(FIND("..",TRIM(VLOOKUP(IF(AND(LEN($A285)=4,VALUE(RIGHT($A285,2))&gt;60),$A285&amp;"01 1",$A285),IF(AND(LEN($A285)=4,VALUE(RIGHT($A285,2))&lt;60),GUS_tabl_2!$A$8:$B$464,GUS_tabl_21!$A$5:$B$4886),2,FALSE))),-1)))))</f>
        <v>gm. w. Kikół</v>
      </c>
      <c r="D285" s="141">
        <f>IF(OR($A285="",ISERROR(VALUE(LEFT($A285,6)))),"",IF(LEN($A285)=2,SUMIF($A286:$A$2965,$A285&amp;"??",$D286:$D$2965),IF(AND(LEN($A285)=4,VALUE(RIGHT($A285,2))&lt;=60),SUMIF($A286:$A$2965,$A285&amp;"????",$D286:$D$2965),VLOOKUP(IF(LEN($A285)=4,$A285&amp;"01 1",$A285),GUS_tabl_21!$A$5:$F$4886,6,FALSE))))</f>
        <v>7102</v>
      </c>
    </row>
    <row r="286" spans="1:4" s="29" customFormat="1" ht="12" customHeight="1">
      <c r="A286" s="155" t="str">
        <f>"040806 2"</f>
        <v>040806 2</v>
      </c>
      <c r="B286" s="153" t="s">
        <v>46</v>
      </c>
      <c r="C286" s="156" t="str">
        <f>IF(OR($A286="",ISERROR(VALUE(LEFT($A286,6)))),"",IF(LEN($A286)=2,"WOJ. ",IF(LEN($A286)=4,IF(VALUE(RIGHT($A286,2))&gt;60,"","Powiat "),IF(VALUE(RIGHT($A286,1))=1,"m. ",IF(VALUE(RIGHT($A286,1))=2,"gm. w. ",IF(VALUE(RIGHT($A286,1))=8,"dz. ","gm. m.-w. ")))))&amp;IF(LEN($A286)=2,TRIM(UPPER(VLOOKUP($A286,GUS_tabl_1!$A$7:$B$22,2,FALSE))),IF(ISERROR(FIND("..",TRIM(VLOOKUP(IF(AND(LEN($A286)=4,VALUE(RIGHT($A286,2))&gt;60),$A286&amp;"01 1",$A286),IF(AND(LEN($A286)=4,VALUE(RIGHT($A286,2))&lt;60),GUS_tabl_2!$A$8:$B$464,GUS_tabl_21!$A$5:$B$4886),2,FALSE)))),TRIM(VLOOKUP(IF(AND(LEN($A286)=4,VALUE(RIGHT($A286,2))&gt;60),$A286&amp;"01 1",$A286),IF(AND(LEN($A286)=4,VALUE(RIGHT($A286,2))&lt;60),GUS_tabl_2!$A$8:$B$464,GUS_tabl_21!$A$5:$B$4886),2,FALSE)),LEFT(TRIM(VLOOKUP(IF(AND(LEN($A286)=4,VALUE(RIGHT($A286,2))&gt;60),$A286&amp;"01 1",$A286),IF(AND(LEN($A286)=4,VALUE(RIGHT($A286,2))&lt;60),GUS_tabl_2!$A$8:$B$464,GUS_tabl_21!$A$5:$B$4886),2,FALSE)),SUM(FIND("..",TRIM(VLOOKUP(IF(AND(LEN($A286)=4,VALUE(RIGHT($A286,2))&gt;60),$A286&amp;"01 1",$A286),IF(AND(LEN($A286)=4,VALUE(RIGHT($A286,2))&lt;60),GUS_tabl_2!$A$8:$B$464,GUS_tabl_21!$A$5:$B$4886),2,FALSE))),-1)))))</f>
        <v>gm. w. Lipno</v>
      </c>
      <c r="D286" s="141">
        <f>IF(OR($A286="",ISERROR(VALUE(LEFT($A286,6)))),"",IF(LEN($A286)=2,SUMIF($A287:$A$2965,$A286&amp;"??",$D287:$D$2965),IF(AND(LEN($A286)=4,VALUE(RIGHT($A286,2))&lt;=60),SUMIF($A287:$A$2965,$A286&amp;"????",$D287:$D$2965),VLOOKUP(IF(LEN($A286)=4,$A286&amp;"01 1",$A286),GUS_tabl_21!$A$5:$F$4886,6,FALSE))))</f>
        <v>11870</v>
      </c>
    </row>
    <row r="287" spans="1:4" s="29" customFormat="1" ht="12" customHeight="1">
      <c r="A287" s="155" t="str">
        <f>"040807 3"</f>
        <v>040807 3</v>
      </c>
      <c r="B287" s="153" t="s">
        <v>46</v>
      </c>
      <c r="C287" s="156" t="str">
        <f>IF(OR($A287="",ISERROR(VALUE(LEFT($A287,6)))),"",IF(LEN($A287)=2,"WOJ. ",IF(LEN($A287)=4,IF(VALUE(RIGHT($A287,2))&gt;60,"","Powiat "),IF(VALUE(RIGHT($A287,1))=1,"m. ",IF(VALUE(RIGHT($A287,1))=2,"gm. w. ",IF(VALUE(RIGHT($A287,1))=8,"dz. ","gm. m.-w. ")))))&amp;IF(LEN($A287)=2,TRIM(UPPER(VLOOKUP($A287,GUS_tabl_1!$A$7:$B$22,2,FALSE))),IF(ISERROR(FIND("..",TRIM(VLOOKUP(IF(AND(LEN($A287)=4,VALUE(RIGHT($A287,2))&gt;60),$A287&amp;"01 1",$A287),IF(AND(LEN($A287)=4,VALUE(RIGHT($A287,2))&lt;60),GUS_tabl_2!$A$8:$B$464,GUS_tabl_21!$A$5:$B$4886),2,FALSE)))),TRIM(VLOOKUP(IF(AND(LEN($A287)=4,VALUE(RIGHT($A287,2))&gt;60),$A287&amp;"01 1",$A287),IF(AND(LEN($A287)=4,VALUE(RIGHT($A287,2))&lt;60),GUS_tabl_2!$A$8:$B$464,GUS_tabl_21!$A$5:$B$4886),2,FALSE)),LEFT(TRIM(VLOOKUP(IF(AND(LEN($A287)=4,VALUE(RIGHT($A287,2))&gt;60),$A287&amp;"01 1",$A287),IF(AND(LEN($A287)=4,VALUE(RIGHT($A287,2))&lt;60),GUS_tabl_2!$A$8:$B$464,GUS_tabl_21!$A$5:$B$4886),2,FALSE)),SUM(FIND("..",TRIM(VLOOKUP(IF(AND(LEN($A287)=4,VALUE(RIGHT($A287,2))&gt;60),$A287&amp;"01 1",$A287),IF(AND(LEN($A287)=4,VALUE(RIGHT($A287,2))&lt;60),GUS_tabl_2!$A$8:$B$464,GUS_tabl_21!$A$5:$B$4886),2,FALSE))),-1)))))</f>
        <v>gm. m.-w. Skępe</v>
      </c>
      <c r="D287" s="141">
        <f>IF(OR($A287="",ISERROR(VALUE(LEFT($A287,6)))),"",IF(LEN($A287)=2,SUMIF($A288:$A$2965,$A287&amp;"??",$D288:$D$2965),IF(AND(LEN($A287)=4,VALUE(RIGHT($A287,2))&lt;=60),SUMIF($A288:$A$2965,$A287&amp;"????",$D288:$D$2965),VLOOKUP(IF(LEN($A287)=4,$A287&amp;"01 1",$A287),GUS_tabl_21!$A$5:$F$4886,6,FALSE))))</f>
        <v>7528</v>
      </c>
    </row>
    <row r="288" spans="1:4" s="29" customFormat="1" ht="12" customHeight="1">
      <c r="A288" s="155" t="str">
        <f>"040808 2"</f>
        <v>040808 2</v>
      </c>
      <c r="B288" s="153" t="s">
        <v>46</v>
      </c>
      <c r="C288" s="156" t="str">
        <f>IF(OR($A288="",ISERROR(VALUE(LEFT($A288,6)))),"",IF(LEN($A288)=2,"WOJ. ",IF(LEN($A288)=4,IF(VALUE(RIGHT($A288,2))&gt;60,"","Powiat "),IF(VALUE(RIGHT($A288,1))=1,"m. ",IF(VALUE(RIGHT($A288,1))=2,"gm. w. ",IF(VALUE(RIGHT($A288,1))=8,"dz. ","gm. m.-w. ")))))&amp;IF(LEN($A288)=2,TRIM(UPPER(VLOOKUP($A288,GUS_tabl_1!$A$7:$B$22,2,FALSE))),IF(ISERROR(FIND("..",TRIM(VLOOKUP(IF(AND(LEN($A288)=4,VALUE(RIGHT($A288,2))&gt;60),$A288&amp;"01 1",$A288),IF(AND(LEN($A288)=4,VALUE(RIGHT($A288,2))&lt;60),GUS_tabl_2!$A$8:$B$464,GUS_tabl_21!$A$5:$B$4886),2,FALSE)))),TRIM(VLOOKUP(IF(AND(LEN($A288)=4,VALUE(RIGHT($A288,2))&gt;60),$A288&amp;"01 1",$A288),IF(AND(LEN($A288)=4,VALUE(RIGHT($A288,2))&lt;60),GUS_tabl_2!$A$8:$B$464,GUS_tabl_21!$A$5:$B$4886),2,FALSE)),LEFT(TRIM(VLOOKUP(IF(AND(LEN($A288)=4,VALUE(RIGHT($A288,2))&gt;60),$A288&amp;"01 1",$A288),IF(AND(LEN($A288)=4,VALUE(RIGHT($A288,2))&lt;60),GUS_tabl_2!$A$8:$B$464,GUS_tabl_21!$A$5:$B$4886),2,FALSE)),SUM(FIND("..",TRIM(VLOOKUP(IF(AND(LEN($A288)=4,VALUE(RIGHT($A288,2))&gt;60),$A288&amp;"01 1",$A288),IF(AND(LEN($A288)=4,VALUE(RIGHT($A288,2))&lt;60),GUS_tabl_2!$A$8:$B$464,GUS_tabl_21!$A$5:$B$4886),2,FALSE))),-1)))))</f>
        <v>gm. w. Tłuchowo</v>
      </c>
      <c r="D288" s="141">
        <f>IF(OR($A288="",ISERROR(VALUE(LEFT($A288,6)))),"",IF(LEN($A288)=2,SUMIF($A289:$A$2965,$A288&amp;"??",$D289:$D$2965),IF(AND(LEN($A288)=4,VALUE(RIGHT($A288,2))&lt;=60),SUMIF($A289:$A$2965,$A288&amp;"????",$D289:$D$2965),VLOOKUP(IF(LEN($A288)=4,$A288&amp;"01 1",$A288),GUS_tabl_21!$A$5:$F$4886,6,FALSE))))</f>
        <v>4648</v>
      </c>
    </row>
    <row r="289" spans="1:4" s="29" customFormat="1" ht="12" customHeight="1">
      <c r="A289" s="155" t="str">
        <f>"040809 2"</f>
        <v>040809 2</v>
      </c>
      <c r="B289" s="153" t="s">
        <v>46</v>
      </c>
      <c r="C289" s="156" t="str">
        <f>IF(OR($A289="",ISERROR(VALUE(LEFT($A289,6)))),"",IF(LEN($A289)=2,"WOJ. ",IF(LEN($A289)=4,IF(VALUE(RIGHT($A289,2))&gt;60,"","Powiat "),IF(VALUE(RIGHT($A289,1))=1,"m. ",IF(VALUE(RIGHT($A289,1))=2,"gm. w. ",IF(VALUE(RIGHT($A289,1))=8,"dz. ","gm. m.-w. ")))))&amp;IF(LEN($A289)=2,TRIM(UPPER(VLOOKUP($A289,GUS_tabl_1!$A$7:$B$22,2,FALSE))),IF(ISERROR(FIND("..",TRIM(VLOOKUP(IF(AND(LEN($A289)=4,VALUE(RIGHT($A289,2))&gt;60),$A289&amp;"01 1",$A289),IF(AND(LEN($A289)=4,VALUE(RIGHT($A289,2))&lt;60),GUS_tabl_2!$A$8:$B$464,GUS_tabl_21!$A$5:$B$4886),2,FALSE)))),TRIM(VLOOKUP(IF(AND(LEN($A289)=4,VALUE(RIGHT($A289,2))&gt;60),$A289&amp;"01 1",$A289),IF(AND(LEN($A289)=4,VALUE(RIGHT($A289,2))&lt;60),GUS_tabl_2!$A$8:$B$464,GUS_tabl_21!$A$5:$B$4886),2,FALSE)),LEFT(TRIM(VLOOKUP(IF(AND(LEN($A289)=4,VALUE(RIGHT($A289,2))&gt;60),$A289&amp;"01 1",$A289),IF(AND(LEN($A289)=4,VALUE(RIGHT($A289,2))&lt;60),GUS_tabl_2!$A$8:$B$464,GUS_tabl_21!$A$5:$B$4886),2,FALSE)),SUM(FIND("..",TRIM(VLOOKUP(IF(AND(LEN($A289)=4,VALUE(RIGHT($A289,2))&gt;60),$A289&amp;"01 1",$A289),IF(AND(LEN($A289)=4,VALUE(RIGHT($A289,2))&lt;60),GUS_tabl_2!$A$8:$B$464,GUS_tabl_21!$A$5:$B$4886),2,FALSE))),-1)))))</f>
        <v>gm. w. Wielgie</v>
      </c>
      <c r="D289" s="141">
        <f>IF(OR($A289="",ISERROR(VALUE(LEFT($A289,6)))),"",IF(LEN($A289)=2,SUMIF($A290:$A$2965,$A289&amp;"??",$D290:$D$2965),IF(AND(LEN($A289)=4,VALUE(RIGHT($A289,2))&lt;=60),SUMIF($A290:$A$2965,$A289&amp;"????",$D290:$D$2965),VLOOKUP(IF(LEN($A289)=4,$A289&amp;"01 1",$A289),GUS_tabl_21!$A$5:$F$4886,6,FALSE))))</f>
        <v>6691</v>
      </c>
    </row>
    <row r="290" spans="1:4" s="29" customFormat="1" ht="12" customHeight="1">
      <c r="A290" s="152" t="str">
        <f>"0409"</f>
        <v>0409</v>
      </c>
      <c r="B290" s="153" t="s">
        <v>46</v>
      </c>
      <c r="C290" s="154" t="str">
        <f>IF(OR($A290="",ISERROR(VALUE(LEFT($A290,6)))),"",IF(LEN($A290)=2,"WOJ. ",IF(LEN($A290)=4,IF(VALUE(RIGHT($A290,2))&gt;60,"","Powiat "),IF(VALUE(RIGHT($A290,1))=1,"m. ",IF(VALUE(RIGHT($A290,1))=2,"gm. w. ",IF(VALUE(RIGHT($A290,1))=8,"dz. ","gm. m.-w. ")))))&amp;IF(LEN($A290)=2,TRIM(UPPER(VLOOKUP($A290,GUS_tabl_1!$A$7:$B$22,2,FALSE))),IF(ISERROR(FIND("..",TRIM(VLOOKUP(IF(AND(LEN($A290)=4,VALUE(RIGHT($A290,2))&gt;60),$A290&amp;"01 1",$A290),IF(AND(LEN($A290)=4,VALUE(RIGHT($A290,2))&lt;60),GUS_tabl_2!$A$8:$B$464,GUS_tabl_21!$A$5:$B$4886),2,FALSE)))),TRIM(VLOOKUP(IF(AND(LEN($A290)=4,VALUE(RIGHT($A290,2))&gt;60),$A290&amp;"01 1",$A290),IF(AND(LEN($A290)=4,VALUE(RIGHT($A290,2))&lt;60),GUS_tabl_2!$A$8:$B$464,GUS_tabl_21!$A$5:$B$4886),2,FALSE)),LEFT(TRIM(VLOOKUP(IF(AND(LEN($A290)=4,VALUE(RIGHT($A290,2))&gt;60),$A290&amp;"01 1",$A290),IF(AND(LEN($A290)=4,VALUE(RIGHT($A290,2))&lt;60),GUS_tabl_2!$A$8:$B$464,GUS_tabl_21!$A$5:$B$4886),2,FALSE)),SUM(FIND("..",TRIM(VLOOKUP(IF(AND(LEN($A290)=4,VALUE(RIGHT($A290,2))&gt;60),$A290&amp;"01 1",$A290),IF(AND(LEN($A290)=4,VALUE(RIGHT($A290,2))&lt;60),GUS_tabl_2!$A$8:$B$464,GUS_tabl_21!$A$5:$B$4886),2,FALSE))),-1)))))</f>
        <v>Powiat mogileński</v>
      </c>
      <c r="D290" s="140">
        <f>IF(OR($A290="",ISERROR(VALUE(LEFT($A290,6)))),"",IF(LEN($A290)=2,SUMIF($A291:$A$2965,$A290&amp;"??",$D291:$D$2965),IF(AND(LEN($A290)=4,VALUE(RIGHT($A290,2))&lt;=60),SUMIF($A291:$A$2965,$A290&amp;"????",$D291:$D$2965),VLOOKUP(IF(LEN($A290)=4,$A290&amp;"01 1",$A290),GUS_tabl_21!$A$5:$F$4886,6,FALSE))))</f>
        <v>45619</v>
      </c>
    </row>
    <row r="291" spans="1:4" s="29" customFormat="1" ht="12" customHeight="1">
      <c r="A291" s="155" t="str">
        <f>"040901 2"</f>
        <v>040901 2</v>
      </c>
      <c r="B291" s="153" t="s">
        <v>46</v>
      </c>
      <c r="C291" s="156" t="str">
        <f>IF(OR($A291="",ISERROR(VALUE(LEFT($A291,6)))),"",IF(LEN($A291)=2,"WOJ. ",IF(LEN($A291)=4,IF(VALUE(RIGHT($A291,2))&gt;60,"","Powiat "),IF(VALUE(RIGHT($A291,1))=1,"m. ",IF(VALUE(RIGHT($A291,1))=2,"gm. w. ",IF(VALUE(RIGHT($A291,1))=8,"dz. ","gm. m.-w. ")))))&amp;IF(LEN($A291)=2,TRIM(UPPER(VLOOKUP($A291,GUS_tabl_1!$A$7:$B$22,2,FALSE))),IF(ISERROR(FIND("..",TRIM(VLOOKUP(IF(AND(LEN($A291)=4,VALUE(RIGHT($A291,2))&gt;60),$A291&amp;"01 1",$A291),IF(AND(LEN($A291)=4,VALUE(RIGHT($A291,2))&lt;60),GUS_tabl_2!$A$8:$B$464,GUS_tabl_21!$A$5:$B$4886),2,FALSE)))),TRIM(VLOOKUP(IF(AND(LEN($A291)=4,VALUE(RIGHT($A291,2))&gt;60),$A291&amp;"01 1",$A291),IF(AND(LEN($A291)=4,VALUE(RIGHT($A291,2))&lt;60),GUS_tabl_2!$A$8:$B$464,GUS_tabl_21!$A$5:$B$4886),2,FALSE)),LEFT(TRIM(VLOOKUP(IF(AND(LEN($A291)=4,VALUE(RIGHT($A291,2))&gt;60),$A291&amp;"01 1",$A291),IF(AND(LEN($A291)=4,VALUE(RIGHT($A291,2))&lt;60),GUS_tabl_2!$A$8:$B$464,GUS_tabl_21!$A$5:$B$4886),2,FALSE)),SUM(FIND("..",TRIM(VLOOKUP(IF(AND(LEN($A291)=4,VALUE(RIGHT($A291,2))&gt;60),$A291&amp;"01 1",$A291),IF(AND(LEN($A291)=4,VALUE(RIGHT($A291,2))&lt;60),GUS_tabl_2!$A$8:$B$464,GUS_tabl_21!$A$5:$B$4886),2,FALSE))),-1)))))</f>
        <v>gm. w. Dąbrowa</v>
      </c>
      <c r="D291" s="141">
        <f>IF(OR($A291="",ISERROR(VALUE(LEFT($A291,6)))),"",IF(LEN($A291)=2,SUMIF($A292:$A$2965,$A291&amp;"??",$D292:$D$2965),IF(AND(LEN($A291)=4,VALUE(RIGHT($A291,2))&lt;=60),SUMIF($A292:$A$2965,$A291&amp;"????",$D292:$D$2965),VLOOKUP(IF(LEN($A291)=4,$A291&amp;"01 1",$A291),GUS_tabl_21!$A$5:$F$4886,6,FALSE))))</f>
        <v>4600</v>
      </c>
    </row>
    <row r="292" spans="1:4" s="29" customFormat="1" ht="12" customHeight="1">
      <c r="A292" s="155" t="str">
        <f>"040902 2"</f>
        <v>040902 2</v>
      </c>
      <c r="B292" s="153" t="s">
        <v>46</v>
      </c>
      <c r="C292" s="156" t="str">
        <f>IF(OR($A292="",ISERROR(VALUE(LEFT($A292,6)))),"",IF(LEN($A292)=2,"WOJ. ",IF(LEN($A292)=4,IF(VALUE(RIGHT($A292,2))&gt;60,"","Powiat "),IF(VALUE(RIGHT($A292,1))=1,"m. ",IF(VALUE(RIGHT($A292,1))=2,"gm. w. ",IF(VALUE(RIGHT($A292,1))=8,"dz. ","gm. m.-w. ")))))&amp;IF(LEN($A292)=2,TRIM(UPPER(VLOOKUP($A292,GUS_tabl_1!$A$7:$B$22,2,FALSE))),IF(ISERROR(FIND("..",TRIM(VLOOKUP(IF(AND(LEN($A292)=4,VALUE(RIGHT($A292,2))&gt;60),$A292&amp;"01 1",$A292),IF(AND(LEN($A292)=4,VALUE(RIGHT($A292,2))&lt;60),GUS_tabl_2!$A$8:$B$464,GUS_tabl_21!$A$5:$B$4886),2,FALSE)))),TRIM(VLOOKUP(IF(AND(LEN($A292)=4,VALUE(RIGHT($A292,2))&gt;60),$A292&amp;"01 1",$A292),IF(AND(LEN($A292)=4,VALUE(RIGHT($A292,2))&lt;60),GUS_tabl_2!$A$8:$B$464,GUS_tabl_21!$A$5:$B$4886),2,FALSE)),LEFT(TRIM(VLOOKUP(IF(AND(LEN($A292)=4,VALUE(RIGHT($A292,2))&gt;60),$A292&amp;"01 1",$A292),IF(AND(LEN($A292)=4,VALUE(RIGHT($A292,2))&lt;60),GUS_tabl_2!$A$8:$B$464,GUS_tabl_21!$A$5:$B$4886),2,FALSE)),SUM(FIND("..",TRIM(VLOOKUP(IF(AND(LEN($A292)=4,VALUE(RIGHT($A292,2))&gt;60),$A292&amp;"01 1",$A292),IF(AND(LEN($A292)=4,VALUE(RIGHT($A292,2))&lt;60),GUS_tabl_2!$A$8:$B$464,GUS_tabl_21!$A$5:$B$4886),2,FALSE))),-1)))))</f>
        <v>gm. w. Jeziora Wielkie</v>
      </c>
      <c r="D292" s="141">
        <f>IF(OR($A292="",ISERROR(VALUE(LEFT($A292,6)))),"",IF(LEN($A292)=2,SUMIF($A293:$A$2965,$A292&amp;"??",$D293:$D$2965),IF(AND(LEN($A292)=4,VALUE(RIGHT($A292,2))&lt;=60),SUMIF($A293:$A$2965,$A292&amp;"????",$D293:$D$2965),VLOOKUP(IF(LEN($A292)=4,$A292&amp;"01 1",$A292),GUS_tabl_21!$A$5:$F$4886,6,FALSE))))</f>
        <v>4860</v>
      </c>
    </row>
    <row r="293" spans="1:4" s="29" customFormat="1" ht="12" customHeight="1">
      <c r="A293" s="155" t="str">
        <f>"040903 3"</f>
        <v>040903 3</v>
      </c>
      <c r="B293" s="153" t="s">
        <v>46</v>
      </c>
      <c r="C293" s="156" t="str">
        <f>IF(OR($A293="",ISERROR(VALUE(LEFT($A293,6)))),"",IF(LEN($A293)=2,"WOJ. ",IF(LEN($A293)=4,IF(VALUE(RIGHT($A293,2))&gt;60,"","Powiat "),IF(VALUE(RIGHT($A293,1))=1,"m. ",IF(VALUE(RIGHT($A293,1))=2,"gm. w. ",IF(VALUE(RIGHT($A293,1))=8,"dz. ","gm. m.-w. ")))))&amp;IF(LEN($A293)=2,TRIM(UPPER(VLOOKUP($A293,GUS_tabl_1!$A$7:$B$22,2,FALSE))),IF(ISERROR(FIND("..",TRIM(VLOOKUP(IF(AND(LEN($A293)=4,VALUE(RIGHT($A293,2))&gt;60),$A293&amp;"01 1",$A293),IF(AND(LEN($A293)=4,VALUE(RIGHT($A293,2))&lt;60),GUS_tabl_2!$A$8:$B$464,GUS_tabl_21!$A$5:$B$4886),2,FALSE)))),TRIM(VLOOKUP(IF(AND(LEN($A293)=4,VALUE(RIGHT($A293,2))&gt;60),$A293&amp;"01 1",$A293),IF(AND(LEN($A293)=4,VALUE(RIGHT($A293,2))&lt;60),GUS_tabl_2!$A$8:$B$464,GUS_tabl_21!$A$5:$B$4886),2,FALSE)),LEFT(TRIM(VLOOKUP(IF(AND(LEN($A293)=4,VALUE(RIGHT($A293,2))&gt;60),$A293&amp;"01 1",$A293),IF(AND(LEN($A293)=4,VALUE(RIGHT($A293,2))&lt;60),GUS_tabl_2!$A$8:$B$464,GUS_tabl_21!$A$5:$B$4886),2,FALSE)),SUM(FIND("..",TRIM(VLOOKUP(IF(AND(LEN($A293)=4,VALUE(RIGHT($A293,2))&gt;60),$A293&amp;"01 1",$A293),IF(AND(LEN($A293)=4,VALUE(RIGHT($A293,2))&lt;60),GUS_tabl_2!$A$8:$B$464,GUS_tabl_21!$A$5:$B$4886),2,FALSE))),-1)))))</f>
        <v>gm. m.-w. Mogilno</v>
      </c>
      <c r="D293" s="141">
        <f>IF(OR($A293="",ISERROR(VALUE(LEFT($A293,6)))),"",IF(LEN($A293)=2,SUMIF($A294:$A$2965,$A293&amp;"??",$D294:$D$2965),IF(AND(LEN($A293)=4,VALUE(RIGHT($A293,2))&lt;=60),SUMIF($A294:$A$2965,$A293&amp;"????",$D294:$D$2965),VLOOKUP(IF(LEN($A293)=4,$A293&amp;"01 1",$A293),GUS_tabl_21!$A$5:$F$4886,6,FALSE))))</f>
        <v>24574</v>
      </c>
    </row>
    <row r="294" spans="1:4" s="29" customFormat="1" ht="12" customHeight="1">
      <c r="A294" s="155" t="str">
        <f>"040904 3"</f>
        <v>040904 3</v>
      </c>
      <c r="B294" s="153" t="s">
        <v>46</v>
      </c>
      <c r="C294" s="156" t="str">
        <f>IF(OR($A294="",ISERROR(VALUE(LEFT($A294,6)))),"",IF(LEN($A294)=2,"WOJ. ",IF(LEN($A294)=4,IF(VALUE(RIGHT($A294,2))&gt;60,"","Powiat "),IF(VALUE(RIGHT($A294,1))=1,"m. ",IF(VALUE(RIGHT($A294,1))=2,"gm. w. ",IF(VALUE(RIGHT($A294,1))=8,"dz. ","gm. m.-w. ")))))&amp;IF(LEN($A294)=2,TRIM(UPPER(VLOOKUP($A294,GUS_tabl_1!$A$7:$B$22,2,FALSE))),IF(ISERROR(FIND("..",TRIM(VLOOKUP(IF(AND(LEN($A294)=4,VALUE(RIGHT($A294,2))&gt;60),$A294&amp;"01 1",$A294),IF(AND(LEN($A294)=4,VALUE(RIGHT($A294,2))&lt;60),GUS_tabl_2!$A$8:$B$464,GUS_tabl_21!$A$5:$B$4886),2,FALSE)))),TRIM(VLOOKUP(IF(AND(LEN($A294)=4,VALUE(RIGHT($A294,2))&gt;60),$A294&amp;"01 1",$A294),IF(AND(LEN($A294)=4,VALUE(RIGHT($A294,2))&lt;60),GUS_tabl_2!$A$8:$B$464,GUS_tabl_21!$A$5:$B$4886),2,FALSE)),LEFT(TRIM(VLOOKUP(IF(AND(LEN($A294)=4,VALUE(RIGHT($A294,2))&gt;60),$A294&amp;"01 1",$A294),IF(AND(LEN($A294)=4,VALUE(RIGHT($A294,2))&lt;60),GUS_tabl_2!$A$8:$B$464,GUS_tabl_21!$A$5:$B$4886),2,FALSE)),SUM(FIND("..",TRIM(VLOOKUP(IF(AND(LEN($A294)=4,VALUE(RIGHT($A294,2))&gt;60),$A294&amp;"01 1",$A294),IF(AND(LEN($A294)=4,VALUE(RIGHT($A294,2))&lt;60),GUS_tabl_2!$A$8:$B$464,GUS_tabl_21!$A$5:$B$4886),2,FALSE))),-1)))))</f>
        <v>gm. m.-w. Strzelno</v>
      </c>
      <c r="D294" s="141">
        <f>IF(OR($A294="",ISERROR(VALUE(LEFT($A294,6)))),"",IF(LEN($A294)=2,SUMIF($A295:$A$2965,$A294&amp;"??",$D295:$D$2965),IF(AND(LEN($A294)=4,VALUE(RIGHT($A294,2))&lt;=60),SUMIF($A295:$A$2965,$A294&amp;"????",$D295:$D$2965),VLOOKUP(IF(LEN($A294)=4,$A294&amp;"01 1",$A294),GUS_tabl_21!$A$5:$F$4886,6,FALSE))))</f>
        <v>11585</v>
      </c>
    </row>
    <row r="295" spans="1:4" s="29" customFormat="1" ht="12" customHeight="1">
      <c r="A295" s="152" t="str">
        <f>"0410"</f>
        <v>0410</v>
      </c>
      <c r="B295" s="153" t="s">
        <v>46</v>
      </c>
      <c r="C295" s="154" t="str">
        <f>IF(OR($A295="",ISERROR(VALUE(LEFT($A295,6)))),"",IF(LEN($A295)=2,"WOJ. ",IF(LEN($A295)=4,IF(VALUE(RIGHT($A295,2))&gt;60,"","Powiat "),IF(VALUE(RIGHT($A295,1))=1,"m. ",IF(VALUE(RIGHT($A295,1))=2,"gm. w. ",IF(VALUE(RIGHT($A295,1))=8,"dz. ","gm. m.-w. ")))))&amp;IF(LEN($A295)=2,TRIM(UPPER(VLOOKUP($A295,GUS_tabl_1!$A$7:$B$22,2,FALSE))),IF(ISERROR(FIND("..",TRIM(VLOOKUP(IF(AND(LEN($A295)=4,VALUE(RIGHT($A295,2))&gt;60),$A295&amp;"01 1",$A295),IF(AND(LEN($A295)=4,VALUE(RIGHT($A295,2))&lt;60),GUS_tabl_2!$A$8:$B$464,GUS_tabl_21!$A$5:$B$4886),2,FALSE)))),TRIM(VLOOKUP(IF(AND(LEN($A295)=4,VALUE(RIGHT($A295,2))&gt;60),$A295&amp;"01 1",$A295),IF(AND(LEN($A295)=4,VALUE(RIGHT($A295,2))&lt;60),GUS_tabl_2!$A$8:$B$464,GUS_tabl_21!$A$5:$B$4886),2,FALSE)),LEFT(TRIM(VLOOKUP(IF(AND(LEN($A295)=4,VALUE(RIGHT($A295,2))&gt;60),$A295&amp;"01 1",$A295),IF(AND(LEN($A295)=4,VALUE(RIGHT($A295,2))&lt;60),GUS_tabl_2!$A$8:$B$464,GUS_tabl_21!$A$5:$B$4886),2,FALSE)),SUM(FIND("..",TRIM(VLOOKUP(IF(AND(LEN($A295)=4,VALUE(RIGHT($A295,2))&gt;60),$A295&amp;"01 1",$A295),IF(AND(LEN($A295)=4,VALUE(RIGHT($A295,2))&lt;60),GUS_tabl_2!$A$8:$B$464,GUS_tabl_21!$A$5:$B$4886),2,FALSE))),-1)))))</f>
        <v>Powiat nakielski</v>
      </c>
      <c r="D295" s="140">
        <f>IF(OR($A295="",ISERROR(VALUE(LEFT($A295,6)))),"",IF(LEN($A295)=2,SUMIF($A296:$A$2965,$A295&amp;"??",$D296:$D$2965),IF(AND(LEN($A295)=4,VALUE(RIGHT($A295,2))&lt;=60),SUMIF($A296:$A$2965,$A295&amp;"????",$D296:$D$2965),VLOOKUP(IF(LEN($A295)=4,$A295&amp;"01 1",$A295),GUS_tabl_21!$A$5:$F$4886,6,FALSE))))</f>
        <v>86311</v>
      </c>
    </row>
    <row r="296" spans="1:4" s="29" customFormat="1" ht="12" customHeight="1">
      <c r="A296" s="155" t="str">
        <f>"041001 3"</f>
        <v>041001 3</v>
      </c>
      <c r="B296" s="153" t="s">
        <v>46</v>
      </c>
      <c r="C296" s="156" t="str">
        <f>IF(OR($A296="",ISERROR(VALUE(LEFT($A296,6)))),"",IF(LEN($A296)=2,"WOJ. ",IF(LEN($A296)=4,IF(VALUE(RIGHT($A296,2))&gt;60,"","Powiat "),IF(VALUE(RIGHT($A296,1))=1,"m. ",IF(VALUE(RIGHT($A296,1))=2,"gm. w. ",IF(VALUE(RIGHT($A296,1))=8,"dz. ","gm. m.-w. ")))))&amp;IF(LEN($A296)=2,TRIM(UPPER(VLOOKUP($A296,GUS_tabl_1!$A$7:$B$22,2,FALSE))),IF(ISERROR(FIND("..",TRIM(VLOOKUP(IF(AND(LEN($A296)=4,VALUE(RIGHT($A296,2))&gt;60),$A296&amp;"01 1",$A296),IF(AND(LEN($A296)=4,VALUE(RIGHT($A296,2))&lt;60),GUS_tabl_2!$A$8:$B$464,GUS_tabl_21!$A$5:$B$4886),2,FALSE)))),TRIM(VLOOKUP(IF(AND(LEN($A296)=4,VALUE(RIGHT($A296,2))&gt;60),$A296&amp;"01 1",$A296),IF(AND(LEN($A296)=4,VALUE(RIGHT($A296,2))&lt;60),GUS_tabl_2!$A$8:$B$464,GUS_tabl_21!$A$5:$B$4886),2,FALSE)),LEFT(TRIM(VLOOKUP(IF(AND(LEN($A296)=4,VALUE(RIGHT($A296,2))&gt;60),$A296&amp;"01 1",$A296),IF(AND(LEN($A296)=4,VALUE(RIGHT($A296,2))&lt;60),GUS_tabl_2!$A$8:$B$464,GUS_tabl_21!$A$5:$B$4886),2,FALSE)),SUM(FIND("..",TRIM(VLOOKUP(IF(AND(LEN($A296)=4,VALUE(RIGHT($A296,2))&gt;60),$A296&amp;"01 1",$A296),IF(AND(LEN($A296)=4,VALUE(RIGHT($A296,2))&lt;60),GUS_tabl_2!$A$8:$B$464,GUS_tabl_21!$A$5:$B$4886),2,FALSE))),-1)))))</f>
        <v>gm. m.-w. Kcynia</v>
      </c>
      <c r="D296" s="141">
        <f>IF(OR($A296="",ISERROR(VALUE(LEFT($A296,6)))),"",IF(LEN($A296)=2,SUMIF($A297:$A$2965,$A296&amp;"??",$D297:$D$2965),IF(AND(LEN($A296)=4,VALUE(RIGHT($A296,2))&lt;=60),SUMIF($A297:$A$2965,$A296&amp;"????",$D297:$D$2965),VLOOKUP(IF(LEN($A296)=4,$A296&amp;"01 1",$A296),GUS_tabl_21!$A$5:$F$4886,6,FALSE))))</f>
        <v>13361</v>
      </c>
    </row>
    <row r="297" spans="1:4" s="29" customFormat="1" ht="12" customHeight="1">
      <c r="A297" s="155" t="str">
        <f>"041002 3"</f>
        <v>041002 3</v>
      </c>
      <c r="B297" s="153" t="s">
        <v>46</v>
      </c>
      <c r="C297" s="156" t="str">
        <f>IF(OR($A297="",ISERROR(VALUE(LEFT($A297,6)))),"",IF(LEN($A297)=2,"WOJ. ",IF(LEN($A297)=4,IF(VALUE(RIGHT($A297,2))&gt;60,"","Powiat "),IF(VALUE(RIGHT($A297,1))=1,"m. ",IF(VALUE(RIGHT($A297,1))=2,"gm. w. ",IF(VALUE(RIGHT($A297,1))=8,"dz. ","gm. m.-w. ")))))&amp;IF(LEN($A297)=2,TRIM(UPPER(VLOOKUP($A297,GUS_tabl_1!$A$7:$B$22,2,FALSE))),IF(ISERROR(FIND("..",TRIM(VLOOKUP(IF(AND(LEN($A297)=4,VALUE(RIGHT($A297,2))&gt;60),$A297&amp;"01 1",$A297),IF(AND(LEN($A297)=4,VALUE(RIGHT($A297,2))&lt;60),GUS_tabl_2!$A$8:$B$464,GUS_tabl_21!$A$5:$B$4886),2,FALSE)))),TRIM(VLOOKUP(IF(AND(LEN($A297)=4,VALUE(RIGHT($A297,2))&gt;60),$A297&amp;"01 1",$A297),IF(AND(LEN($A297)=4,VALUE(RIGHT($A297,2))&lt;60),GUS_tabl_2!$A$8:$B$464,GUS_tabl_21!$A$5:$B$4886),2,FALSE)),LEFT(TRIM(VLOOKUP(IF(AND(LEN($A297)=4,VALUE(RIGHT($A297,2))&gt;60),$A297&amp;"01 1",$A297),IF(AND(LEN($A297)=4,VALUE(RIGHT($A297,2))&lt;60),GUS_tabl_2!$A$8:$B$464,GUS_tabl_21!$A$5:$B$4886),2,FALSE)),SUM(FIND("..",TRIM(VLOOKUP(IF(AND(LEN($A297)=4,VALUE(RIGHT($A297,2))&gt;60),$A297&amp;"01 1",$A297),IF(AND(LEN($A297)=4,VALUE(RIGHT($A297,2))&lt;60),GUS_tabl_2!$A$8:$B$464,GUS_tabl_21!$A$5:$B$4886),2,FALSE))),-1)))))</f>
        <v>gm. m.-w. Mrocza</v>
      </c>
      <c r="D297" s="141">
        <f>IF(OR($A297="",ISERROR(VALUE(LEFT($A297,6)))),"",IF(LEN($A297)=2,SUMIF($A298:$A$2965,$A297&amp;"??",$D298:$D$2965),IF(AND(LEN($A297)=4,VALUE(RIGHT($A297,2))&lt;=60),SUMIF($A298:$A$2965,$A297&amp;"????",$D298:$D$2965),VLOOKUP(IF(LEN($A297)=4,$A297&amp;"01 1",$A297),GUS_tabl_21!$A$5:$F$4886,6,FALSE))))</f>
        <v>9233</v>
      </c>
    </row>
    <row r="298" spans="1:4" s="29" customFormat="1" ht="12" customHeight="1">
      <c r="A298" s="155" t="str">
        <f>"041003 3"</f>
        <v>041003 3</v>
      </c>
      <c r="B298" s="153" t="s">
        <v>46</v>
      </c>
      <c r="C298" s="156" t="str">
        <f>IF(OR($A298="",ISERROR(VALUE(LEFT($A298,6)))),"",IF(LEN($A298)=2,"WOJ. ",IF(LEN($A298)=4,IF(VALUE(RIGHT($A298,2))&gt;60,"","Powiat "),IF(VALUE(RIGHT($A298,1))=1,"m. ",IF(VALUE(RIGHT($A298,1))=2,"gm. w. ",IF(VALUE(RIGHT($A298,1))=8,"dz. ","gm. m.-w. ")))))&amp;IF(LEN($A298)=2,TRIM(UPPER(VLOOKUP($A298,GUS_tabl_1!$A$7:$B$22,2,FALSE))),IF(ISERROR(FIND("..",TRIM(VLOOKUP(IF(AND(LEN($A298)=4,VALUE(RIGHT($A298,2))&gt;60),$A298&amp;"01 1",$A298),IF(AND(LEN($A298)=4,VALUE(RIGHT($A298,2))&lt;60),GUS_tabl_2!$A$8:$B$464,GUS_tabl_21!$A$5:$B$4886),2,FALSE)))),TRIM(VLOOKUP(IF(AND(LEN($A298)=4,VALUE(RIGHT($A298,2))&gt;60),$A298&amp;"01 1",$A298),IF(AND(LEN($A298)=4,VALUE(RIGHT($A298,2))&lt;60),GUS_tabl_2!$A$8:$B$464,GUS_tabl_21!$A$5:$B$4886),2,FALSE)),LEFT(TRIM(VLOOKUP(IF(AND(LEN($A298)=4,VALUE(RIGHT($A298,2))&gt;60),$A298&amp;"01 1",$A298),IF(AND(LEN($A298)=4,VALUE(RIGHT($A298,2))&lt;60),GUS_tabl_2!$A$8:$B$464,GUS_tabl_21!$A$5:$B$4886),2,FALSE)),SUM(FIND("..",TRIM(VLOOKUP(IF(AND(LEN($A298)=4,VALUE(RIGHT($A298,2))&gt;60),$A298&amp;"01 1",$A298),IF(AND(LEN($A298)=4,VALUE(RIGHT($A298,2))&lt;60),GUS_tabl_2!$A$8:$B$464,GUS_tabl_21!$A$5:$B$4886),2,FALSE))),-1)))))</f>
        <v>gm. m.-w. Nakło nad Notecią</v>
      </c>
      <c r="D298" s="141">
        <f>IF(OR($A298="",ISERROR(VALUE(LEFT($A298,6)))),"",IF(LEN($A298)=2,SUMIF($A299:$A$2965,$A298&amp;"??",$D299:$D$2965),IF(AND(LEN($A298)=4,VALUE(RIGHT($A298,2))&lt;=60),SUMIF($A299:$A$2965,$A298&amp;"????",$D299:$D$2965),VLOOKUP(IF(LEN($A298)=4,$A298&amp;"01 1",$A298),GUS_tabl_21!$A$5:$F$4886,6,FALSE))))</f>
        <v>31668</v>
      </c>
    </row>
    <row r="299" spans="1:4" s="29" customFormat="1" ht="12" customHeight="1">
      <c r="A299" s="155" t="str">
        <f>"041004 2"</f>
        <v>041004 2</v>
      </c>
      <c r="B299" s="153" t="s">
        <v>46</v>
      </c>
      <c r="C299" s="156" t="str">
        <f>IF(OR($A299="",ISERROR(VALUE(LEFT($A299,6)))),"",IF(LEN($A299)=2,"WOJ. ",IF(LEN($A299)=4,IF(VALUE(RIGHT($A299,2))&gt;60,"","Powiat "),IF(VALUE(RIGHT($A299,1))=1,"m. ",IF(VALUE(RIGHT($A299,1))=2,"gm. w. ",IF(VALUE(RIGHT($A299,1))=8,"dz. ","gm. m.-w. ")))))&amp;IF(LEN($A299)=2,TRIM(UPPER(VLOOKUP($A299,GUS_tabl_1!$A$7:$B$22,2,FALSE))),IF(ISERROR(FIND("..",TRIM(VLOOKUP(IF(AND(LEN($A299)=4,VALUE(RIGHT($A299,2))&gt;60),$A299&amp;"01 1",$A299),IF(AND(LEN($A299)=4,VALUE(RIGHT($A299,2))&lt;60),GUS_tabl_2!$A$8:$B$464,GUS_tabl_21!$A$5:$B$4886),2,FALSE)))),TRIM(VLOOKUP(IF(AND(LEN($A299)=4,VALUE(RIGHT($A299,2))&gt;60),$A299&amp;"01 1",$A299),IF(AND(LEN($A299)=4,VALUE(RIGHT($A299,2))&lt;60),GUS_tabl_2!$A$8:$B$464,GUS_tabl_21!$A$5:$B$4886),2,FALSE)),LEFT(TRIM(VLOOKUP(IF(AND(LEN($A299)=4,VALUE(RIGHT($A299,2))&gt;60),$A299&amp;"01 1",$A299),IF(AND(LEN($A299)=4,VALUE(RIGHT($A299,2))&lt;60),GUS_tabl_2!$A$8:$B$464,GUS_tabl_21!$A$5:$B$4886),2,FALSE)),SUM(FIND("..",TRIM(VLOOKUP(IF(AND(LEN($A299)=4,VALUE(RIGHT($A299,2))&gt;60),$A299&amp;"01 1",$A299),IF(AND(LEN($A299)=4,VALUE(RIGHT($A299,2))&lt;60),GUS_tabl_2!$A$8:$B$464,GUS_tabl_21!$A$5:$B$4886),2,FALSE))),-1)))))</f>
        <v>gm. w. Sadki</v>
      </c>
      <c r="D299" s="141">
        <f>IF(OR($A299="",ISERROR(VALUE(LEFT($A299,6)))),"",IF(LEN($A299)=2,SUMIF($A300:$A$2965,$A299&amp;"??",$D300:$D$2965),IF(AND(LEN($A299)=4,VALUE(RIGHT($A299,2))&lt;=60),SUMIF($A300:$A$2965,$A299&amp;"????",$D300:$D$2965),VLOOKUP(IF(LEN($A299)=4,$A299&amp;"01 1",$A299),GUS_tabl_21!$A$5:$F$4886,6,FALSE))))</f>
        <v>7252</v>
      </c>
    </row>
    <row r="300" spans="1:4" s="29" customFormat="1" ht="12" customHeight="1">
      <c r="A300" s="155" t="str">
        <f>"041005 3"</f>
        <v>041005 3</v>
      </c>
      <c r="B300" s="153" t="s">
        <v>46</v>
      </c>
      <c r="C300" s="156" t="str">
        <f>IF(OR($A300="",ISERROR(VALUE(LEFT($A300,6)))),"",IF(LEN($A300)=2,"WOJ. ",IF(LEN($A300)=4,IF(VALUE(RIGHT($A300,2))&gt;60,"","Powiat "),IF(VALUE(RIGHT($A300,1))=1,"m. ",IF(VALUE(RIGHT($A300,1))=2,"gm. w. ",IF(VALUE(RIGHT($A300,1))=8,"dz. ","gm. m.-w. ")))))&amp;IF(LEN($A300)=2,TRIM(UPPER(VLOOKUP($A300,GUS_tabl_1!$A$7:$B$22,2,FALSE))),IF(ISERROR(FIND("..",TRIM(VLOOKUP(IF(AND(LEN($A300)=4,VALUE(RIGHT($A300,2))&gt;60),$A300&amp;"01 1",$A300),IF(AND(LEN($A300)=4,VALUE(RIGHT($A300,2))&lt;60),GUS_tabl_2!$A$8:$B$464,GUS_tabl_21!$A$5:$B$4886),2,FALSE)))),TRIM(VLOOKUP(IF(AND(LEN($A300)=4,VALUE(RIGHT($A300,2))&gt;60),$A300&amp;"01 1",$A300),IF(AND(LEN($A300)=4,VALUE(RIGHT($A300,2))&lt;60),GUS_tabl_2!$A$8:$B$464,GUS_tabl_21!$A$5:$B$4886),2,FALSE)),LEFT(TRIM(VLOOKUP(IF(AND(LEN($A300)=4,VALUE(RIGHT($A300,2))&gt;60),$A300&amp;"01 1",$A300),IF(AND(LEN($A300)=4,VALUE(RIGHT($A300,2))&lt;60),GUS_tabl_2!$A$8:$B$464,GUS_tabl_21!$A$5:$B$4886),2,FALSE)),SUM(FIND("..",TRIM(VLOOKUP(IF(AND(LEN($A300)=4,VALUE(RIGHT($A300,2))&gt;60),$A300&amp;"01 1",$A300),IF(AND(LEN($A300)=4,VALUE(RIGHT($A300,2))&lt;60),GUS_tabl_2!$A$8:$B$464,GUS_tabl_21!$A$5:$B$4886),2,FALSE))),-1)))))</f>
        <v>gm. m.-w. Szubin</v>
      </c>
      <c r="D300" s="141">
        <f>IF(OR($A300="",ISERROR(VALUE(LEFT($A300,6)))),"",IF(LEN($A300)=2,SUMIF($A301:$A$2965,$A300&amp;"??",$D301:$D$2965),IF(AND(LEN($A300)=4,VALUE(RIGHT($A300,2))&lt;=60),SUMIF($A301:$A$2965,$A300&amp;"????",$D301:$D$2965),VLOOKUP(IF(LEN($A300)=4,$A300&amp;"01 1",$A300),GUS_tabl_21!$A$5:$F$4886,6,FALSE))))</f>
        <v>24797</v>
      </c>
    </row>
    <row r="301" spans="1:4" s="29" customFormat="1" ht="12" customHeight="1">
      <c r="A301" s="152" t="str">
        <f>"0411"</f>
        <v>0411</v>
      </c>
      <c r="B301" s="153" t="s">
        <v>46</v>
      </c>
      <c r="C301" s="154" t="str">
        <f>IF(OR($A301="",ISERROR(VALUE(LEFT($A301,6)))),"",IF(LEN($A301)=2,"WOJ. ",IF(LEN($A301)=4,IF(VALUE(RIGHT($A301,2))&gt;60,"","Powiat "),IF(VALUE(RIGHT($A301,1))=1,"m. ",IF(VALUE(RIGHT($A301,1))=2,"gm. w. ",IF(VALUE(RIGHT($A301,1))=8,"dz. ","gm. m.-w. ")))))&amp;IF(LEN($A301)=2,TRIM(UPPER(VLOOKUP($A301,GUS_tabl_1!$A$7:$B$22,2,FALSE))),IF(ISERROR(FIND("..",TRIM(VLOOKUP(IF(AND(LEN($A301)=4,VALUE(RIGHT($A301,2))&gt;60),$A301&amp;"01 1",$A301),IF(AND(LEN($A301)=4,VALUE(RIGHT($A301,2))&lt;60),GUS_tabl_2!$A$8:$B$464,GUS_tabl_21!$A$5:$B$4886),2,FALSE)))),TRIM(VLOOKUP(IF(AND(LEN($A301)=4,VALUE(RIGHT($A301,2))&gt;60),$A301&amp;"01 1",$A301),IF(AND(LEN($A301)=4,VALUE(RIGHT($A301,2))&lt;60),GUS_tabl_2!$A$8:$B$464,GUS_tabl_21!$A$5:$B$4886),2,FALSE)),LEFT(TRIM(VLOOKUP(IF(AND(LEN($A301)=4,VALUE(RIGHT($A301,2))&gt;60),$A301&amp;"01 1",$A301),IF(AND(LEN($A301)=4,VALUE(RIGHT($A301,2))&lt;60),GUS_tabl_2!$A$8:$B$464,GUS_tabl_21!$A$5:$B$4886),2,FALSE)),SUM(FIND("..",TRIM(VLOOKUP(IF(AND(LEN($A301)=4,VALUE(RIGHT($A301,2))&gt;60),$A301&amp;"01 1",$A301),IF(AND(LEN($A301)=4,VALUE(RIGHT($A301,2))&lt;60),GUS_tabl_2!$A$8:$B$464,GUS_tabl_21!$A$5:$B$4886),2,FALSE))),-1)))))</f>
        <v>Powiat radziejowski</v>
      </c>
      <c r="D301" s="140">
        <f>IF(OR($A301="",ISERROR(VALUE(LEFT($A301,6)))),"",IF(LEN($A301)=2,SUMIF($A302:$A$2965,$A301&amp;"??",$D302:$D$2965),IF(AND(LEN($A301)=4,VALUE(RIGHT($A301,2))&lt;=60),SUMIF($A302:$A$2965,$A301&amp;"????",$D302:$D$2965),VLOOKUP(IF(LEN($A301)=4,$A301&amp;"01 1",$A301),GUS_tabl_21!$A$5:$F$4886,6,FALSE))))</f>
        <v>40321</v>
      </c>
    </row>
    <row r="302" spans="1:4" s="29" customFormat="1" ht="12" customHeight="1">
      <c r="A302" s="155" t="str">
        <f>"041101 1"</f>
        <v>041101 1</v>
      </c>
      <c r="B302" s="153" t="s">
        <v>46</v>
      </c>
      <c r="C302" s="156" t="str">
        <f>IF(OR($A302="",ISERROR(VALUE(LEFT($A302,6)))),"",IF(LEN($A302)=2,"WOJ. ",IF(LEN($A302)=4,IF(VALUE(RIGHT($A302,2))&gt;60,"","Powiat "),IF(VALUE(RIGHT($A302,1))=1,"m. ",IF(VALUE(RIGHT($A302,1))=2,"gm. w. ",IF(VALUE(RIGHT($A302,1))=8,"dz. ","gm. m.-w. ")))))&amp;IF(LEN($A302)=2,TRIM(UPPER(VLOOKUP($A302,GUS_tabl_1!$A$7:$B$22,2,FALSE))),IF(ISERROR(FIND("..",TRIM(VLOOKUP(IF(AND(LEN($A302)=4,VALUE(RIGHT($A302,2))&gt;60),$A302&amp;"01 1",$A302),IF(AND(LEN($A302)=4,VALUE(RIGHT($A302,2))&lt;60),GUS_tabl_2!$A$8:$B$464,GUS_tabl_21!$A$5:$B$4886),2,FALSE)))),TRIM(VLOOKUP(IF(AND(LEN($A302)=4,VALUE(RIGHT($A302,2))&gt;60),$A302&amp;"01 1",$A302),IF(AND(LEN($A302)=4,VALUE(RIGHT($A302,2))&lt;60),GUS_tabl_2!$A$8:$B$464,GUS_tabl_21!$A$5:$B$4886),2,FALSE)),LEFT(TRIM(VLOOKUP(IF(AND(LEN($A302)=4,VALUE(RIGHT($A302,2))&gt;60),$A302&amp;"01 1",$A302),IF(AND(LEN($A302)=4,VALUE(RIGHT($A302,2))&lt;60),GUS_tabl_2!$A$8:$B$464,GUS_tabl_21!$A$5:$B$4886),2,FALSE)),SUM(FIND("..",TRIM(VLOOKUP(IF(AND(LEN($A302)=4,VALUE(RIGHT($A302,2))&gt;60),$A302&amp;"01 1",$A302),IF(AND(LEN($A302)=4,VALUE(RIGHT($A302,2))&lt;60),GUS_tabl_2!$A$8:$B$464,GUS_tabl_21!$A$5:$B$4886),2,FALSE))),-1)))))</f>
        <v>m. Radziejów</v>
      </c>
      <c r="D302" s="141">
        <f>IF(OR($A302="",ISERROR(VALUE(LEFT($A302,6)))),"",IF(LEN($A302)=2,SUMIF($A303:$A$2965,$A302&amp;"??",$D303:$D$2965),IF(AND(LEN($A302)=4,VALUE(RIGHT($A302,2))&lt;=60),SUMIF($A303:$A$2965,$A302&amp;"????",$D303:$D$2965),VLOOKUP(IF(LEN($A302)=4,$A302&amp;"01 1",$A302),GUS_tabl_21!$A$5:$F$4886,6,FALSE))))</f>
        <v>5516</v>
      </c>
    </row>
    <row r="303" spans="1:4" s="29" customFormat="1" ht="12" customHeight="1">
      <c r="A303" s="155" t="str">
        <f>"041102 2"</f>
        <v>041102 2</v>
      </c>
      <c r="B303" s="153" t="s">
        <v>46</v>
      </c>
      <c r="C303" s="156" t="str">
        <f>IF(OR($A303="",ISERROR(VALUE(LEFT($A303,6)))),"",IF(LEN($A303)=2,"WOJ. ",IF(LEN($A303)=4,IF(VALUE(RIGHT($A303,2))&gt;60,"","Powiat "),IF(VALUE(RIGHT($A303,1))=1,"m. ",IF(VALUE(RIGHT($A303,1))=2,"gm. w. ",IF(VALUE(RIGHT($A303,1))=8,"dz. ","gm. m.-w. ")))))&amp;IF(LEN($A303)=2,TRIM(UPPER(VLOOKUP($A303,GUS_tabl_1!$A$7:$B$22,2,FALSE))),IF(ISERROR(FIND("..",TRIM(VLOOKUP(IF(AND(LEN($A303)=4,VALUE(RIGHT($A303,2))&gt;60),$A303&amp;"01 1",$A303),IF(AND(LEN($A303)=4,VALUE(RIGHT($A303,2))&lt;60),GUS_tabl_2!$A$8:$B$464,GUS_tabl_21!$A$5:$B$4886),2,FALSE)))),TRIM(VLOOKUP(IF(AND(LEN($A303)=4,VALUE(RIGHT($A303,2))&gt;60),$A303&amp;"01 1",$A303),IF(AND(LEN($A303)=4,VALUE(RIGHT($A303,2))&lt;60),GUS_tabl_2!$A$8:$B$464,GUS_tabl_21!$A$5:$B$4886),2,FALSE)),LEFT(TRIM(VLOOKUP(IF(AND(LEN($A303)=4,VALUE(RIGHT($A303,2))&gt;60),$A303&amp;"01 1",$A303),IF(AND(LEN($A303)=4,VALUE(RIGHT($A303,2))&lt;60),GUS_tabl_2!$A$8:$B$464,GUS_tabl_21!$A$5:$B$4886),2,FALSE)),SUM(FIND("..",TRIM(VLOOKUP(IF(AND(LEN($A303)=4,VALUE(RIGHT($A303,2))&gt;60),$A303&amp;"01 1",$A303),IF(AND(LEN($A303)=4,VALUE(RIGHT($A303,2))&lt;60),GUS_tabl_2!$A$8:$B$464,GUS_tabl_21!$A$5:$B$4886),2,FALSE))),-1)))))</f>
        <v>gm. w. Bytoń</v>
      </c>
      <c r="D303" s="141">
        <f>IF(OR($A303="",ISERROR(VALUE(LEFT($A303,6)))),"",IF(LEN($A303)=2,SUMIF($A304:$A$2965,$A303&amp;"??",$D304:$D$2965),IF(AND(LEN($A303)=4,VALUE(RIGHT($A303,2))&lt;=60),SUMIF($A304:$A$2965,$A303&amp;"????",$D304:$D$2965),VLOOKUP(IF(LEN($A303)=4,$A303&amp;"01 1",$A303),GUS_tabl_21!$A$5:$F$4886,6,FALSE))))</f>
        <v>3456</v>
      </c>
    </row>
    <row r="304" spans="1:4" s="29" customFormat="1" ht="12" customHeight="1">
      <c r="A304" s="155" t="str">
        <f>"041103 2"</f>
        <v>041103 2</v>
      </c>
      <c r="B304" s="153" t="s">
        <v>46</v>
      </c>
      <c r="C304" s="156" t="str">
        <f>IF(OR($A304="",ISERROR(VALUE(LEFT($A304,6)))),"",IF(LEN($A304)=2,"WOJ. ",IF(LEN($A304)=4,IF(VALUE(RIGHT($A304,2))&gt;60,"","Powiat "),IF(VALUE(RIGHT($A304,1))=1,"m. ",IF(VALUE(RIGHT($A304,1))=2,"gm. w. ",IF(VALUE(RIGHT($A304,1))=8,"dz. ","gm. m.-w. ")))))&amp;IF(LEN($A304)=2,TRIM(UPPER(VLOOKUP($A304,GUS_tabl_1!$A$7:$B$22,2,FALSE))),IF(ISERROR(FIND("..",TRIM(VLOOKUP(IF(AND(LEN($A304)=4,VALUE(RIGHT($A304,2))&gt;60),$A304&amp;"01 1",$A304),IF(AND(LEN($A304)=4,VALUE(RIGHT($A304,2))&lt;60),GUS_tabl_2!$A$8:$B$464,GUS_tabl_21!$A$5:$B$4886),2,FALSE)))),TRIM(VLOOKUP(IF(AND(LEN($A304)=4,VALUE(RIGHT($A304,2))&gt;60),$A304&amp;"01 1",$A304),IF(AND(LEN($A304)=4,VALUE(RIGHT($A304,2))&lt;60),GUS_tabl_2!$A$8:$B$464,GUS_tabl_21!$A$5:$B$4886),2,FALSE)),LEFT(TRIM(VLOOKUP(IF(AND(LEN($A304)=4,VALUE(RIGHT($A304,2))&gt;60),$A304&amp;"01 1",$A304),IF(AND(LEN($A304)=4,VALUE(RIGHT($A304,2))&lt;60),GUS_tabl_2!$A$8:$B$464,GUS_tabl_21!$A$5:$B$4886),2,FALSE)),SUM(FIND("..",TRIM(VLOOKUP(IF(AND(LEN($A304)=4,VALUE(RIGHT($A304,2))&gt;60),$A304&amp;"01 1",$A304),IF(AND(LEN($A304)=4,VALUE(RIGHT($A304,2))&lt;60),GUS_tabl_2!$A$8:$B$464,GUS_tabl_21!$A$5:$B$4886),2,FALSE))),-1)))))</f>
        <v>gm. w. Dobre</v>
      </c>
      <c r="D304" s="141">
        <f>IF(OR($A304="",ISERROR(VALUE(LEFT($A304,6)))),"",IF(LEN($A304)=2,SUMIF($A305:$A$2965,$A304&amp;"??",$D305:$D$2965),IF(AND(LEN($A304)=4,VALUE(RIGHT($A304,2))&lt;=60),SUMIF($A305:$A$2965,$A304&amp;"????",$D305:$D$2965),VLOOKUP(IF(LEN($A304)=4,$A304&amp;"01 1",$A304),GUS_tabl_21!$A$5:$F$4886,6,FALSE))))</f>
        <v>5352</v>
      </c>
    </row>
    <row r="305" spans="1:4" s="29" customFormat="1" ht="12" customHeight="1">
      <c r="A305" s="155" t="str">
        <f>"041104 2"</f>
        <v>041104 2</v>
      </c>
      <c r="B305" s="153" t="s">
        <v>46</v>
      </c>
      <c r="C305" s="156" t="str">
        <f>IF(OR($A305="",ISERROR(VALUE(LEFT($A305,6)))),"",IF(LEN($A305)=2,"WOJ. ",IF(LEN($A305)=4,IF(VALUE(RIGHT($A305,2))&gt;60,"","Powiat "),IF(VALUE(RIGHT($A305,1))=1,"m. ",IF(VALUE(RIGHT($A305,1))=2,"gm. w. ",IF(VALUE(RIGHT($A305,1))=8,"dz. ","gm. m.-w. ")))))&amp;IF(LEN($A305)=2,TRIM(UPPER(VLOOKUP($A305,GUS_tabl_1!$A$7:$B$22,2,FALSE))),IF(ISERROR(FIND("..",TRIM(VLOOKUP(IF(AND(LEN($A305)=4,VALUE(RIGHT($A305,2))&gt;60),$A305&amp;"01 1",$A305),IF(AND(LEN($A305)=4,VALUE(RIGHT($A305,2))&lt;60),GUS_tabl_2!$A$8:$B$464,GUS_tabl_21!$A$5:$B$4886),2,FALSE)))),TRIM(VLOOKUP(IF(AND(LEN($A305)=4,VALUE(RIGHT($A305,2))&gt;60),$A305&amp;"01 1",$A305),IF(AND(LEN($A305)=4,VALUE(RIGHT($A305,2))&lt;60),GUS_tabl_2!$A$8:$B$464,GUS_tabl_21!$A$5:$B$4886),2,FALSE)),LEFT(TRIM(VLOOKUP(IF(AND(LEN($A305)=4,VALUE(RIGHT($A305,2))&gt;60),$A305&amp;"01 1",$A305),IF(AND(LEN($A305)=4,VALUE(RIGHT($A305,2))&lt;60),GUS_tabl_2!$A$8:$B$464,GUS_tabl_21!$A$5:$B$4886),2,FALSE)),SUM(FIND("..",TRIM(VLOOKUP(IF(AND(LEN($A305)=4,VALUE(RIGHT($A305,2))&gt;60),$A305&amp;"01 1",$A305),IF(AND(LEN($A305)=4,VALUE(RIGHT($A305,2))&lt;60),GUS_tabl_2!$A$8:$B$464,GUS_tabl_21!$A$5:$B$4886),2,FALSE))),-1)))))</f>
        <v>gm. w. Osięciny</v>
      </c>
      <c r="D305" s="141">
        <f>IF(OR($A305="",ISERROR(VALUE(LEFT($A305,6)))),"",IF(LEN($A305)=2,SUMIF($A306:$A$2965,$A305&amp;"??",$D306:$D$2965),IF(AND(LEN($A305)=4,VALUE(RIGHT($A305,2))&lt;=60),SUMIF($A306:$A$2965,$A305&amp;"????",$D306:$D$2965),VLOOKUP(IF(LEN($A305)=4,$A305&amp;"01 1",$A305),GUS_tabl_21!$A$5:$F$4886,6,FALSE))))</f>
        <v>7595</v>
      </c>
    </row>
    <row r="306" spans="1:4" s="29" customFormat="1" ht="12" customHeight="1">
      <c r="A306" s="155" t="str">
        <f>"041105 3"</f>
        <v>041105 3</v>
      </c>
      <c r="B306" s="153" t="s">
        <v>46</v>
      </c>
      <c r="C306" s="156" t="str">
        <f>IF(OR($A306="",ISERROR(VALUE(LEFT($A306,6)))),"",IF(LEN($A306)=2,"WOJ. ",IF(LEN($A306)=4,IF(VALUE(RIGHT($A306,2))&gt;60,"","Powiat "),IF(VALUE(RIGHT($A306,1))=1,"m. ",IF(VALUE(RIGHT($A306,1))=2,"gm. w. ",IF(VALUE(RIGHT($A306,1))=8,"dz. ","gm. m.-w. ")))))&amp;IF(LEN($A306)=2,TRIM(UPPER(VLOOKUP($A306,GUS_tabl_1!$A$7:$B$22,2,FALSE))),IF(ISERROR(FIND("..",TRIM(VLOOKUP(IF(AND(LEN($A306)=4,VALUE(RIGHT($A306,2))&gt;60),$A306&amp;"01 1",$A306),IF(AND(LEN($A306)=4,VALUE(RIGHT($A306,2))&lt;60),GUS_tabl_2!$A$8:$B$464,GUS_tabl_21!$A$5:$B$4886),2,FALSE)))),TRIM(VLOOKUP(IF(AND(LEN($A306)=4,VALUE(RIGHT($A306,2))&gt;60),$A306&amp;"01 1",$A306),IF(AND(LEN($A306)=4,VALUE(RIGHT($A306,2))&lt;60),GUS_tabl_2!$A$8:$B$464,GUS_tabl_21!$A$5:$B$4886),2,FALSE)),LEFT(TRIM(VLOOKUP(IF(AND(LEN($A306)=4,VALUE(RIGHT($A306,2))&gt;60),$A306&amp;"01 1",$A306),IF(AND(LEN($A306)=4,VALUE(RIGHT($A306,2))&lt;60),GUS_tabl_2!$A$8:$B$464,GUS_tabl_21!$A$5:$B$4886),2,FALSE)),SUM(FIND("..",TRIM(VLOOKUP(IF(AND(LEN($A306)=4,VALUE(RIGHT($A306,2))&gt;60),$A306&amp;"01 1",$A306),IF(AND(LEN($A306)=4,VALUE(RIGHT($A306,2))&lt;60),GUS_tabl_2!$A$8:$B$464,GUS_tabl_21!$A$5:$B$4886),2,FALSE))),-1)))))</f>
        <v>gm. m.-w. Piotrków Kujawski</v>
      </c>
      <c r="D306" s="141">
        <f>IF(OR($A306="",ISERROR(VALUE(LEFT($A306,6)))),"",IF(LEN($A306)=2,SUMIF($A307:$A$2965,$A306&amp;"??",$D307:$D$2965),IF(AND(LEN($A306)=4,VALUE(RIGHT($A306,2))&lt;=60),SUMIF($A307:$A$2965,$A306&amp;"????",$D307:$D$2965),VLOOKUP(IF(LEN($A306)=4,$A306&amp;"01 1",$A306),GUS_tabl_21!$A$5:$F$4886,6,FALSE))))</f>
        <v>9234</v>
      </c>
    </row>
    <row r="307" spans="1:4" s="29" customFormat="1" ht="12" customHeight="1">
      <c r="A307" s="155" t="str">
        <f>"041106 2"</f>
        <v>041106 2</v>
      </c>
      <c r="B307" s="153" t="s">
        <v>46</v>
      </c>
      <c r="C307" s="156" t="str">
        <f>IF(OR($A307="",ISERROR(VALUE(LEFT($A307,6)))),"",IF(LEN($A307)=2,"WOJ. ",IF(LEN($A307)=4,IF(VALUE(RIGHT($A307,2))&gt;60,"","Powiat "),IF(VALUE(RIGHT($A307,1))=1,"m. ",IF(VALUE(RIGHT($A307,1))=2,"gm. w. ",IF(VALUE(RIGHT($A307,1))=8,"dz. ","gm. m.-w. ")))))&amp;IF(LEN($A307)=2,TRIM(UPPER(VLOOKUP($A307,GUS_tabl_1!$A$7:$B$22,2,FALSE))),IF(ISERROR(FIND("..",TRIM(VLOOKUP(IF(AND(LEN($A307)=4,VALUE(RIGHT($A307,2))&gt;60),$A307&amp;"01 1",$A307),IF(AND(LEN($A307)=4,VALUE(RIGHT($A307,2))&lt;60),GUS_tabl_2!$A$8:$B$464,GUS_tabl_21!$A$5:$B$4886),2,FALSE)))),TRIM(VLOOKUP(IF(AND(LEN($A307)=4,VALUE(RIGHT($A307,2))&gt;60),$A307&amp;"01 1",$A307),IF(AND(LEN($A307)=4,VALUE(RIGHT($A307,2))&lt;60),GUS_tabl_2!$A$8:$B$464,GUS_tabl_21!$A$5:$B$4886),2,FALSE)),LEFT(TRIM(VLOOKUP(IF(AND(LEN($A307)=4,VALUE(RIGHT($A307,2))&gt;60),$A307&amp;"01 1",$A307),IF(AND(LEN($A307)=4,VALUE(RIGHT($A307,2))&lt;60),GUS_tabl_2!$A$8:$B$464,GUS_tabl_21!$A$5:$B$4886),2,FALSE)),SUM(FIND("..",TRIM(VLOOKUP(IF(AND(LEN($A307)=4,VALUE(RIGHT($A307,2))&gt;60),$A307&amp;"01 1",$A307),IF(AND(LEN($A307)=4,VALUE(RIGHT($A307,2))&lt;60),GUS_tabl_2!$A$8:$B$464,GUS_tabl_21!$A$5:$B$4886),2,FALSE))),-1)))))</f>
        <v>gm. w. Radziejów</v>
      </c>
      <c r="D307" s="141">
        <f>IF(OR($A307="",ISERROR(VALUE(LEFT($A307,6)))),"",IF(LEN($A307)=2,SUMIF($A308:$A$2965,$A307&amp;"??",$D308:$D$2965),IF(AND(LEN($A307)=4,VALUE(RIGHT($A307,2))&lt;=60),SUMIF($A308:$A$2965,$A307&amp;"????",$D308:$D$2965),VLOOKUP(IF(LEN($A307)=4,$A307&amp;"01 1",$A307),GUS_tabl_21!$A$5:$F$4886,6,FALSE))))</f>
        <v>4375</v>
      </c>
    </row>
    <row r="308" spans="1:4" s="29" customFormat="1" ht="12" customHeight="1">
      <c r="A308" s="155" t="str">
        <f>"041107 2"</f>
        <v>041107 2</v>
      </c>
      <c r="B308" s="153" t="s">
        <v>46</v>
      </c>
      <c r="C308" s="156" t="str">
        <f>IF(OR($A308="",ISERROR(VALUE(LEFT($A308,6)))),"",IF(LEN($A308)=2,"WOJ. ",IF(LEN($A308)=4,IF(VALUE(RIGHT($A308,2))&gt;60,"","Powiat "),IF(VALUE(RIGHT($A308,1))=1,"m. ",IF(VALUE(RIGHT($A308,1))=2,"gm. w. ",IF(VALUE(RIGHT($A308,1))=8,"dz. ","gm. m.-w. ")))))&amp;IF(LEN($A308)=2,TRIM(UPPER(VLOOKUP($A308,GUS_tabl_1!$A$7:$B$22,2,FALSE))),IF(ISERROR(FIND("..",TRIM(VLOOKUP(IF(AND(LEN($A308)=4,VALUE(RIGHT($A308,2))&gt;60),$A308&amp;"01 1",$A308),IF(AND(LEN($A308)=4,VALUE(RIGHT($A308,2))&lt;60),GUS_tabl_2!$A$8:$B$464,GUS_tabl_21!$A$5:$B$4886),2,FALSE)))),TRIM(VLOOKUP(IF(AND(LEN($A308)=4,VALUE(RIGHT($A308,2))&gt;60),$A308&amp;"01 1",$A308),IF(AND(LEN($A308)=4,VALUE(RIGHT($A308,2))&lt;60),GUS_tabl_2!$A$8:$B$464,GUS_tabl_21!$A$5:$B$4886),2,FALSE)),LEFT(TRIM(VLOOKUP(IF(AND(LEN($A308)=4,VALUE(RIGHT($A308,2))&gt;60),$A308&amp;"01 1",$A308),IF(AND(LEN($A308)=4,VALUE(RIGHT($A308,2))&lt;60),GUS_tabl_2!$A$8:$B$464,GUS_tabl_21!$A$5:$B$4886),2,FALSE)),SUM(FIND("..",TRIM(VLOOKUP(IF(AND(LEN($A308)=4,VALUE(RIGHT($A308,2))&gt;60),$A308&amp;"01 1",$A308),IF(AND(LEN($A308)=4,VALUE(RIGHT($A308,2))&lt;60),GUS_tabl_2!$A$8:$B$464,GUS_tabl_21!$A$5:$B$4886),2,FALSE))),-1)))))</f>
        <v>gm. w. Topólka</v>
      </c>
      <c r="D308" s="141">
        <f>IF(OR($A308="",ISERROR(VALUE(LEFT($A308,6)))),"",IF(LEN($A308)=2,SUMIF($A309:$A$2965,$A308&amp;"??",$D309:$D$2965),IF(AND(LEN($A308)=4,VALUE(RIGHT($A308,2))&lt;=60),SUMIF($A309:$A$2965,$A308&amp;"????",$D309:$D$2965),VLOOKUP(IF(LEN($A308)=4,$A308&amp;"01 1",$A308),GUS_tabl_21!$A$5:$F$4886,6,FALSE))))</f>
        <v>4793</v>
      </c>
    </row>
    <row r="309" spans="1:4" s="29" customFormat="1" ht="12" customHeight="1">
      <c r="A309" s="152" t="str">
        <f>"0412"</f>
        <v>0412</v>
      </c>
      <c r="B309" s="153" t="s">
        <v>46</v>
      </c>
      <c r="C309" s="154" t="str">
        <f>IF(OR($A309="",ISERROR(VALUE(LEFT($A309,6)))),"",IF(LEN($A309)=2,"WOJ. ",IF(LEN($A309)=4,IF(VALUE(RIGHT($A309,2))&gt;60,"","Powiat "),IF(VALUE(RIGHT($A309,1))=1,"m. ",IF(VALUE(RIGHT($A309,1))=2,"gm. w. ",IF(VALUE(RIGHT($A309,1))=8,"dz. ","gm. m.-w. ")))))&amp;IF(LEN($A309)=2,TRIM(UPPER(VLOOKUP($A309,GUS_tabl_1!$A$7:$B$22,2,FALSE))),IF(ISERROR(FIND("..",TRIM(VLOOKUP(IF(AND(LEN($A309)=4,VALUE(RIGHT($A309,2))&gt;60),$A309&amp;"01 1",$A309),IF(AND(LEN($A309)=4,VALUE(RIGHT($A309,2))&lt;60),GUS_tabl_2!$A$8:$B$464,GUS_tabl_21!$A$5:$B$4886),2,FALSE)))),TRIM(VLOOKUP(IF(AND(LEN($A309)=4,VALUE(RIGHT($A309,2))&gt;60),$A309&amp;"01 1",$A309),IF(AND(LEN($A309)=4,VALUE(RIGHT($A309,2))&lt;60),GUS_tabl_2!$A$8:$B$464,GUS_tabl_21!$A$5:$B$4886),2,FALSE)),LEFT(TRIM(VLOOKUP(IF(AND(LEN($A309)=4,VALUE(RIGHT($A309,2))&gt;60),$A309&amp;"01 1",$A309),IF(AND(LEN($A309)=4,VALUE(RIGHT($A309,2))&lt;60),GUS_tabl_2!$A$8:$B$464,GUS_tabl_21!$A$5:$B$4886),2,FALSE)),SUM(FIND("..",TRIM(VLOOKUP(IF(AND(LEN($A309)=4,VALUE(RIGHT($A309,2))&gt;60),$A309&amp;"01 1",$A309),IF(AND(LEN($A309)=4,VALUE(RIGHT($A309,2))&lt;60),GUS_tabl_2!$A$8:$B$464,GUS_tabl_21!$A$5:$B$4886),2,FALSE))),-1)))))</f>
        <v>Powiat rypiński</v>
      </c>
      <c r="D309" s="140">
        <f>IF(OR($A309="",ISERROR(VALUE(LEFT($A309,6)))),"",IF(LEN($A309)=2,SUMIF($A310:$A$2965,$A309&amp;"??",$D310:$D$2965),IF(AND(LEN($A309)=4,VALUE(RIGHT($A309,2))&lt;=60),SUMIF($A310:$A$2965,$A309&amp;"????",$D310:$D$2965),VLOOKUP(IF(LEN($A309)=4,$A309&amp;"01 1",$A309),GUS_tabl_21!$A$5:$F$4886,6,FALSE))))</f>
        <v>43486</v>
      </c>
    </row>
    <row r="310" spans="1:4" s="29" customFormat="1" ht="12" customHeight="1">
      <c r="A310" s="155" t="str">
        <f>"041201 1"</f>
        <v>041201 1</v>
      </c>
      <c r="B310" s="153" t="s">
        <v>46</v>
      </c>
      <c r="C310" s="156" t="str">
        <f>IF(OR($A310="",ISERROR(VALUE(LEFT($A310,6)))),"",IF(LEN($A310)=2,"WOJ. ",IF(LEN($A310)=4,IF(VALUE(RIGHT($A310,2))&gt;60,"","Powiat "),IF(VALUE(RIGHT($A310,1))=1,"m. ",IF(VALUE(RIGHT($A310,1))=2,"gm. w. ",IF(VALUE(RIGHT($A310,1))=8,"dz. ","gm. m.-w. ")))))&amp;IF(LEN($A310)=2,TRIM(UPPER(VLOOKUP($A310,GUS_tabl_1!$A$7:$B$22,2,FALSE))),IF(ISERROR(FIND("..",TRIM(VLOOKUP(IF(AND(LEN($A310)=4,VALUE(RIGHT($A310,2))&gt;60),$A310&amp;"01 1",$A310),IF(AND(LEN($A310)=4,VALUE(RIGHT($A310,2))&lt;60),GUS_tabl_2!$A$8:$B$464,GUS_tabl_21!$A$5:$B$4886),2,FALSE)))),TRIM(VLOOKUP(IF(AND(LEN($A310)=4,VALUE(RIGHT($A310,2))&gt;60),$A310&amp;"01 1",$A310),IF(AND(LEN($A310)=4,VALUE(RIGHT($A310,2))&lt;60),GUS_tabl_2!$A$8:$B$464,GUS_tabl_21!$A$5:$B$4886),2,FALSE)),LEFT(TRIM(VLOOKUP(IF(AND(LEN($A310)=4,VALUE(RIGHT($A310,2))&gt;60),$A310&amp;"01 1",$A310),IF(AND(LEN($A310)=4,VALUE(RIGHT($A310,2))&lt;60),GUS_tabl_2!$A$8:$B$464,GUS_tabl_21!$A$5:$B$4886),2,FALSE)),SUM(FIND("..",TRIM(VLOOKUP(IF(AND(LEN($A310)=4,VALUE(RIGHT($A310,2))&gt;60),$A310&amp;"01 1",$A310),IF(AND(LEN($A310)=4,VALUE(RIGHT($A310,2))&lt;60),GUS_tabl_2!$A$8:$B$464,GUS_tabl_21!$A$5:$B$4886),2,FALSE))),-1)))))</f>
        <v>m. Rypin</v>
      </c>
      <c r="D310" s="141">
        <f>IF(OR($A310="",ISERROR(VALUE(LEFT($A310,6)))),"",IF(LEN($A310)=2,SUMIF($A311:$A$2965,$A310&amp;"??",$D311:$D$2965),IF(AND(LEN($A310)=4,VALUE(RIGHT($A310,2))&lt;=60),SUMIF($A311:$A$2965,$A310&amp;"????",$D311:$D$2965),VLOOKUP(IF(LEN($A310)=4,$A310&amp;"01 1",$A310),GUS_tabl_21!$A$5:$F$4886,6,FALSE))))</f>
        <v>16130</v>
      </c>
    </row>
    <row r="311" spans="1:4" s="29" customFormat="1" ht="12" customHeight="1">
      <c r="A311" s="155" t="str">
        <f>"041202 2"</f>
        <v>041202 2</v>
      </c>
      <c r="B311" s="153" t="s">
        <v>46</v>
      </c>
      <c r="C311" s="156" t="str">
        <f>IF(OR($A311="",ISERROR(VALUE(LEFT($A311,6)))),"",IF(LEN($A311)=2,"WOJ. ",IF(LEN($A311)=4,IF(VALUE(RIGHT($A311,2))&gt;60,"","Powiat "),IF(VALUE(RIGHT($A311,1))=1,"m. ",IF(VALUE(RIGHT($A311,1))=2,"gm. w. ",IF(VALUE(RIGHT($A311,1))=8,"dz. ","gm. m.-w. ")))))&amp;IF(LEN($A311)=2,TRIM(UPPER(VLOOKUP($A311,GUS_tabl_1!$A$7:$B$22,2,FALSE))),IF(ISERROR(FIND("..",TRIM(VLOOKUP(IF(AND(LEN($A311)=4,VALUE(RIGHT($A311,2))&gt;60),$A311&amp;"01 1",$A311),IF(AND(LEN($A311)=4,VALUE(RIGHT($A311,2))&lt;60),GUS_tabl_2!$A$8:$B$464,GUS_tabl_21!$A$5:$B$4886),2,FALSE)))),TRIM(VLOOKUP(IF(AND(LEN($A311)=4,VALUE(RIGHT($A311,2))&gt;60),$A311&amp;"01 1",$A311),IF(AND(LEN($A311)=4,VALUE(RIGHT($A311,2))&lt;60),GUS_tabl_2!$A$8:$B$464,GUS_tabl_21!$A$5:$B$4886),2,FALSE)),LEFT(TRIM(VLOOKUP(IF(AND(LEN($A311)=4,VALUE(RIGHT($A311,2))&gt;60),$A311&amp;"01 1",$A311),IF(AND(LEN($A311)=4,VALUE(RIGHT($A311,2))&lt;60),GUS_tabl_2!$A$8:$B$464,GUS_tabl_21!$A$5:$B$4886),2,FALSE)),SUM(FIND("..",TRIM(VLOOKUP(IF(AND(LEN($A311)=4,VALUE(RIGHT($A311,2))&gt;60),$A311&amp;"01 1",$A311),IF(AND(LEN($A311)=4,VALUE(RIGHT($A311,2))&lt;60),GUS_tabl_2!$A$8:$B$464,GUS_tabl_21!$A$5:$B$4886),2,FALSE))),-1)))))</f>
        <v>gm. w. Brzuze</v>
      </c>
      <c r="D311" s="141">
        <f>IF(OR($A311="",ISERROR(VALUE(LEFT($A311,6)))),"",IF(LEN($A311)=2,SUMIF($A312:$A$2965,$A311&amp;"??",$D312:$D$2965),IF(AND(LEN($A311)=4,VALUE(RIGHT($A311,2))&lt;=60),SUMIF($A312:$A$2965,$A311&amp;"????",$D312:$D$2965),VLOOKUP(IF(LEN($A311)=4,$A311&amp;"01 1",$A311),GUS_tabl_21!$A$5:$F$4886,6,FALSE))))</f>
        <v>5287</v>
      </c>
    </row>
    <row r="312" spans="1:4" s="29" customFormat="1" ht="12" customHeight="1">
      <c r="A312" s="155" t="str">
        <f>"041203 2"</f>
        <v>041203 2</v>
      </c>
      <c r="B312" s="153" t="s">
        <v>46</v>
      </c>
      <c r="C312" s="156" t="str">
        <f>IF(OR($A312="",ISERROR(VALUE(LEFT($A312,6)))),"",IF(LEN($A312)=2,"WOJ. ",IF(LEN($A312)=4,IF(VALUE(RIGHT($A312,2))&gt;60,"","Powiat "),IF(VALUE(RIGHT($A312,1))=1,"m. ",IF(VALUE(RIGHT($A312,1))=2,"gm. w. ",IF(VALUE(RIGHT($A312,1))=8,"dz. ","gm. m.-w. ")))))&amp;IF(LEN($A312)=2,TRIM(UPPER(VLOOKUP($A312,GUS_tabl_1!$A$7:$B$22,2,FALSE))),IF(ISERROR(FIND("..",TRIM(VLOOKUP(IF(AND(LEN($A312)=4,VALUE(RIGHT($A312,2))&gt;60),$A312&amp;"01 1",$A312),IF(AND(LEN($A312)=4,VALUE(RIGHT($A312,2))&lt;60),GUS_tabl_2!$A$8:$B$464,GUS_tabl_21!$A$5:$B$4886),2,FALSE)))),TRIM(VLOOKUP(IF(AND(LEN($A312)=4,VALUE(RIGHT($A312,2))&gt;60),$A312&amp;"01 1",$A312),IF(AND(LEN($A312)=4,VALUE(RIGHT($A312,2))&lt;60),GUS_tabl_2!$A$8:$B$464,GUS_tabl_21!$A$5:$B$4886),2,FALSE)),LEFT(TRIM(VLOOKUP(IF(AND(LEN($A312)=4,VALUE(RIGHT($A312,2))&gt;60),$A312&amp;"01 1",$A312),IF(AND(LEN($A312)=4,VALUE(RIGHT($A312,2))&lt;60),GUS_tabl_2!$A$8:$B$464,GUS_tabl_21!$A$5:$B$4886),2,FALSE)),SUM(FIND("..",TRIM(VLOOKUP(IF(AND(LEN($A312)=4,VALUE(RIGHT($A312,2))&gt;60),$A312&amp;"01 1",$A312),IF(AND(LEN($A312)=4,VALUE(RIGHT($A312,2))&lt;60),GUS_tabl_2!$A$8:$B$464,GUS_tabl_21!$A$5:$B$4886),2,FALSE))),-1)))))</f>
        <v>gm. w. Rogowo</v>
      </c>
      <c r="D312" s="141">
        <f>IF(OR($A312="",ISERROR(VALUE(LEFT($A312,6)))),"",IF(LEN($A312)=2,SUMIF($A313:$A$2965,$A312&amp;"??",$D313:$D$2965),IF(AND(LEN($A312)=4,VALUE(RIGHT($A312,2))&lt;=60),SUMIF($A313:$A$2965,$A312&amp;"????",$D313:$D$2965),VLOOKUP(IF(LEN($A312)=4,$A312&amp;"01 1",$A312),GUS_tabl_21!$A$5:$F$4886,6,FALSE))))</f>
        <v>4765</v>
      </c>
    </row>
    <row r="313" spans="1:4" s="29" customFormat="1" ht="12" customHeight="1">
      <c r="A313" s="155" t="str">
        <f>"041204 2"</f>
        <v>041204 2</v>
      </c>
      <c r="B313" s="153" t="s">
        <v>46</v>
      </c>
      <c r="C313" s="156" t="str">
        <f>IF(OR($A313="",ISERROR(VALUE(LEFT($A313,6)))),"",IF(LEN($A313)=2,"WOJ. ",IF(LEN($A313)=4,IF(VALUE(RIGHT($A313,2))&gt;60,"","Powiat "),IF(VALUE(RIGHT($A313,1))=1,"m. ",IF(VALUE(RIGHT($A313,1))=2,"gm. w. ",IF(VALUE(RIGHT($A313,1))=8,"dz. ","gm. m.-w. ")))))&amp;IF(LEN($A313)=2,TRIM(UPPER(VLOOKUP($A313,GUS_tabl_1!$A$7:$B$22,2,FALSE))),IF(ISERROR(FIND("..",TRIM(VLOOKUP(IF(AND(LEN($A313)=4,VALUE(RIGHT($A313,2))&gt;60),$A313&amp;"01 1",$A313),IF(AND(LEN($A313)=4,VALUE(RIGHT($A313,2))&lt;60),GUS_tabl_2!$A$8:$B$464,GUS_tabl_21!$A$5:$B$4886),2,FALSE)))),TRIM(VLOOKUP(IF(AND(LEN($A313)=4,VALUE(RIGHT($A313,2))&gt;60),$A313&amp;"01 1",$A313),IF(AND(LEN($A313)=4,VALUE(RIGHT($A313,2))&lt;60),GUS_tabl_2!$A$8:$B$464,GUS_tabl_21!$A$5:$B$4886),2,FALSE)),LEFT(TRIM(VLOOKUP(IF(AND(LEN($A313)=4,VALUE(RIGHT($A313,2))&gt;60),$A313&amp;"01 1",$A313),IF(AND(LEN($A313)=4,VALUE(RIGHT($A313,2))&lt;60),GUS_tabl_2!$A$8:$B$464,GUS_tabl_21!$A$5:$B$4886),2,FALSE)),SUM(FIND("..",TRIM(VLOOKUP(IF(AND(LEN($A313)=4,VALUE(RIGHT($A313,2))&gt;60),$A313&amp;"01 1",$A313),IF(AND(LEN($A313)=4,VALUE(RIGHT($A313,2))&lt;60),GUS_tabl_2!$A$8:$B$464,GUS_tabl_21!$A$5:$B$4886),2,FALSE))),-1)))))</f>
        <v>gm. w. Rypin</v>
      </c>
      <c r="D313" s="141">
        <f>IF(OR($A313="",ISERROR(VALUE(LEFT($A313,6)))),"",IF(LEN($A313)=2,SUMIF($A314:$A$2965,$A313&amp;"??",$D314:$D$2965),IF(AND(LEN($A313)=4,VALUE(RIGHT($A313,2))&lt;=60),SUMIF($A314:$A$2965,$A313&amp;"????",$D314:$D$2965),VLOOKUP(IF(LEN($A313)=4,$A313&amp;"01 1",$A313),GUS_tabl_21!$A$5:$F$4886,6,FALSE))))</f>
        <v>7492</v>
      </c>
    </row>
    <row r="314" spans="1:4" s="29" customFormat="1" ht="12" customHeight="1">
      <c r="A314" s="155" t="str">
        <f>"041205 2"</f>
        <v>041205 2</v>
      </c>
      <c r="B314" s="153" t="s">
        <v>46</v>
      </c>
      <c r="C314" s="156" t="str">
        <f>IF(OR($A314="",ISERROR(VALUE(LEFT($A314,6)))),"",IF(LEN($A314)=2,"WOJ. ",IF(LEN($A314)=4,IF(VALUE(RIGHT($A314,2))&gt;60,"","Powiat "),IF(VALUE(RIGHT($A314,1))=1,"m. ",IF(VALUE(RIGHT($A314,1))=2,"gm. w. ",IF(VALUE(RIGHT($A314,1))=8,"dz. ","gm. m.-w. ")))))&amp;IF(LEN($A314)=2,TRIM(UPPER(VLOOKUP($A314,GUS_tabl_1!$A$7:$B$22,2,FALSE))),IF(ISERROR(FIND("..",TRIM(VLOOKUP(IF(AND(LEN($A314)=4,VALUE(RIGHT($A314,2))&gt;60),$A314&amp;"01 1",$A314),IF(AND(LEN($A314)=4,VALUE(RIGHT($A314,2))&lt;60),GUS_tabl_2!$A$8:$B$464,GUS_tabl_21!$A$5:$B$4886),2,FALSE)))),TRIM(VLOOKUP(IF(AND(LEN($A314)=4,VALUE(RIGHT($A314,2))&gt;60),$A314&amp;"01 1",$A314),IF(AND(LEN($A314)=4,VALUE(RIGHT($A314,2))&lt;60),GUS_tabl_2!$A$8:$B$464,GUS_tabl_21!$A$5:$B$4886),2,FALSE)),LEFT(TRIM(VLOOKUP(IF(AND(LEN($A314)=4,VALUE(RIGHT($A314,2))&gt;60),$A314&amp;"01 1",$A314),IF(AND(LEN($A314)=4,VALUE(RIGHT($A314,2))&lt;60),GUS_tabl_2!$A$8:$B$464,GUS_tabl_21!$A$5:$B$4886),2,FALSE)),SUM(FIND("..",TRIM(VLOOKUP(IF(AND(LEN($A314)=4,VALUE(RIGHT($A314,2))&gt;60),$A314&amp;"01 1",$A314),IF(AND(LEN($A314)=4,VALUE(RIGHT($A314,2))&lt;60),GUS_tabl_2!$A$8:$B$464,GUS_tabl_21!$A$5:$B$4886),2,FALSE))),-1)))))</f>
        <v>gm. w. Skrwilno</v>
      </c>
      <c r="D314" s="141">
        <f>IF(OR($A314="",ISERROR(VALUE(LEFT($A314,6)))),"",IF(LEN($A314)=2,SUMIF($A315:$A$2965,$A314&amp;"??",$D315:$D$2965),IF(AND(LEN($A314)=4,VALUE(RIGHT($A314,2))&lt;=60),SUMIF($A315:$A$2965,$A314&amp;"????",$D315:$D$2965),VLOOKUP(IF(LEN($A314)=4,$A314&amp;"01 1",$A314),GUS_tabl_21!$A$5:$F$4886,6,FALSE))))</f>
        <v>5845</v>
      </c>
    </row>
    <row r="315" spans="1:4" s="29" customFormat="1" ht="12" customHeight="1">
      <c r="A315" s="155" t="str">
        <f>"041206 2"</f>
        <v>041206 2</v>
      </c>
      <c r="B315" s="153" t="s">
        <v>46</v>
      </c>
      <c r="C315" s="156" t="str">
        <f>IF(OR($A315="",ISERROR(VALUE(LEFT($A315,6)))),"",IF(LEN($A315)=2,"WOJ. ",IF(LEN($A315)=4,IF(VALUE(RIGHT($A315,2))&gt;60,"","Powiat "),IF(VALUE(RIGHT($A315,1))=1,"m. ",IF(VALUE(RIGHT($A315,1))=2,"gm. w. ",IF(VALUE(RIGHT($A315,1))=8,"dz. ","gm. m.-w. ")))))&amp;IF(LEN($A315)=2,TRIM(UPPER(VLOOKUP($A315,GUS_tabl_1!$A$7:$B$22,2,FALSE))),IF(ISERROR(FIND("..",TRIM(VLOOKUP(IF(AND(LEN($A315)=4,VALUE(RIGHT($A315,2))&gt;60),$A315&amp;"01 1",$A315),IF(AND(LEN($A315)=4,VALUE(RIGHT($A315,2))&lt;60),GUS_tabl_2!$A$8:$B$464,GUS_tabl_21!$A$5:$B$4886),2,FALSE)))),TRIM(VLOOKUP(IF(AND(LEN($A315)=4,VALUE(RIGHT($A315,2))&gt;60),$A315&amp;"01 1",$A315),IF(AND(LEN($A315)=4,VALUE(RIGHT($A315,2))&lt;60),GUS_tabl_2!$A$8:$B$464,GUS_tabl_21!$A$5:$B$4886),2,FALSE)),LEFT(TRIM(VLOOKUP(IF(AND(LEN($A315)=4,VALUE(RIGHT($A315,2))&gt;60),$A315&amp;"01 1",$A315),IF(AND(LEN($A315)=4,VALUE(RIGHT($A315,2))&lt;60),GUS_tabl_2!$A$8:$B$464,GUS_tabl_21!$A$5:$B$4886),2,FALSE)),SUM(FIND("..",TRIM(VLOOKUP(IF(AND(LEN($A315)=4,VALUE(RIGHT($A315,2))&gt;60),$A315&amp;"01 1",$A315),IF(AND(LEN($A315)=4,VALUE(RIGHT($A315,2))&lt;60),GUS_tabl_2!$A$8:$B$464,GUS_tabl_21!$A$5:$B$4886),2,FALSE))),-1)))))</f>
        <v>gm. w. Wąpielsk</v>
      </c>
      <c r="D315" s="141">
        <f>IF(OR($A315="",ISERROR(VALUE(LEFT($A315,6)))),"",IF(LEN($A315)=2,SUMIF($A316:$A$2965,$A315&amp;"??",$D316:$D$2965),IF(AND(LEN($A315)=4,VALUE(RIGHT($A315,2))&lt;=60),SUMIF($A316:$A$2965,$A315&amp;"????",$D316:$D$2965),VLOOKUP(IF(LEN($A315)=4,$A315&amp;"01 1",$A315),GUS_tabl_21!$A$5:$F$4886,6,FALSE))))</f>
        <v>3967</v>
      </c>
    </row>
    <row r="316" spans="1:4" s="29" customFormat="1" ht="12" customHeight="1">
      <c r="A316" s="152" t="str">
        <f>"0413"</f>
        <v>0413</v>
      </c>
      <c r="B316" s="153" t="s">
        <v>46</v>
      </c>
      <c r="C316" s="154" t="str">
        <f>IF(OR($A316="",ISERROR(VALUE(LEFT($A316,6)))),"",IF(LEN($A316)=2,"WOJ. ",IF(LEN($A316)=4,IF(VALUE(RIGHT($A316,2))&gt;60,"","Powiat "),IF(VALUE(RIGHT($A316,1))=1,"m. ",IF(VALUE(RIGHT($A316,1))=2,"gm. w. ",IF(VALUE(RIGHT($A316,1))=8,"dz. ","gm. m.-w. ")))))&amp;IF(LEN($A316)=2,TRIM(UPPER(VLOOKUP($A316,GUS_tabl_1!$A$7:$B$22,2,FALSE))),IF(ISERROR(FIND("..",TRIM(VLOOKUP(IF(AND(LEN($A316)=4,VALUE(RIGHT($A316,2))&gt;60),$A316&amp;"01 1",$A316),IF(AND(LEN($A316)=4,VALUE(RIGHT($A316,2))&lt;60),GUS_tabl_2!$A$8:$B$464,GUS_tabl_21!$A$5:$B$4886),2,FALSE)))),TRIM(VLOOKUP(IF(AND(LEN($A316)=4,VALUE(RIGHT($A316,2))&gt;60),$A316&amp;"01 1",$A316),IF(AND(LEN($A316)=4,VALUE(RIGHT($A316,2))&lt;60),GUS_tabl_2!$A$8:$B$464,GUS_tabl_21!$A$5:$B$4886),2,FALSE)),LEFT(TRIM(VLOOKUP(IF(AND(LEN($A316)=4,VALUE(RIGHT($A316,2))&gt;60),$A316&amp;"01 1",$A316),IF(AND(LEN($A316)=4,VALUE(RIGHT($A316,2))&lt;60),GUS_tabl_2!$A$8:$B$464,GUS_tabl_21!$A$5:$B$4886),2,FALSE)),SUM(FIND("..",TRIM(VLOOKUP(IF(AND(LEN($A316)=4,VALUE(RIGHT($A316,2))&gt;60),$A316&amp;"01 1",$A316),IF(AND(LEN($A316)=4,VALUE(RIGHT($A316,2))&lt;60),GUS_tabl_2!$A$8:$B$464,GUS_tabl_21!$A$5:$B$4886),2,FALSE))),-1)))))</f>
        <v>Powiat sępoleński</v>
      </c>
      <c r="D316" s="140">
        <f>IF(OR($A316="",ISERROR(VALUE(LEFT($A316,6)))),"",IF(LEN($A316)=2,SUMIF($A317:$A$2965,$A316&amp;"??",$D317:$D$2965),IF(AND(LEN($A316)=4,VALUE(RIGHT($A316,2))&lt;=60),SUMIF($A317:$A$2965,$A316&amp;"????",$D317:$D$2965),VLOOKUP(IF(LEN($A316)=4,$A316&amp;"01 1",$A316),GUS_tabl_21!$A$5:$F$4886,6,FALSE))))</f>
        <v>41056</v>
      </c>
    </row>
    <row r="317" spans="1:4" s="29" customFormat="1" ht="12" customHeight="1">
      <c r="A317" s="155" t="str">
        <f>"041301 3"</f>
        <v>041301 3</v>
      </c>
      <c r="B317" s="153" t="s">
        <v>46</v>
      </c>
      <c r="C317" s="156" t="str">
        <f>IF(OR($A317="",ISERROR(VALUE(LEFT($A317,6)))),"",IF(LEN($A317)=2,"WOJ. ",IF(LEN($A317)=4,IF(VALUE(RIGHT($A317,2))&gt;60,"","Powiat "),IF(VALUE(RIGHT($A317,1))=1,"m. ",IF(VALUE(RIGHT($A317,1))=2,"gm. w. ",IF(VALUE(RIGHT($A317,1))=8,"dz. ","gm. m.-w. ")))))&amp;IF(LEN($A317)=2,TRIM(UPPER(VLOOKUP($A317,GUS_tabl_1!$A$7:$B$22,2,FALSE))),IF(ISERROR(FIND("..",TRIM(VLOOKUP(IF(AND(LEN($A317)=4,VALUE(RIGHT($A317,2))&gt;60),$A317&amp;"01 1",$A317),IF(AND(LEN($A317)=4,VALUE(RIGHT($A317,2))&lt;60),GUS_tabl_2!$A$8:$B$464,GUS_tabl_21!$A$5:$B$4886),2,FALSE)))),TRIM(VLOOKUP(IF(AND(LEN($A317)=4,VALUE(RIGHT($A317,2))&gt;60),$A317&amp;"01 1",$A317),IF(AND(LEN($A317)=4,VALUE(RIGHT($A317,2))&lt;60),GUS_tabl_2!$A$8:$B$464,GUS_tabl_21!$A$5:$B$4886),2,FALSE)),LEFT(TRIM(VLOOKUP(IF(AND(LEN($A317)=4,VALUE(RIGHT($A317,2))&gt;60),$A317&amp;"01 1",$A317),IF(AND(LEN($A317)=4,VALUE(RIGHT($A317,2))&lt;60),GUS_tabl_2!$A$8:$B$464,GUS_tabl_21!$A$5:$B$4886),2,FALSE)),SUM(FIND("..",TRIM(VLOOKUP(IF(AND(LEN($A317)=4,VALUE(RIGHT($A317,2))&gt;60),$A317&amp;"01 1",$A317),IF(AND(LEN($A317)=4,VALUE(RIGHT($A317,2))&lt;60),GUS_tabl_2!$A$8:$B$464,GUS_tabl_21!$A$5:$B$4886),2,FALSE))),-1)))))</f>
        <v>gm. m.-w. Kamień Krajeński</v>
      </c>
      <c r="D317" s="141">
        <f>IF(OR($A317="",ISERROR(VALUE(LEFT($A317,6)))),"",IF(LEN($A317)=2,SUMIF($A318:$A$2965,$A317&amp;"??",$D318:$D$2965),IF(AND(LEN($A317)=4,VALUE(RIGHT($A317,2))&lt;=60),SUMIF($A318:$A$2965,$A317&amp;"????",$D318:$D$2965),VLOOKUP(IF(LEN($A317)=4,$A317&amp;"01 1",$A317),GUS_tabl_21!$A$5:$F$4886,6,FALSE))))</f>
        <v>6906</v>
      </c>
    </row>
    <row r="318" spans="1:4" s="29" customFormat="1" ht="12" customHeight="1">
      <c r="A318" s="155" t="str">
        <f>"041302 3"</f>
        <v>041302 3</v>
      </c>
      <c r="B318" s="153" t="s">
        <v>46</v>
      </c>
      <c r="C318" s="156" t="str">
        <f>IF(OR($A318="",ISERROR(VALUE(LEFT($A318,6)))),"",IF(LEN($A318)=2,"WOJ. ",IF(LEN($A318)=4,IF(VALUE(RIGHT($A318,2))&gt;60,"","Powiat "),IF(VALUE(RIGHT($A318,1))=1,"m. ",IF(VALUE(RIGHT($A318,1))=2,"gm. w. ",IF(VALUE(RIGHT($A318,1))=8,"dz. ","gm. m.-w. ")))))&amp;IF(LEN($A318)=2,TRIM(UPPER(VLOOKUP($A318,GUS_tabl_1!$A$7:$B$22,2,FALSE))),IF(ISERROR(FIND("..",TRIM(VLOOKUP(IF(AND(LEN($A318)=4,VALUE(RIGHT($A318,2))&gt;60),$A318&amp;"01 1",$A318),IF(AND(LEN($A318)=4,VALUE(RIGHT($A318,2))&lt;60),GUS_tabl_2!$A$8:$B$464,GUS_tabl_21!$A$5:$B$4886),2,FALSE)))),TRIM(VLOOKUP(IF(AND(LEN($A318)=4,VALUE(RIGHT($A318,2))&gt;60),$A318&amp;"01 1",$A318),IF(AND(LEN($A318)=4,VALUE(RIGHT($A318,2))&lt;60),GUS_tabl_2!$A$8:$B$464,GUS_tabl_21!$A$5:$B$4886),2,FALSE)),LEFT(TRIM(VLOOKUP(IF(AND(LEN($A318)=4,VALUE(RIGHT($A318,2))&gt;60),$A318&amp;"01 1",$A318),IF(AND(LEN($A318)=4,VALUE(RIGHT($A318,2))&lt;60),GUS_tabl_2!$A$8:$B$464,GUS_tabl_21!$A$5:$B$4886),2,FALSE)),SUM(FIND("..",TRIM(VLOOKUP(IF(AND(LEN($A318)=4,VALUE(RIGHT($A318,2))&gt;60),$A318&amp;"01 1",$A318),IF(AND(LEN($A318)=4,VALUE(RIGHT($A318,2))&lt;60),GUS_tabl_2!$A$8:$B$464,GUS_tabl_21!$A$5:$B$4886),2,FALSE))),-1)))))</f>
        <v>gm. m.-w. Sępólno Krajeńskie</v>
      </c>
      <c r="D318" s="141">
        <f>IF(OR($A318="",ISERROR(VALUE(LEFT($A318,6)))),"",IF(LEN($A318)=2,SUMIF($A319:$A$2965,$A318&amp;"??",$D319:$D$2965),IF(AND(LEN($A318)=4,VALUE(RIGHT($A318,2))&lt;=60),SUMIF($A319:$A$2965,$A318&amp;"????",$D319:$D$2965),VLOOKUP(IF(LEN($A318)=4,$A318&amp;"01 1",$A318),GUS_tabl_21!$A$5:$F$4886,6,FALSE))))</f>
        <v>15803</v>
      </c>
    </row>
    <row r="319" spans="1:4" s="29" customFormat="1" ht="12" customHeight="1">
      <c r="A319" s="155" t="str">
        <f>"041303 2"</f>
        <v>041303 2</v>
      </c>
      <c r="B319" s="153" t="s">
        <v>46</v>
      </c>
      <c r="C319" s="156" t="str">
        <f>IF(OR($A319="",ISERROR(VALUE(LEFT($A319,6)))),"",IF(LEN($A319)=2,"WOJ. ",IF(LEN($A319)=4,IF(VALUE(RIGHT($A319,2))&gt;60,"","Powiat "),IF(VALUE(RIGHT($A319,1))=1,"m. ",IF(VALUE(RIGHT($A319,1))=2,"gm. w. ",IF(VALUE(RIGHT($A319,1))=8,"dz. ","gm. m.-w. ")))))&amp;IF(LEN($A319)=2,TRIM(UPPER(VLOOKUP($A319,GUS_tabl_1!$A$7:$B$22,2,FALSE))),IF(ISERROR(FIND("..",TRIM(VLOOKUP(IF(AND(LEN($A319)=4,VALUE(RIGHT($A319,2))&gt;60),$A319&amp;"01 1",$A319),IF(AND(LEN($A319)=4,VALUE(RIGHT($A319,2))&lt;60),GUS_tabl_2!$A$8:$B$464,GUS_tabl_21!$A$5:$B$4886),2,FALSE)))),TRIM(VLOOKUP(IF(AND(LEN($A319)=4,VALUE(RIGHT($A319,2))&gt;60),$A319&amp;"01 1",$A319),IF(AND(LEN($A319)=4,VALUE(RIGHT($A319,2))&lt;60),GUS_tabl_2!$A$8:$B$464,GUS_tabl_21!$A$5:$B$4886),2,FALSE)),LEFT(TRIM(VLOOKUP(IF(AND(LEN($A319)=4,VALUE(RIGHT($A319,2))&gt;60),$A319&amp;"01 1",$A319),IF(AND(LEN($A319)=4,VALUE(RIGHT($A319,2))&lt;60),GUS_tabl_2!$A$8:$B$464,GUS_tabl_21!$A$5:$B$4886),2,FALSE)),SUM(FIND("..",TRIM(VLOOKUP(IF(AND(LEN($A319)=4,VALUE(RIGHT($A319,2))&gt;60),$A319&amp;"01 1",$A319),IF(AND(LEN($A319)=4,VALUE(RIGHT($A319,2))&lt;60),GUS_tabl_2!$A$8:$B$464,GUS_tabl_21!$A$5:$B$4886),2,FALSE))),-1)))))</f>
        <v>gm. w. Sośno</v>
      </c>
      <c r="D319" s="141">
        <f>IF(OR($A319="",ISERROR(VALUE(LEFT($A319,6)))),"",IF(LEN($A319)=2,SUMIF($A320:$A$2965,$A319&amp;"??",$D320:$D$2965),IF(AND(LEN($A319)=4,VALUE(RIGHT($A319,2))&lt;=60),SUMIF($A320:$A$2965,$A319&amp;"????",$D320:$D$2965),VLOOKUP(IF(LEN($A319)=4,$A319&amp;"01 1",$A319),GUS_tabl_21!$A$5:$F$4886,6,FALSE))))</f>
        <v>4983</v>
      </c>
    </row>
    <row r="320" spans="1:4" s="29" customFormat="1" ht="12" customHeight="1">
      <c r="A320" s="155" t="str">
        <f>"041304 3"</f>
        <v>041304 3</v>
      </c>
      <c r="B320" s="153" t="s">
        <v>46</v>
      </c>
      <c r="C320" s="156" t="str">
        <f>IF(OR($A320="",ISERROR(VALUE(LEFT($A320,6)))),"",IF(LEN($A320)=2,"WOJ. ",IF(LEN($A320)=4,IF(VALUE(RIGHT($A320,2))&gt;60,"","Powiat "),IF(VALUE(RIGHT($A320,1))=1,"m. ",IF(VALUE(RIGHT($A320,1))=2,"gm. w. ",IF(VALUE(RIGHT($A320,1))=8,"dz. ","gm. m.-w. ")))))&amp;IF(LEN($A320)=2,TRIM(UPPER(VLOOKUP($A320,GUS_tabl_1!$A$7:$B$22,2,FALSE))),IF(ISERROR(FIND("..",TRIM(VLOOKUP(IF(AND(LEN($A320)=4,VALUE(RIGHT($A320,2))&gt;60),$A320&amp;"01 1",$A320),IF(AND(LEN($A320)=4,VALUE(RIGHT($A320,2))&lt;60),GUS_tabl_2!$A$8:$B$464,GUS_tabl_21!$A$5:$B$4886),2,FALSE)))),TRIM(VLOOKUP(IF(AND(LEN($A320)=4,VALUE(RIGHT($A320,2))&gt;60),$A320&amp;"01 1",$A320),IF(AND(LEN($A320)=4,VALUE(RIGHT($A320,2))&lt;60),GUS_tabl_2!$A$8:$B$464,GUS_tabl_21!$A$5:$B$4886),2,FALSE)),LEFT(TRIM(VLOOKUP(IF(AND(LEN($A320)=4,VALUE(RIGHT($A320,2))&gt;60),$A320&amp;"01 1",$A320),IF(AND(LEN($A320)=4,VALUE(RIGHT($A320,2))&lt;60),GUS_tabl_2!$A$8:$B$464,GUS_tabl_21!$A$5:$B$4886),2,FALSE)),SUM(FIND("..",TRIM(VLOOKUP(IF(AND(LEN($A320)=4,VALUE(RIGHT($A320,2))&gt;60),$A320&amp;"01 1",$A320),IF(AND(LEN($A320)=4,VALUE(RIGHT($A320,2))&lt;60),GUS_tabl_2!$A$8:$B$464,GUS_tabl_21!$A$5:$B$4886),2,FALSE))),-1)))))</f>
        <v>gm. m.-w. Więcbork</v>
      </c>
      <c r="D320" s="141">
        <f>IF(OR($A320="",ISERROR(VALUE(LEFT($A320,6)))),"",IF(LEN($A320)=2,SUMIF($A321:$A$2965,$A320&amp;"??",$D321:$D$2965),IF(AND(LEN($A320)=4,VALUE(RIGHT($A320,2))&lt;=60),SUMIF($A321:$A$2965,$A320&amp;"????",$D321:$D$2965),VLOOKUP(IF(LEN($A320)=4,$A320&amp;"01 1",$A320),GUS_tabl_21!$A$5:$F$4886,6,FALSE))))</f>
        <v>13364</v>
      </c>
    </row>
    <row r="321" spans="1:4" s="29" customFormat="1" ht="12" customHeight="1">
      <c r="A321" s="152" t="str">
        <f>"0414"</f>
        <v>0414</v>
      </c>
      <c r="B321" s="153" t="s">
        <v>46</v>
      </c>
      <c r="C321" s="154" t="str">
        <f>IF(OR($A321="",ISERROR(VALUE(LEFT($A321,6)))),"",IF(LEN($A321)=2,"WOJ. ",IF(LEN($A321)=4,IF(VALUE(RIGHT($A321,2))&gt;60,"","Powiat "),IF(VALUE(RIGHT($A321,1))=1,"m. ",IF(VALUE(RIGHT($A321,1))=2,"gm. w. ",IF(VALUE(RIGHT($A321,1))=8,"dz. ","gm. m.-w. ")))))&amp;IF(LEN($A321)=2,TRIM(UPPER(VLOOKUP($A321,GUS_tabl_1!$A$7:$B$22,2,FALSE))),IF(ISERROR(FIND("..",TRIM(VLOOKUP(IF(AND(LEN($A321)=4,VALUE(RIGHT($A321,2))&gt;60),$A321&amp;"01 1",$A321),IF(AND(LEN($A321)=4,VALUE(RIGHT($A321,2))&lt;60),GUS_tabl_2!$A$8:$B$464,GUS_tabl_21!$A$5:$B$4886),2,FALSE)))),TRIM(VLOOKUP(IF(AND(LEN($A321)=4,VALUE(RIGHT($A321,2))&gt;60),$A321&amp;"01 1",$A321),IF(AND(LEN($A321)=4,VALUE(RIGHT($A321,2))&lt;60),GUS_tabl_2!$A$8:$B$464,GUS_tabl_21!$A$5:$B$4886),2,FALSE)),LEFT(TRIM(VLOOKUP(IF(AND(LEN($A321)=4,VALUE(RIGHT($A321,2))&gt;60),$A321&amp;"01 1",$A321),IF(AND(LEN($A321)=4,VALUE(RIGHT($A321,2))&lt;60),GUS_tabl_2!$A$8:$B$464,GUS_tabl_21!$A$5:$B$4886),2,FALSE)),SUM(FIND("..",TRIM(VLOOKUP(IF(AND(LEN($A321)=4,VALUE(RIGHT($A321,2))&gt;60),$A321&amp;"01 1",$A321),IF(AND(LEN($A321)=4,VALUE(RIGHT($A321,2))&lt;60),GUS_tabl_2!$A$8:$B$464,GUS_tabl_21!$A$5:$B$4886),2,FALSE))),-1)))))</f>
        <v>Powiat świecki</v>
      </c>
      <c r="D321" s="140">
        <f>IF(OR($A321="",ISERROR(VALUE(LEFT($A321,6)))),"",IF(LEN($A321)=2,SUMIF($A322:$A$2965,$A321&amp;"??",$D322:$D$2965),IF(AND(LEN($A321)=4,VALUE(RIGHT($A321,2))&lt;=60),SUMIF($A322:$A$2965,$A321&amp;"????",$D322:$D$2965),VLOOKUP(IF(LEN($A321)=4,$A321&amp;"01 1",$A321),GUS_tabl_21!$A$5:$F$4886,6,FALSE))))</f>
        <v>98952</v>
      </c>
    </row>
    <row r="322" spans="1:4" s="29" customFormat="1" ht="12" customHeight="1">
      <c r="A322" s="155" t="str">
        <f>"041401 2"</f>
        <v>041401 2</v>
      </c>
      <c r="B322" s="153" t="s">
        <v>46</v>
      </c>
      <c r="C322" s="156" t="str">
        <f>IF(OR($A322="",ISERROR(VALUE(LEFT($A322,6)))),"",IF(LEN($A322)=2,"WOJ. ",IF(LEN($A322)=4,IF(VALUE(RIGHT($A322,2))&gt;60,"","Powiat "),IF(VALUE(RIGHT($A322,1))=1,"m. ",IF(VALUE(RIGHT($A322,1))=2,"gm. w. ",IF(VALUE(RIGHT($A322,1))=8,"dz. ","gm. m.-w. ")))))&amp;IF(LEN($A322)=2,TRIM(UPPER(VLOOKUP($A322,GUS_tabl_1!$A$7:$B$22,2,FALSE))),IF(ISERROR(FIND("..",TRIM(VLOOKUP(IF(AND(LEN($A322)=4,VALUE(RIGHT($A322,2))&gt;60),$A322&amp;"01 1",$A322),IF(AND(LEN($A322)=4,VALUE(RIGHT($A322,2))&lt;60),GUS_tabl_2!$A$8:$B$464,GUS_tabl_21!$A$5:$B$4886),2,FALSE)))),TRIM(VLOOKUP(IF(AND(LEN($A322)=4,VALUE(RIGHT($A322,2))&gt;60),$A322&amp;"01 1",$A322),IF(AND(LEN($A322)=4,VALUE(RIGHT($A322,2))&lt;60),GUS_tabl_2!$A$8:$B$464,GUS_tabl_21!$A$5:$B$4886),2,FALSE)),LEFT(TRIM(VLOOKUP(IF(AND(LEN($A322)=4,VALUE(RIGHT($A322,2))&gt;60),$A322&amp;"01 1",$A322),IF(AND(LEN($A322)=4,VALUE(RIGHT($A322,2))&lt;60),GUS_tabl_2!$A$8:$B$464,GUS_tabl_21!$A$5:$B$4886),2,FALSE)),SUM(FIND("..",TRIM(VLOOKUP(IF(AND(LEN($A322)=4,VALUE(RIGHT($A322,2))&gt;60),$A322&amp;"01 1",$A322),IF(AND(LEN($A322)=4,VALUE(RIGHT($A322,2))&lt;60),GUS_tabl_2!$A$8:$B$464,GUS_tabl_21!$A$5:$B$4886),2,FALSE))),-1)))))</f>
        <v>gm. w. Bukowiec</v>
      </c>
      <c r="D322" s="141">
        <f>IF(OR($A322="",ISERROR(VALUE(LEFT($A322,6)))),"",IF(LEN($A322)=2,SUMIF($A323:$A$2965,$A322&amp;"??",$D323:$D$2965),IF(AND(LEN($A322)=4,VALUE(RIGHT($A322,2))&lt;=60),SUMIF($A323:$A$2965,$A322&amp;"????",$D323:$D$2965),VLOOKUP(IF(LEN($A322)=4,$A322&amp;"01 1",$A322),GUS_tabl_21!$A$5:$F$4886,6,FALSE))))</f>
        <v>5138</v>
      </c>
    </row>
    <row r="323" spans="1:4" s="29" customFormat="1" ht="12" customHeight="1">
      <c r="A323" s="155" t="str">
        <f>"041402 2"</f>
        <v>041402 2</v>
      </c>
      <c r="B323" s="153" t="s">
        <v>46</v>
      </c>
      <c r="C323" s="156" t="str">
        <f>IF(OR($A323="",ISERROR(VALUE(LEFT($A323,6)))),"",IF(LEN($A323)=2,"WOJ. ",IF(LEN($A323)=4,IF(VALUE(RIGHT($A323,2))&gt;60,"","Powiat "),IF(VALUE(RIGHT($A323,1))=1,"m. ",IF(VALUE(RIGHT($A323,1))=2,"gm. w. ",IF(VALUE(RIGHT($A323,1))=8,"dz. ","gm. m.-w. ")))))&amp;IF(LEN($A323)=2,TRIM(UPPER(VLOOKUP($A323,GUS_tabl_1!$A$7:$B$22,2,FALSE))),IF(ISERROR(FIND("..",TRIM(VLOOKUP(IF(AND(LEN($A323)=4,VALUE(RIGHT($A323,2))&gt;60),$A323&amp;"01 1",$A323),IF(AND(LEN($A323)=4,VALUE(RIGHT($A323,2))&lt;60),GUS_tabl_2!$A$8:$B$464,GUS_tabl_21!$A$5:$B$4886),2,FALSE)))),TRIM(VLOOKUP(IF(AND(LEN($A323)=4,VALUE(RIGHT($A323,2))&gt;60),$A323&amp;"01 1",$A323),IF(AND(LEN($A323)=4,VALUE(RIGHT($A323,2))&lt;60),GUS_tabl_2!$A$8:$B$464,GUS_tabl_21!$A$5:$B$4886),2,FALSE)),LEFT(TRIM(VLOOKUP(IF(AND(LEN($A323)=4,VALUE(RIGHT($A323,2))&gt;60),$A323&amp;"01 1",$A323),IF(AND(LEN($A323)=4,VALUE(RIGHT($A323,2))&lt;60),GUS_tabl_2!$A$8:$B$464,GUS_tabl_21!$A$5:$B$4886),2,FALSE)),SUM(FIND("..",TRIM(VLOOKUP(IF(AND(LEN($A323)=4,VALUE(RIGHT($A323,2))&gt;60),$A323&amp;"01 1",$A323),IF(AND(LEN($A323)=4,VALUE(RIGHT($A323,2))&lt;60),GUS_tabl_2!$A$8:$B$464,GUS_tabl_21!$A$5:$B$4886),2,FALSE))),-1)))))</f>
        <v>gm. w. Dragacz</v>
      </c>
      <c r="D323" s="141">
        <f>IF(OR($A323="",ISERROR(VALUE(LEFT($A323,6)))),"",IF(LEN($A323)=2,SUMIF($A324:$A$2965,$A323&amp;"??",$D324:$D$2965),IF(AND(LEN($A323)=4,VALUE(RIGHT($A323,2))&lt;=60),SUMIF($A324:$A$2965,$A323&amp;"????",$D324:$D$2965),VLOOKUP(IF(LEN($A323)=4,$A323&amp;"01 1",$A323),GUS_tabl_21!$A$5:$F$4886,6,FALSE))))</f>
        <v>7216</v>
      </c>
    </row>
    <row r="324" spans="1:4" s="29" customFormat="1" ht="12" customHeight="1">
      <c r="A324" s="155" t="str">
        <f>"041403 2"</f>
        <v>041403 2</v>
      </c>
      <c r="B324" s="153" t="s">
        <v>46</v>
      </c>
      <c r="C324" s="156" t="str">
        <f>IF(OR($A324="",ISERROR(VALUE(LEFT($A324,6)))),"",IF(LEN($A324)=2,"WOJ. ",IF(LEN($A324)=4,IF(VALUE(RIGHT($A324,2))&gt;60,"","Powiat "),IF(VALUE(RIGHT($A324,1))=1,"m. ",IF(VALUE(RIGHT($A324,1))=2,"gm. w. ",IF(VALUE(RIGHT($A324,1))=8,"dz. ","gm. m.-w. ")))))&amp;IF(LEN($A324)=2,TRIM(UPPER(VLOOKUP($A324,GUS_tabl_1!$A$7:$B$22,2,FALSE))),IF(ISERROR(FIND("..",TRIM(VLOOKUP(IF(AND(LEN($A324)=4,VALUE(RIGHT($A324,2))&gt;60),$A324&amp;"01 1",$A324),IF(AND(LEN($A324)=4,VALUE(RIGHT($A324,2))&lt;60),GUS_tabl_2!$A$8:$B$464,GUS_tabl_21!$A$5:$B$4886),2,FALSE)))),TRIM(VLOOKUP(IF(AND(LEN($A324)=4,VALUE(RIGHT($A324,2))&gt;60),$A324&amp;"01 1",$A324),IF(AND(LEN($A324)=4,VALUE(RIGHT($A324,2))&lt;60),GUS_tabl_2!$A$8:$B$464,GUS_tabl_21!$A$5:$B$4886),2,FALSE)),LEFT(TRIM(VLOOKUP(IF(AND(LEN($A324)=4,VALUE(RIGHT($A324,2))&gt;60),$A324&amp;"01 1",$A324),IF(AND(LEN($A324)=4,VALUE(RIGHT($A324,2))&lt;60),GUS_tabl_2!$A$8:$B$464,GUS_tabl_21!$A$5:$B$4886),2,FALSE)),SUM(FIND("..",TRIM(VLOOKUP(IF(AND(LEN($A324)=4,VALUE(RIGHT($A324,2))&gt;60),$A324&amp;"01 1",$A324),IF(AND(LEN($A324)=4,VALUE(RIGHT($A324,2))&lt;60),GUS_tabl_2!$A$8:$B$464,GUS_tabl_21!$A$5:$B$4886),2,FALSE))),-1)))))</f>
        <v>gm. w. Drzycim</v>
      </c>
      <c r="D324" s="141">
        <f>IF(OR($A324="",ISERROR(VALUE(LEFT($A324,6)))),"",IF(LEN($A324)=2,SUMIF($A325:$A$2965,$A324&amp;"??",$D325:$D$2965),IF(AND(LEN($A324)=4,VALUE(RIGHT($A324,2))&lt;=60),SUMIF($A325:$A$2965,$A324&amp;"????",$D325:$D$2965),VLOOKUP(IF(LEN($A324)=4,$A324&amp;"01 1",$A324),GUS_tabl_21!$A$5:$F$4886,6,FALSE))))</f>
        <v>4897</v>
      </c>
    </row>
    <row r="325" spans="1:4" s="29" customFormat="1" ht="12" customHeight="1">
      <c r="A325" s="155" t="str">
        <f>"041404 2"</f>
        <v>041404 2</v>
      </c>
      <c r="B325" s="153" t="s">
        <v>46</v>
      </c>
      <c r="C325" s="156" t="str">
        <f>IF(OR($A325="",ISERROR(VALUE(LEFT($A325,6)))),"",IF(LEN($A325)=2,"WOJ. ",IF(LEN($A325)=4,IF(VALUE(RIGHT($A325,2))&gt;60,"","Powiat "),IF(VALUE(RIGHT($A325,1))=1,"m. ",IF(VALUE(RIGHT($A325,1))=2,"gm. w. ",IF(VALUE(RIGHT($A325,1))=8,"dz. ","gm. m.-w. ")))))&amp;IF(LEN($A325)=2,TRIM(UPPER(VLOOKUP($A325,GUS_tabl_1!$A$7:$B$22,2,FALSE))),IF(ISERROR(FIND("..",TRIM(VLOOKUP(IF(AND(LEN($A325)=4,VALUE(RIGHT($A325,2))&gt;60),$A325&amp;"01 1",$A325),IF(AND(LEN($A325)=4,VALUE(RIGHT($A325,2))&lt;60),GUS_tabl_2!$A$8:$B$464,GUS_tabl_21!$A$5:$B$4886),2,FALSE)))),TRIM(VLOOKUP(IF(AND(LEN($A325)=4,VALUE(RIGHT($A325,2))&gt;60),$A325&amp;"01 1",$A325),IF(AND(LEN($A325)=4,VALUE(RIGHT($A325,2))&lt;60),GUS_tabl_2!$A$8:$B$464,GUS_tabl_21!$A$5:$B$4886),2,FALSE)),LEFT(TRIM(VLOOKUP(IF(AND(LEN($A325)=4,VALUE(RIGHT($A325,2))&gt;60),$A325&amp;"01 1",$A325),IF(AND(LEN($A325)=4,VALUE(RIGHT($A325,2))&lt;60),GUS_tabl_2!$A$8:$B$464,GUS_tabl_21!$A$5:$B$4886),2,FALSE)),SUM(FIND("..",TRIM(VLOOKUP(IF(AND(LEN($A325)=4,VALUE(RIGHT($A325,2))&gt;60),$A325&amp;"01 1",$A325),IF(AND(LEN($A325)=4,VALUE(RIGHT($A325,2))&lt;60),GUS_tabl_2!$A$8:$B$464,GUS_tabl_21!$A$5:$B$4886),2,FALSE))),-1)))))</f>
        <v>gm. w. Jeżewo</v>
      </c>
      <c r="D325" s="141">
        <f>IF(OR($A325="",ISERROR(VALUE(LEFT($A325,6)))),"",IF(LEN($A325)=2,SUMIF($A326:$A$2965,$A325&amp;"??",$D326:$D$2965),IF(AND(LEN($A325)=4,VALUE(RIGHT($A325,2))&lt;=60),SUMIF($A326:$A$2965,$A325&amp;"????",$D326:$D$2965),VLOOKUP(IF(LEN($A325)=4,$A325&amp;"01 1",$A325),GUS_tabl_21!$A$5:$F$4886,6,FALSE))))</f>
        <v>8074</v>
      </c>
    </row>
    <row r="326" spans="1:4" s="29" customFormat="1" ht="12" customHeight="1">
      <c r="A326" s="155" t="str">
        <f>"041405 2"</f>
        <v>041405 2</v>
      </c>
      <c r="B326" s="153" t="s">
        <v>46</v>
      </c>
      <c r="C326" s="156" t="str">
        <f>IF(OR($A326="",ISERROR(VALUE(LEFT($A326,6)))),"",IF(LEN($A326)=2,"WOJ. ",IF(LEN($A326)=4,IF(VALUE(RIGHT($A326,2))&gt;60,"","Powiat "),IF(VALUE(RIGHT($A326,1))=1,"m. ",IF(VALUE(RIGHT($A326,1))=2,"gm. w. ",IF(VALUE(RIGHT($A326,1))=8,"dz. ","gm. m.-w. ")))))&amp;IF(LEN($A326)=2,TRIM(UPPER(VLOOKUP($A326,GUS_tabl_1!$A$7:$B$22,2,FALSE))),IF(ISERROR(FIND("..",TRIM(VLOOKUP(IF(AND(LEN($A326)=4,VALUE(RIGHT($A326,2))&gt;60),$A326&amp;"01 1",$A326),IF(AND(LEN($A326)=4,VALUE(RIGHT($A326,2))&lt;60),GUS_tabl_2!$A$8:$B$464,GUS_tabl_21!$A$5:$B$4886),2,FALSE)))),TRIM(VLOOKUP(IF(AND(LEN($A326)=4,VALUE(RIGHT($A326,2))&gt;60),$A326&amp;"01 1",$A326),IF(AND(LEN($A326)=4,VALUE(RIGHT($A326,2))&lt;60),GUS_tabl_2!$A$8:$B$464,GUS_tabl_21!$A$5:$B$4886),2,FALSE)),LEFT(TRIM(VLOOKUP(IF(AND(LEN($A326)=4,VALUE(RIGHT($A326,2))&gt;60),$A326&amp;"01 1",$A326),IF(AND(LEN($A326)=4,VALUE(RIGHT($A326,2))&lt;60),GUS_tabl_2!$A$8:$B$464,GUS_tabl_21!$A$5:$B$4886),2,FALSE)),SUM(FIND("..",TRIM(VLOOKUP(IF(AND(LEN($A326)=4,VALUE(RIGHT($A326,2))&gt;60),$A326&amp;"01 1",$A326),IF(AND(LEN($A326)=4,VALUE(RIGHT($A326,2))&lt;60),GUS_tabl_2!$A$8:$B$464,GUS_tabl_21!$A$5:$B$4886),2,FALSE))),-1)))))</f>
        <v>gm. w. Lniano</v>
      </c>
      <c r="D326" s="141">
        <f>IF(OR($A326="",ISERROR(VALUE(LEFT($A326,6)))),"",IF(LEN($A326)=2,SUMIF($A327:$A$2965,$A326&amp;"??",$D327:$D$2965),IF(AND(LEN($A326)=4,VALUE(RIGHT($A326,2))&lt;=60),SUMIF($A327:$A$2965,$A326&amp;"????",$D327:$D$2965),VLOOKUP(IF(LEN($A326)=4,$A326&amp;"01 1",$A326),GUS_tabl_21!$A$5:$F$4886,6,FALSE))))</f>
        <v>4322</v>
      </c>
    </row>
    <row r="327" spans="1:4" s="29" customFormat="1" ht="12" customHeight="1">
      <c r="A327" s="155" t="str">
        <f>"041406 3"</f>
        <v>041406 3</v>
      </c>
      <c r="B327" s="153" t="s">
        <v>46</v>
      </c>
      <c r="C327" s="156" t="str">
        <f>IF(OR($A327="",ISERROR(VALUE(LEFT($A327,6)))),"",IF(LEN($A327)=2,"WOJ. ",IF(LEN($A327)=4,IF(VALUE(RIGHT($A327,2))&gt;60,"","Powiat "),IF(VALUE(RIGHT($A327,1))=1,"m. ",IF(VALUE(RIGHT($A327,1))=2,"gm. w. ",IF(VALUE(RIGHT($A327,1))=8,"dz. ","gm. m.-w. ")))))&amp;IF(LEN($A327)=2,TRIM(UPPER(VLOOKUP($A327,GUS_tabl_1!$A$7:$B$22,2,FALSE))),IF(ISERROR(FIND("..",TRIM(VLOOKUP(IF(AND(LEN($A327)=4,VALUE(RIGHT($A327,2))&gt;60),$A327&amp;"01 1",$A327),IF(AND(LEN($A327)=4,VALUE(RIGHT($A327,2))&lt;60),GUS_tabl_2!$A$8:$B$464,GUS_tabl_21!$A$5:$B$4886),2,FALSE)))),TRIM(VLOOKUP(IF(AND(LEN($A327)=4,VALUE(RIGHT($A327,2))&gt;60),$A327&amp;"01 1",$A327),IF(AND(LEN($A327)=4,VALUE(RIGHT($A327,2))&lt;60),GUS_tabl_2!$A$8:$B$464,GUS_tabl_21!$A$5:$B$4886),2,FALSE)),LEFT(TRIM(VLOOKUP(IF(AND(LEN($A327)=4,VALUE(RIGHT($A327,2))&gt;60),$A327&amp;"01 1",$A327),IF(AND(LEN($A327)=4,VALUE(RIGHT($A327,2))&lt;60),GUS_tabl_2!$A$8:$B$464,GUS_tabl_21!$A$5:$B$4886),2,FALSE)),SUM(FIND("..",TRIM(VLOOKUP(IF(AND(LEN($A327)=4,VALUE(RIGHT($A327,2))&gt;60),$A327&amp;"01 1",$A327),IF(AND(LEN($A327)=4,VALUE(RIGHT($A327,2))&lt;60),GUS_tabl_2!$A$8:$B$464,GUS_tabl_21!$A$5:$B$4886),2,FALSE))),-1)))))</f>
        <v>gm. m.-w. Nowe</v>
      </c>
      <c r="D327" s="141">
        <f>IF(OR($A327="",ISERROR(VALUE(LEFT($A327,6)))),"",IF(LEN($A327)=2,SUMIF($A328:$A$2965,$A327&amp;"??",$D328:$D$2965),IF(AND(LEN($A327)=4,VALUE(RIGHT($A327,2))&lt;=60),SUMIF($A328:$A$2965,$A327&amp;"????",$D328:$D$2965),VLOOKUP(IF(LEN($A327)=4,$A327&amp;"01 1",$A327),GUS_tabl_21!$A$5:$F$4886,6,FALSE))))</f>
        <v>10183</v>
      </c>
    </row>
    <row r="328" spans="1:4" s="29" customFormat="1" ht="12" customHeight="1">
      <c r="A328" s="155" t="str">
        <f>"041407 2"</f>
        <v>041407 2</v>
      </c>
      <c r="B328" s="153" t="s">
        <v>46</v>
      </c>
      <c r="C328" s="156" t="str">
        <f>IF(OR($A328="",ISERROR(VALUE(LEFT($A328,6)))),"",IF(LEN($A328)=2,"WOJ. ",IF(LEN($A328)=4,IF(VALUE(RIGHT($A328,2))&gt;60,"","Powiat "),IF(VALUE(RIGHT($A328,1))=1,"m. ",IF(VALUE(RIGHT($A328,1))=2,"gm. w. ",IF(VALUE(RIGHT($A328,1))=8,"dz. ","gm. m.-w. ")))))&amp;IF(LEN($A328)=2,TRIM(UPPER(VLOOKUP($A328,GUS_tabl_1!$A$7:$B$22,2,FALSE))),IF(ISERROR(FIND("..",TRIM(VLOOKUP(IF(AND(LEN($A328)=4,VALUE(RIGHT($A328,2))&gt;60),$A328&amp;"01 1",$A328),IF(AND(LEN($A328)=4,VALUE(RIGHT($A328,2))&lt;60),GUS_tabl_2!$A$8:$B$464,GUS_tabl_21!$A$5:$B$4886),2,FALSE)))),TRIM(VLOOKUP(IF(AND(LEN($A328)=4,VALUE(RIGHT($A328,2))&gt;60),$A328&amp;"01 1",$A328),IF(AND(LEN($A328)=4,VALUE(RIGHT($A328,2))&lt;60),GUS_tabl_2!$A$8:$B$464,GUS_tabl_21!$A$5:$B$4886),2,FALSE)),LEFT(TRIM(VLOOKUP(IF(AND(LEN($A328)=4,VALUE(RIGHT($A328,2))&gt;60),$A328&amp;"01 1",$A328),IF(AND(LEN($A328)=4,VALUE(RIGHT($A328,2))&lt;60),GUS_tabl_2!$A$8:$B$464,GUS_tabl_21!$A$5:$B$4886),2,FALSE)),SUM(FIND("..",TRIM(VLOOKUP(IF(AND(LEN($A328)=4,VALUE(RIGHT($A328,2))&gt;60),$A328&amp;"01 1",$A328),IF(AND(LEN($A328)=4,VALUE(RIGHT($A328,2))&lt;60),GUS_tabl_2!$A$8:$B$464,GUS_tabl_21!$A$5:$B$4886),2,FALSE))),-1)))))</f>
        <v>gm. w. Osie</v>
      </c>
      <c r="D328" s="141">
        <f>IF(OR($A328="",ISERROR(VALUE(LEFT($A328,6)))),"",IF(LEN($A328)=2,SUMIF($A329:$A$2965,$A328&amp;"??",$D329:$D$2965),IF(AND(LEN($A328)=4,VALUE(RIGHT($A328,2))&lt;=60),SUMIF($A329:$A$2965,$A328&amp;"????",$D329:$D$2965),VLOOKUP(IF(LEN($A328)=4,$A328&amp;"01 1",$A328),GUS_tabl_21!$A$5:$F$4886,6,FALSE))))</f>
        <v>5496</v>
      </c>
    </row>
    <row r="329" spans="1:4" s="29" customFormat="1" ht="12" customHeight="1">
      <c r="A329" s="155" t="str">
        <f>"041408 2"</f>
        <v>041408 2</v>
      </c>
      <c r="B329" s="153" t="s">
        <v>46</v>
      </c>
      <c r="C329" s="156" t="str">
        <f>IF(OR($A329="",ISERROR(VALUE(LEFT($A329,6)))),"",IF(LEN($A329)=2,"WOJ. ",IF(LEN($A329)=4,IF(VALUE(RIGHT($A329,2))&gt;60,"","Powiat "),IF(VALUE(RIGHT($A329,1))=1,"m. ",IF(VALUE(RIGHT($A329,1))=2,"gm. w. ",IF(VALUE(RIGHT($A329,1))=8,"dz. ","gm. m.-w. ")))))&amp;IF(LEN($A329)=2,TRIM(UPPER(VLOOKUP($A329,GUS_tabl_1!$A$7:$B$22,2,FALSE))),IF(ISERROR(FIND("..",TRIM(VLOOKUP(IF(AND(LEN($A329)=4,VALUE(RIGHT($A329,2))&gt;60),$A329&amp;"01 1",$A329),IF(AND(LEN($A329)=4,VALUE(RIGHT($A329,2))&lt;60),GUS_tabl_2!$A$8:$B$464,GUS_tabl_21!$A$5:$B$4886),2,FALSE)))),TRIM(VLOOKUP(IF(AND(LEN($A329)=4,VALUE(RIGHT($A329,2))&gt;60),$A329&amp;"01 1",$A329),IF(AND(LEN($A329)=4,VALUE(RIGHT($A329,2))&lt;60),GUS_tabl_2!$A$8:$B$464,GUS_tabl_21!$A$5:$B$4886),2,FALSE)),LEFT(TRIM(VLOOKUP(IF(AND(LEN($A329)=4,VALUE(RIGHT($A329,2))&gt;60),$A329&amp;"01 1",$A329),IF(AND(LEN($A329)=4,VALUE(RIGHT($A329,2))&lt;60),GUS_tabl_2!$A$8:$B$464,GUS_tabl_21!$A$5:$B$4886),2,FALSE)),SUM(FIND("..",TRIM(VLOOKUP(IF(AND(LEN($A329)=4,VALUE(RIGHT($A329,2))&gt;60),$A329&amp;"01 1",$A329),IF(AND(LEN($A329)=4,VALUE(RIGHT($A329,2))&lt;60),GUS_tabl_2!$A$8:$B$464,GUS_tabl_21!$A$5:$B$4886),2,FALSE))),-1)))))</f>
        <v>gm. w. Pruszcz</v>
      </c>
      <c r="D329" s="141">
        <f>IF(OR($A329="",ISERROR(VALUE(LEFT($A329,6)))),"",IF(LEN($A329)=2,SUMIF($A330:$A$2965,$A329&amp;"??",$D330:$D$2965),IF(AND(LEN($A329)=4,VALUE(RIGHT($A329,2))&lt;=60),SUMIF($A330:$A$2965,$A329&amp;"????",$D330:$D$2965),VLOOKUP(IF(LEN($A329)=4,$A329&amp;"01 1",$A329),GUS_tabl_21!$A$5:$F$4886,6,FALSE))))</f>
        <v>9562</v>
      </c>
    </row>
    <row r="330" spans="1:4" s="29" customFormat="1" ht="12" customHeight="1">
      <c r="A330" s="155" t="str">
        <f>"041409 3"</f>
        <v>041409 3</v>
      </c>
      <c r="B330" s="153" t="s">
        <v>46</v>
      </c>
      <c r="C330" s="156" t="str">
        <f>IF(OR($A330="",ISERROR(VALUE(LEFT($A330,6)))),"",IF(LEN($A330)=2,"WOJ. ",IF(LEN($A330)=4,IF(VALUE(RIGHT($A330,2))&gt;60,"","Powiat "),IF(VALUE(RIGHT($A330,1))=1,"m. ",IF(VALUE(RIGHT($A330,1))=2,"gm. w. ",IF(VALUE(RIGHT($A330,1))=8,"dz. ","gm. m.-w. ")))))&amp;IF(LEN($A330)=2,TRIM(UPPER(VLOOKUP($A330,GUS_tabl_1!$A$7:$B$22,2,FALSE))),IF(ISERROR(FIND("..",TRIM(VLOOKUP(IF(AND(LEN($A330)=4,VALUE(RIGHT($A330,2))&gt;60),$A330&amp;"01 1",$A330),IF(AND(LEN($A330)=4,VALUE(RIGHT($A330,2))&lt;60),GUS_tabl_2!$A$8:$B$464,GUS_tabl_21!$A$5:$B$4886),2,FALSE)))),TRIM(VLOOKUP(IF(AND(LEN($A330)=4,VALUE(RIGHT($A330,2))&gt;60),$A330&amp;"01 1",$A330),IF(AND(LEN($A330)=4,VALUE(RIGHT($A330,2))&lt;60),GUS_tabl_2!$A$8:$B$464,GUS_tabl_21!$A$5:$B$4886),2,FALSE)),LEFT(TRIM(VLOOKUP(IF(AND(LEN($A330)=4,VALUE(RIGHT($A330,2))&gt;60),$A330&amp;"01 1",$A330),IF(AND(LEN($A330)=4,VALUE(RIGHT($A330,2))&lt;60),GUS_tabl_2!$A$8:$B$464,GUS_tabl_21!$A$5:$B$4886),2,FALSE)),SUM(FIND("..",TRIM(VLOOKUP(IF(AND(LEN($A330)=4,VALUE(RIGHT($A330,2))&gt;60),$A330&amp;"01 1",$A330),IF(AND(LEN($A330)=4,VALUE(RIGHT($A330,2))&lt;60),GUS_tabl_2!$A$8:$B$464,GUS_tabl_21!$A$5:$B$4886),2,FALSE))),-1)))))</f>
        <v>gm. m.-w. Świecie</v>
      </c>
      <c r="D330" s="141">
        <f>IF(OR($A330="",ISERROR(VALUE(LEFT($A330,6)))),"",IF(LEN($A330)=2,SUMIF($A331:$A$2965,$A330&amp;"??",$D331:$D$2965),IF(AND(LEN($A330)=4,VALUE(RIGHT($A330,2))&lt;=60),SUMIF($A331:$A$2965,$A330&amp;"????",$D331:$D$2965),VLOOKUP(IF(LEN($A330)=4,$A330&amp;"01 1",$A330),GUS_tabl_21!$A$5:$F$4886,6,FALSE))))</f>
        <v>33949</v>
      </c>
    </row>
    <row r="331" spans="1:4" s="29" customFormat="1" ht="12" customHeight="1">
      <c r="A331" s="155" t="str">
        <f>"041410 2"</f>
        <v>041410 2</v>
      </c>
      <c r="B331" s="153" t="s">
        <v>46</v>
      </c>
      <c r="C331" s="156" t="str">
        <f>IF(OR($A331="",ISERROR(VALUE(LEFT($A331,6)))),"",IF(LEN($A331)=2,"WOJ. ",IF(LEN($A331)=4,IF(VALUE(RIGHT($A331,2))&gt;60,"","Powiat "),IF(VALUE(RIGHT($A331,1))=1,"m. ",IF(VALUE(RIGHT($A331,1))=2,"gm. w. ",IF(VALUE(RIGHT($A331,1))=8,"dz. ","gm. m.-w. ")))))&amp;IF(LEN($A331)=2,TRIM(UPPER(VLOOKUP($A331,GUS_tabl_1!$A$7:$B$22,2,FALSE))),IF(ISERROR(FIND("..",TRIM(VLOOKUP(IF(AND(LEN($A331)=4,VALUE(RIGHT($A331,2))&gt;60),$A331&amp;"01 1",$A331),IF(AND(LEN($A331)=4,VALUE(RIGHT($A331,2))&lt;60),GUS_tabl_2!$A$8:$B$464,GUS_tabl_21!$A$5:$B$4886),2,FALSE)))),TRIM(VLOOKUP(IF(AND(LEN($A331)=4,VALUE(RIGHT($A331,2))&gt;60),$A331&amp;"01 1",$A331),IF(AND(LEN($A331)=4,VALUE(RIGHT($A331,2))&lt;60),GUS_tabl_2!$A$8:$B$464,GUS_tabl_21!$A$5:$B$4886),2,FALSE)),LEFT(TRIM(VLOOKUP(IF(AND(LEN($A331)=4,VALUE(RIGHT($A331,2))&gt;60),$A331&amp;"01 1",$A331),IF(AND(LEN($A331)=4,VALUE(RIGHT($A331,2))&lt;60),GUS_tabl_2!$A$8:$B$464,GUS_tabl_21!$A$5:$B$4886),2,FALSE)),SUM(FIND("..",TRIM(VLOOKUP(IF(AND(LEN($A331)=4,VALUE(RIGHT($A331,2))&gt;60),$A331&amp;"01 1",$A331),IF(AND(LEN($A331)=4,VALUE(RIGHT($A331,2))&lt;60),GUS_tabl_2!$A$8:$B$464,GUS_tabl_21!$A$5:$B$4886),2,FALSE))),-1)))))</f>
        <v>gm. w. Świekatowo</v>
      </c>
      <c r="D331" s="141">
        <f>IF(OR($A331="",ISERROR(VALUE(LEFT($A331,6)))),"",IF(LEN($A331)=2,SUMIF($A332:$A$2965,$A331&amp;"??",$D332:$D$2965),IF(AND(LEN($A331)=4,VALUE(RIGHT($A331,2))&lt;=60),SUMIF($A332:$A$2965,$A331&amp;"????",$D332:$D$2965),VLOOKUP(IF(LEN($A331)=4,$A331&amp;"01 1",$A331),GUS_tabl_21!$A$5:$F$4886,6,FALSE))))</f>
        <v>3622</v>
      </c>
    </row>
    <row r="332" spans="1:4" s="29" customFormat="1" ht="12" customHeight="1">
      <c r="A332" s="155" t="str">
        <f>"041411 2"</f>
        <v>041411 2</v>
      </c>
      <c r="B332" s="153" t="s">
        <v>46</v>
      </c>
      <c r="C332" s="156" t="str">
        <f>IF(OR($A332="",ISERROR(VALUE(LEFT($A332,6)))),"",IF(LEN($A332)=2,"WOJ. ",IF(LEN($A332)=4,IF(VALUE(RIGHT($A332,2))&gt;60,"","Powiat "),IF(VALUE(RIGHT($A332,1))=1,"m. ",IF(VALUE(RIGHT($A332,1))=2,"gm. w. ",IF(VALUE(RIGHT($A332,1))=8,"dz. ","gm. m.-w. ")))))&amp;IF(LEN($A332)=2,TRIM(UPPER(VLOOKUP($A332,GUS_tabl_1!$A$7:$B$22,2,FALSE))),IF(ISERROR(FIND("..",TRIM(VLOOKUP(IF(AND(LEN($A332)=4,VALUE(RIGHT($A332,2))&gt;60),$A332&amp;"01 1",$A332),IF(AND(LEN($A332)=4,VALUE(RIGHT($A332,2))&lt;60),GUS_tabl_2!$A$8:$B$464,GUS_tabl_21!$A$5:$B$4886),2,FALSE)))),TRIM(VLOOKUP(IF(AND(LEN($A332)=4,VALUE(RIGHT($A332,2))&gt;60),$A332&amp;"01 1",$A332),IF(AND(LEN($A332)=4,VALUE(RIGHT($A332,2))&lt;60),GUS_tabl_2!$A$8:$B$464,GUS_tabl_21!$A$5:$B$4886),2,FALSE)),LEFT(TRIM(VLOOKUP(IF(AND(LEN($A332)=4,VALUE(RIGHT($A332,2))&gt;60),$A332&amp;"01 1",$A332),IF(AND(LEN($A332)=4,VALUE(RIGHT($A332,2))&lt;60),GUS_tabl_2!$A$8:$B$464,GUS_tabl_21!$A$5:$B$4886),2,FALSE)),SUM(FIND("..",TRIM(VLOOKUP(IF(AND(LEN($A332)=4,VALUE(RIGHT($A332,2))&gt;60),$A332&amp;"01 1",$A332),IF(AND(LEN($A332)=4,VALUE(RIGHT($A332,2))&lt;60),GUS_tabl_2!$A$8:$B$464,GUS_tabl_21!$A$5:$B$4886),2,FALSE))),-1)))))</f>
        <v>gm. w. Warlubie</v>
      </c>
      <c r="D332" s="141">
        <f>IF(OR($A332="",ISERROR(VALUE(LEFT($A332,6)))),"",IF(LEN($A332)=2,SUMIF($A333:$A$2965,$A332&amp;"??",$D333:$D$2965),IF(AND(LEN($A332)=4,VALUE(RIGHT($A332,2))&lt;=60),SUMIF($A333:$A$2965,$A332&amp;"????",$D333:$D$2965),VLOOKUP(IF(LEN($A332)=4,$A332&amp;"01 1",$A332),GUS_tabl_21!$A$5:$F$4886,6,FALSE))))</f>
        <v>6493</v>
      </c>
    </row>
    <row r="333" spans="1:4" s="29" customFormat="1" ht="12" customHeight="1">
      <c r="A333" s="152" t="str">
        <f>"0415"</f>
        <v>0415</v>
      </c>
      <c r="B333" s="153" t="s">
        <v>46</v>
      </c>
      <c r="C333" s="154" t="str">
        <f>IF(OR($A333="",ISERROR(VALUE(LEFT($A333,6)))),"",IF(LEN($A333)=2,"WOJ. ",IF(LEN($A333)=4,IF(VALUE(RIGHT($A333,2))&gt;60,"","Powiat "),IF(VALUE(RIGHT($A333,1))=1,"m. ",IF(VALUE(RIGHT($A333,1))=2,"gm. w. ",IF(VALUE(RIGHT($A333,1))=8,"dz. ","gm. m.-w. ")))))&amp;IF(LEN($A333)=2,TRIM(UPPER(VLOOKUP($A333,GUS_tabl_1!$A$7:$B$22,2,FALSE))),IF(ISERROR(FIND("..",TRIM(VLOOKUP(IF(AND(LEN($A333)=4,VALUE(RIGHT($A333,2))&gt;60),$A333&amp;"01 1",$A333),IF(AND(LEN($A333)=4,VALUE(RIGHT($A333,2))&lt;60),GUS_tabl_2!$A$8:$B$464,GUS_tabl_21!$A$5:$B$4886),2,FALSE)))),TRIM(VLOOKUP(IF(AND(LEN($A333)=4,VALUE(RIGHT($A333,2))&gt;60),$A333&amp;"01 1",$A333),IF(AND(LEN($A333)=4,VALUE(RIGHT($A333,2))&lt;60),GUS_tabl_2!$A$8:$B$464,GUS_tabl_21!$A$5:$B$4886),2,FALSE)),LEFT(TRIM(VLOOKUP(IF(AND(LEN($A333)=4,VALUE(RIGHT($A333,2))&gt;60),$A333&amp;"01 1",$A333),IF(AND(LEN($A333)=4,VALUE(RIGHT($A333,2))&lt;60),GUS_tabl_2!$A$8:$B$464,GUS_tabl_21!$A$5:$B$4886),2,FALSE)),SUM(FIND("..",TRIM(VLOOKUP(IF(AND(LEN($A333)=4,VALUE(RIGHT($A333,2))&gt;60),$A333&amp;"01 1",$A333),IF(AND(LEN($A333)=4,VALUE(RIGHT($A333,2))&lt;60),GUS_tabl_2!$A$8:$B$464,GUS_tabl_21!$A$5:$B$4886),2,FALSE))),-1)))))</f>
        <v>Powiat toruński</v>
      </c>
      <c r="D333" s="140">
        <f>IF(OR($A333="",ISERROR(VALUE(LEFT($A333,6)))),"",IF(LEN($A333)=2,SUMIF($A334:$A$2965,$A333&amp;"??",$D334:$D$2965),IF(AND(LEN($A333)=4,VALUE(RIGHT($A333,2))&lt;=60),SUMIF($A334:$A$2965,$A333&amp;"????",$D334:$D$2965),VLOOKUP(IF(LEN($A333)=4,$A333&amp;"01 1",$A333),GUS_tabl_21!$A$5:$F$4886,6,FALSE))))</f>
        <v>108345</v>
      </c>
    </row>
    <row r="334" spans="1:4" s="29" customFormat="1" ht="12" customHeight="1">
      <c r="A334" s="155" t="str">
        <f>"041501 1"</f>
        <v>041501 1</v>
      </c>
      <c r="B334" s="153" t="s">
        <v>46</v>
      </c>
      <c r="C334" s="156" t="str">
        <f>IF(OR($A334="",ISERROR(VALUE(LEFT($A334,6)))),"",IF(LEN($A334)=2,"WOJ. ",IF(LEN($A334)=4,IF(VALUE(RIGHT($A334,2))&gt;60,"","Powiat "),IF(VALUE(RIGHT($A334,1))=1,"m. ",IF(VALUE(RIGHT($A334,1))=2,"gm. w. ",IF(VALUE(RIGHT($A334,1))=8,"dz. ","gm. m.-w. ")))))&amp;IF(LEN($A334)=2,TRIM(UPPER(VLOOKUP($A334,GUS_tabl_1!$A$7:$B$22,2,FALSE))),IF(ISERROR(FIND("..",TRIM(VLOOKUP(IF(AND(LEN($A334)=4,VALUE(RIGHT($A334,2))&gt;60),$A334&amp;"01 1",$A334),IF(AND(LEN($A334)=4,VALUE(RIGHT($A334,2))&lt;60),GUS_tabl_2!$A$8:$B$464,GUS_tabl_21!$A$5:$B$4886),2,FALSE)))),TRIM(VLOOKUP(IF(AND(LEN($A334)=4,VALUE(RIGHT($A334,2))&gt;60),$A334&amp;"01 1",$A334),IF(AND(LEN($A334)=4,VALUE(RIGHT($A334,2))&lt;60),GUS_tabl_2!$A$8:$B$464,GUS_tabl_21!$A$5:$B$4886),2,FALSE)),LEFT(TRIM(VLOOKUP(IF(AND(LEN($A334)=4,VALUE(RIGHT($A334,2))&gt;60),$A334&amp;"01 1",$A334),IF(AND(LEN($A334)=4,VALUE(RIGHT($A334,2))&lt;60),GUS_tabl_2!$A$8:$B$464,GUS_tabl_21!$A$5:$B$4886),2,FALSE)),SUM(FIND("..",TRIM(VLOOKUP(IF(AND(LEN($A334)=4,VALUE(RIGHT($A334,2))&gt;60),$A334&amp;"01 1",$A334),IF(AND(LEN($A334)=4,VALUE(RIGHT($A334,2))&lt;60),GUS_tabl_2!$A$8:$B$464,GUS_tabl_21!$A$5:$B$4886),2,FALSE))),-1)))))</f>
        <v>m. Chełmża</v>
      </c>
      <c r="D334" s="141">
        <f>IF(OR($A334="",ISERROR(VALUE(LEFT($A334,6)))),"",IF(LEN($A334)=2,SUMIF($A335:$A$2965,$A334&amp;"??",$D335:$D$2965),IF(AND(LEN($A334)=4,VALUE(RIGHT($A334,2))&lt;=60),SUMIF($A335:$A$2965,$A334&amp;"????",$D335:$D$2965),VLOOKUP(IF(LEN($A334)=4,$A334&amp;"01 1",$A334),GUS_tabl_21!$A$5:$F$4886,6,FALSE))))</f>
        <v>14449</v>
      </c>
    </row>
    <row r="335" spans="1:4" s="29" customFormat="1" ht="12" customHeight="1">
      <c r="A335" s="155" t="str">
        <f>"041502 2"</f>
        <v>041502 2</v>
      </c>
      <c r="B335" s="153" t="s">
        <v>46</v>
      </c>
      <c r="C335" s="156" t="str">
        <f>IF(OR($A335="",ISERROR(VALUE(LEFT($A335,6)))),"",IF(LEN($A335)=2,"WOJ. ",IF(LEN($A335)=4,IF(VALUE(RIGHT($A335,2))&gt;60,"","Powiat "),IF(VALUE(RIGHT($A335,1))=1,"m. ",IF(VALUE(RIGHT($A335,1))=2,"gm. w. ",IF(VALUE(RIGHT($A335,1))=8,"dz. ","gm. m.-w. ")))))&amp;IF(LEN($A335)=2,TRIM(UPPER(VLOOKUP($A335,GUS_tabl_1!$A$7:$B$22,2,FALSE))),IF(ISERROR(FIND("..",TRIM(VLOOKUP(IF(AND(LEN($A335)=4,VALUE(RIGHT($A335,2))&gt;60),$A335&amp;"01 1",$A335),IF(AND(LEN($A335)=4,VALUE(RIGHT($A335,2))&lt;60),GUS_tabl_2!$A$8:$B$464,GUS_tabl_21!$A$5:$B$4886),2,FALSE)))),TRIM(VLOOKUP(IF(AND(LEN($A335)=4,VALUE(RIGHT($A335,2))&gt;60),$A335&amp;"01 1",$A335),IF(AND(LEN($A335)=4,VALUE(RIGHT($A335,2))&lt;60),GUS_tabl_2!$A$8:$B$464,GUS_tabl_21!$A$5:$B$4886),2,FALSE)),LEFT(TRIM(VLOOKUP(IF(AND(LEN($A335)=4,VALUE(RIGHT($A335,2))&gt;60),$A335&amp;"01 1",$A335),IF(AND(LEN($A335)=4,VALUE(RIGHT($A335,2))&lt;60),GUS_tabl_2!$A$8:$B$464,GUS_tabl_21!$A$5:$B$4886),2,FALSE)),SUM(FIND("..",TRIM(VLOOKUP(IF(AND(LEN($A335)=4,VALUE(RIGHT($A335,2))&gt;60),$A335&amp;"01 1",$A335),IF(AND(LEN($A335)=4,VALUE(RIGHT($A335,2))&lt;60),GUS_tabl_2!$A$8:$B$464,GUS_tabl_21!$A$5:$B$4886),2,FALSE))),-1)))))</f>
        <v>gm. w. Chełmża</v>
      </c>
      <c r="D335" s="141">
        <f>IF(OR($A335="",ISERROR(VALUE(LEFT($A335,6)))),"",IF(LEN($A335)=2,SUMIF($A336:$A$2965,$A335&amp;"??",$D336:$D$2965),IF(AND(LEN($A335)=4,VALUE(RIGHT($A335,2))&lt;=60),SUMIF($A336:$A$2965,$A335&amp;"????",$D336:$D$2965),VLOOKUP(IF(LEN($A335)=4,$A335&amp;"01 1",$A335),GUS_tabl_21!$A$5:$F$4886,6,FALSE))))</f>
        <v>9826</v>
      </c>
    </row>
    <row r="336" spans="1:4" s="29" customFormat="1" ht="12" customHeight="1">
      <c r="A336" s="155" t="str">
        <f>"041503 2"</f>
        <v>041503 2</v>
      </c>
      <c r="B336" s="153" t="s">
        <v>46</v>
      </c>
      <c r="C336" s="156" t="str">
        <f>IF(OR($A336="",ISERROR(VALUE(LEFT($A336,6)))),"",IF(LEN($A336)=2,"WOJ. ",IF(LEN($A336)=4,IF(VALUE(RIGHT($A336,2))&gt;60,"","Powiat "),IF(VALUE(RIGHT($A336,1))=1,"m. ",IF(VALUE(RIGHT($A336,1))=2,"gm. w. ",IF(VALUE(RIGHT($A336,1))=8,"dz. ","gm. m.-w. ")))))&amp;IF(LEN($A336)=2,TRIM(UPPER(VLOOKUP($A336,GUS_tabl_1!$A$7:$B$22,2,FALSE))),IF(ISERROR(FIND("..",TRIM(VLOOKUP(IF(AND(LEN($A336)=4,VALUE(RIGHT($A336,2))&gt;60),$A336&amp;"01 1",$A336),IF(AND(LEN($A336)=4,VALUE(RIGHT($A336,2))&lt;60),GUS_tabl_2!$A$8:$B$464,GUS_tabl_21!$A$5:$B$4886),2,FALSE)))),TRIM(VLOOKUP(IF(AND(LEN($A336)=4,VALUE(RIGHT($A336,2))&gt;60),$A336&amp;"01 1",$A336),IF(AND(LEN($A336)=4,VALUE(RIGHT($A336,2))&lt;60),GUS_tabl_2!$A$8:$B$464,GUS_tabl_21!$A$5:$B$4886),2,FALSE)),LEFT(TRIM(VLOOKUP(IF(AND(LEN($A336)=4,VALUE(RIGHT($A336,2))&gt;60),$A336&amp;"01 1",$A336),IF(AND(LEN($A336)=4,VALUE(RIGHT($A336,2))&lt;60),GUS_tabl_2!$A$8:$B$464,GUS_tabl_21!$A$5:$B$4886),2,FALSE)),SUM(FIND("..",TRIM(VLOOKUP(IF(AND(LEN($A336)=4,VALUE(RIGHT($A336,2))&gt;60),$A336&amp;"01 1",$A336),IF(AND(LEN($A336)=4,VALUE(RIGHT($A336,2))&lt;60),GUS_tabl_2!$A$8:$B$464,GUS_tabl_21!$A$5:$B$4886),2,FALSE))),-1)))))</f>
        <v>gm. w. Czernikowo</v>
      </c>
      <c r="D336" s="141">
        <f>IF(OR($A336="",ISERROR(VALUE(LEFT($A336,6)))),"",IF(LEN($A336)=2,SUMIF($A337:$A$2965,$A336&amp;"??",$D337:$D$2965),IF(AND(LEN($A336)=4,VALUE(RIGHT($A336,2))&lt;=60),SUMIF($A337:$A$2965,$A336&amp;"????",$D337:$D$2965),VLOOKUP(IF(LEN($A336)=4,$A336&amp;"01 1",$A336),GUS_tabl_21!$A$5:$F$4886,6,FALSE))))</f>
        <v>9064</v>
      </c>
    </row>
    <row r="337" spans="1:4" s="29" customFormat="1" ht="12" customHeight="1">
      <c r="A337" s="155" t="str">
        <f>"041504 2"</f>
        <v>041504 2</v>
      </c>
      <c r="B337" s="153" t="s">
        <v>46</v>
      </c>
      <c r="C337" s="156" t="str">
        <f>IF(OR($A337="",ISERROR(VALUE(LEFT($A337,6)))),"",IF(LEN($A337)=2,"WOJ. ",IF(LEN($A337)=4,IF(VALUE(RIGHT($A337,2))&gt;60,"","Powiat "),IF(VALUE(RIGHT($A337,1))=1,"m. ",IF(VALUE(RIGHT($A337,1))=2,"gm. w. ",IF(VALUE(RIGHT($A337,1))=8,"dz. ","gm. m.-w. ")))))&amp;IF(LEN($A337)=2,TRIM(UPPER(VLOOKUP($A337,GUS_tabl_1!$A$7:$B$22,2,FALSE))),IF(ISERROR(FIND("..",TRIM(VLOOKUP(IF(AND(LEN($A337)=4,VALUE(RIGHT($A337,2))&gt;60),$A337&amp;"01 1",$A337),IF(AND(LEN($A337)=4,VALUE(RIGHT($A337,2))&lt;60),GUS_tabl_2!$A$8:$B$464,GUS_tabl_21!$A$5:$B$4886),2,FALSE)))),TRIM(VLOOKUP(IF(AND(LEN($A337)=4,VALUE(RIGHT($A337,2))&gt;60),$A337&amp;"01 1",$A337),IF(AND(LEN($A337)=4,VALUE(RIGHT($A337,2))&lt;60),GUS_tabl_2!$A$8:$B$464,GUS_tabl_21!$A$5:$B$4886),2,FALSE)),LEFT(TRIM(VLOOKUP(IF(AND(LEN($A337)=4,VALUE(RIGHT($A337,2))&gt;60),$A337&amp;"01 1",$A337),IF(AND(LEN($A337)=4,VALUE(RIGHT($A337,2))&lt;60),GUS_tabl_2!$A$8:$B$464,GUS_tabl_21!$A$5:$B$4886),2,FALSE)),SUM(FIND("..",TRIM(VLOOKUP(IF(AND(LEN($A337)=4,VALUE(RIGHT($A337,2))&gt;60),$A337&amp;"01 1",$A337),IF(AND(LEN($A337)=4,VALUE(RIGHT($A337,2))&lt;60),GUS_tabl_2!$A$8:$B$464,GUS_tabl_21!$A$5:$B$4886),2,FALSE))),-1)))))</f>
        <v>gm. w. Lubicz</v>
      </c>
      <c r="D337" s="141">
        <f>IF(OR($A337="",ISERROR(VALUE(LEFT($A337,6)))),"",IF(LEN($A337)=2,SUMIF($A338:$A$2965,$A337&amp;"??",$D338:$D$2965),IF(AND(LEN($A337)=4,VALUE(RIGHT($A337,2))&lt;=60),SUMIF($A338:$A$2965,$A337&amp;"????",$D338:$D$2965),VLOOKUP(IF(LEN($A337)=4,$A337&amp;"01 1",$A337),GUS_tabl_21!$A$5:$F$4886,6,FALSE))))</f>
        <v>20181</v>
      </c>
    </row>
    <row r="338" spans="1:4" s="29" customFormat="1" ht="12" customHeight="1">
      <c r="A338" s="155" t="str">
        <f>"041505 2"</f>
        <v>041505 2</v>
      </c>
      <c r="B338" s="153" t="s">
        <v>46</v>
      </c>
      <c r="C338" s="156" t="str">
        <f>IF(OR($A338="",ISERROR(VALUE(LEFT($A338,6)))),"",IF(LEN($A338)=2,"WOJ. ",IF(LEN($A338)=4,IF(VALUE(RIGHT($A338,2))&gt;60,"","Powiat "),IF(VALUE(RIGHT($A338,1))=1,"m. ",IF(VALUE(RIGHT($A338,1))=2,"gm. w. ",IF(VALUE(RIGHT($A338,1))=8,"dz. ","gm. m.-w. ")))))&amp;IF(LEN($A338)=2,TRIM(UPPER(VLOOKUP($A338,GUS_tabl_1!$A$7:$B$22,2,FALSE))),IF(ISERROR(FIND("..",TRIM(VLOOKUP(IF(AND(LEN($A338)=4,VALUE(RIGHT($A338,2))&gt;60),$A338&amp;"01 1",$A338),IF(AND(LEN($A338)=4,VALUE(RIGHT($A338,2))&lt;60),GUS_tabl_2!$A$8:$B$464,GUS_tabl_21!$A$5:$B$4886),2,FALSE)))),TRIM(VLOOKUP(IF(AND(LEN($A338)=4,VALUE(RIGHT($A338,2))&gt;60),$A338&amp;"01 1",$A338),IF(AND(LEN($A338)=4,VALUE(RIGHT($A338,2))&lt;60),GUS_tabl_2!$A$8:$B$464,GUS_tabl_21!$A$5:$B$4886),2,FALSE)),LEFT(TRIM(VLOOKUP(IF(AND(LEN($A338)=4,VALUE(RIGHT($A338,2))&gt;60),$A338&amp;"01 1",$A338),IF(AND(LEN($A338)=4,VALUE(RIGHT($A338,2))&lt;60),GUS_tabl_2!$A$8:$B$464,GUS_tabl_21!$A$5:$B$4886),2,FALSE)),SUM(FIND("..",TRIM(VLOOKUP(IF(AND(LEN($A338)=4,VALUE(RIGHT($A338,2))&gt;60),$A338&amp;"01 1",$A338),IF(AND(LEN($A338)=4,VALUE(RIGHT($A338,2))&lt;60),GUS_tabl_2!$A$8:$B$464,GUS_tabl_21!$A$5:$B$4886),2,FALSE))),-1)))))</f>
        <v>gm. w. Łubianka</v>
      </c>
      <c r="D338" s="141">
        <f>IF(OR($A338="",ISERROR(VALUE(LEFT($A338,6)))),"",IF(LEN($A338)=2,SUMIF($A339:$A$2965,$A338&amp;"??",$D339:$D$2965),IF(AND(LEN($A338)=4,VALUE(RIGHT($A338,2))&lt;=60),SUMIF($A339:$A$2965,$A338&amp;"????",$D339:$D$2965),VLOOKUP(IF(LEN($A338)=4,$A338&amp;"01 1",$A338),GUS_tabl_21!$A$5:$F$4886,6,FALSE))))</f>
        <v>7293</v>
      </c>
    </row>
    <row r="339" spans="1:4" s="29" customFormat="1" ht="12" customHeight="1">
      <c r="A339" s="155" t="str">
        <f>"041506 2"</f>
        <v>041506 2</v>
      </c>
      <c r="B339" s="153" t="s">
        <v>46</v>
      </c>
      <c r="C339" s="156" t="str">
        <f>IF(OR($A339="",ISERROR(VALUE(LEFT($A339,6)))),"",IF(LEN($A339)=2,"WOJ. ",IF(LEN($A339)=4,IF(VALUE(RIGHT($A339,2))&gt;60,"","Powiat "),IF(VALUE(RIGHT($A339,1))=1,"m. ",IF(VALUE(RIGHT($A339,1))=2,"gm. w. ",IF(VALUE(RIGHT($A339,1))=8,"dz. ","gm. m.-w. ")))))&amp;IF(LEN($A339)=2,TRIM(UPPER(VLOOKUP($A339,GUS_tabl_1!$A$7:$B$22,2,FALSE))),IF(ISERROR(FIND("..",TRIM(VLOOKUP(IF(AND(LEN($A339)=4,VALUE(RIGHT($A339,2))&gt;60),$A339&amp;"01 1",$A339),IF(AND(LEN($A339)=4,VALUE(RIGHT($A339,2))&lt;60),GUS_tabl_2!$A$8:$B$464,GUS_tabl_21!$A$5:$B$4886),2,FALSE)))),TRIM(VLOOKUP(IF(AND(LEN($A339)=4,VALUE(RIGHT($A339,2))&gt;60),$A339&amp;"01 1",$A339),IF(AND(LEN($A339)=4,VALUE(RIGHT($A339,2))&lt;60),GUS_tabl_2!$A$8:$B$464,GUS_tabl_21!$A$5:$B$4886),2,FALSE)),LEFT(TRIM(VLOOKUP(IF(AND(LEN($A339)=4,VALUE(RIGHT($A339,2))&gt;60),$A339&amp;"01 1",$A339),IF(AND(LEN($A339)=4,VALUE(RIGHT($A339,2))&lt;60),GUS_tabl_2!$A$8:$B$464,GUS_tabl_21!$A$5:$B$4886),2,FALSE)),SUM(FIND("..",TRIM(VLOOKUP(IF(AND(LEN($A339)=4,VALUE(RIGHT($A339,2))&gt;60),$A339&amp;"01 1",$A339),IF(AND(LEN($A339)=4,VALUE(RIGHT($A339,2))&lt;60),GUS_tabl_2!$A$8:$B$464,GUS_tabl_21!$A$5:$B$4886),2,FALSE))),-1)))))</f>
        <v>gm. w. Łysomice</v>
      </c>
      <c r="D339" s="141">
        <f>IF(OR($A339="",ISERROR(VALUE(LEFT($A339,6)))),"",IF(LEN($A339)=2,SUMIF($A340:$A$2965,$A339&amp;"??",$D340:$D$2965),IF(AND(LEN($A339)=4,VALUE(RIGHT($A339,2))&lt;=60),SUMIF($A340:$A$2965,$A339&amp;"????",$D340:$D$2965),VLOOKUP(IF(LEN($A339)=4,$A339&amp;"01 1",$A339),GUS_tabl_21!$A$5:$F$4886,6,FALSE))))</f>
        <v>10155</v>
      </c>
    </row>
    <row r="340" spans="1:4" s="29" customFormat="1" ht="12" customHeight="1">
      <c r="A340" s="155" t="str">
        <f>"041507 2"</f>
        <v>041507 2</v>
      </c>
      <c r="B340" s="153" t="s">
        <v>46</v>
      </c>
      <c r="C340" s="156" t="str">
        <f>IF(OR($A340="",ISERROR(VALUE(LEFT($A340,6)))),"",IF(LEN($A340)=2,"WOJ. ",IF(LEN($A340)=4,IF(VALUE(RIGHT($A340,2))&gt;60,"","Powiat "),IF(VALUE(RIGHT($A340,1))=1,"m. ",IF(VALUE(RIGHT($A340,1))=2,"gm. w. ",IF(VALUE(RIGHT($A340,1))=8,"dz. ","gm. m.-w. ")))))&amp;IF(LEN($A340)=2,TRIM(UPPER(VLOOKUP($A340,GUS_tabl_1!$A$7:$B$22,2,FALSE))),IF(ISERROR(FIND("..",TRIM(VLOOKUP(IF(AND(LEN($A340)=4,VALUE(RIGHT($A340,2))&gt;60),$A340&amp;"01 1",$A340),IF(AND(LEN($A340)=4,VALUE(RIGHT($A340,2))&lt;60),GUS_tabl_2!$A$8:$B$464,GUS_tabl_21!$A$5:$B$4886),2,FALSE)))),TRIM(VLOOKUP(IF(AND(LEN($A340)=4,VALUE(RIGHT($A340,2))&gt;60),$A340&amp;"01 1",$A340),IF(AND(LEN($A340)=4,VALUE(RIGHT($A340,2))&lt;60),GUS_tabl_2!$A$8:$B$464,GUS_tabl_21!$A$5:$B$4886),2,FALSE)),LEFT(TRIM(VLOOKUP(IF(AND(LEN($A340)=4,VALUE(RIGHT($A340,2))&gt;60),$A340&amp;"01 1",$A340),IF(AND(LEN($A340)=4,VALUE(RIGHT($A340,2))&lt;60),GUS_tabl_2!$A$8:$B$464,GUS_tabl_21!$A$5:$B$4886),2,FALSE)),SUM(FIND("..",TRIM(VLOOKUP(IF(AND(LEN($A340)=4,VALUE(RIGHT($A340,2))&gt;60),$A340&amp;"01 1",$A340),IF(AND(LEN($A340)=4,VALUE(RIGHT($A340,2))&lt;60),GUS_tabl_2!$A$8:$B$464,GUS_tabl_21!$A$5:$B$4886),2,FALSE))),-1)))))</f>
        <v>gm. w. Obrowo</v>
      </c>
      <c r="D340" s="141">
        <f>IF(OR($A340="",ISERROR(VALUE(LEFT($A340,6)))),"",IF(LEN($A340)=2,SUMIF($A341:$A$2965,$A340&amp;"??",$D341:$D$2965),IF(AND(LEN($A340)=4,VALUE(RIGHT($A340,2))&lt;=60),SUMIF($A341:$A$2965,$A340&amp;"????",$D341:$D$2965),VLOOKUP(IF(LEN($A340)=4,$A340&amp;"01 1",$A340),GUS_tabl_21!$A$5:$F$4886,6,FALSE))))</f>
        <v>17753</v>
      </c>
    </row>
    <row r="341" spans="1:4" s="29" customFormat="1" ht="12" customHeight="1">
      <c r="A341" s="155" t="str">
        <f>"041508 2"</f>
        <v>041508 2</v>
      </c>
      <c r="B341" s="153" t="s">
        <v>46</v>
      </c>
      <c r="C341" s="156" t="str">
        <f>IF(OR($A341="",ISERROR(VALUE(LEFT($A341,6)))),"",IF(LEN($A341)=2,"WOJ. ",IF(LEN($A341)=4,IF(VALUE(RIGHT($A341,2))&gt;60,"","Powiat "),IF(VALUE(RIGHT($A341,1))=1,"m. ",IF(VALUE(RIGHT($A341,1))=2,"gm. w. ",IF(VALUE(RIGHT($A341,1))=8,"dz. ","gm. m.-w. ")))))&amp;IF(LEN($A341)=2,TRIM(UPPER(VLOOKUP($A341,GUS_tabl_1!$A$7:$B$22,2,FALSE))),IF(ISERROR(FIND("..",TRIM(VLOOKUP(IF(AND(LEN($A341)=4,VALUE(RIGHT($A341,2))&gt;60),$A341&amp;"01 1",$A341),IF(AND(LEN($A341)=4,VALUE(RIGHT($A341,2))&lt;60),GUS_tabl_2!$A$8:$B$464,GUS_tabl_21!$A$5:$B$4886),2,FALSE)))),TRIM(VLOOKUP(IF(AND(LEN($A341)=4,VALUE(RIGHT($A341,2))&gt;60),$A341&amp;"01 1",$A341),IF(AND(LEN($A341)=4,VALUE(RIGHT($A341,2))&lt;60),GUS_tabl_2!$A$8:$B$464,GUS_tabl_21!$A$5:$B$4886),2,FALSE)),LEFT(TRIM(VLOOKUP(IF(AND(LEN($A341)=4,VALUE(RIGHT($A341,2))&gt;60),$A341&amp;"01 1",$A341),IF(AND(LEN($A341)=4,VALUE(RIGHT($A341,2))&lt;60),GUS_tabl_2!$A$8:$B$464,GUS_tabl_21!$A$5:$B$4886),2,FALSE)),SUM(FIND("..",TRIM(VLOOKUP(IF(AND(LEN($A341)=4,VALUE(RIGHT($A341,2))&gt;60),$A341&amp;"01 1",$A341),IF(AND(LEN($A341)=4,VALUE(RIGHT($A341,2))&lt;60),GUS_tabl_2!$A$8:$B$464,GUS_tabl_21!$A$5:$B$4886),2,FALSE))),-1)))))</f>
        <v>gm. w. Wielka Nieszawka</v>
      </c>
      <c r="D341" s="141">
        <f>IF(OR($A341="",ISERROR(VALUE(LEFT($A341,6)))),"",IF(LEN($A341)=2,SUMIF($A342:$A$2965,$A341&amp;"??",$D342:$D$2965),IF(AND(LEN($A341)=4,VALUE(RIGHT($A341,2))&lt;=60),SUMIF($A342:$A$2965,$A341&amp;"????",$D342:$D$2965),VLOOKUP(IF(LEN($A341)=4,$A341&amp;"01 1",$A341),GUS_tabl_21!$A$5:$F$4886,6,FALSE))))</f>
        <v>5238</v>
      </c>
    </row>
    <row r="342" spans="1:4" s="29" customFormat="1" ht="12" customHeight="1">
      <c r="A342" s="155" t="str">
        <f>"041509 2"</f>
        <v>041509 2</v>
      </c>
      <c r="B342" s="153" t="s">
        <v>46</v>
      </c>
      <c r="C342" s="156" t="str">
        <f>IF(OR($A342="",ISERROR(VALUE(LEFT($A342,6)))),"",IF(LEN($A342)=2,"WOJ. ",IF(LEN($A342)=4,IF(VALUE(RIGHT($A342,2))&gt;60,"","Powiat "),IF(VALUE(RIGHT($A342,1))=1,"m. ",IF(VALUE(RIGHT($A342,1))=2,"gm. w. ",IF(VALUE(RIGHT($A342,1))=8,"dz. ","gm. m.-w. ")))))&amp;IF(LEN($A342)=2,TRIM(UPPER(VLOOKUP($A342,GUS_tabl_1!$A$7:$B$22,2,FALSE))),IF(ISERROR(FIND("..",TRIM(VLOOKUP(IF(AND(LEN($A342)=4,VALUE(RIGHT($A342,2))&gt;60),$A342&amp;"01 1",$A342),IF(AND(LEN($A342)=4,VALUE(RIGHT($A342,2))&lt;60),GUS_tabl_2!$A$8:$B$464,GUS_tabl_21!$A$5:$B$4886),2,FALSE)))),TRIM(VLOOKUP(IF(AND(LEN($A342)=4,VALUE(RIGHT($A342,2))&gt;60),$A342&amp;"01 1",$A342),IF(AND(LEN($A342)=4,VALUE(RIGHT($A342,2))&lt;60),GUS_tabl_2!$A$8:$B$464,GUS_tabl_21!$A$5:$B$4886),2,FALSE)),LEFT(TRIM(VLOOKUP(IF(AND(LEN($A342)=4,VALUE(RIGHT($A342,2))&gt;60),$A342&amp;"01 1",$A342),IF(AND(LEN($A342)=4,VALUE(RIGHT($A342,2))&lt;60),GUS_tabl_2!$A$8:$B$464,GUS_tabl_21!$A$5:$B$4886),2,FALSE)),SUM(FIND("..",TRIM(VLOOKUP(IF(AND(LEN($A342)=4,VALUE(RIGHT($A342,2))&gt;60),$A342&amp;"01 1",$A342),IF(AND(LEN($A342)=4,VALUE(RIGHT($A342,2))&lt;60),GUS_tabl_2!$A$8:$B$464,GUS_tabl_21!$A$5:$B$4886),2,FALSE))),-1)))))</f>
        <v>gm. w. Zławieś Wielka</v>
      </c>
      <c r="D342" s="141">
        <f>IF(OR($A342="",ISERROR(VALUE(LEFT($A342,6)))),"",IF(LEN($A342)=2,SUMIF($A343:$A$2965,$A342&amp;"??",$D343:$D$2965),IF(AND(LEN($A342)=4,VALUE(RIGHT($A342,2))&lt;=60),SUMIF($A343:$A$2965,$A342&amp;"????",$D343:$D$2965),VLOOKUP(IF(LEN($A342)=4,$A342&amp;"01 1",$A342),GUS_tabl_21!$A$5:$F$4886,6,FALSE))))</f>
        <v>14386</v>
      </c>
    </row>
    <row r="343" spans="1:4" s="29" customFormat="1" ht="12" customHeight="1">
      <c r="A343" s="152" t="str">
        <f>"0416"</f>
        <v>0416</v>
      </c>
      <c r="B343" s="153" t="s">
        <v>46</v>
      </c>
      <c r="C343" s="154" t="str">
        <f>IF(OR($A343="",ISERROR(VALUE(LEFT($A343,6)))),"",IF(LEN($A343)=2,"WOJ. ",IF(LEN($A343)=4,IF(VALUE(RIGHT($A343,2))&gt;60,"","Powiat "),IF(VALUE(RIGHT($A343,1))=1,"m. ",IF(VALUE(RIGHT($A343,1))=2,"gm. w. ",IF(VALUE(RIGHT($A343,1))=8,"dz. ","gm. m.-w. ")))))&amp;IF(LEN($A343)=2,TRIM(UPPER(VLOOKUP($A343,GUS_tabl_1!$A$7:$B$22,2,FALSE))),IF(ISERROR(FIND("..",TRIM(VLOOKUP(IF(AND(LEN($A343)=4,VALUE(RIGHT($A343,2))&gt;60),$A343&amp;"01 1",$A343),IF(AND(LEN($A343)=4,VALUE(RIGHT($A343,2))&lt;60),GUS_tabl_2!$A$8:$B$464,GUS_tabl_21!$A$5:$B$4886),2,FALSE)))),TRIM(VLOOKUP(IF(AND(LEN($A343)=4,VALUE(RIGHT($A343,2))&gt;60),$A343&amp;"01 1",$A343),IF(AND(LEN($A343)=4,VALUE(RIGHT($A343,2))&lt;60),GUS_tabl_2!$A$8:$B$464,GUS_tabl_21!$A$5:$B$4886),2,FALSE)),LEFT(TRIM(VLOOKUP(IF(AND(LEN($A343)=4,VALUE(RIGHT($A343,2))&gt;60),$A343&amp;"01 1",$A343),IF(AND(LEN($A343)=4,VALUE(RIGHT($A343,2))&lt;60),GUS_tabl_2!$A$8:$B$464,GUS_tabl_21!$A$5:$B$4886),2,FALSE)),SUM(FIND("..",TRIM(VLOOKUP(IF(AND(LEN($A343)=4,VALUE(RIGHT($A343,2))&gt;60),$A343&amp;"01 1",$A343),IF(AND(LEN($A343)=4,VALUE(RIGHT($A343,2))&lt;60),GUS_tabl_2!$A$8:$B$464,GUS_tabl_21!$A$5:$B$4886),2,FALSE))),-1)))))</f>
        <v>Powiat tucholski</v>
      </c>
      <c r="D343" s="140">
        <f>IF(OR($A343="",ISERROR(VALUE(LEFT($A343,6)))),"",IF(LEN($A343)=2,SUMIF($A344:$A$2965,$A343&amp;"??",$D344:$D$2965),IF(AND(LEN($A343)=4,VALUE(RIGHT($A343,2))&lt;=60),SUMIF($A344:$A$2965,$A343&amp;"????",$D344:$D$2965),VLOOKUP(IF(LEN($A343)=4,$A343&amp;"01 1",$A343),GUS_tabl_21!$A$5:$F$4886,6,FALSE))))</f>
        <v>48383</v>
      </c>
    </row>
    <row r="344" spans="1:4" s="29" customFormat="1" ht="12" customHeight="1">
      <c r="A344" s="155" t="str">
        <f>"041601 2"</f>
        <v>041601 2</v>
      </c>
      <c r="B344" s="153" t="s">
        <v>46</v>
      </c>
      <c r="C344" s="156" t="str">
        <f>IF(OR($A344="",ISERROR(VALUE(LEFT($A344,6)))),"",IF(LEN($A344)=2,"WOJ. ",IF(LEN($A344)=4,IF(VALUE(RIGHT($A344,2))&gt;60,"","Powiat "),IF(VALUE(RIGHT($A344,1))=1,"m. ",IF(VALUE(RIGHT($A344,1))=2,"gm. w. ",IF(VALUE(RIGHT($A344,1))=8,"dz. ","gm. m.-w. ")))))&amp;IF(LEN($A344)=2,TRIM(UPPER(VLOOKUP($A344,GUS_tabl_1!$A$7:$B$22,2,FALSE))),IF(ISERROR(FIND("..",TRIM(VLOOKUP(IF(AND(LEN($A344)=4,VALUE(RIGHT($A344,2))&gt;60),$A344&amp;"01 1",$A344),IF(AND(LEN($A344)=4,VALUE(RIGHT($A344,2))&lt;60),GUS_tabl_2!$A$8:$B$464,GUS_tabl_21!$A$5:$B$4886),2,FALSE)))),TRIM(VLOOKUP(IF(AND(LEN($A344)=4,VALUE(RIGHT($A344,2))&gt;60),$A344&amp;"01 1",$A344),IF(AND(LEN($A344)=4,VALUE(RIGHT($A344,2))&lt;60),GUS_tabl_2!$A$8:$B$464,GUS_tabl_21!$A$5:$B$4886),2,FALSE)),LEFT(TRIM(VLOOKUP(IF(AND(LEN($A344)=4,VALUE(RIGHT($A344,2))&gt;60),$A344&amp;"01 1",$A344),IF(AND(LEN($A344)=4,VALUE(RIGHT($A344,2))&lt;60),GUS_tabl_2!$A$8:$B$464,GUS_tabl_21!$A$5:$B$4886),2,FALSE)),SUM(FIND("..",TRIM(VLOOKUP(IF(AND(LEN($A344)=4,VALUE(RIGHT($A344,2))&gt;60),$A344&amp;"01 1",$A344),IF(AND(LEN($A344)=4,VALUE(RIGHT($A344,2))&lt;60),GUS_tabl_2!$A$8:$B$464,GUS_tabl_21!$A$5:$B$4886),2,FALSE))),-1)))))</f>
        <v>gm. w. Cekcyn</v>
      </c>
      <c r="D344" s="141">
        <f>IF(OR($A344="",ISERROR(VALUE(LEFT($A344,6)))),"",IF(LEN($A344)=2,SUMIF($A345:$A$2965,$A344&amp;"??",$D345:$D$2965),IF(AND(LEN($A344)=4,VALUE(RIGHT($A344,2))&lt;=60),SUMIF($A345:$A$2965,$A344&amp;"????",$D345:$D$2965),VLOOKUP(IF(LEN($A344)=4,$A344&amp;"01 1",$A344),GUS_tabl_21!$A$5:$F$4886,6,FALSE))))</f>
        <v>6870</v>
      </c>
    </row>
    <row r="345" spans="1:4" s="29" customFormat="1" ht="12" customHeight="1">
      <c r="A345" s="155" t="str">
        <f>"041602 2"</f>
        <v>041602 2</v>
      </c>
      <c r="B345" s="153" t="s">
        <v>46</v>
      </c>
      <c r="C345" s="156" t="str">
        <f>IF(OR($A345="",ISERROR(VALUE(LEFT($A345,6)))),"",IF(LEN($A345)=2,"WOJ. ",IF(LEN($A345)=4,IF(VALUE(RIGHT($A345,2))&gt;60,"","Powiat "),IF(VALUE(RIGHT($A345,1))=1,"m. ",IF(VALUE(RIGHT($A345,1))=2,"gm. w. ",IF(VALUE(RIGHT($A345,1))=8,"dz. ","gm. m.-w. ")))))&amp;IF(LEN($A345)=2,TRIM(UPPER(VLOOKUP($A345,GUS_tabl_1!$A$7:$B$22,2,FALSE))),IF(ISERROR(FIND("..",TRIM(VLOOKUP(IF(AND(LEN($A345)=4,VALUE(RIGHT($A345,2))&gt;60),$A345&amp;"01 1",$A345),IF(AND(LEN($A345)=4,VALUE(RIGHT($A345,2))&lt;60),GUS_tabl_2!$A$8:$B$464,GUS_tabl_21!$A$5:$B$4886),2,FALSE)))),TRIM(VLOOKUP(IF(AND(LEN($A345)=4,VALUE(RIGHT($A345,2))&gt;60),$A345&amp;"01 1",$A345),IF(AND(LEN($A345)=4,VALUE(RIGHT($A345,2))&lt;60),GUS_tabl_2!$A$8:$B$464,GUS_tabl_21!$A$5:$B$4886),2,FALSE)),LEFT(TRIM(VLOOKUP(IF(AND(LEN($A345)=4,VALUE(RIGHT($A345,2))&gt;60),$A345&amp;"01 1",$A345),IF(AND(LEN($A345)=4,VALUE(RIGHT($A345,2))&lt;60),GUS_tabl_2!$A$8:$B$464,GUS_tabl_21!$A$5:$B$4886),2,FALSE)),SUM(FIND("..",TRIM(VLOOKUP(IF(AND(LEN($A345)=4,VALUE(RIGHT($A345,2))&gt;60),$A345&amp;"01 1",$A345),IF(AND(LEN($A345)=4,VALUE(RIGHT($A345,2))&lt;60),GUS_tabl_2!$A$8:$B$464,GUS_tabl_21!$A$5:$B$4886),2,FALSE))),-1)))))</f>
        <v>gm. w. Gostycyn</v>
      </c>
      <c r="D345" s="141">
        <f>IF(OR($A345="",ISERROR(VALUE(LEFT($A345,6)))),"",IF(LEN($A345)=2,SUMIF($A346:$A$2965,$A345&amp;"??",$D346:$D$2965),IF(AND(LEN($A345)=4,VALUE(RIGHT($A345,2))&lt;=60),SUMIF($A346:$A$2965,$A345&amp;"????",$D346:$D$2965),VLOOKUP(IF(LEN($A345)=4,$A345&amp;"01 1",$A345),GUS_tabl_21!$A$5:$F$4886,6,FALSE))))</f>
        <v>5196</v>
      </c>
    </row>
    <row r="346" spans="1:4" s="29" customFormat="1" ht="12" customHeight="1">
      <c r="A346" s="155" t="str">
        <f>"041603 2"</f>
        <v>041603 2</v>
      </c>
      <c r="B346" s="153" t="s">
        <v>46</v>
      </c>
      <c r="C346" s="156" t="str">
        <f>IF(OR($A346="",ISERROR(VALUE(LEFT($A346,6)))),"",IF(LEN($A346)=2,"WOJ. ",IF(LEN($A346)=4,IF(VALUE(RIGHT($A346,2))&gt;60,"","Powiat "),IF(VALUE(RIGHT($A346,1))=1,"m. ",IF(VALUE(RIGHT($A346,1))=2,"gm. w. ",IF(VALUE(RIGHT($A346,1))=8,"dz. ","gm. m.-w. ")))))&amp;IF(LEN($A346)=2,TRIM(UPPER(VLOOKUP($A346,GUS_tabl_1!$A$7:$B$22,2,FALSE))),IF(ISERROR(FIND("..",TRIM(VLOOKUP(IF(AND(LEN($A346)=4,VALUE(RIGHT($A346,2))&gt;60),$A346&amp;"01 1",$A346),IF(AND(LEN($A346)=4,VALUE(RIGHT($A346,2))&lt;60),GUS_tabl_2!$A$8:$B$464,GUS_tabl_21!$A$5:$B$4886),2,FALSE)))),TRIM(VLOOKUP(IF(AND(LEN($A346)=4,VALUE(RIGHT($A346,2))&gt;60),$A346&amp;"01 1",$A346),IF(AND(LEN($A346)=4,VALUE(RIGHT($A346,2))&lt;60),GUS_tabl_2!$A$8:$B$464,GUS_tabl_21!$A$5:$B$4886),2,FALSE)),LEFT(TRIM(VLOOKUP(IF(AND(LEN($A346)=4,VALUE(RIGHT($A346,2))&gt;60),$A346&amp;"01 1",$A346),IF(AND(LEN($A346)=4,VALUE(RIGHT($A346,2))&lt;60),GUS_tabl_2!$A$8:$B$464,GUS_tabl_21!$A$5:$B$4886),2,FALSE)),SUM(FIND("..",TRIM(VLOOKUP(IF(AND(LEN($A346)=4,VALUE(RIGHT($A346,2))&gt;60),$A346&amp;"01 1",$A346),IF(AND(LEN($A346)=4,VALUE(RIGHT($A346,2))&lt;60),GUS_tabl_2!$A$8:$B$464,GUS_tabl_21!$A$5:$B$4886),2,FALSE))),-1)))))</f>
        <v>gm. w. Kęsowo</v>
      </c>
      <c r="D346" s="141">
        <f>IF(OR($A346="",ISERROR(VALUE(LEFT($A346,6)))),"",IF(LEN($A346)=2,SUMIF($A347:$A$2965,$A346&amp;"??",$D347:$D$2965),IF(AND(LEN($A346)=4,VALUE(RIGHT($A346,2))&lt;=60),SUMIF($A347:$A$2965,$A346&amp;"????",$D347:$D$2965),VLOOKUP(IF(LEN($A346)=4,$A346&amp;"01 1",$A346),GUS_tabl_21!$A$5:$F$4886,6,FALSE))))</f>
        <v>4493</v>
      </c>
    </row>
    <row r="347" spans="1:4" s="29" customFormat="1" ht="12" customHeight="1">
      <c r="A347" s="155" t="str">
        <f>"041604 2"</f>
        <v>041604 2</v>
      </c>
      <c r="B347" s="153" t="s">
        <v>46</v>
      </c>
      <c r="C347" s="156" t="str">
        <f>IF(OR($A347="",ISERROR(VALUE(LEFT($A347,6)))),"",IF(LEN($A347)=2,"WOJ. ",IF(LEN($A347)=4,IF(VALUE(RIGHT($A347,2))&gt;60,"","Powiat "),IF(VALUE(RIGHT($A347,1))=1,"m. ",IF(VALUE(RIGHT($A347,1))=2,"gm. w. ",IF(VALUE(RIGHT($A347,1))=8,"dz. ","gm. m.-w. ")))))&amp;IF(LEN($A347)=2,TRIM(UPPER(VLOOKUP($A347,GUS_tabl_1!$A$7:$B$22,2,FALSE))),IF(ISERROR(FIND("..",TRIM(VLOOKUP(IF(AND(LEN($A347)=4,VALUE(RIGHT($A347,2))&gt;60),$A347&amp;"01 1",$A347),IF(AND(LEN($A347)=4,VALUE(RIGHT($A347,2))&lt;60),GUS_tabl_2!$A$8:$B$464,GUS_tabl_21!$A$5:$B$4886),2,FALSE)))),TRIM(VLOOKUP(IF(AND(LEN($A347)=4,VALUE(RIGHT($A347,2))&gt;60),$A347&amp;"01 1",$A347),IF(AND(LEN($A347)=4,VALUE(RIGHT($A347,2))&lt;60),GUS_tabl_2!$A$8:$B$464,GUS_tabl_21!$A$5:$B$4886),2,FALSE)),LEFT(TRIM(VLOOKUP(IF(AND(LEN($A347)=4,VALUE(RIGHT($A347,2))&gt;60),$A347&amp;"01 1",$A347),IF(AND(LEN($A347)=4,VALUE(RIGHT($A347,2))&lt;60),GUS_tabl_2!$A$8:$B$464,GUS_tabl_21!$A$5:$B$4886),2,FALSE)),SUM(FIND("..",TRIM(VLOOKUP(IF(AND(LEN($A347)=4,VALUE(RIGHT($A347,2))&gt;60),$A347&amp;"01 1",$A347),IF(AND(LEN($A347)=4,VALUE(RIGHT($A347,2))&lt;60),GUS_tabl_2!$A$8:$B$464,GUS_tabl_21!$A$5:$B$4886),2,FALSE))),-1)))))</f>
        <v>gm. w. Lubiewo</v>
      </c>
      <c r="D347" s="141">
        <f>IF(OR($A347="",ISERROR(VALUE(LEFT($A347,6)))),"",IF(LEN($A347)=2,SUMIF($A348:$A$2965,$A347&amp;"??",$D348:$D$2965),IF(AND(LEN($A347)=4,VALUE(RIGHT($A347,2))&lt;=60),SUMIF($A348:$A$2965,$A347&amp;"????",$D348:$D$2965),VLOOKUP(IF(LEN($A347)=4,$A347&amp;"01 1",$A347),GUS_tabl_21!$A$5:$F$4886,6,FALSE))))</f>
        <v>5981</v>
      </c>
    </row>
    <row r="348" spans="1:4" s="29" customFormat="1" ht="12" customHeight="1">
      <c r="A348" s="155" t="str">
        <f>"041605 2"</f>
        <v>041605 2</v>
      </c>
      <c r="B348" s="153" t="s">
        <v>46</v>
      </c>
      <c r="C348" s="156" t="str">
        <f>IF(OR($A348="",ISERROR(VALUE(LEFT($A348,6)))),"",IF(LEN($A348)=2,"WOJ. ",IF(LEN($A348)=4,IF(VALUE(RIGHT($A348,2))&gt;60,"","Powiat "),IF(VALUE(RIGHT($A348,1))=1,"m. ",IF(VALUE(RIGHT($A348,1))=2,"gm. w. ",IF(VALUE(RIGHT($A348,1))=8,"dz. ","gm. m.-w. ")))))&amp;IF(LEN($A348)=2,TRIM(UPPER(VLOOKUP($A348,GUS_tabl_1!$A$7:$B$22,2,FALSE))),IF(ISERROR(FIND("..",TRIM(VLOOKUP(IF(AND(LEN($A348)=4,VALUE(RIGHT($A348,2))&gt;60),$A348&amp;"01 1",$A348),IF(AND(LEN($A348)=4,VALUE(RIGHT($A348,2))&lt;60),GUS_tabl_2!$A$8:$B$464,GUS_tabl_21!$A$5:$B$4886),2,FALSE)))),TRIM(VLOOKUP(IF(AND(LEN($A348)=4,VALUE(RIGHT($A348,2))&gt;60),$A348&amp;"01 1",$A348),IF(AND(LEN($A348)=4,VALUE(RIGHT($A348,2))&lt;60),GUS_tabl_2!$A$8:$B$464,GUS_tabl_21!$A$5:$B$4886),2,FALSE)),LEFT(TRIM(VLOOKUP(IF(AND(LEN($A348)=4,VALUE(RIGHT($A348,2))&gt;60),$A348&amp;"01 1",$A348),IF(AND(LEN($A348)=4,VALUE(RIGHT($A348,2))&lt;60),GUS_tabl_2!$A$8:$B$464,GUS_tabl_21!$A$5:$B$4886),2,FALSE)),SUM(FIND("..",TRIM(VLOOKUP(IF(AND(LEN($A348)=4,VALUE(RIGHT($A348,2))&gt;60),$A348&amp;"01 1",$A348),IF(AND(LEN($A348)=4,VALUE(RIGHT($A348,2))&lt;60),GUS_tabl_2!$A$8:$B$464,GUS_tabl_21!$A$5:$B$4886),2,FALSE))),-1)))))</f>
        <v>gm. w. Śliwice</v>
      </c>
      <c r="D348" s="141">
        <f>IF(OR($A348="",ISERROR(VALUE(LEFT($A348,6)))),"",IF(LEN($A348)=2,SUMIF($A349:$A$2965,$A348&amp;"??",$D349:$D$2965),IF(AND(LEN($A348)=4,VALUE(RIGHT($A348,2))&lt;=60),SUMIF($A349:$A$2965,$A348&amp;"????",$D349:$D$2965),VLOOKUP(IF(LEN($A348)=4,$A348&amp;"01 1",$A348),GUS_tabl_21!$A$5:$F$4886,6,FALSE))))</f>
        <v>5592</v>
      </c>
    </row>
    <row r="349" spans="1:4" s="29" customFormat="1" ht="12" customHeight="1">
      <c r="A349" s="155" t="str">
        <f>"041606 3"</f>
        <v>041606 3</v>
      </c>
      <c r="B349" s="153" t="s">
        <v>46</v>
      </c>
      <c r="C349" s="156" t="str">
        <f>IF(OR($A349="",ISERROR(VALUE(LEFT($A349,6)))),"",IF(LEN($A349)=2,"WOJ. ",IF(LEN($A349)=4,IF(VALUE(RIGHT($A349,2))&gt;60,"","Powiat "),IF(VALUE(RIGHT($A349,1))=1,"m. ",IF(VALUE(RIGHT($A349,1))=2,"gm. w. ",IF(VALUE(RIGHT($A349,1))=8,"dz. ","gm. m.-w. ")))))&amp;IF(LEN($A349)=2,TRIM(UPPER(VLOOKUP($A349,GUS_tabl_1!$A$7:$B$22,2,FALSE))),IF(ISERROR(FIND("..",TRIM(VLOOKUP(IF(AND(LEN($A349)=4,VALUE(RIGHT($A349,2))&gt;60),$A349&amp;"01 1",$A349),IF(AND(LEN($A349)=4,VALUE(RIGHT($A349,2))&lt;60),GUS_tabl_2!$A$8:$B$464,GUS_tabl_21!$A$5:$B$4886),2,FALSE)))),TRIM(VLOOKUP(IF(AND(LEN($A349)=4,VALUE(RIGHT($A349,2))&gt;60),$A349&amp;"01 1",$A349),IF(AND(LEN($A349)=4,VALUE(RIGHT($A349,2))&lt;60),GUS_tabl_2!$A$8:$B$464,GUS_tabl_21!$A$5:$B$4886),2,FALSE)),LEFT(TRIM(VLOOKUP(IF(AND(LEN($A349)=4,VALUE(RIGHT($A349,2))&gt;60),$A349&amp;"01 1",$A349),IF(AND(LEN($A349)=4,VALUE(RIGHT($A349,2))&lt;60),GUS_tabl_2!$A$8:$B$464,GUS_tabl_21!$A$5:$B$4886),2,FALSE)),SUM(FIND("..",TRIM(VLOOKUP(IF(AND(LEN($A349)=4,VALUE(RIGHT($A349,2))&gt;60),$A349&amp;"01 1",$A349),IF(AND(LEN($A349)=4,VALUE(RIGHT($A349,2))&lt;60),GUS_tabl_2!$A$8:$B$464,GUS_tabl_21!$A$5:$B$4886),2,FALSE))),-1)))))</f>
        <v>gm. m.-w. Tuchola</v>
      </c>
      <c r="D349" s="141">
        <f>IF(OR($A349="",ISERROR(VALUE(LEFT($A349,6)))),"",IF(LEN($A349)=2,SUMIF($A350:$A$2965,$A349&amp;"??",$D350:$D$2965),IF(AND(LEN($A349)=4,VALUE(RIGHT($A349,2))&lt;=60),SUMIF($A350:$A$2965,$A349&amp;"????",$D350:$D$2965),VLOOKUP(IF(LEN($A349)=4,$A349&amp;"01 1",$A349),GUS_tabl_21!$A$5:$F$4886,6,FALSE))))</f>
        <v>20251</v>
      </c>
    </row>
    <row r="350" spans="1:4" s="29" customFormat="1" ht="12" customHeight="1">
      <c r="A350" s="152" t="str">
        <f>"0417"</f>
        <v>0417</v>
      </c>
      <c r="B350" s="153" t="s">
        <v>46</v>
      </c>
      <c r="C350" s="154" t="str">
        <f>IF(OR($A350="",ISERROR(VALUE(LEFT($A350,6)))),"",IF(LEN($A350)=2,"WOJ. ",IF(LEN($A350)=4,IF(VALUE(RIGHT($A350,2))&gt;60,"","Powiat "),IF(VALUE(RIGHT($A350,1))=1,"m. ",IF(VALUE(RIGHT($A350,1))=2,"gm. w. ",IF(VALUE(RIGHT($A350,1))=8,"dz. ","gm. m.-w. ")))))&amp;IF(LEN($A350)=2,TRIM(UPPER(VLOOKUP($A350,GUS_tabl_1!$A$7:$B$22,2,FALSE))),IF(ISERROR(FIND("..",TRIM(VLOOKUP(IF(AND(LEN($A350)=4,VALUE(RIGHT($A350,2))&gt;60),$A350&amp;"01 1",$A350),IF(AND(LEN($A350)=4,VALUE(RIGHT($A350,2))&lt;60),GUS_tabl_2!$A$8:$B$464,GUS_tabl_21!$A$5:$B$4886),2,FALSE)))),TRIM(VLOOKUP(IF(AND(LEN($A350)=4,VALUE(RIGHT($A350,2))&gt;60),$A350&amp;"01 1",$A350),IF(AND(LEN($A350)=4,VALUE(RIGHT($A350,2))&lt;60),GUS_tabl_2!$A$8:$B$464,GUS_tabl_21!$A$5:$B$4886),2,FALSE)),LEFT(TRIM(VLOOKUP(IF(AND(LEN($A350)=4,VALUE(RIGHT($A350,2))&gt;60),$A350&amp;"01 1",$A350),IF(AND(LEN($A350)=4,VALUE(RIGHT($A350,2))&lt;60),GUS_tabl_2!$A$8:$B$464,GUS_tabl_21!$A$5:$B$4886),2,FALSE)),SUM(FIND("..",TRIM(VLOOKUP(IF(AND(LEN($A350)=4,VALUE(RIGHT($A350,2))&gt;60),$A350&amp;"01 1",$A350),IF(AND(LEN($A350)=4,VALUE(RIGHT($A350,2))&lt;60),GUS_tabl_2!$A$8:$B$464,GUS_tabl_21!$A$5:$B$4886),2,FALSE))),-1)))))</f>
        <v>Powiat wąbrzeski</v>
      </c>
      <c r="D350" s="140">
        <f>IF(OR($A350="",ISERROR(VALUE(LEFT($A350,6)))),"",IF(LEN($A350)=2,SUMIF($A351:$A$2965,$A350&amp;"??",$D351:$D$2965),IF(AND(LEN($A350)=4,VALUE(RIGHT($A350,2))&lt;=60),SUMIF($A351:$A$2965,$A350&amp;"????",$D351:$D$2965),VLOOKUP(IF(LEN($A350)=4,$A350&amp;"01 1",$A350),GUS_tabl_21!$A$5:$F$4886,6,FALSE))))</f>
        <v>34194</v>
      </c>
    </row>
    <row r="351" spans="1:4" s="29" customFormat="1" ht="12" customHeight="1">
      <c r="A351" s="155" t="str">
        <f>"041701 1"</f>
        <v>041701 1</v>
      </c>
      <c r="B351" s="153" t="s">
        <v>46</v>
      </c>
      <c r="C351" s="156" t="str">
        <f>IF(OR($A351="",ISERROR(VALUE(LEFT($A351,6)))),"",IF(LEN($A351)=2,"WOJ. ",IF(LEN($A351)=4,IF(VALUE(RIGHT($A351,2))&gt;60,"","Powiat "),IF(VALUE(RIGHT($A351,1))=1,"m. ",IF(VALUE(RIGHT($A351,1))=2,"gm. w. ",IF(VALUE(RIGHT($A351,1))=8,"dz. ","gm. m.-w. ")))))&amp;IF(LEN($A351)=2,TRIM(UPPER(VLOOKUP($A351,GUS_tabl_1!$A$7:$B$22,2,FALSE))),IF(ISERROR(FIND("..",TRIM(VLOOKUP(IF(AND(LEN($A351)=4,VALUE(RIGHT($A351,2))&gt;60),$A351&amp;"01 1",$A351),IF(AND(LEN($A351)=4,VALUE(RIGHT($A351,2))&lt;60),GUS_tabl_2!$A$8:$B$464,GUS_tabl_21!$A$5:$B$4886),2,FALSE)))),TRIM(VLOOKUP(IF(AND(LEN($A351)=4,VALUE(RIGHT($A351,2))&gt;60),$A351&amp;"01 1",$A351),IF(AND(LEN($A351)=4,VALUE(RIGHT($A351,2))&lt;60),GUS_tabl_2!$A$8:$B$464,GUS_tabl_21!$A$5:$B$4886),2,FALSE)),LEFT(TRIM(VLOOKUP(IF(AND(LEN($A351)=4,VALUE(RIGHT($A351,2))&gt;60),$A351&amp;"01 1",$A351),IF(AND(LEN($A351)=4,VALUE(RIGHT($A351,2))&lt;60),GUS_tabl_2!$A$8:$B$464,GUS_tabl_21!$A$5:$B$4886),2,FALSE)),SUM(FIND("..",TRIM(VLOOKUP(IF(AND(LEN($A351)=4,VALUE(RIGHT($A351,2))&gt;60),$A351&amp;"01 1",$A351),IF(AND(LEN($A351)=4,VALUE(RIGHT($A351,2))&lt;60),GUS_tabl_2!$A$8:$B$464,GUS_tabl_21!$A$5:$B$4886),2,FALSE))),-1)))))</f>
        <v>m. Wąbrzeźno</v>
      </c>
      <c r="D351" s="141">
        <f>IF(OR($A351="",ISERROR(VALUE(LEFT($A351,6)))),"",IF(LEN($A351)=2,SUMIF($A352:$A$2965,$A351&amp;"??",$D352:$D$2965),IF(AND(LEN($A351)=4,VALUE(RIGHT($A351,2))&lt;=60),SUMIF($A352:$A$2965,$A351&amp;"????",$D352:$D$2965),VLOOKUP(IF(LEN($A351)=4,$A351&amp;"01 1",$A351),GUS_tabl_21!$A$5:$F$4886,6,FALSE))))</f>
        <v>13518</v>
      </c>
    </row>
    <row r="352" spans="1:4" s="29" customFormat="1" ht="12" customHeight="1">
      <c r="A352" s="155" t="str">
        <f>"041702 2"</f>
        <v>041702 2</v>
      </c>
      <c r="B352" s="153" t="s">
        <v>46</v>
      </c>
      <c r="C352" s="156" t="str">
        <f>IF(OR($A352="",ISERROR(VALUE(LEFT($A352,6)))),"",IF(LEN($A352)=2,"WOJ. ",IF(LEN($A352)=4,IF(VALUE(RIGHT($A352,2))&gt;60,"","Powiat "),IF(VALUE(RIGHT($A352,1))=1,"m. ",IF(VALUE(RIGHT($A352,1))=2,"gm. w. ",IF(VALUE(RIGHT($A352,1))=8,"dz. ","gm. m.-w. ")))))&amp;IF(LEN($A352)=2,TRIM(UPPER(VLOOKUP($A352,GUS_tabl_1!$A$7:$B$22,2,FALSE))),IF(ISERROR(FIND("..",TRIM(VLOOKUP(IF(AND(LEN($A352)=4,VALUE(RIGHT($A352,2))&gt;60),$A352&amp;"01 1",$A352),IF(AND(LEN($A352)=4,VALUE(RIGHT($A352,2))&lt;60),GUS_tabl_2!$A$8:$B$464,GUS_tabl_21!$A$5:$B$4886),2,FALSE)))),TRIM(VLOOKUP(IF(AND(LEN($A352)=4,VALUE(RIGHT($A352,2))&gt;60),$A352&amp;"01 1",$A352),IF(AND(LEN($A352)=4,VALUE(RIGHT($A352,2))&lt;60),GUS_tabl_2!$A$8:$B$464,GUS_tabl_21!$A$5:$B$4886),2,FALSE)),LEFT(TRIM(VLOOKUP(IF(AND(LEN($A352)=4,VALUE(RIGHT($A352,2))&gt;60),$A352&amp;"01 1",$A352),IF(AND(LEN($A352)=4,VALUE(RIGHT($A352,2))&lt;60),GUS_tabl_2!$A$8:$B$464,GUS_tabl_21!$A$5:$B$4886),2,FALSE)),SUM(FIND("..",TRIM(VLOOKUP(IF(AND(LEN($A352)=4,VALUE(RIGHT($A352,2))&gt;60),$A352&amp;"01 1",$A352),IF(AND(LEN($A352)=4,VALUE(RIGHT($A352,2))&lt;60),GUS_tabl_2!$A$8:$B$464,GUS_tabl_21!$A$5:$B$4886),2,FALSE))),-1)))))</f>
        <v>gm. w. Dębowa Łąka</v>
      </c>
      <c r="D352" s="141">
        <f>IF(OR($A352="",ISERROR(VALUE(LEFT($A352,6)))),"",IF(LEN($A352)=2,SUMIF($A353:$A$2965,$A352&amp;"??",$D353:$D$2965),IF(AND(LEN($A352)=4,VALUE(RIGHT($A352,2))&lt;=60),SUMIF($A353:$A$2965,$A352&amp;"????",$D353:$D$2965),VLOOKUP(IF(LEN($A352)=4,$A352&amp;"01 1",$A352),GUS_tabl_21!$A$5:$F$4886,6,FALSE))))</f>
        <v>3165</v>
      </c>
    </row>
    <row r="353" spans="1:4" s="29" customFormat="1" ht="12" customHeight="1">
      <c r="A353" s="155" t="str">
        <f>"041703 2"</f>
        <v>041703 2</v>
      </c>
      <c r="B353" s="153" t="s">
        <v>46</v>
      </c>
      <c r="C353" s="156" t="str">
        <f>IF(OR($A353="",ISERROR(VALUE(LEFT($A353,6)))),"",IF(LEN($A353)=2,"WOJ. ",IF(LEN($A353)=4,IF(VALUE(RIGHT($A353,2))&gt;60,"","Powiat "),IF(VALUE(RIGHT($A353,1))=1,"m. ",IF(VALUE(RIGHT($A353,1))=2,"gm. w. ",IF(VALUE(RIGHT($A353,1))=8,"dz. ","gm. m.-w. ")))))&amp;IF(LEN($A353)=2,TRIM(UPPER(VLOOKUP($A353,GUS_tabl_1!$A$7:$B$22,2,FALSE))),IF(ISERROR(FIND("..",TRIM(VLOOKUP(IF(AND(LEN($A353)=4,VALUE(RIGHT($A353,2))&gt;60),$A353&amp;"01 1",$A353),IF(AND(LEN($A353)=4,VALUE(RIGHT($A353,2))&lt;60),GUS_tabl_2!$A$8:$B$464,GUS_tabl_21!$A$5:$B$4886),2,FALSE)))),TRIM(VLOOKUP(IF(AND(LEN($A353)=4,VALUE(RIGHT($A353,2))&gt;60),$A353&amp;"01 1",$A353),IF(AND(LEN($A353)=4,VALUE(RIGHT($A353,2))&lt;60),GUS_tabl_2!$A$8:$B$464,GUS_tabl_21!$A$5:$B$4886),2,FALSE)),LEFT(TRIM(VLOOKUP(IF(AND(LEN($A353)=4,VALUE(RIGHT($A353,2))&gt;60),$A353&amp;"01 1",$A353),IF(AND(LEN($A353)=4,VALUE(RIGHT($A353,2))&lt;60),GUS_tabl_2!$A$8:$B$464,GUS_tabl_21!$A$5:$B$4886),2,FALSE)),SUM(FIND("..",TRIM(VLOOKUP(IF(AND(LEN($A353)=4,VALUE(RIGHT($A353,2))&gt;60),$A353&amp;"01 1",$A353),IF(AND(LEN($A353)=4,VALUE(RIGHT($A353,2))&lt;60),GUS_tabl_2!$A$8:$B$464,GUS_tabl_21!$A$5:$B$4886),2,FALSE))),-1)))))</f>
        <v>gm. w. Książki</v>
      </c>
      <c r="D353" s="141">
        <f>IF(OR($A353="",ISERROR(VALUE(LEFT($A353,6)))),"",IF(LEN($A353)=2,SUMIF($A354:$A$2965,$A353&amp;"??",$D354:$D$2965),IF(AND(LEN($A353)=4,VALUE(RIGHT($A353,2))&lt;=60),SUMIF($A354:$A$2965,$A353&amp;"????",$D354:$D$2965),VLOOKUP(IF(LEN($A353)=4,$A353&amp;"01 1",$A353),GUS_tabl_21!$A$5:$F$4886,6,FALSE))))</f>
        <v>4149</v>
      </c>
    </row>
    <row r="354" spans="1:4" s="29" customFormat="1" ht="12" customHeight="1">
      <c r="A354" s="155" t="str">
        <f>"041704 2"</f>
        <v>041704 2</v>
      </c>
      <c r="B354" s="153" t="s">
        <v>46</v>
      </c>
      <c r="C354" s="156" t="str">
        <f>IF(OR($A354="",ISERROR(VALUE(LEFT($A354,6)))),"",IF(LEN($A354)=2,"WOJ. ",IF(LEN($A354)=4,IF(VALUE(RIGHT($A354,2))&gt;60,"","Powiat "),IF(VALUE(RIGHT($A354,1))=1,"m. ",IF(VALUE(RIGHT($A354,1))=2,"gm. w. ",IF(VALUE(RIGHT($A354,1))=8,"dz. ","gm. m.-w. ")))))&amp;IF(LEN($A354)=2,TRIM(UPPER(VLOOKUP($A354,GUS_tabl_1!$A$7:$B$22,2,FALSE))),IF(ISERROR(FIND("..",TRIM(VLOOKUP(IF(AND(LEN($A354)=4,VALUE(RIGHT($A354,2))&gt;60),$A354&amp;"01 1",$A354),IF(AND(LEN($A354)=4,VALUE(RIGHT($A354,2))&lt;60),GUS_tabl_2!$A$8:$B$464,GUS_tabl_21!$A$5:$B$4886),2,FALSE)))),TRIM(VLOOKUP(IF(AND(LEN($A354)=4,VALUE(RIGHT($A354,2))&gt;60),$A354&amp;"01 1",$A354),IF(AND(LEN($A354)=4,VALUE(RIGHT($A354,2))&lt;60),GUS_tabl_2!$A$8:$B$464,GUS_tabl_21!$A$5:$B$4886),2,FALSE)),LEFT(TRIM(VLOOKUP(IF(AND(LEN($A354)=4,VALUE(RIGHT($A354,2))&gt;60),$A354&amp;"01 1",$A354),IF(AND(LEN($A354)=4,VALUE(RIGHT($A354,2))&lt;60),GUS_tabl_2!$A$8:$B$464,GUS_tabl_21!$A$5:$B$4886),2,FALSE)),SUM(FIND("..",TRIM(VLOOKUP(IF(AND(LEN($A354)=4,VALUE(RIGHT($A354,2))&gt;60),$A354&amp;"01 1",$A354),IF(AND(LEN($A354)=4,VALUE(RIGHT($A354,2))&lt;60),GUS_tabl_2!$A$8:$B$464,GUS_tabl_21!$A$5:$B$4886),2,FALSE))),-1)))))</f>
        <v>gm. w. Płużnica</v>
      </c>
      <c r="D354" s="141">
        <f>IF(OR($A354="",ISERROR(VALUE(LEFT($A354,6)))),"",IF(LEN($A354)=2,SUMIF($A355:$A$2965,$A354&amp;"??",$D355:$D$2965),IF(AND(LEN($A354)=4,VALUE(RIGHT($A354,2))&lt;=60),SUMIF($A355:$A$2965,$A354&amp;"????",$D355:$D$2965),VLOOKUP(IF(LEN($A354)=4,$A354&amp;"01 1",$A354),GUS_tabl_21!$A$5:$F$4886,6,FALSE))))</f>
        <v>4775</v>
      </c>
    </row>
    <row r="355" spans="1:4" s="29" customFormat="1" ht="12" customHeight="1">
      <c r="A355" s="155" t="str">
        <f>"041705 2"</f>
        <v>041705 2</v>
      </c>
      <c r="B355" s="153" t="s">
        <v>46</v>
      </c>
      <c r="C355" s="156" t="str">
        <f>IF(OR($A355="",ISERROR(VALUE(LEFT($A355,6)))),"",IF(LEN($A355)=2,"WOJ. ",IF(LEN($A355)=4,IF(VALUE(RIGHT($A355,2))&gt;60,"","Powiat "),IF(VALUE(RIGHT($A355,1))=1,"m. ",IF(VALUE(RIGHT($A355,1))=2,"gm. w. ",IF(VALUE(RIGHT($A355,1))=8,"dz. ","gm. m.-w. ")))))&amp;IF(LEN($A355)=2,TRIM(UPPER(VLOOKUP($A355,GUS_tabl_1!$A$7:$B$22,2,FALSE))),IF(ISERROR(FIND("..",TRIM(VLOOKUP(IF(AND(LEN($A355)=4,VALUE(RIGHT($A355,2))&gt;60),$A355&amp;"01 1",$A355),IF(AND(LEN($A355)=4,VALUE(RIGHT($A355,2))&lt;60),GUS_tabl_2!$A$8:$B$464,GUS_tabl_21!$A$5:$B$4886),2,FALSE)))),TRIM(VLOOKUP(IF(AND(LEN($A355)=4,VALUE(RIGHT($A355,2))&gt;60),$A355&amp;"01 1",$A355),IF(AND(LEN($A355)=4,VALUE(RIGHT($A355,2))&lt;60),GUS_tabl_2!$A$8:$B$464,GUS_tabl_21!$A$5:$B$4886),2,FALSE)),LEFT(TRIM(VLOOKUP(IF(AND(LEN($A355)=4,VALUE(RIGHT($A355,2))&gt;60),$A355&amp;"01 1",$A355),IF(AND(LEN($A355)=4,VALUE(RIGHT($A355,2))&lt;60),GUS_tabl_2!$A$8:$B$464,GUS_tabl_21!$A$5:$B$4886),2,FALSE)),SUM(FIND("..",TRIM(VLOOKUP(IF(AND(LEN($A355)=4,VALUE(RIGHT($A355,2))&gt;60),$A355&amp;"01 1",$A355),IF(AND(LEN($A355)=4,VALUE(RIGHT($A355,2))&lt;60),GUS_tabl_2!$A$8:$B$464,GUS_tabl_21!$A$5:$B$4886),2,FALSE))),-1)))))</f>
        <v>gm. w. Ryńsk</v>
      </c>
      <c r="D355" s="141">
        <f>IF(OR($A355="",ISERROR(VALUE(LEFT($A355,6)))),"",IF(LEN($A355)=2,SUMIF($A356:$A$2965,$A355&amp;"??",$D356:$D$2965),IF(AND(LEN($A355)=4,VALUE(RIGHT($A355,2))&lt;=60),SUMIF($A356:$A$2965,$A355&amp;"????",$D356:$D$2965),VLOOKUP(IF(LEN($A355)=4,$A355&amp;"01 1",$A355),GUS_tabl_21!$A$5:$F$4886,6,FALSE))))</f>
        <v>8587</v>
      </c>
    </row>
    <row r="356" spans="1:4" s="29" customFormat="1" ht="12" customHeight="1">
      <c r="A356" s="152" t="str">
        <f>"0418"</f>
        <v>0418</v>
      </c>
      <c r="B356" s="153" t="s">
        <v>46</v>
      </c>
      <c r="C356" s="170" t="str">
        <f>IF(OR($A356="",ISERROR(VALUE(LEFT($A356,6)))),"",IF(LEN($A356)=2,"WOJ. ",IF(LEN($A356)=4,IF(VALUE(RIGHT($A356,2))&gt;60,"","Powiat "),IF(VALUE(RIGHT($A356,1))=1,"m. ",IF(VALUE(RIGHT($A356,1))=2,"gm. w. ",IF(VALUE(RIGHT($A356,1))=8,"dz. ","gm. m.-w. ")))))&amp;IF(LEN($A356)=2,TRIM(UPPER(VLOOKUP($A356,GUS_tabl_1!$A$7:$B$22,2,FALSE))),IF(ISERROR(FIND("..",TRIM(VLOOKUP(IF(AND(LEN($A356)=4,VALUE(RIGHT($A356,2))&gt;60),$A356&amp;"01 1",$A356),IF(AND(LEN($A356)=4,VALUE(RIGHT($A356,2))&lt;60),GUS_tabl_2!$A$8:$B$464,GUS_tabl_21!$A$5:$B$4886),2,FALSE)))),TRIM(VLOOKUP(IF(AND(LEN($A356)=4,VALUE(RIGHT($A356,2))&gt;60),$A356&amp;"01 1",$A356),IF(AND(LEN($A356)=4,VALUE(RIGHT($A356,2))&lt;60),GUS_tabl_2!$A$8:$B$464,GUS_tabl_21!$A$5:$B$4886),2,FALSE)),LEFT(TRIM(VLOOKUP(IF(AND(LEN($A356)=4,VALUE(RIGHT($A356,2))&gt;60),$A356&amp;"01 1",$A356),IF(AND(LEN($A356)=4,VALUE(RIGHT($A356,2))&lt;60),GUS_tabl_2!$A$8:$B$464,GUS_tabl_21!$A$5:$B$4886),2,FALSE)),SUM(FIND("..",TRIM(VLOOKUP(IF(AND(LEN($A356)=4,VALUE(RIGHT($A356,2))&gt;60),$A356&amp;"01 1",$A356),IF(AND(LEN($A356)=4,VALUE(RIGHT($A356,2))&lt;60),GUS_tabl_2!$A$8:$B$464,GUS_tabl_21!$A$5:$B$4886),2,FALSE))),-1)))))</f>
        <v>Powiat włocławski</v>
      </c>
      <c r="D356" s="140">
        <f>IF(OR($A356="",ISERROR(VALUE(LEFT($A356,6)))),"",IF(LEN($A356)=2,SUMIF($A357:$A$2965,$A356&amp;"??",$D357:$D$2965),IF(AND(LEN($A356)=4,VALUE(RIGHT($A356,2))&lt;=60),SUMIF($A357:$A$2965,$A356&amp;"????",$D357:$D$2965),VLOOKUP(IF(LEN($A356)=4,$A356&amp;"01 1",$A356),GUS_tabl_21!$A$5:$F$4886,6,FALSE))))</f>
        <v>86037</v>
      </c>
    </row>
    <row r="357" spans="1:4" s="29" customFormat="1" ht="12" customHeight="1">
      <c r="A357" s="155" t="str">
        <f>"041801 1"</f>
        <v>041801 1</v>
      </c>
      <c r="B357" s="171" t="s">
        <v>46</v>
      </c>
      <c r="C357" s="156" t="str">
        <f>IF(OR($A357="",ISERROR(VALUE(LEFT($A357,6)))),"",IF(LEN($A357)=2,"WOJ. ",IF(LEN($A357)=4,IF(VALUE(RIGHT($A357,2))&gt;60,"","Powiat "),IF(VALUE(RIGHT($A357,1))=1,"m. ",IF(VALUE(RIGHT($A357,1))=2,"gm. w. ",IF(VALUE(RIGHT($A357,1))=8,"dz. ","gm. m.-w. ")))))&amp;IF(LEN($A357)=2,TRIM(UPPER(VLOOKUP($A357,GUS_tabl_1!$A$7:$B$22,2,FALSE))),IF(ISERROR(FIND("..",TRIM(VLOOKUP(IF(AND(LEN($A357)=4,VALUE(RIGHT($A357,2))&gt;60),$A357&amp;"01 1",$A357),IF(AND(LEN($A357)=4,VALUE(RIGHT($A357,2))&lt;60),GUS_tabl_2!$A$8:$B$464,GUS_tabl_21!$A$5:$B$4886),2,FALSE)))),TRIM(VLOOKUP(IF(AND(LEN($A357)=4,VALUE(RIGHT($A357,2))&gt;60),$A357&amp;"01 1",$A357),IF(AND(LEN($A357)=4,VALUE(RIGHT($A357,2))&lt;60),GUS_tabl_2!$A$8:$B$464,GUS_tabl_21!$A$5:$B$4886),2,FALSE)),LEFT(TRIM(VLOOKUP(IF(AND(LEN($A357)=4,VALUE(RIGHT($A357,2))&gt;60),$A357&amp;"01 1",$A357),IF(AND(LEN($A357)=4,VALUE(RIGHT($A357,2))&lt;60),GUS_tabl_2!$A$8:$B$464,GUS_tabl_21!$A$5:$B$4886),2,FALSE)),SUM(FIND("..",TRIM(VLOOKUP(IF(AND(LEN($A357)=4,VALUE(RIGHT($A357,2))&gt;60),$A357&amp;"01 1",$A357),IF(AND(LEN($A357)=4,VALUE(RIGHT($A357,2))&lt;60),GUS_tabl_2!$A$8:$B$464,GUS_tabl_21!$A$5:$B$4886),2,FALSE))),-1)))))</f>
        <v>m. Kowal</v>
      </c>
      <c r="D357" s="141">
        <f>IF(OR($A357="",ISERROR(VALUE(LEFT($A357,6)))),"",IF(LEN($A357)=2,SUMIF($A358:$A$2965,$A357&amp;"??",$D358:$D$2965),IF(AND(LEN($A357)=4,VALUE(RIGHT($A357,2))&lt;=60),SUMIF($A358:$A$2965,$A357&amp;"????",$D358:$D$2965),VLOOKUP(IF(LEN($A357)=4,$A357&amp;"01 1",$A357),GUS_tabl_21!$A$5:$F$4886,6,FALSE))))</f>
        <v>3505</v>
      </c>
    </row>
    <row r="358" spans="1:4" s="29" customFormat="1" ht="12" customHeight="1">
      <c r="A358" s="155" t="str">
        <f>"041802 2"</f>
        <v>041802 2</v>
      </c>
      <c r="B358" s="153" t="s">
        <v>46</v>
      </c>
      <c r="C358" s="156" t="str">
        <f>IF(OR($A358="",ISERROR(VALUE(LEFT($A358,6)))),"",IF(LEN($A358)=2,"WOJ. ",IF(LEN($A358)=4,IF(VALUE(RIGHT($A358,2))&gt;60,"","Powiat "),IF(VALUE(RIGHT($A358,1))=1,"m. ",IF(VALUE(RIGHT($A358,1))=2,"gm. w. ",IF(VALUE(RIGHT($A358,1))=8,"dz. ","gm. m.-w. ")))))&amp;IF(LEN($A358)=2,TRIM(UPPER(VLOOKUP($A358,GUS_tabl_1!$A$7:$B$22,2,FALSE))),IF(ISERROR(FIND("..",TRIM(VLOOKUP(IF(AND(LEN($A358)=4,VALUE(RIGHT($A358,2))&gt;60),$A358&amp;"01 1",$A358),IF(AND(LEN($A358)=4,VALUE(RIGHT($A358,2))&lt;60),GUS_tabl_2!$A$8:$B$464,GUS_tabl_21!$A$5:$B$4886),2,FALSE)))),TRIM(VLOOKUP(IF(AND(LEN($A358)=4,VALUE(RIGHT($A358,2))&gt;60),$A358&amp;"01 1",$A358),IF(AND(LEN($A358)=4,VALUE(RIGHT($A358,2))&lt;60),GUS_tabl_2!$A$8:$B$464,GUS_tabl_21!$A$5:$B$4886),2,FALSE)),LEFT(TRIM(VLOOKUP(IF(AND(LEN($A358)=4,VALUE(RIGHT($A358,2))&gt;60),$A358&amp;"01 1",$A358),IF(AND(LEN($A358)=4,VALUE(RIGHT($A358,2))&lt;60),GUS_tabl_2!$A$8:$B$464,GUS_tabl_21!$A$5:$B$4886),2,FALSE)),SUM(FIND("..",TRIM(VLOOKUP(IF(AND(LEN($A358)=4,VALUE(RIGHT($A358,2))&gt;60),$A358&amp;"01 1",$A358),IF(AND(LEN($A358)=4,VALUE(RIGHT($A358,2))&lt;60),GUS_tabl_2!$A$8:$B$464,GUS_tabl_21!$A$5:$B$4886),2,FALSE))),-1)))))</f>
        <v>gm. w. Baruchowo</v>
      </c>
      <c r="D358" s="141">
        <f>IF(OR($A358="",ISERROR(VALUE(LEFT($A358,6)))),"",IF(LEN($A358)=2,SUMIF($A359:$A$2965,$A358&amp;"??",$D359:$D$2965),IF(AND(LEN($A358)=4,VALUE(RIGHT($A358,2))&lt;=60),SUMIF($A359:$A$2965,$A358&amp;"????",$D359:$D$2965),VLOOKUP(IF(LEN($A358)=4,$A358&amp;"01 1",$A358),GUS_tabl_21!$A$5:$F$4886,6,FALSE))))</f>
        <v>3436</v>
      </c>
    </row>
    <row r="359" spans="1:4" s="29" customFormat="1" ht="12" customHeight="1">
      <c r="A359" s="155" t="str">
        <f>"041803 2"</f>
        <v>041803 2</v>
      </c>
      <c r="B359" s="153" t="s">
        <v>46</v>
      </c>
      <c r="C359" s="156" t="str">
        <f>IF(OR($A359="",ISERROR(VALUE(LEFT($A359,6)))),"",IF(LEN($A359)=2,"WOJ. ",IF(LEN($A359)=4,IF(VALUE(RIGHT($A359,2))&gt;60,"","Powiat "),IF(VALUE(RIGHT($A359,1))=1,"m. ",IF(VALUE(RIGHT($A359,1))=2,"gm. w. ",IF(VALUE(RIGHT($A359,1))=8,"dz. ","gm. m.-w. ")))))&amp;IF(LEN($A359)=2,TRIM(UPPER(VLOOKUP($A359,GUS_tabl_1!$A$7:$B$22,2,FALSE))),IF(ISERROR(FIND("..",TRIM(VLOOKUP(IF(AND(LEN($A359)=4,VALUE(RIGHT($A359,2))&gt;60),$A359&amp;"01 1",$A359),IF(AND(LEN($A359)=4,VALUE(RIGHT($A359,2))&lt;60),GUS_tabl_2!$A$8:$B$464,GUS_tabl_21!$A$5:$B$4886),2,FALSE)))),TRIM(VLOOKUP(IF(AND(LEN($A359)=4,VALUE(RIGHT($A359,2))&gt;60),$A359&amp;"01 1",$A359),IF(AND(LEN($A359)=4,VALUE(RIGHT($A359,2))&lt;60),GUS_tabl_2!$A$8:$B$464,GUS_tabl_21!$A$5:$B$4886),2,FALSE)),LEFT(TRIM(VLOOKUP(IF(AND(LEN($A359)=4,VALUE(RIGHT($A359,2))&gt;60),$A359&amp;"01 1",$A359),IF(AND(LEN($A359)=4,VALUE(RIGHT($A359,2))&lt;60),GUS_tabl_2!$A$8:$B$464,GUS_tabl_21!$A$5:$B$4886),2,FALSE)),SUM(FIND("..",TRIM(VLOOKUP(IF(AND(LEN($A359)=4,VALUE(RIGHT($A359,2))&gt;60),$A359&amp;"01 1",$A359),IF(AND(LEN($A359)=4,VALUE(RIGHT($A359,2))&lt;60),GUS_tabl_2!$A$8:$B$464,GUS_tabl_21!$A$5:$B$4886),2,FALSE))),-1)))))</f>
        <v>gm. w. Boniewo</v>
      </c>
      <c r="D359" s="141">
        <f>IF(OR($A359="",ISERROR(VALUE(LEFT($A359,6)))),"",IF(LEN($A359)=2,SUMIF($A360:$A$2965,$A359&amp;"??",$D360:$D$2965),IF(AND(LEN($A359)=4,VALUE(RIGHT($A359,2))&lt;=60),SUMIF($A360:$A$2965,$A359&amp;"????",$D360:$D$2965),VLOOKUP(IF(LEN($A359)=4,$A359&amp;"01 1",$A359),GUS_tabl_21!$A$5:$F$4886,6,FALSE))))</f>
        <v>3366</v>
      </c>
    </row>
    <row r="360" spans="1:4" s="29" customFormat="1" ht="12" customHeight="1">
      <c r="A360" s="155" t="str">
        <f>"041804 3"</f>
        <v>041804 3</v>
      </c>
      <c r="B360" s="153" t="s">
        <v>46</v>
      </c>
      <c r="C360" s="156" t="str">
        <f>IF(OR($A360="",ISERROR(VALUE(LEFT($A360,6)))),"",IF(LEN($A360)=2,"WOJ. ",IF(LEN($A360)=4,IF(VALUE(RIGHT($A360,2))&gt;60,"","Powiat "),IF(VALUE(RIGHT($A360,1))=1,"m. ",IF(VALUE(RIGHT($A360,1))=2,"gm. w. ",IF(VALUE(RIGHT($A360,1))=8,"dz. ","gm. m.-w. ")))))&amp;IF(LEN($A360)=2,TRIM(UPPER(VLOOKUP($A360,GUS_tabl_1!$A$7:$B$22,2,FALSE))),IF(ISERROR(FIND("..",TRIM(VLOOKUP(IF(AND(LEN($A360)=4,VALUE(RIGHT($A360,2))&gt;60),$A360&amp;"01 1",$A360),IF(AND(LEN($A360)=4,VALUE(RIGHT($A360,2))&lt;60),GUS_tabl_2!$A$8:$B$464,GUS_tabl_21!$A$5:$B$4886),2,FALSE)))),TRIM(VLOOKUP(IF(AND(LEN($A360)=4,VALUE(RIGHT($A360,2))&gt;60),$A360&amp;"01 1",$A360),IF(AND(LEN($A360)=4,VALUE(RIGHT($A360,2))&lt;60),GUS_tabl_2!$A$8:$B$464,GUS_tabl_21!$A$5:$B$4886),2,FALSE)),LEFT(TRIM(VLOOKUP(IF(AND(LEN($A360)=4,VALUE(RIGHT($A360,2))&gt;60),$A360&amp;"01 1",$A360),IF(AND(LEN($A360)=4,VALUE(RIGHT($A360,2))&lt;60),GUS_tabl_2!$A$8:$B$464,GUS_tabl_21!$A$5:$B$4886),2,FALSE)),SUM(FIND("..",TRIM(VLOOKUP(IF(AND(LEN($A360)=4,VALUE(RIGHT($A360,2))&gt;60),$A360&amp;"01 1",$A360),IF(AND(LEN($A360)=4,VALUE(RIGHT($A360,2))&lt;60),GUS_tabl_2!$A$8:$B$464,GUS_tabl_21!$A$5:$B$4886),2,FALSE))),-1)))))</f>
        <v>gm. m.-w. Brześć Kujawski</v>
      </c>
      <c r="D360" s="141">
        <f>IF(OR($A360="",ISERROR(VALUE(LEFT($A360,6)))),"",IF(LEN($A360)=2,SUMIF($A361:$A$2965,$A360&amp;"??",$D361:$D$2965),IF(AND(LEN($A360)=4,VALUE(RIGHT($A360,2))&lt;=60),SUMIF($A361:$A$2965,$A360&amp;"????",$D361:$D$2965),VLOOKUP(IF(LEN($A360)=4,$A360&amp;"01 1",$A360),GUS_tabl_21!$A$5:$F$4886,6,FALSE))))</f>
        <v>11442</v>
      </c>
    </row>
    <row r="361" spans="1:4" s="29" customFormat="1" ht="12" customHeight="1">
      <c r="A361" s="155" t="str">
        <f>"041805 2"</f>
        <v>041805 2</v>
      </c>
      <c r="B361" s="153" t="s">
        <v>46</v>
      </c>
      <c r="C361" s="156" t="str">
        <f>IF(OR($A361="",ISERROR(VALUE(LEFT($A361,6)))),"",IF(LEN($A361)=2,"WOJ. ",IF(LEN($A361)=4,IF(VALUE(RIGHT($A361,2))&gt;60,"","Powiat "),IF(VALUE(RIGHT($A361,1))=1,"m. ",IF(VALUE(RIGHT($A361,1))=2,"gm. w. ",IF(VALUE(RIGHT($A361,1))=8,"dz. ","gm. m.-w. ")))))&amp;IF(LEN($A361)=2,TRIM(UPPER(VLOOKUP($A361,GUS_tabl_1!$A$7:$B$22,2,FALSE))),IF(ISERROR(FIND("..",TRIM(VLOOKUP(IF(AND(LEN($A361)=4,VALUE(RIGHT($A361,2))&gt;60),$A361&amp;"01 1",$A361),IF(AND(LEN($A361)=4,VALUE(RIGHT($A361,2))&lt;60),GUS_tabl_2!$A$8:$B$464,GUS_tabl_21!$A$5:$B$4886),2,FALSE)))),TRIM(VLOOKUP(IF(AND(LEN($A361)=4,VALUE(RIGHT($A361,2))&gt;60),$A361&amp;"01 1",$A361),IF(AND(LEN($A361)=4,VALUE(RIGHT($A361,2))&lt;60),GUS_tabl_2!$A$8:$B$464,GUS_tabl_21!$A$5:$B$4886),2,FALSE)),LEFT(TRIM(VLOOKUP(IF(AND(LEN($A361)=4,VALUE(RIGHT($A361,2))&gt;60),$A361&amp;"01 1",$A361),IF(AND(LEN($A361)=4,VALUE(RIGHT($A361,2))&lt;60),GUS_tabl_2!$A$8:$B$464,GUS_tabl_21!$A$5:$B$4886),2,FALSE)),SUM(FIND("..",TRIM(VLOOKUP(IF(AND(LEN($A361)=4,VALUE(RIGHT($A361,2))&gt;60),$A361&amp;"01 1",$A361),IF(AND(LEN($A361)=4,VALUE(RIGHT($A361,2))&lt;60),GUS_tabl_2!$A$8:$B$464,GUS_tabl_21!$A$5:$B$4886),2,FALSE))),-1)))))</f>
        <v>gm. w. Choceń</v>
      </c>
      <c r="D361" s="141">
        <f>IF(OR($A361="",ISERROR(VALUE(LEFT($A361,6)))),"",IF(LEN($A361)=2,SUMIF($A362:$A$2965,$A361&amp;"??",$D362:$D$2965),IF(AND(LEN($A361)=4,VALUE(RIGHT($A361,2))&lt;=60),SUMIF($A362:$A$2965,$A361&amp;"????",$D362:$D$2965),VLOOKUP(IF(LEN($A361)=4,$A361&amp;"01 1",$A361),GUS_tabl_21!$A$5:$F$4886,6,FALSE))))</f>
        <v>7977</v>
      </c>
    </row>
    <row r="362" spans="1:4" s="29" customFormat="1" ht="12" customHeight="1">
      <c r="A362" s="155" t="str">
        <f>"041806 3"</f>
        <v>041806 3</v>
      </c>
      <c r="B362" s="153" t="s">
        <v>46</v>
      </c>
      <c r="C362" s="156" t="str">
        <f>IF(OR($A362="",ISERROR(VALUE(LEFT($A362,6)))),"",IF(LEN($A362)=2,"WOJ. ",IF(LEN($A362)=4,IF(VALUE(RIGHT($A362,2))&gt;60,"","Powiat "),IF(VALUE(RIGHT($A362,1))=1,"m. ",IF(VALUE(RIGHT($A362,1))=2,"gm. w. ",IF(VALUE(RIGHT($A362,1))=8,"dz. ","gm. m.-w. ")))))&amp;IF(LEN($A362)=2,TRIM(UPPER(VLOOKUP($A362,GUS_tabl_1!$A$7:$B$22,2,FALSE))),IF(ISERROR(FIND("..",TRIM(VLOOKUP(IF(AND(LEN($A362)=4,VALUE(RIGHT($A362,2))&gt;60),$A362&amp;"01 1",$A362),IF(AND(LEN($A362)=4,VALUE(RIGHT($A362,2))&lt;60),GUS_tabl_2!$A$8:$B$464,GUS_tabl_21!$A$5:$B$4886),2,FALSE)))),TRIM(VLOOKUP(IF(AND(LEN($A362)=4,VALUE(RIGHT($A362,2))&gt;60),$A362&amp;"01 1",$A362),IF(AND(LEN($A362)=4,VALUE(RIGHT($A362,2))&lt;60),GUS_tabl_2!$A$8:$B$464,GUS_tabl_21!$A$5:$B$4886),2,FALSE)),LEFT(TRIM(VLOOKUP(IF(AND(LEN($A362)=4,VALUE(RIGHT($A362,2))&gt;60),$A362&amp;"01 1",$A362),IF(AND(LEN($A362)=4,VALUE(RIGHT($A362,2))&lt;60),GUS_tabl_2!$A$8:$B$464,GUS_tabl_21!$A$5:$B$4886),2,FALSE)),SUM(FIND("..",TRIM(VLOOKUP(IF(AND(LEN($A362)=4,VALUE(RIGHT($A362,2))&gt;60),$A362&amp;"01 1",$A362),IF(AND(LEN($A362)=4,VALUE(RIGHT($A362,2))&lt;60),GUS_tabl_2!$A$8:$B$464,GUS_tabl_21!$A$5:$B$4886),2,FALSE))),-1)))))</f>
        <v>gm. m.-w. Chodecz</v>
      </c>
      <c r="D362" s="141">
        <f>IF(OR($A362="",ISERROR(VALUE(LEFT($A362,6)))),"",IF(LEN($A362)=2,SUMIF($A363:$A$2965,$A362&amp;"??",$D363:$D$2965),IF(AND(LEN($A362)=4,VALUE(RIGHT($A362,2))&lt;=60),SUMIF($A363:$A$2965,$A362&amp;"????",$D363:$D$2965),VLOOKUP(IF(LEN($A362)=4,$A362&amp;"01 1",$A362),GUS_tabl_21!$A$5:$F$4886,6,FALSE))))</f>
        <v>5996</v>
      </c>
    </row>
    <row r="363" spans="1:4" s="29" customFormat="1" ht="12" customHeight="1">
      <c r="A363" s="155" t="str">
        <f>"041807 2"</f>
        <v>041807 2</v>
      </c>
      <c r="B363" s="153" t="s">
        <v>46</v>
      </c>
      <c r="C363" s="156" t="str">
        <f>IF(OR($A363="",ISERROR(VALUE(LEFT($A363,6)))),"",IF(LEN($A363)=2,"WOJ. ",IF(LEN($A363)=4,IF(VALUE(RIGHT($A363,2))&gt;60,"","Powiat "),IF(VALUE(RIGHT($A363,1))=1,"m. ",IF(VALUE(RIGHT($A363,1))=2,"gm. w. ",IF(VALUE(RIGHT($A363,1))=8,"dz. ","gm. m.-w. ")))))&amp;IF(LEN($A363)=2,TRIM(UPPER(VLOOKUP($A363,GUS_tabl_1!$A$7:$B$22,2,FALSE))),IF(ISERROR(FIND("..",TRIM(VLOOKUP(IF(AND(LEN($A363)=4,VALUE(RIGHT($A363,2))&gt;60),$A363&amp;"01 1",$A363),IF(AND(LEN($A363)=4,VALUE(RIGHT($A363,2))&lt;60),GUS_tabl_2!$A$8:$B$464,GUS_tabl_21!$A$5:$B$4886),2,FALSE)))),TRIM(VLOOKUP(IF(AND(LEN($A363)=4,VALUE(RIGHT($A363,2))&gt;60),$A363&amp;"01 1",$A363),IF(AND(LEN($A363)=4,VALUE(RIGHT($A363,2))&lt;60),GUS_tabl_2!$A$8:$B$464,GUS_tabl_21!$A$5:$B$4886),2,FALSE)),LEFT(TRIM(VLOOKUP(IF(AND(LEN($A363)=4,VALUE(RIGHT($A363,2))&gt;60),$A363&amp;"01 1",$A363),IF(AND(LEN($A363)=4,VALUE(RIGHT($A363,2))&lt;60),GUS_tabl_2!$A$8:$B$464,GUS_tabl_21!$A$5:$B$4886),2,FALSE)),SUM(FIND("..",TRIM(VLOOKUP(IF(AND(LEN($A363)=4,VALUE(RIGHT($A363,2))&gt;60),$A363&amp;"01 1",$A363),IF(AND(LEN($A363)=4,VALUE(RIGHT($A363,2))&lt;60),GUS_tabl_2!$A$8:$B$464,GUS_tabl_21!$A$5:$B$4886),2,FALSE))),-1)))))</f>
        <v>gm. w. Fabianki</v>
      </c>
      <c r="D363" s="141">
        <f>IF(OR($A363="",ISERROR(VALUE(LEFT($A363,6)))),"",IF(LEN($A363)=2,SUMIF($A364:$A$2965,$A363&amp;"??",$D364:$D$2965),IF(AND(LEN($A363)=4,VALUE(RIGHT($A363,2))&lt;=60),SUMIF($A364:$A$2965,$A363&amp;"????",$D364:$D$2965),VLOOKUP(IF(LEN($A363)=4,$A363&amp;"01 1",$A363),GUS_tabl_21!$A$5:$F$4886,6,FALSE))))</f>
        <v>10107</v>
      </c>
    </row>
    <row r="364" spans="1:4" s="29" customFormat="1" ht="12" customHeight="1">
      <c r="A364" s="155" t="str">
        <f>"041808 3"</f>
        <v>041808 3</v>
      </c>
      <c r="B364" s="153" t="s">
        <v>46</v>
      </c>
      <c r="C364" s="156" t="str">
        <f>IF(OR($A364="",ISERROR(VALUE(LEFT($A364,6)))),"",IF(LEN($A364)=2,"WOJ. ",IF(LEN($A364)=4,IF(VALUE(RIGHT($A364,2))&gt;60,"","Powiat "),IF(VALUE(RIGHT($A364,1))=1,"m. ",IF(VALUE(RIGHT($A364,1))=2,"gm. w. ",IF(VALUE(RIGHT($A364,1))=8,"dz. ","gm. m.-w. ")))))&amp;IF(LEN($A364)=2,TRIM(UPPER(VLOOKUP($A364,GUS_tabl_1!$A$7:$B$22,2,FALSE))),IF(ISERROR(FIND("..",TRIM(VLOOKUP(IF(AND(LEN($A364)=4,VALUE(RIGHT($A364,2))&gt;60),$A364&amp;"01 1",$A364),IF(AND(LEN($A364)=4,VALUE(RIGHT($A364,2))&lt;60),GUS_tabl_2!$A$8:$B$464,GUS_tabl_21!$A$5:$B$4886),2,FALSE)))),TRIM(VLOOKUP(IF(AND(LEN($A364)=4,VALUE(RIGHT($A364,2))&gt;60),$A364&amp;"01 1",$A364),IF(AND(LEN($A364)=4,VALUE(RIGHT($A364,2))&lt;60),GUS_tabl_2!$A$8:$B$464,GUS_tabl_21!$A$5:$B$4886),2,FALSE)),LEFT(TRIM(VLOOKUP(IF(AND(LEN($A364)=4,VALUE(RIGHT($A364,2))&gt;60),$A364&amp;"01 1",$A364),IF(AND(LEN($A364)=4,VALUE(RIGHT($A364,2))&lt;60),GUS_tabl_2!$A$8:$B$464,GUS_tabl_21!$A$5:$B$4886),2,FALSE)),SUM(FIND("..",TRIM(VLOOKUP(IF(AND(LEN($A364)=4,VALUE(RIGHT($A364,2))&gt;60),$A364&amp;"01 1",$A364),IF(AND(LEN($A364)=4,VALUE(RIGHT($A364,2))&lt;60),GUS_tabl_2!$A$8:$B$464,GUS_tabl_21!$A$5:$B$4886),2,FALSE))),-1)))))</f>
        <v>gm. m.-w. Izbica Kujawska</v>
      </c>
      <c r="D364" s="141">
        <f>IF(OR($A364="",ISERROR(VALUE(LEFT($A364,6)))),"",IF(LEN($A364)=2,SUMIF($A365:$A$2965,$A364&amp;"??",$D365:$D$2965),IF(AND(LEN($A364)=4,VALUE(RIGHT($A364,2))&lt;=60),SUMIF($A365:$A$2965,$A364&amp;"????",$D365:$D$2965),VLOOKUP(IF(LEN($A364)=4,$A364&amp;"01 1",$A364),GUS_tabl_21!$A$5:$F$4886,6,FALSE))))</f>
        <v>7657</v>
      </c>
    </row>
    <row r="365" spans="1:4" s="29" customFormat="1" ht="12" customHeight="1">
      <c r="A365" s="155" t="str">
        <f>"041809 2"</f>
        <v>041809 2</v>
      </c>
      <c r="B365" s="153" t="s">
        <v>46</v>
      </c>
      <c r="C365" s="156" t="str">
        <f>IF(OR($A365="",ISERROR(VALUE(LEFT($A365,6)))),"",IF(LEN($A365)=2,"WOJ. ",IF(LEN($A365)=4,IF(VALUE(RIGHT($A365,2))&gt;60,"","Powiat "),IF(VALUE(RIGHT($A365,1))=1,"m. ",IF(VALUE(RIGHT($A365,1))=2,"gm. w. ",IF(VALUE(RIGHT($A365,1))=8,"dz. ","gm. m.-w. ")))))&amp;IF(LEN($A365)=2,TRIM(UPPER(VLOOKUP($A365,GUS_tabl_1!$A$7:$B$22,2,FALSE))),IF(ISERROR(FIND("..",TRIM(VLOOKUP(IF(AND(LEN($A365)=4,VALUE(RIGHT($A365,2))&gt;60),$A365&amp;"01 1",$A365),IF(AND(LEN($A365)=4,VALUE(RIGHT($A365,2))&lt;60),GUS_tabl_2!$A$8:$B$464,GUS_tabl_21!$A$5:$B$4886),2,FALSE)))),TRIM(VLOOKUP(IF(AND(LEN($A365)=4,VALUE(RIGHT($A365,2))&gt;60),$A365&amp;"01 1",$A365),IF(AND(LEN($A365)=4,VALUE(RIGHT($A365,2))&lt;60),GUS_tabl_2!$A$8:$B$464,GUS_tabl_21!$A$5:$B$4886),2,FALSE)),LEFT(TRIM(VLOOKUP(IF(AND(LEN($A365)=4,VALUE(RIGHT($A365,2))&gt;60),$A365&amp;"01 1",$A365),IF(AND(LEN($A365)=4,VALUE(RIGHT($A365,2))&lt;60),GUS_tabl_2!$A$8:$B$464,GUS_tabl_21!$A$5:$B$4886),2,FALSE)),SUM(FIND("..",TRIM(VLOOKUP(IF(AND(LEN($A365)=4,VALUE(RIGHT($A365,2))&gt;60),$A365&amp;"01 1",$A365),IF(AND(LEN($A365)=4,VALUE(RIGHT($A365,2))&lt;60),GUS_tabl_2!$A$8:$B$464,GUS_tabl_21!$A$5:$B$4886),2,FALSE))),-1)))))</f>
        <v>gm. w. Kowal</v>
      </c>
      <c r="D365" s="141">
        <f>IF(OR($A365="",ISERROR(VALUE(LEFT($A365,6)))),"",IF(LEN($A365)=2,SUMIF($A366:$A$2965,$A365&amp;"??",$D366:$D$2965),IF(AND(LEN($A365)=4,VALUE(RIGHT($A365,2))&lt;=60),SUMIF($A366:$A$2965,$A365&amp;"????",$D366:$D$2965),VLOOKUP(IF(LEN($A365)=4,$A365&amp;"01 1",$A365),GUS_tabl_21!$A$5:$F$4886,6,FALSE))))</f>
        <v>3918</v>
      </c>
    </row>
    <row r="366" spans="1:4" s="29" customFormat="1" ht="12" customHeight="1">
      <c r="A366" s="155" t="str">
        <f>"041810 2"</f>
        <v>041810 2</v>
      </c>
      <c r="B366" s="153" t="s">
        <v>46</v>
      </c>
      <c r="C366" s="156" t="str">
        <f>IF(OR($A366="",ISERROR(VALUE(LEFT($A366,6)))),"",IF(LEN($A366)=2,"WOJ. ",IF(LEN($A366)=4,IF(VALUE(RIGHT($A366,2))&gt;60,"","Powiat "),IF(VALUE(RIGHT($A366,1))=1,"m. ",IF(VALUE(RIGHT($A366,1))=2,"gm. w. ",IF(VALUE(RIGHT($A366,1))=8,"dz. ","gm. m.-w. ")))))&amp;IF(LEN($A366)=2,TRIM(UPPER(VLOOKUP($A366,GUS_tabl_1!$A$7:$B$22,2,FALSE))),IF(ISERROR(FIND("..",TRIM(VLOOKUP(IF(AND(LEN($A366)=4,VALUE(RIGHT($A366,2))&gt;60),$A366&amp;"01 1",$A366),IF(AND(LEN($A366)=4,VALUE(RIGHT($A366,2))&lt;60),GUS_tabl_2!$A$8:$B$464,GUS_tabl_21!$A$5:$B$4886),2,FALSE)))),TRIM(VLOOKUP(IF(AND(LEN($A366)=4,VALUE(RIGHT($A366,2))&gt;60),$A366&amp;"01 1",$A366),IF(AND(LEN($A366)=4,VALUE(RIGHT($A366,2))&lt;60),GUS_tabl_2!$A$8:$B$464,GUS_tabl_21!$A$5:$B$4886),2,FALSE)),LEFT(TRIM(VLOOKUP(IF(AND(LEN($A366)=4,VALUE(RIGHT($A366,2))&gt;60),$A366&amp;"01 1",$A366),IF(AND(LEN($A366)=4,VALUE(RIGHT($A366,2))&lt;60),GUS_tabl_2!$A$8:$B$464,GUS_tabl_21!$A$5:$B$4886),2,FALSE)),SUM(FIND("..",TRIM(VLOOKUP(IF(AND(LEN($A366)=4,VALUE(RIGHT($A366,2))&gt;60),$A366&amp;"01 1",$A366),IF(AND(LEN($A366)=4,VALUE(RIGHT($A366,2))&lt;60),GUS_tabl_2!$A$8:$B$464,GUS_tabl_21!$A$5:$B$4886),2,FALSE))),-1)))))</f>
        <v>gm. w. Lubanie</v>
      </c>
      <c r="D366" s="141">
        <f>IF(OR($A366="",ISERROR(VALUE(LEFT($A366,6)))),"",IF(LEN($A366)=2,SUMIF($A367:$A$2965,$A366&amp;"??",$D367:$D$2965),IF(AND(LEN($A366)=4,VALUE(RIGHT($A366,2))&lt;=60),SUMIF($A367:$A$2965,$A366&amp;"????",$D367:$D$2965),VLOOKUP(IF(LEN($A366)=4,$A366&amp;"01 1",$A366),GUS_tabl_21!$A$5:$F$4886,6,FALSE))))</f>
        <v>4562</v>
      </c>
    </row>
    <row r="367" spans="1:4" s="29" customFormat="1" ht="12" customHeight="1">
      <c r="A367" s="155" t="str">
        <f>"041811 3"</f>
        <v>041811 3</v>
      </c>
      <c r="B367" s="153" t="s">
        <v>46</v>
      </c>
      <c r="C367" s="156" t="str">
        <f>IF(OR($A367="",ISERROR(VALUE(LEFT($A367,6)))),"",IF(LEN($A367)=2,"WOJ. ",IF(LEN($A367)=4,IF(VALUE(RIGHT($A367,2))&gt;60,"","Powiat "),IF(VALUE(RIGHT($A367,1))=1,"m. ",IF(VALUE(RIGHT($A367,1))=2,"gm. w. ",IF(VALUE(RIGHT($A367,1))=8,"dz. ","gm. m.-w. ")))))&amp;IF(LEN($A367)=2,TRIM(UPPER(VLOOKUP($A367,GUS_tabl_1!$A$7:$B$22,2,FALSE))),IF(ISERROR(FIND("..",TRIM(VLOOKUP(IF(AND(LEN($A367)=4,VALUE(RIGHT($A367,2))&gt;60),$A367&amp;"01 1",$A367),IF(AND(LEN($A367)=4,VALUE(RIGHT($A367,2))&lt;60),GUS_tabl_2!$A$8:$B$464,GUS_tabl_21!$A$5:$B$4886),2,FALSE)))),TRIM(VLOOKUP(IF(AND(LEN($A367)=4,VALUE(RIGHT($A367,2))&gt;60),$A367&amp;"01 1",$A367),IF(AND(LEN($A367)=4,VALUE(RIGHT($A367,2))&lt;60),GUS_tabl_2!$A$8:$B$464,GUS_tabl_21!$A$5:$B$4886),2,FALSE)),LEFT(TRIM(VLOOKUP(IF(AND(LEN($A367)=4,VALUE(RIGHT($A367,2))&gt;60),$A367&amp;"01 1",$A367),IF(AND(LEN($A367)=4,VALUE(RIGHT($A367,2))&lt;60),GUS_tabl_2!$A$8:$B$464,GUS_tabl_21!$A$5:$B$4886),2,FALSE)),SUM(FIND("..",TRIM(VLOOKUP(IF(AND(LEN($A367)=4,VALUE(RIGHT($A367,2))&gt;60),$A367&amp;"01 1",$A367),IF(AND(LEN($A367)=4,VALUE(RIGHT($A367,2))&lt;60),GUS_tabl_2!$A$8:$B$464,GUS_tabl_21!$A$5:$B$4886),2,FALSE))),-1)))))</f>
        <v>gm. m.-w. Lubień Kujawski</v>
      </c>
      <c r="D367" s="141">
        <f>IF(OR($A367="",ISERROR(VALUE(LEFT($A367,6)))),"",IF(LEN($A367)=2,SUMIF($A368:$A$2965,$A367&amp;"??",$D368:$D$2965),IF(AND(LEN($A367)=4,VALUE(RIGHT($A367,2))&lt;=60),SUMIF($A368:$A$2965,$A367&amp;"????",$D368:$D$2965),VLOOKUP(IF(LEN($A367)=4,$A367&amp;"01 1",$A367),GUS_tabl_21!$A$5:$F$4886,6,FALSE))))</f>
        <v>7325</v>
      </c>
    </row>
    <row r="368" spans="1:4" s="29" customFormat="1" ht="12" customHeight="1">
      <c r="A368" s="155" t="str">
        <f>"041812 3"</f>
        <v>041812 3</v>
      </c>
      <c r="B368" s="153" t="s">
        <v>46</v>
      </c>
      <c r="C368" s="156" t="str">
        <f>IF(OR($A368="",ISERROR(VALUE(LEFT($A368,6)))),"",IF(LEN($A368)=2,"WOJ. ",IF(LEN($A368)=4,IF(VALUE(RIGHT($A368,2))&gt;60,"","Powiat "),IF(VALUE(RIGHT($A368,1))=1,"m. ",IF(VALUE(RIGHT($A368,1))=2,"gm. w. ",IF(VALUE(RIGHT($A368,1))=8,"dz. ","gm. m.-w. ")))))&amp;IF(LEN($A368)=2,TRIM(UPPER(VLOOKUP($A368,GUS_tabl_1!$A$7:$B$22,2,FALSE))),IF(ISERROR(FIND("..",TRIM(VLOOKUP(IF(AND(LEN($A368)=4,VALUE(RIGHT($A368,2))&gt;60),$A368&amp;"01 1",$A368),IF(AND(LEN($A368)=4,VALUE(RIGHT($A368,2))&lt;60),GUS_tabl_2!$A$8:$B$464,GUS_tabl_21!$A$5:$B$4886),2,FALSE)))),TRIM(VLOOKUP(IF(AND(LEN($A368)=4,VALUE(RIGHT($A368,2))&gt;60),$A368&amp;"01 1",$A368),IF(AND(LEN($A368)=4,VALUE(RIGHT($A368,2))&lt;60),GUS_tabl_2!$A$8:$B$464,GUS_tabl_21!$A$5:$B$4886),2,FALSE)),LEFT(TRIM(VLOOKUP(IF(AND(LEN($A368)=4,VALUE(RIGHT($A368,2))&gt;60),$A368&amp;"01 1",$A368),IF(AND(LEN($A368)=4,VALUE(RIGHT($A368,2))&lt;60),GUS_tabl_2!$A$8:$B$464,GUS_tabl_21!$A$5:$B$4886),2,FALSE)),SUM(FIND("..",TRIM(VLOOKUP(IF(AND(LEN($A368)=4,VALUE(RIGHT($A368,2))&gt;60),$A368&amp;"01 1",$A368),IF(AND(LEN($A368)=4,VALUE(RIGHT($A368,2))&lt;60),GUS_tabl_2!$A$8:$B$464,GUS_tabl_21!$A$5:$B$4886),2,FALSE))),-1)))))</f>
        <v>gm. m.-w. Lubraniec</v>
      </c>
      <c r="D368" s="141">
        <f>IF(OR($A368="",ISERROR(VALUE(LEFT($A368,6)))),"",IF(LEN($A368)=2,SUMIF($A369:$A$2965,$A368&amp;"??",$D369:$D$2965),IF(AND(LEN($A368)=4,VALUE(RIGHT($A368,2))&lt;=60),SUMIF($A369:$A$2965,$A368&amp;"????",$D369:$D$2965),VLOOKUP(IF(LEN($A368)=4,$A368&amp;"01 1",$A368),GUS_tabl_21!$A$5:$F$4886,6,FALSE))))</f>
        <v>9437</v>
      </c>
    </row>
    <row r="369" spans="1:4" s="29" customFormat="1" ht="11.25" customHeight="1">
      <c r="A369" s="155" t="str">
        <f>"041813 2"</f>
        <v>041813 2</v>
      </c>
      <c r="B369" s="153" t="s">
        <v>46</v>
      </c>
      <c r="C369" s="156" t="str">
        <f>IF(OR($A369="",ISERROR(VALUE(LEFT($A369,6)))),"",IF(LEN($A369)=2,"WOJ. ",IF(LEN($A369)=4,IF(VALUE(RIGHT($A369,2))&gt;60,"","Powiat "),IF(VALUE(RIGHT($A369,1))=1,"m. ",IF(VALUE(RIGHT($A369,1))=2,"gm. w. ",IF(VALUE(RIGHT($A369,1))=8,"dz. ","gm. m.-w. ")))))&amp;IF(LEN($A369)=2,TRIM(UPPER(VLOOKUP($A369,GUS_tabl_1!$A$7:$B$22,2,FALSE))),IF(ISERROR(FIND("..",TRIM(VLOOKUP(IF(AND(LEN($A369)=4,VALUE(RIGHT($A369,2))&gt;60),$A369&amp;"01 1",$A369),IF(AND(LEN($A369)=4,VALUE(RIGHT($A369,2))&lt;60),GUS_tabl_2!$A$8:$B$464,GUS_tabl_21!$A$5:$B$4886),2,FALSE)))),TRIM(VLOOKUP(IF(AND(LEN($A369)=4,VALUE(RIGHT($A369,2))&gt;60),$A369&amp;"01 1",$A369),IF(AND(LEN($A369)=4,VALUE(RIGHT($A369,2))&lt;60),GUS_tabl_2!$A$8:$B$464,GUS_tabl_21!$A$5:$B$4886),2,FALSE)),LEFT(TRIM(VLOOKUP(IF(AND(LEN($A369)=4,VALUE(RIGHT($A369,2))&gt;60),$A369&amp;"01 1",$A369),IF(AND(LEN($A369)=4,VALUE(RIGHT($A369,2))&lt;60),GUS_tabl_2!$A$8:$B$464,GUS_tabl_21!$A$5:$B$4886),2,FALSE)),SUM(FIND("..",TRIM(VLOOKUP(IF(AND(LEN($A369)=4,VALUE(RIGHT($A369,2))&gt;60),$A369&amp;"01 1",$A369),IF(AND(LEN($A369)=4,VALUE(RIGHT($A369,2))&lt;60),GUS_tabl_2!$A$8:$B$464,GUS_tabl_21!$A$5:$B$4886),2,FALSE))),-1)))))</f>
        <v>gm. w. Włocławek</v>
      </c>
      <c r="D369" s="141">
        <f>IF(OR($A369="",ISERROR(VALUE(LEFT($A369,6)))),"",IF(LEN($A369)=2,SUMIF($A370:$A$2965,$A369&amp;"??",$D370:$D$2965),IF(AND(LEN($A369)=4,VALUE(RIGHT($A369,2))&lt;=60),SUMIF($A370:$A$2965,$A369&amp;"????",$D370:$D$2965),VLOOKUP(IF(LEN($A369)=4,$A369&amp;"01 1",$A369),GUS_tabl_21!$A$5:$F$4886,6,FALSE))))</f>
        <v>7309</v>
      </c>
    </row>
    <row r="370" spans="1:4" s="29" customFormat="1" ht="12" customHeight="1">
      <c r="A370" s="152" t="str">
        <f>"0419"</f>
        <v>0419</v>
      </c>
      <c r="B370" s="153" t="s">
        <v>46</v>
      </c>
      <c r="C370" s="154" t="str">
        <f>IF(OR($A370="",ISERROR(VALUE(LEFT($A370,6)))),"",IF(LEN($A370)=2,"WOJ. ",IF(LEN($A370)=4,IF(VALUE(RIGHT($A370,2))&gt;60,"","Powiat "),IF(VALUE(RIGHT($A370,1))=1,"m. ",IF(VALUE(RIGHT($A370,1))=2,"gm. w. ",IF(VALUE(RIGHT($A370,1))=8,"dz. ","gm. m.-w. ")))))&amp;IF(LEN($A370)=2,TRIM(UPPER(VLOOKUP($A370,GUS_tabl_1!$A$7:$B$22,2,FALSE))),IF(ISERROR(FIND("..",TRIM(VLOOKUP(IF(AND(LEN($A370)=4,VALUE(RIGHT($A370,2))&gt;60),$A370&amp;"01 1",$A370),IF(AND(LEN($A370)=4,VALUE(RIGHT($A370,2))&lt;60),GUS_tabl_2!$A$8:$B$464,GUS_tabl_21!$A$5:$B$4886),2,FALSE)))),TRIM(VLOOKUP(IF(AND(LEN($A370)=4,VALUE(RIGHT($A370,2))&gt;60),$A370&amp;"01 1",$A370),IF(AND(LEN($A370)=4,VALUE(RIGHT($A370,2))&lt;60),GUS_tabl_2!$A$8:$B$464,GUS_tabl_21!$A$5:$B$4886),2,FALSE)),LEFT(TRIM(VLOOKUP(IF(AND(LEN($A370)=4,VALUE(RIGHT($A370,2))&gt;60),$A370&amp;"01 1",$A370),IF(AND(LEN($A370)=4,VALUE(RIGHT($A370,2))&lt;60),GUS_tabl_2!$A$8:$B$464,GUS_tabl_21!$A$5:$B$4886),2,FALSE)),SUM(FIND("..",TRIM(VLOOKUP(IF(AND(LEN($A370)=4,VALUE(RIGHT($A370,2))&gt;60),$A370&amp;"01 1",$A370),IF(AND(LEN($A370)=4,VALUE(RIGHT($A370,2))&lt;60),GUS_tabl_2!$A$8:$B$464,GUS_tabl_21!$A$5:$B$4886),2,FALSE))),-1)))))</f>
        <v>Powiat żniński</v>
      </c>
      <c r="D370" s="140">
        <f>IF(OR($A370="",ISERROR(VALUE(LEFT($A370,6)))),"",IF(LEN($A370)=2,SUMIF($A371:$A$2965,$A370&amp;"??",$D371:$D$2965),IF(AND(LEN($A370)=4,VALUE(RIGHT($A370,2))&lt;=60),SUMIF($A371:$A$2965,$A370&amp;"????",$D371:$D$2965),VLOOKUP(IF(LEN($A370)=4,$A370&amp;"01 1",$A370),GUS_tabl_21!$A$5:$F$4886,6,FALSE))))</f>
        <v>70190</v>
      </c>
    </row>
    <row r="371" spans="1:4" s="29" customFormat="1" ht="12" customHeight="1">
      <c r="A371" s="155" t="str">
        <f>"041901 3"</f>
        <v>041901 3</v>
      </c>
      <c r="B371" s="153" t="s">
        <v>46</v>
      </c>
      <c r="C371" s="156" t="str">
        <f>IF(OR($A371="",ISERROR(VALUE(LEFT($A371,6)))),"",IF(LEN($A371)=2,"WOJ. ",IF(LEN($A371)=4,IF(VALUE(RIGHT($A371,2))&gt;60,"","Powiat "),IF(VALUE(RIGHT($A371,1))=1,"m. ",IF(VALUE(RIGHT($A371,1))=2,"gm. w. ",IF(VALUE(RIGHT($A371,1))=8,"dz. ","gm. m.-w. ")))))&amp;IF(LEN($A371)=2,TRIM(UPPER(VLOOKUP($A371,GUS_tabl_1!$A$7:$B$22,2,FALSE))),IF(ISERROR(FIND("..",TRIM(VLOOKUP(IF(AND(LEN($A371)=4,VALUE(RIGHT($A371,2))&gt;60),$A371&amp;"01 1",$A371),IF(AND(LEN($A371)=4,VALUE(RIGHT($A371,2))&lt;60),GUS_tabl_2!$A$8:$B$464,GUS_tabl_21!$A$5:$B$4886),2,FALSE)))),TRIM(VLOOKUP(IF(AND(LEN($A371)=4,VALUE(RIGHT($A371,2))&gt;60),$A371&amp;"01 1",$A371),IF(AND(LEN($A371)=4,VALUE(RIGHT($A371,2))&lt;60),GUS_tabl_2!$A$8:$B$464,GUS_tabl_21!$A$5:$B$4886),2,FALSE)),LEFT(TRIM(VLOOKUP(IF(AND(LEN($A371)=4,VALUE(RIGHT($A371,2))&gt;60),$A371&amp;"01 1",$A371),IF(AND(LEN($A371)=4,VALUE(RIGHT($A371,2))&lt;60),GUS_tabl_2!$A$8:$B$464,GUS_tabl_21!$A$5:$B$4886),2,FALSE)),SUM(FIND("..",TRIM(VLOOKUP(IF(AND(LEN($A371)=4,VALUE(RIGHT($A371,2))&gt;60),$A371&amp;"01 1",$A371),IF(AND(LEN($A371)=4,VALUE(RIGHT($A371,2))&lt;60),GUS_tabl_2!$A$8:$B$464,GUS_tabl_21!$A$5:$B$4886),2,FALSE))),-1)))))</f>
        <v>gm. m.-w. Barcin</v>
      </c>
      <c r="D371" s="141">
        <f>IF(OR($A371="",ISERROR(VALUE(LEFT($A371,6)))),"",IF(LEN($A371)=2,SUMIF($A372:$A$2965,$A371&amp;"??",$D372:$D$2965),IF(AND(LEN($A371)=4,VALUE(RIGHT($A371,2))&lt;=60),SUMIF($A372:$A$2965,$A371&amp;"????",$D372:$D$2965),VLOOKUP(IF(LEN($A371)=4,$A371&amp;"01 1",$A371),GUS_tabl_21!$A$5:$F$4886,6,FALSE))))</f>
        <v>14751</v>
      </c>
    </row>
    <row r="372" spans="1:4" s="29" customFormat="1" ht="12" customHeight="1">
      <c r="A372" s="155" t="str">
        <f>"041902 2"</f>
        <v>041902 2</v>
      </c>
      <c r="B372" s="153" t="s">
        <v>46</v>
      </c>
      <c r="C372" s="156" t="str">
        <f>IF(OR($A372="",ISERROR(VALUE(LEFT($A372,6)))),"",IF(LEN($A372)=2,"WOJ. ",IF(LEN($A372)=4,IF(VALUE(RIGHT($A372,2))&gt;60,"","Powiat "),IF(VALUE(RIGHT($A372,1))=1,"m. ",IF(VALUE(RIGHT($A372,1))=2,"gm. w. ",IF(VALUE(RIGHT($A372,1))=8,"dz. ","gm. m.-w. ")))))&amp;IF(LEN($A372)=2,TRIM(UPPER(VLOOKUP($A372,GUS_tabl_1!$A$7:$B$22,2,FALSE))),IF(ISERROR(FIND("..",TRIM(VLOOKUP(IF(AND(LEN($A372)=4,VALUE(RIGHT($A372,2))&gt;60),$A372&amp;"01 1",$A372),IF(AND(LEN($A372)=4,VALUE(RIGHT($A372,2))&lt;60),GUS_tabl_2!$A$8:$B$464,GUS_tabl_21!$A$5:$B$4886),2,FALSE)))),TRIM(VLOOKUP(IF(AND(LEN($A372)=4,VALUE(RIGHT($A372,2))&gt;60),$A372&amp;"01 1",$A372),IF(AND(LEN($A372)=4,VALUE(RIGHT($A372,2))&lt;60),GUS_tabl_2!$A$8:$B$464,GUS_tabl_21!$A$5:$B$4886),2,FALSE)),LEFT(TRIM(VLOOKUP(IF(AND(LEN($A372)=4,VALUE(RIGHT($A372,2))&gt;60),$A372&amp;"01 1",$A372),IF(AND(LEN($A372)=4,VALUE(RIGHT($A372,2))&lt;60),GUS_tabl_2!$A$8:$B$464,GUS_tabl_21!$A$5:$B$4886),2,FALSE)),SUM(FIND("..",TRIM(VLOOKUP(IF(AND(LEN($A372)=4,VALUE(RIGHT($A372,2))&gt;60),$A372&amp;"01 1",$A372),IF(AND(LEN($A372)=4,VALUE(RIGHT($A372,2))&lt;60),GUS_tabl_2!$A$8:$B$464,GUS_tabl_21!$A$5:$B$4886),2,FALSE))),-1)))))</f>
        <v>gm. w. Gąsawa</v>
      </c>
      <c r="D372" s="141">
        <f>IF(OR($A372="",ISERROR(VALUE(LEFT($A372,6)))),"",IF(LEN($A372)=2,SUMIF($A373:$A$2965,$A372&amp;"??",$D373:$D$2965),IF(AND(LEN($A372)=4,VALUE(RIGHT($A372,2))&lt;=60),SUMIF($A373:$A$2965,$A372&amp;"????",$D373:$D$2965),VLOOKUP(IF(LEN($A372)=4,$A372&amp;"01 1",$A372),GUS_tabl_21!$A$5:$F$4886,6,FALSE))))</f>
        <v>5304</v>
      </c>
    </row>
    <row r="373" spans="1:4" s="29" customFormat="1" ht="12" customHeight="1">
      <c r="A373" s="155" t="str">
        <f>"041903 3"</f>
        <v>041903 3</v>
      </c>
      <c r="B373" s="153" t="s">
        <v>46</v>
      </c>
      <c r="C373" s="156" t="str">
        <f>IF(OR($A373="",ISERROR(VALUE(LEFT($A373,6)))),"",IF(LEN($A373)=2,"WOJ. ",IF(LEN($A373)=4,IF(VALUE(RIGHT($A373,2))&gt;60,"","Powiat "),IF(VALUE(RIGHT($A373,1))=1,"m. ",IF(VALUE(RIGHT($A373,1))=2,"gm. w. ",IF(VALUE(RIGHT($A373,1))=8,"dz. ","gm. m.-w. ")))))&amp;IF(LEN($A373)=2,TRIM(UPPER(VLOOKUP($A373,GUS_tabl_1!$A$7:$B$22,2,FALSE))),IF(ISERROR(FIND("..",TRIM(VLOOKUP(IF(AND(LEN($A373)=4,VALUE(RIGHT($A373,2))&gt;60),$A373&amp;"01 1",$A373),IF(AND(LEN($A373)=4,VALUE(RIGHT($A373,2))&lt;60),GUS_tabl_2!$A$8:$B$464,GUS_tabl_21!$A$5:$B$4886),2,FALSE)))),TRIM(VLOOKUP(IF(AND(LEN($A373)=4,VALUE(RIGHT($A373,2))&gt;60),$A373&amp;"01 1",$A373),IF(AND(LEN($A373)=4,VALUE(RIGHT($A373,2))&lt;60),GUS_tabl_2!$A$8:$B$464,GUS_tabl_21!$A$5:$B$4886),2,FALSE)),LEFT(TRIM(VLOOKUP(IF(AND(LEN($A373)=4,VALUE(RIGHT($A373,2))&gt;60),$A373&amp;"01 1",$A373),IF(AND(LEN($A373)=4,VALUE(RIGHT($A373,2))&lt;60),GUS_tabl_2!$A$8:$B$464,GUS_tabl_21!$A$5:$B$4886),2,FALSE)),SUM(FIND("..",TRIM(VLOOKUP(IF(AND(LEN($A373)=4,VALUE(RIGHT($A373,2))&gt;60),$A373&amp;"01 1",$A373),IF(AND(LEN($A373)=4,VALUE(RIGHT($A373,2))&lt;60),GUS_tabl_2!$A$8:$B$464,GUS_tabl_21!$A$5:$B$4886),2,FALSE))),-1)))))</f>
        <v>gm. m.-w. Janowiec Wielkopolski</v>
      </c>
      <c r="D373" s="141">
        <f>IF(OR($A373="",ISERROR(VALUE(LEFT($A373,6)))),"",IF(LEN($A373)=2,SUMIF($A374:$A$2965,$A373&amp;"??",$D374:$D$2965),IF(AND(LEN($A373)=4,VALUE(RIGHT($A373,2))&lt;=60),SUMIF($A374:$A$2965,$A373&amp;"????",$D374:$D$2965),VLOOKUP(IF(LEN($A373)=4,$A373&amp;"01 1",$A373),GUS_tabl_21!$A$5:$F$4886,6,FALSE))))</f>
        <v>9008</v>
      </c>
    </row>
    <row r="374" spans="1:4" s="29" customFormat="1" ht="12" customHeight="1">
      <c r="A374" s="155" t="str">
        <f>"041904 3"</f>
        <v>041904 3</v>
      </c>
      <c r="B374" s="153" t="s">
        <v>46</v>
      </c>
      <c r="C374" s="156" t="str">
        <f>IF(OR($A374="",ISERROR(VALUE(LEFT($A374,6)))),"",IF(LEN($A374)=2,"WOJ. ",IF(LEN($A374)=4,IF(VALUE(RIGHT($A374,2))&gt;60,"","Powiat "),IF(VALUE(RIGHT($A374,1))=1,"m. ",IF(VALUE(RIGHT($A374,1))=2,"gm. w. ",IF(VALUE(RIGHT($A374,1))=8,"dz. ","gm. m.-w. ")))))&amp;IF(LEN($A374)=2,TRIM(UPPER(VLOOKUP($A374,GUS_tabl_1!$A$7:$B$22,2,FALSE))),IF(ISERROR(FIND("..",TRIM(VLOOKUP(IF(AND(LEN($A374)=4,VALUE(RIGHT($A374,2))&gt;60),$A374&amp;"01 1",$A374),IF(AND(LEN($A374)=4,VALUE(RIGHT($A374,2))&lt;60),GUS_tabl_2!$A$8:$B$464,GUS_tabl_21!$A$5:$B$4886),2,FALSE)))),TRIM(VLOOKUP(IF(AND(LEN($A374)=4,VALUE(RIGHT($A374,2))&gt;60),$A374&amp;"01 1",$A374),IF(AND(LEN($A374)=4,VALUE(RIGHT($A374,2))&lt;60),GUS_tabl_2!$A$8:$B$464,GUS_tabl_21!$A$5:$B$4886),2,FALSE)),LEFT(TRIM(VLOOKUP(IF(AND(LEN($A374)=4,VALUE(RIGHT($A374,2))&gt;60),$A374&amp;"01 1",$A374),IF(AND(LEN($A374)=4,VALUE(RIGHT($A374,2))&lt;60),GUS_tabl_2!$A$8:$B$464,GUS_tabl_21!$A$5:$B$4886),2,FALSE)),SUM(FIND("..",TRIM(VLOOKUP(IF(AND(LEN($A374)=4,VALUE(RIGHT($A374,2))&gt;60),$A374&amp;"01 1",$A374),IF(AND(LEN($A374)=4,VALUE(RIGHT($A374,2))&lt;60),GUS_tabl_2!$A$8:$B$464,GUS_tabl_21!$A$5:$B$4886),2,FALSE))),-1)))))</f>
        <v>gm. m.-w. Łabiszyn</v>
      </c>
      <c r="D374" s="141">
        <f>IF(OR($A374="",ISERROR(VALUE(LEFT($A374,6)))),"",IF(LEN($A374)=2,SUMIF($A375:$A$2965,$A374&amp;"??",$D375:$D$2965),IF(AND(LEN($A374)=4,VALUE(RIGHT($A374,2))&lt;=60),SUMIF($A375:$A$2965,$A374&amp;"????",$D375:$D$2965),VLOOKUP(IF(LEN($A374)=4,$A374&amp;"01 1",$A374),GUS_tabl_21!$A$5:$F$4886,6,FALSE))))</f>
        <v>10219</v>
      </c>
    </row>
    <row r="375" spans="1:4" s="29" customFormat="1" ht="12" customHeight="1">
      <c r="A375" s="155" t="str">
        <f>"041905 2"</f>
        <v>041905 2</v>
      </c>
      <c r="B375" s="153" t="s">
        <v>46</v>
      </c>
      <c r="C375" s="156" t="str">
        <f>IF(OR($A375="",ISERROR(VALUE(LEFT($A375,6)))),"",IF(LEN($A375)=2,"WOJ. ",IF(LEN($A375)=4,IF(VALUE(RIGHT($A375,2))&gt;60,"","Powiat "),IF(VALUE(RIGHT($A375,1))=1,"m. ",IF(VALUE(RIGHT($A375,1))=2,"gm. w. ",IF(VALUE(RIGHT($A375,1))=8,"dz. ","gm. m.-w. ")))))&amp;IF(LEN($A375)=2,TRIM(UPPER(VLOOKUP($A375,GUS_tabl_1!$A$7:$B$22,2,FALSE))),IF(ISERROR(FIND("..",TRIM(VLOOKUP(IF(AND(LEN($A375)=4,VALUE(RIGHT($A375,2))&gt;60),$A375&amp;"01 1",$A375),IF(AND(LEN($A375)=4,VALUE(RIGHT($A375,2))&lt;60),GUS_tabl_2!$A$8:$B$464,GUS_tabl_21!$A$5:$B$4886),2,FALSE)))),TRIM(VLOOKUP(IF(AND(LEN($A375)=4,VALUE(RIGHT($A375,2))&gt;60),$A375&amp;"01 1",$A375),IF(AND(LEN($A375)=4,VALUE(RIGHT($A375,2))&lt;60),GUS_tabl_2!$A$8:$B$464,GUS_tabl_21!$A$5:$B$4886),2,FALSE)),LEFT(TRIM(VLOOKUP(IF(AND(LEN($A375)=4,VALUE(RIGHT($A375,2))&gt;60),$A375&amp;"01 1",$A375),IF(AND(LEN($A375)=4,VALUE(RIGHT($A375,2))&lt;60),GUS_tabl_2!$A$8:$B$464,GUS_tabl_21!$A$5:$B$4886),2,FALSE)),SUM(FIND("..",TRIM(VLOOKUP(IF(AND(LEN($A375)=4,VALUE(RIGHT($A375,2))&gt;60),$A375&amp;"01 1",$A375),IF(AND(LEN($A375)=4,VALUE(RIGHT($A375,2))&lt;60),GUS_tabl_2!$A$8:$B$464,GUS_tabl_21!$A$5:$B$4886),2,FALSE))),-1)))))</f>
        <v>gm. w. Rogowo</v>
      </c>
      <c r="D375" s="141">
        <f>IF(OR($A375="",ISERROR(VALUE(LEFT($A375,6)))),"",IF(LEN($A375)=2,SUMIF($A376:$A$2965,$A375&amp;"??",$D376:$D$2965),IF(AND(LEN($A375)=4,VALUE(RIGHT($A375,2))&lt;=60),SUMIF($A376:$A$2965,$A375&amp;"????",$D376:$D$2965),VLOOKUP(IF(LEN($A375)=4,$A375&amp;"01 1",$A375),GUS_tabl_21!$A$5:$F$4886,6,FALSE))))</f>
        <v>6828</v>
      </c>
    </row>
    <row r="376" spans="1:4" s="29" customFormat="1" ht="12" customHeight="1">
      <c r="A376" s="155" t="str">
        <f>"041906 3"</f>
        <v>041906 3</v>
      </c>
      <c r="B376" s="153" t="s">
        <v>46</v>
      </c>
      <c r="C376" s="156" t="str">
        <f>IF(OR($A376="",ISERROR(VALUE(LEFT($A376,6)))),"",IF(LEN($A376)=2,"WOJ. ",IF(LEN($A376)=4,IF(VALUE(RIGHT($A376,2))&gt;60,"","Powiat "),IF(VALUE(RIGHT($A376,1))=1,"m. ",IF(VALUE(RIGHT($A376,1))=2,"gm. w. ",IF(VALUE(RIGHT($A376,1))=8,"dz. ","gm. m.-w. ")))))&amp;IF(LEN($A376)=2,TRIM(UPPER(VLOOKUP($A376,GUS_tabl_1!$A$7:$B$22,2,FALSE))),IF(ISERROR(FIND("..",TRIM(VLOOKUP(IF(AND(LEN($A376)=4,VALUE(RIGHT($A376,2))&gt;60),$A376&amp;"01 1",$A376),IF(AND(LEN($A376)=4,VALUE(RIGHT($A376,2))&lt;60),GUS_tabl_2!$A$8:$B$464,GUS_tabl_21!$A$5:$B$4886),2,FALSE)))),TRIM(VLOOKUP(IF(AND(LEN($A376)=4,VALUE(RIGHT($A376,2))&gt;60),$A376&amp;"01 1",$A376),IF(AND(LEN($A376)=4,VALUE(RIGHT($A376,2))&lt;60),GUS_tabl_2!$A$8:$B$464,GUS_tabl_21!$A$5:$B$4886),2,FALSE)),LEFT(TRIM(VLOOKUP(IF(AND(LEN($A376)=4,VALUE(RIGHT($A376,2))&gt;60),$A376&amp;"01 1",$A376),IF(AND(LEN($A376)=4,VALUE(RIGHT($A376,2))&lt;60),GUS_tabl_2!$A$8:$B$464,GUS_tabl_21!$A$5:$B$4886),2,FALSE)),SUM(FIND("..",TRIM(VLOOKUP(IF(AND(LEN($A376)=4,VALUE(RIGHT($A376,2))&gt;60),$A376&amp;"01 1",$A376),IF(AND(LEN($A376)=4,VALUE(RIGHT($A376,2))&lt;60),GUS_tabl_2!$A$8:$B$464,GUS_tabl_21!$A$5:$B$4886),2,FALSE))),-1)))))</f>
        <v>gm. m.-w. Żnin</v>
      </c>
      <c r="D376" s="141">
        <f>IF(OR($A376="",ISERROR(VALUE(LEFT($A376,6)))),"",IF(LEN($A376)=2,SUMIF($A377:$A$2965,$A376&amp;"??",$D377:$D$2965),IF(AND(LEN($A376)=4,VALUE(RIGHT($A376,2))&lt;=60),SUMIF($A377:$A$2965,$A376&amp;"????",$D377:$D$2965),VLOOKUP(IF(LEN($A376)=4,$A376&amp;"01 1",$A376),GUS_tabl_21!$A$5:$F$4886,6,FALSE))))</f>
        <v>24080</v>
      </c>
    </row>
    <row r="377" spans="1:4" s="29" customFormat="1" ht="12" customHeight="1">
      <c r="A377" s="155"/>
      <c r="B377" s="153" t="s">
        <v>46</v>
      </c>
      <c r="C377" s="156" t="str">
        <f>IF(OR($A377="",ISERROR(VALUE(LEFT($A377,6)))),"",IF(LEN($A377)=2,"WOJ. ",IF(LEN($A377)=4,IF(VALUE(RIGHT($A377,2))&gt;60,"","Powiat "),IF(VALUE(RIGHT($A377,1))=1,"m. ",IF(VALUE(RIGHT($A377,1))=2,"gm. w. ",IF(VALUE(RIGHT($A377,1))=8,"dz. ","gm. m.-w. ")))))&amp;IF(LEN($A377)=2,TRIM(UPPER(VLOOKUP($A377,GUS_tabl_1!$A$7:$B$22,2,FALSE))),IF(ISERROR(FIND("..",TRIM(VLOOKUP(IF(AND(LEN($A377)=4,VALUE(RIGHT($A377,2))&gt;60),$A377&amp;"01 1",$A377),IF(AND(LEN($A377)=4,VALUE(RIGHT($A377,2))&lt;60),GUS_tabl_2!$A$8:$B$464,GUS_tabl_21!$A$5:$B$4886),2,FALSE)))),TRIM(VLOOKUP(IF(AND(LEN($A377)=4,VALUE(RIGHT($A377,2))&gt;60),$A377&amp;"01 1",$A377),IF(AND(LEN($A377)=4,VALUE(RIGHT($A377,2))&lt;60),GUS_tabl_2!$A$8:$B$464,GUS_tabl_21!$A$5:$B$4886),2,FALSE)),LEFT(TRIM(VLOOKUP(IF(AND(LEN($A377)=4,VALUE(RIGHT($A377,2))&gt;60),$A377&amp;"01 1",$A377),IF(AND(LEN($A377)=4,VALUE(RIGHT($A377,2))&lt;60),GUS_tabl_2!$A$8:$B$464,GUS_tabl_21!$A$5:$B$4886),2,FALSE)),SUM(FIND("..",TRIM(VLOOKUP(IF(AND(LEN($A377)=4,VALUE(RIGHT($A377,2))&gt;60),$A377&amp;"01 1",$A377),IF(AND(LEN($A377)=4,VALUE(RIGHT($A377,2))&lt;60),GUS_tabl_2!$A$8:$B$464,GUS_tabl_21!$A$5:$B$4886),2,FALSE))),-1)))))</f>
        <v/>
      </c>
      <c r="D377" s="141" t="str">
        <f>IF(OR($A377="",ISERROR(VALUE(LEFT($A377,6)))),"",IF(LEN($A377)=2,SUMIF($A378:$A$2965,$A377&amp;"??",$D378:$D$2965),IF(AND(LEN($A377)=4,VALUE(RIGHT($A377,2))&lt;=60),SUMIF($A378:$A$2965,$A377&amp;"????",$D378:$D$2965),VLOOKUP(IF(LEN($A377)=4,$A377&amp;"01 1",$A377),GUS_tabl_21!$A$5:$F$4886,6,FALSE))))</f>
        <v/>
      </c>
    </row>
    <row r="378" spans="1:4" s="29" customFormat="1" ht="12" customHeight="1">
      <c r="A378" s="152"/>
      <c r="B378" s="153" t="s">
        <v>46</v>
      </c>
      <c r="C378" s="154" t="s">
        <v>0</v>
      </c>
      <c r="D378" s="140"/>
    </row>
    <row r="379" spans="1:4" s="29" customFormat="1" ht="12" customHeight="1">
      <c r="A379" s="152"/>
      <c r="B379" s="153" t="s">
        <v>46</v>
      </c>
      <c r="C379" s="154" t="s">
        <v>1</v>
      </c>
      <c r="D379" s="140"/>
    </row>
    <row r="380" spans="1:4" s="29" customFormat="1" ht="12" customHeight="1">
      <c r="A380" s="152" t="str">
        <f>"0461"</f>
        <v>0461</v>
      </c>
      <c r="B380" s="153" t="s">
        <v>46</v>
      </c>
      <c r="C380" s="154" t="str">
        <f>IF(OR($A380="",ISERROR(VALUE(LEFT($A380,6)))),"",IF(LEN($A380)=2,"WOJ. ",IF(LEN($A380)=4,IF(VALUE(RIGHT($A380,2))&gt;60,"","Powiat "),IF(VALUE(RIGHT($A380,1))=1,"m. ",IF(VALUE(RIGHT($A380,1))=2,"gm. w. ",IF(VALUE(RIGHT($A380,1))=8,"dz. ","gm. m.-w. ")))))&amp;IF(LEN($A380)=2,TRIM(UPPER(VLOOKUP($A380,GUS_tabl_1!$A$7:$B$22,2,FALSE))),IF(ISERROR(FIND("..",TRIM(VLOOKUP(IF(AND(LEN($A380)=4,VALUE(RIGHT($A380,2))&gt;60),$A380&amp;"01 1",$A380),IF(AND(LEN($A380)=4,VALUE(RIGHT($A380,2))&lt;60),GUS_tabl_2!$A$8:$B$464,GUS_tabl_21!$A$5:$B$4886),2,FALSE)))),TRIM(VLOOKUP(IF(AND(LEN($A380)=4,VALUE(RIGHT($A380,2))&gt;60),$A380&amp;"01 1",$A380),IF(AND(LEN($A380)=4,VALUE(RIGHT($A380,2))&lt;60),GUS_tabl_2!$A$8:$B$464,GUS_tabl_21!$A$5:$B$4886),2,FALSE)),LEFT(TRIM(VLOOKUP(IF(AND(LEN($A380)=4,VALUE(RIGHT($A380,2))&gt;60),$A380&amp;"01 1",$A380),IF(AND(LEN($A380)=4,VALUE(RIGHT($A380,2))&lt;60),GUS_tabl_2!$A$8:$B$464,GUS_tabl_21!$A$5:$B$4886),2,FALSE)),SUM(FIND("..",TRIM(VLOOKUP(IF(AND(LEN($A380)=4,VALUE(RIGHT($A380,2))&gt;60),$A380&amp;"01 1",$A380),IF(AND(LEN($A380)=4,VALUE(RIGHT($A380,2))&lt;60),GUS_tabl_2!$A$8:$B$464,GUS_tabl_21!$A$5:$B$4886),2,FALSE))),-1)))))</f>
        <v>Bydgoszcz (a)</v>
      </c>
      <c r="D380" s="140">
        <f>IF(OR($A380="",ISERROR(VALUE(LEFT($A380,6)))),"",IF(LEN($A380)=2,SUMIF($A381:$A$2965,$A380&amp;"??",$D381:$D$2965),IF(AND(LEN($A380)=4,VALUE(RIGHT($A380,2))&lt;=60),SUMIF($A381:$A$2965,$A380&amp;"????",$D381:$D$2965),VLOOKUP(IF(LEN($A380)=4,$A380&amp;"01 1",$A380),GUS_tabl_21!$A$5:$F$4886,6,FALSE))))</f>
        <v>348190</v>
      </c>
    </row>
    <row r="381" spans="1:4" s="29" customFormat="1" ht="12" customHeight="1">
      <c r="A381" s="152" t="str">
        <f>"0462"</f>
        <v>0462</v>
      </c>
      <c r="B381" s="153" t="s">
        <v>46</v>
      </c>
      <c r="C381" s="154" t="str">
        <f>IF(OR($A381="",ISERROR(VALUE(LEFT($A381,6)))),"",IF(LEN($A381)=2,"WOJ. ",IF(LEN($A381)=4,IF(VALUE(RIGHT($A381,2))&gt;60,"","Powiat "),IF(VALUE(RIGHT($A381,1))=1,"m. ",IF(VALUE(RIGHT($A381,1))=2,"gm. w. ",IF(VALUE(RIGHT($A381,1))=8,"dz. ","gm. m.-w. ")))))&amp;IF(LEN($A381)=2,TRIM(UPPER(VLOOKUP($A381,GUS_tabl_1!$A$7:$B$22,2,FALSE))),IF(ISERROR(FIND("..",TRIM(VLOOKUP(IF(AND(LEN($A381)=4,VALUE(RIGHT($A381,2))&gt;60),$A381&amp;"01 1",$A381),IF(AND(LEN($A381)=4,VALUE(RIGHT($A381,2))&lt;60),GUS_tabl_2!$A$8:$B$464,GUS_tabl_21!$A$5:$B$4886),2,FALSE)))),TRIM(VLOOKUP(IF(AND(LEN($A381)=4,VALUE(RIGHT($A381,2))&gt;60),$A381&amp;"01 1",$A381),IF(AND(LEN($A381)=4,VALUE(RIGHT($A381,2))&lt;60),GUS_tabl_2!$A$8:$B$464,GUS_tabl_21!$A$5:$B$4886),2,FALSE)),LEFT(TRIM(VLOOKUP(IF(AND(LEN($A381)=4,VALUE(RIGHT($A381,2))&gt;60),$A381&amp;"01 1",$A381),IF(AND(LEN($A381)=4,VALUE(RIGHT($A381,2))&lt;60),GUS_tabl_2!$A$8:$B$464,GUS_tabl_21!$A$5:$B$4886),2,FALSE)),SUM(FIND("..",TRIM(VLOOKUP(IF(AND(LEN($A381)=4,VALUE(RIGHT($A381,2))&gt;60),$A381&amp;"01 1",$A381),IF(AND(LEN($A381)=4,VALUE(RIGHT($A381,2))&lt;60),GUS_tabl_2!$A$8:$B$464,GUS_tabl_21!$A$5:$B$4886),2,FALSE))),-1)))))</f>
        <v>Grudziądz</v>
      </c>
      <c r="D381" s="140">
        <f>IF(OR($A381="",ISERROR(VALUE(LEFT($A381,6)))),"",IF(LEN($A381)=2,SUMIF($A382:$A$2965,$A381&amp;"??",$D382:$D$2965),IF(AND(LEN($A381)=4,VALUE(RIGHT($A381,2))&lt;=60),SUMIF($A382:$A$2965,$A381&amp;"????",$D382:$D$2965),VLOOKUP(IF(LEN($A381)=4,$A381&amp;"01 1",$A381),GUS_tabl_21!$A$5:$F$4886,6,FALSE))))</f>
        <v>94368</v>
      </c>
    </row>
    <row r="382" spans="1:4" s="29" customFormat="1" ht="12" customHeight="1">
      <c r="A382" s="152" t="str">
        <f>"0463"</f>
        <v>0463</v>
      </c>
      <c r="B382" s="153" t="s">
        <v>46</v>
      </c>
      <c r="C382" s="154" t="str">
        <f>IF(OR($A382="",ISERROR(VALUE(LEFT($A382,6)))),"",IF(LEN($A382)=2,"WOJ. ",IF(LEN($A382)=4,IF(VALUE(RIGHT($A382,2))&gt;60,"","Powiat "),IF(VALUE(RIGHT($A382,1))=1,"m. ",IF(VALUE(RIGHT($A382,1))=2,"gm. w. ",IF(VALUE(RIGHT($A382,1))=8,"dz. ","gm. m.-w. ")))))&amp;IF(LEN($A382)=2,TRIM(UPPER(VLOOKUP($A382,GUS_tabl_1!$A$7:$B$22,2,FALSE))),IF(ISERROR(FIND("..",TRIM(VLOOKUP(IF(AND(LEN($A382)=4,VALUE(RIGHT($A382,2))&gt;60),$A382&amp;"01 1",$A382),IF(AND(LEN($A382)=4,VALUE(RIGHT($A382,2))&lt;60),GUS_tabl_2!$A$8:$B$464,GUS_tabl_21!$A$5:$B$4886),2,FALSE)))),TRIM(VLOOKUP(IF(AND(LEN($A382)=4,VALUE(RIGHT($A382,2))&gt;60),$A382&amp;"01 1",$A382),IF(AND(LEN($A382)=4,VALUE(RIGHT($A382,2))&lt;60),GUS_tabl_2!$A$8:$B$464,GUS_tabl_21!$A$5:$B$4886),2,FALSE)),LEFT(TRIM(VLOOKUP(IF(AND(LEN($A382)=4,VALUE(RIGHT($A382,2))&gt;60),$A382&amp;"01 1",$A382),IF(AND(LEN($A382)=4,VALUE(RIGHT($A382,2))&lt;60),GUS_tabl_2!$A$8:$B$464,GUS_tabl_21!$A$5:$B$4886),2,FALSE)),SUM(FIND("..",TRIM(VLOOKUP(IF(AND(LEN($A382)=4,VALUE(RIGHT($A382,2))&gt;60),$A382&amp;"01 1",$A382),IF(AND(LEN($A382)=4,VALUE(RIGHT($A382,2))&lt;60),GUS_tabl_2!$A$8:$B$464,GUS_tabl_21!$A$5:$B$4886),2,FALSE))),-1)))))</f>
        <v>Toruń</v>
      </c>
      <c r="D382" s="140">
        <f>IF(OR($A382="",ISERROR(VALUE(LEFT($A382,6)))),"",IF(LEN($A382)=2,SUMIF($A383:$A$2965,$A382&amp;"??",$D383:$D$2965),IF(AND(LEN($A382)=4,VALUE(RIGHT($A382,2))&lt;=60),SUMIF($A383:$A$2965,$A382&amp;"????",$D383:$D$2965),VLOOKUP(IF(LEN($A382)=4,$A382&amp;"01 1",$A382),GUS_tabl_21!$A$5:$F$4886,6,FALSE))))</f>
        <v>201447</v>
      </c>
    </row>
    <row r="383" spans="1:4" s="29" customFormat="1" ht="12" customHeight="1">
      <c r="A383" s="152" t="str">
        <f>"0464"</f>
        <v>0464</v>
      </c>
      <c r="B383" s="153" t="s">
        <v>46</v>
      </c>
      <c r="C383" s="154" t="str">
        <f>IF(OR($A383="",ISERROR(VALUE(LEFT($A383,6)))),"",IF(LEN($A383)=2,"WOJ. ",IF(LEN($A383)=4,IF(VALUE(RIGHT($A383,2))&gt;60,"","Powiat "),IF(VALUE(RIGHT($A383,1))=1,"m. ",IF(VALUE(RIGHT($A383,1))=2,"gm. w. ",IF(VALUE(RIGHT($A383,1))=8,"dz. ","gm. m.-w. ")))))&amp;IF(LEN($A383)=2,TRIM(UPPER(VLOOKUP($A383,GUS_tabl_1!$A$7:$B$22,2,FALSE))),IF(ISERROR(FIND("..",TRIM(VLOOKUP(IF(AND(LEN($A383)=4,VALUE(RIGHT($A383,2))&gt;60),$A383&amp;"01 1",$A383),IF(AND(LEN($A383)=4,VALUE(RIGHT($A383,2))&lt;60),GUS_tabl_2!$A$8:$B$464,GUS_tabl_21!$A$5:$B$4886),2,FALSE)))),TRIM(VLOOKUP(IF(AND(LEN($A383)=4,VALUE(RIGHT($A383,2))&gt;60),$A383&amp;"01 1",$A383),IF(AND(LEN($A383)=4,VALUE(RIGHT($A383,2))&lt;60),GUS_tabl_2!$A$8:$B$464,GUS_tabl_21!$A$5:$B$4886),2,FALSE)),LEFT(TRIM(VLOOKUP(IF(AND(LEN($A383)=4,VALUE(RIGHT($A383,2))&gt;60),$A383&amp;"01 1",$A383),IF(AND(LEN($A383)=4,VALUE(RIGHT($A383,2))&lt;60),GUS_tabl_2!$A$8:$B$464,GUS_tabl_21!$A$5:$B$4886),2,FALSE)),SUM(FIND("..",TRIM(VLOOKUP(IF(AND(LEN($A383)=4,VALUE(RIGHT($A383,2))&gt;60),$A383&amp;"01 1",$A383),IF(AND(LEN($A383)=4,VALUE(RIGHT($A383,2))&lt;60),GUS_tabl_2!$A$8:$B$464,GUS_tabl_21!$A$5:$B$4886),2,FALSE))),-1)))))</f>
        <v>Włocławek</v>
      </c>
      <c r="D383" s="140">
        <f>IF(OR($A383="",ISERROR(VALUE(LEFT($A383,6)))),"",IF(LEN($A383)=2,SUMIF($A384:$A$2965,$A383&amp;"??",$D384:$D$2965),IF(AND(LEN($A383)=4,VALUE(RIGHT($A383,2))&lt;=60),SUMIF($A384:$A$2965,$A383&amp;"????",$D384:$D$2965),VLOOKUP(IF(LEN($A383)=4,$A383&amp;"01 1",$A383),GUS_tabl_21!$A$5:$F$4886,6,FALSE))))</f>
        <v>109883</v>
      </c>
    </row>
    <row r="384" spans="1:4" s="161" customFormat="1" ht="13.5" thickBot="1">
      <c r="A384" s="144"/>
      <c r="B384" s="160"/>
    </row>
    <row r="385" spans="1:5" ht="28.5" customHeight="1" thickTop="1">
      <c r="A385" s="241" t="s">
        <v>97</v>
      </c>
      <c r="B385" s="247" t="s">
        <v>60</v>
      </c>
      <c r="C385" s="243" t="s">
        <v>7311</v>
      </c>
      <c r="D385" s="245" t="s">
        <v>6</v>
      </c>
    </row>
    <row r="386" spans="1:5" ht="25.5" customHeight="1" thickBot="1">
      <c r="A386" s="242"/>
      <c r="B386" s="254"/>
      <c r="C386" s="244"/>
      <c r="D386" s="246"/>
    </row>
    <row r="387" spans="1:5" ht="12" customHeight="1" thickTop="1">
      <c r="A387" s="158"/>
      <c r="B387" s="153"/>
      <c r="C387" s="156" t="str">
        <f>IF(OR($A387="",ISERROR(VALUE(LEFT($A387,6)))),"",IF(LEN($A387)=2,"WOJ. ",IF(LEN($A387)=4,IF(VALUE(RIGHT($A387,2))&gt;60,"","Powiat "),IF(VALUE(RIGHT($A387,1))=1,"m. ",IF(VALUE(RIGHT($A387,1))=2,"gm. w. ",IF(VALUE(RIGHT($A387,1))=8,"dz. ","gm. m.-w. ")))))&amp;IF(LEN($A387)=2,TRIM(UPPER(VLOOKUP($A387,GUS_tabl_1!$A$7:$B$22,2,FALSE))),IF(ISERROR(FIND("..",TRIM(VLOOKUP(IF(AND(LEN($A387)=4,VALUE(RIGHT($A387,2))&gt;60),$A387&amp;"01 1",$A387),IF(AND(LEN($A387)=4,VALUE(RIGHT($A387,2))&lt;60),GUS_tabl_2!$A$8:$B$464,GUS_tabl_21!$A$5:$B$4886),2,FALSE)))),TRIM(VLOOKUP(IF(AND(LEN($A387)=4,VALUE(RIGHT($A387,2))&gt;60),$A387&amp;"01 1",$A387),IF(AND(LEN($A387)=4,VALUE(RIGHT($A387,2))&lt;60),GUS_tabl_2!$A$8:$B$464,GUS_tabl_21!$A$5:$B$4886),2,FALSE)),LEFT(TRIM(VLOOKUP(IF(AND(LEN($A387)=4,VALUE(RIGHT($A387,2))&gt;60),$A387&amp;"01 1",$A387),IF(AND(LEN($A387)=4,VALUE(RIGHT($A387,2))&lt;60),GUS_tabl_2!$A$8:$B$464,GUS_tabl_21!$A$5:$B$4886),2,FALSE)),SUM(FIND("..",TRIM(VLOOKUP(IF(AND(LEN($A387)=4,VALUE(RIGHT($A387,2))&gt;60),$A387&amp;"01 1",$A387),IF(AND(LEN($A387)=4,VALUE(RIGHT($A387,2))&lt;60),GUS_tabl_2!$A$8:$B$464,GUS_tabl_21!$A$5:$B$4886),2,FALSE))),-1)))))</f>
        <v/>
      </c>
      <c r="D387" s="140" t="str">
        <f>IF(OR($A387="",ISERROR(VALUE(LEFT($A387,6)))),"",IF(LEN($A387)=2,SUMIF($A388:$A$2965,$A387&amp;"??",$D388:$D$2965),IF(AND(LEN($A387)=4,VALUE(RIGHT($A387,2))&lt;=60),SUMIF($A388:$A$2965,$A387&amp;"????",$D388:$D$2965),VLOOKUP(IF(LEN($A387)=4,$A387&amp;"01 1",$A387),GUS_tabl_21!$A$5:$F$4886,6,FALSE))))</f>
        <v/>
      </c>
      <c r="E387" s="29"/>
    </row>
    <row r="388" spans="1:5" ht="12" customHeight="1">
      <c r="A388" s="152" t="str">
        <f>"06"</f>
        <v>06</v>
      </c>
      <c r="B388" s="153"/>
      <c r="C388" s="154" t="str">
        <f>IF(OR($A388="",ISERROR(VALUE(LEFT($A388,6)))),"",IF(LEN($A388)=2,"WOJ. ",IF(LEN($A388)=4,IF(VALUE(RIGHT($A388,2))&gt;60,"","Powiat "),IF(VALUE(RIGHT($A388,1))=1,"m. ",IF(VALUE(RIGHT($A388,1))=2,"gm. w. ",IF(VALUE(RIGHT($A388,1))=8,"dz. ","gm. m.-w. ")))))&amp;IF(LEN($A388)=2,TRIM(UPPER(VLOOKUP($A388,GUS_tabl_1!$A$7:$B$22,2,FALSE))),IF(ISERROR(FIND("..",TRIM(VLOOKUP(IF(AND(LEN($A388)=4,VALUE(RIGHT($A388,2))&gt;60),$A388&amp;"01 1",$A388),IF(AND(LEN($A388)=4,VALUE(RIGHT($A388,2))&lt;60),GUS_tabl_2!$A$8:$B$464,GUS_tabl_21!$A$5:$B$4886),2,FALSE)))),TRIM(VLOOKUP(IF(AND(LEN($A388)=4,VALUE(RIGHT($A388,2))&gt;60),$A388&amp;"01 1",$A388),IF(AND(LEN($A388)=4,VALUE(RIGHT($A388,2))&lt;60),GUS_tabl_2!$A$8:$B$464,GUS_tabl_21!$A$5:$B$4886),2,FALSE)),LEFT(TRIM(VLOOKUP(IF(AND(LEN($A388)=4,VALUE(RIGHT($A388,2))&gt;60),$A388&amp;"01 1",$A388),IF(AND(LEN($A388)=4,VALUE(RIGHT($A388,2))&lt;60),GUS_tabl_2!$A$8:$B$464,GUS_tabl_21!$A$5:$B$4886),2,FALSE)),SUM(FIND("..",TRIM(VLOOKUP(IF(AND(LEN($A388)=4,VALUE(RIGHT($A388,2))&gt;60),$A388&amp;"01 1",$A388),IF(AND(LEN($A388)=4,VALUE(RIGHT($A388,2))&lt;60),GUS_tabl_2!$A$8:$B$464,GUS_tabl_21!$A$5:$B$4886),2,FALSE))),-1)))))</f>
        <v>WOJ. LUBELSKIE</v>
      </c>
      <c r="D388" s="140">
        <f>IF(OR($A388="",ISERROR(VALUE(LEFT($A388,6)))),"",IF(LEN($A388)=2,SUMIF($A389:$A$2965,$A388&amp;"??",$D389:$D$2965),IF(AND(LEN($A388)=4,VALUE(RIGHT($A388,2))&lt;=60),SUMIF($A389:$A$2965,$A388&amp;"????",$D389:$D$2965),VLOOKUP(IF(LEN($A388)=4,$A388&amp;"01 1",$A388),GUS_tabl_21!$A$5:$F$4886,6,FALSE))))</f>
        <v>2108270</v>
      </c>
      <c r="E388" s="29"/>
    </row>
    <row r="389" spans="1:5" ht="12" customHeight="1">
      <c r="A389" s="152"/>
      <c r="B389" s="153"/>
      <c r="C389" s="156" t="str">
        <f>IF(OR($A389="",ISERROR(VALUE(LEFT($A389,6)))),"",IF(LEN($A389)=2,"WOJ. ",IF(LEN($A389)=4,IF(VALUE(RIGHT($A389,2))&gt;60,"","Powiat "),IF(VALUE(RIGHT($A389,1))=1,"m. ",IF(VALUE(RIGHT($A389,1))=2,"gm. w. ",IF(VALUE(RIGHT($A389,1))=8,"dz. ","gm. m.-w. ")))))&amp;IF(LEN($A389)=2,TRIM(UPPER(VLOOKUP($A389,GUS_tabl_1!$A$7:$B$22,2,FALSE))),IF(ISERROR(FIND("..",TRIM(VLOOKUP(IF(AND(LEN($A389)=4,VALUE(RIGHT($A389,2))&gt;60),$A389&amp;"01 1",$A389),IF(AND(LEN($A389)=4,VALUE(RIGHT($A389,2))&lt;60),GUS_tabl_2!$A$8:$B$464,GUS_tabl_21!$A$5:$B$4886),2,FALSE)))),TRIM(VLOOKUP(IF(AND(LEN($A389)=4,VALUE(RIGHT($A389,2))&gt;60),$A389&amp;"01 1",$A389),IF(AND(LEN($A389)=4,VALUE(RIGHT($A389,2))&lt;60),GUS_tabl_2!$A$8:$B$464,GUS_tabl_21!$A$5:$B$4886),2,FALSE)),LEFT(TRIM(VLOOKUP(IF(AND(LEN($A389)=4,VALUE(RIGHT($A389,2))&gt;60),$A389&amp;"01 1",$A389),IF(AND(LEN($A389)=4,VALUE(RIGHT($A389,2))&lt;60),GUS_tabl_2!$A$8:$B$464,GUS_tabl_21!$A$5:$B$4886),2,FALSE)),SUM(FIND("..",TRIM(VLOOKUP(IF(AND(LEN($A389)=4,VALUE(RIGHT($A389,2))&gt;60),$A389&amp;"01 1",$A389),IF(AND(LEN($A389)=4,VALUE(RIGHT($A389,2))&lt;60),GUS_tabl_2!$A$8:$B$464,GUS_tabl_21!$A$5:$B$4886),2,FALSE))),-1)))))</f>
        <v/>
      </c>
      <c r="D389" s="140" t="str">
        <f>IF(OR($A389="",ISERROR(VALUE(LEFT($A389,6)))),"",IF(LEN($A389)=2,SUMIF($A390:$A$2965,$A389&amp;"??",$D390:$D$2965),IF(AND(LEN($A389)=4,VALUE(RIGHT($A389,2))&lt;=60),SUMIF($A390:$A$2965,$A389&amp;"????",$D390:$D$2965),VLOOKUP(IF(LEN($A389)=4,$A389&amp;"01 1",$A389),GUS_tabl_21!$A$5:$F$4886,6,FALSE))))</f>
        <v/>
      </c>
      <c r="E389" s="29"/>
    </row>
    <row r="390" spans="1:5" ht="12" customHeight="1">
      <c r="A390" s="152" t="str">
        <f>"0601"</f>
        <v>0601</v>
      </c>
      <c r="B390" s="153" t="s">
        <v>57</v>
      </c>
      <c r="C390" s="154" t="str">
        <f>IF(OR($A390="",ISERROR(VALUE(LEFT($A390,6)))),"",IF(LEN($A390)=2,"WOJ. ",IF(LEN($A390)=4,IF(VALUE(RIGHT($A390,2))&gt;60,"","Powiat "),IF(VALUE(RIGHT($A390,1))=1,"m. ",IF(VALUE(RIGHT($A390,1))=2,"gm. w. ",IF(VALUE(RIGHT($A390,1))=8,"dz. ","gm. m.-w. ")))))&amp;IF(LEN($A390)=2,TRIM(UPPER(VLOOKUP($A390,GUS_tabl_1!$A$7:$B$22,2,FALSE))),IF(ISERROR(FIND("..",TRIM(VLOOKUP(IF(AND(LEN($A390)=4,VALUE(RIGHT($A390,2))&gt;60),$A390&amp;"01 1",$A390),IF(AND(LEN($A390)=4,VALUE(RIGHT($A390,2))&lt;60),GUS_tabl_2!$A$8:$B$464,GUS_tabl_21!$A$5:$B$4886),2,FALSE)))),TRIM(VLOOKUP(IF(AND(LEN($A390)=4,VALUE(RIGHT($A390,2))&gt;60),$A390&amp;"01 1",$A390),IF(AND(LEN($A390)=4,VALUE(RIGHT($A390,2))&lt;60),GUS_tabl_2!$A$8:$B$464,GUS_tabl_21!$A$5:$B$4886),2,FALSE)),LEFT(TRIM(VLOOKUP(IF(AND(LEN($A390)=4,VALUE(RIGHT($A390,2))&gt;60),$A390&amp;"01 1",$A390),IF(AND(LEN($A390)=4,VALUE(RIGHT($A390,2))&lt;60),GUS_tabl_2!$A$8:$B$464,GUS_tabl_21!$A$5:$B$4886),2,FALSE)),SUM(FIND("..",TRIM(VLOOKUP(IF(AND(LEN($A390)=4,VALUE(RIGHT($A390,2))&gt;60),$A390&amp;"01 1",$A390),IF(AND(LEN($A390)=4,VALUE(RIGHT($A390,2))&lt;60),GUS_tabl_2!$A$8:$B$464,GUS_tabl_21!$A$5:$B$4886),2,FALSE))),-1)))))</f>
        <v>Powiat bialski</v>
      </c>
      <c r="D390" s="140">
        <f>IF(OR($A390="",ISERROR(VALUE(LEFT($A390,6)))),"",IF(LEN($A390)=2,SUMIF($A391:$A$2965,$A390&amp;"??",$D391:$D$2965),IF(AND(LEN($A390)=4,VALUE(RIGHT($A390,2))&lt;=60),SUMIF($A391:$A$2965,$A390&amp;"????",$D391:$D$2965),VLOOKUP(IF(LEN($A390)=4,$A390&amp;"01 1",$A390),GUS_tabl_21!$A$5:$F$4886,6,FALSE))))</f>
        <v>110772</v>
      </c>
      <c r="E390" s="29"/>
    </row>
    <row r="391" spans="1:5" ht="12" customHeight="1">
      <c r="A391" s="155" t="str">
        <f>"060101 1"</f>
        <v>060101 1</v>
      </c>
      <c r="B391" s="153" t="s">
        <v>57</v>
      </c>
      <c r="C391" s="156" t="str">
        <f>IF(OR($A391="",ISERROR(VALUE(LEFT($A391,6)))),"",IF(LEN($A391)=2,"WOJ. ",IF(LEN($A391)=4,IF(VALUE(RIGHT($A391,2))&gt;60,"","Powiat "),IF(VALUE(RIGHT($A391,1))=1,"m. ",IF(VALUE(RIGHT($A391,1))=2,"gm. w. ",IF(VALUE(RIGHT($A391,1))=8,"dz. ","gm. m.-w. ")))))&amp;IF(LEN($A391)=2,TRIM(UPPER(VLOOKUP($A391,GUS_tabl_1!$A$7:$B$22,2,FALSE))),IF(ISERROR(FIND("..",TRIM(VLOOKUP(IF(AND(LEN($A391)=4,VALUE(RIGHT($A391,2))&gt;60),$A391&amp;"01 1",$A391),IF(AND(LEN($A391)=4,VALUE(RIGHT($A391,2))&lt;60),GUS_tabl_2!$A$8:$B$464,GUS_tabl_21!$A$5:$B$4886),2,FALSE)))),TRIM(VLOOKUP(IF(AND(LEN($A391)=4,VALUE(RIGHT($A391,2))&gt;60),$A391&amp;"01 1",$A391),IF(AND(LEN($A391)=4,VALUE(RIGHT($A391,2))&lt;60),GUS_tabl_2!$A$8:$B$464,GUS_tabl_21!$A$5:$B$4886),2,FALSE)),LEFT(TRIM(VLOOKUP(IF(AND(LEN($A391)=4,VALUE(RIGHT($A391,2))&gt;60),$A391&amp;"01 1",$A391),IF(AND(LEN($A391)=4,VALUE(RIGHT($A391,2))&lt;60),GUS_tabl_2!$A$8:$B$464,GUS_tabl_21!$A$5:$B$4886),2,FALSE)),SUM(FIND("..",TRIM(VLOOKUP(IF(AND(LEN($A391)=4,VALUE(RIGHT($A391,2))&gt;60),$A391&amp;"01 1",$A391),IF(AND(LEN($A391)=4,VALUE(RIGHT($A391,2))&lt;60),GUS_tabl_2!$A$8:$B$464,GUS_tabl_21!$A$5:$B$4886),2,FALSE))),-1)))))</f>
        <v>m. Międzyrzec Podlaski</v>
      </c>
      <c r="D391" s="141">
        <f>IF(OR($A391="",ISERROR(VALUE(LEFT($A391,6)))),"",IF(LEN($A391)=2,SUMIF($A392:$A$2965,$A391&amp;"??",$D392:$D$2965),IF(AND(LEN($A391)=4,VALUE(RIGHT($A391,2))&lt;=60),SUMIF($A392:$A$2965,$A391&amp;"????",$D392:$D$2965),VLOOKUP(IF(LEN($A391)=4,$A391&amp;"01 1",$A391),GUS_tabl_21!$A$5:$F$4886,6,FALSE))))</f>
        <v>16753</v>
      </c>
      <c r="E391" s="29"/>
    </row>
    <row r="392" spans="1:5" ht="12" customHeight="1">
      <c r="A392" s="155" t="str">
        <f>"060102 1"</f>
        <v>060102 1</v>
      </c>
      <c r="B392" s="153" t="s">
        <v>57</v>
      </c>
      <c r="C392" s="156" t="str">
        <f>IF(OR($A392="",ISERROR(VALUE(LEFT($A392,6)))),"",IF(LEN($A392)=2,"WOJ. ",IF(LEN($A392)=4,IF(VALUE(RIGHT($A392,2))&gt;60,"","Powiat "),IF(VALUE(RIGHT($A392,1))=1,"m. ",IF(VALUE(RIGHT($A392,1))=2,"gm. w. ",IF(VALUE(RIGHT($A392,1))=8,"dz. ","gm. m.-w. ")))))&amp;IF(LEN($A392)=2,TRIM(UPPER(VLOOKUP($A392,GUS_tabl_1!$A$7:$B$22,2,FALSE))),IF(ISERROR(FIND("..",TRIM(VLOOKUP(IF(AND(LEN($A392)=4,VALUE(RIGHT($A392,2))&gt;60),$A392&amp;"01 1",$A392),IF(AND(LEN($A392)=4,VALUE(RIGHT($A392,2))&lt;60),GUS_tabl_2!$A$8:$B$464,GUS_tabl_21!$A$5:$B$4886),2,FALSE)))),TRIM(VLOOKUP(IF(AND(LEN($A392)=4,VALUE(RIGHT($A392,2))&gt;60),$A392&amp;"01 1",$A392),IF(AND(LEN($A392)=4,VALUE(RIGHT($A392,2))&lt;60),GUS_tabl_2!$A$8:$B$464,GUS_tabl_21!$A$5:$B$4886),2,FALSE)),LEFT(TRIM(VLOOKUP(IF(AND(LEN($A392)=4,VALUE(RIGHT($A392,2))&gt;60),$A392&amp;"01 1",$A392),IF(AND(LEN($A392)=4,VALUE(RIGHT($A392,2))&lt;60),GUS_tabl_2!$A$8:$B$464,GUS_tabl_21!$A$5:$B$4886),2,FALSE)),SUM(FIND("..",TRIM(VLOOKUP(IF(AND(LEN($A392)=4,VALUE(RIGHT($A392,2))&gt;60),$A392&amp;"01 1",$A392),IF(AND(LEN($A392)=4,VALUE(RIGHT($A392,2))&lt;60),GUS_tabl_2!$A$8:$B$464,GUS_tabl_21!$A$5:$B$4886),2,FALSE))),-1)))))</f>
        <v>m. Terespol (c)</v>
      </c>
      <c r="D392" s="141">
        <f>IF(OR($A392="",ISERROR(VALUE(LEFT($A392,6)))),"",IF(LEN($A392)=2,SUMIF($A393:$A$2965,$A392&amp;"??",$D393:$D$2965),IF(AND(LEN($A392)=4,VALUE(RIGHT($A392,2))&lt;=60),SUMIF($A393:$A$2965,$A392&amp;"????",$D393:$D$2965),VLOOKUP(IF(LEN($A392)=4,$A392&amp;"01 1",$A392),GUS_tabl_21!$A$5:$F$4886,6,FALSE))))</f>
        <v>5560</v>
      </c>
      <c r="E392" s="29"/>
    </row>
    <row r="393" spans="1:5" ht="12" customHeight="1">
      <c r="A393" s="155" t="str">
        <f>"060103 2"</f>
        <v>060103 2</v>
      </c>
      <c r="B393" s="153" t="s">
        <v>57</v>
      </c>
      <c r="C393" s="156" t="str">
        <f>IF(OR($A393="",ISERROR(VALUE(LEFT($A393,6)))),"",IF(LEN($A393)=2,"WOJ. ",IF(LEN($A393)=4,IF(VALUE(RIGHT($A393,2))&gt;60,"","Powiat "),IF(VALUE(RIGHT($A393,1))=1,"m. ",IF(VALUE(RIGHT($A393,1))=2,"gm. w. ",IF(VALUE(RIGHT($A393,1))=8,"dz. ","gm. m.-w. ")))))&amp;IF(LEN($A393)=2,TRIM(UPPER(VLOOKUP($A393,GUS_tabl_1!$A$7:$B$22,2,FALSE))),IF(ISERROR(FIND("..",TRIM(VLOOKUP(IF(AND(LEN($A393)=4,VALUE(RIGHT($A393,2))&gt;60),$A393&amp;"01 1",$A393),IF(AND(LEN($A393)=4,VALUE(RIGHT($A393,2))&lt;60),GUS_tabl_2!$A$8:$B$464,GUS_tabl_21!$A$5:$B$4886),2,FALSE)))),TRIM(VLOOKUP(IF(AND(LEN($A393)=4,VALUE(RIGHT($A393,2))&gt;60),$A393&amp;"01 1",$A393),IF(AND(LEN($A393)=4,VALUE(RIGHT($A393,2))&lt;60),GUS_tabl_2!$A$8:$B$464,GUS_tabl_21!$A$5:$B$4886),2,FALSE)),LEFT(TRIM(VLOOKUP(IF(AND(LEN($A393)=4,VALUE(RIGHT($A393,2))&gt;60),$A393&amp;"01 1",$A393),IF(AND(LEN($A393)=4,VALUE(RIGHT($A393,2))&lt;60),GUS_tabl_2!$A$8:$B$464,GUS_tabl_21!$A$5:$B$4886),2,FALSE)),SUM(FIND("..",TRIM(VLOOKUP(IF(AND(LEN($A393)=4,VALUE(RIGHT($A393,2))&gt;60),$A393&amp;"01 1",$A393),IF(AND(LEN($A393)=4,VALUE(RIGHT($A393,2))&lt;60),GUS_tabl_2!$A$8:$B$464,GUS_tabl_21!$A$5:$B$4886),2,FALSE))),-1)))))</f>
        <v>gm. w. Biała Podlaska</v>
      </c>
      <c r="D393" s="141">
        <f>IF(OR($A393="",ISERROR(VALUE(LEFT($A393,6)))),"",IF(LEN($A393)=2,SUMIF($A394:$A$2965,$A393&amp;"??",$D394:$D$2965),IF(AND(LEN($A393)=4,VALUE(RIGHT($A393,2))&lt;=60),SUMIF($A394:$A$2965,$A393&amp;"????",$D394:$D$2965),VLOOKUP(IF(LEN($A393)=4,$A393&amp;"01 1",$A393),GUS_tabl_21!$A$5:$F$4886,6,FALSE))))</f>
        <v>14423</v>
      </c>
      <c r="E393" s="29"/>
    </row>
    <row r="394" spans="1:5" ht="12" customHeight="1">
      <c r="A394" s="155" t="str">
        <f>"060104 2"</f>
        <v>060104 2</v>
      </c>
      <c r="B394" s="153" t="s">
        <v>57</v>
      </c>
      <c r="C394" s="156" t="str">
        <f>IF(OR($A394="",ISERROR(VALUE(LEFT($A394,6)))),"",IF(LEN($A394)=2,"WOJ. ",IF(LEN($A394)=4,IF(VALUE(RIGHT($A394,2))&gt;60,"","Powiat "),IF(VALUE(RIGHT($A394,1))=1,"m. ",IF(VALUE(RIGHT($A394,1))=2,"gm. w. ",IF(VALUE(RIGHT($A394,1))=8,"dz. ","gm. m.-w. ")))))&amp;IF(LEN($A394)=2,TRIM(UPPER(VLOOKUP($A394,GUS_tabl_1!$A$7:$B$22,2,FALSE))),IF(ISERROR(FIND("..",TRIM(VLOOKUP(IF(AND(LEN($A394)=4,VALUE(RIGHT($A394,2))&gt;60),$A394&amp;"01 1",$A394),IF(AND(LEN($A394)=4,VALUE(RIGHT($A394,2))&lt;60),GUS_tabl_2!$A$8:$B$464,GUS_tabl_21!$A$5:$B$4886),2,FALSE)))),TRIM(VLOOKUP(IF(AND(LEN($A394)=4,VALUE(RIGHT($A394,2))&gt;60),$A394&amp;"01 1",$A394),IF(AND(LEN($A394)=4,VALUE(RIGHT($A394,2))&lt;60),GUS_tabl_2!$A$8:$B$464,GUS_tabl_21!$A$5:$B$4886),2,FALSE)),LEFT(TRIM(VLOOKUP(IF(AND(LEN($A394)=4,VALUE(RIGHT($A394,2))&gt;60),$A394&amp;"01 1",$A394),IF(AND(LEN($A394)=4,VALUE(RIGHT($A394,2))&lt;60),GUS_tabl_2!$A$8:$B$464,GUS_tabl_21!$A$5:$B$4886),2,FALSE)),SUM(FIND("..",TRIM(VLOOKUP(IF(AND(LEN($A394)=4,VALUE(RIGHT($A394,2))&gt;60),$A394&amp;"01 1",$A394),IF(AND(LEN($A394)=4,VALUE(RIGHT($A394,2))&lt;60),GUS_tabl_2!$A$8:$B$464,GUS_tabl_21!$A$5:$B$4886),2,FALSE))),-1)))))</f>
        <v>gm. w. Drelów</v>
      </c>
      <c r="D394" s="141">
        <f>IF(OR($A394="",ISERROR(VALUE(LEFT($A394,6)))),"",IF(LEN($A394)=2,SUMIF($A395:$A$2965,$A394&amp;"??",$D395:$D$2965),IF(AND(LEN($A394)=4,VALUE(RIGHT($A394,2))&lt;=60),SUMIF($A395:$A$2965,$A394&amp;"????",$D395:$D$2965),VLOOKUP(IF(LEN($A394)=4,$A394&amp;"01 1",$A394),GUS_tabl_21!$A$5:$F$4886,6,FALSE))))</f>
        <v>5367</v>
      </c>
      <c r="E394" s="29"/>
    </row>
    <row r="395" spans="1:5" ht="12" customHeight="1">
      <c r="A395" s="155" t="str">
        <f>"060105 2"</f>
        <v>060105 2</v>
      </c>
      <c r="B395" s="153" t="s">
        <v>57</v>
      </c>
      <c r="C395" s="156" t="str">
        <f>IF(OR($A395="",ISERROR(VALUE(LEFT($A395,6)))),"",IF(LEN($A395)=2,"WOJ. ",IF(LEN($A395)=4,IF(VALUE(RIGHT($A395,2))&gt;60,"","Powiat "),IF(VALUE(RIGHT($A395,1))=1,"m. ",IF(VALUE(RIGHT($A395,1))=2,"gm. w. ",IF(VALUE(RIGHT($A395,1))=8,"dz. ","gm. m.-w. ")))))&amp;IF(LEN($A395)=2,TRIM(UPPER(VLOOKUP($A395,GUS_tabl_1!$A$7:$B$22,2,FALSE))),IF(ISERROR(FIND("..",TRIM(VLOOKUP(IF(AND(LEN($A395)=4,VALUE(RIGHT($A395,2))&gt;60),$A395&amp;"01 1",$A395),IF(AND(LEN($A395)=4,VALUE(RIGHT($A395,2))&lt;60),GUS_tabl_2!$A$8:$B$464,GUS_tabl_21!$A$5:$B$4886),2,FALSE)))),TRIM(VLOOKUP(IF(AND(LEN($A395)=4,VALUE(RIGHT($A395,2))&gt;60),$A395&amp;"01 1",$A395),IF(AND(LEN($A395)=4,VALUE(RIGHT($A395,2))&lt;60),GUS_tabl_2!$A$8:$B$464,GUS_tabl_21!$A$5:$B$4886),2,FALSE)),LEFT(TRIM(VLOOKUP(IF(AND(LEN($A395)=4,VALUE(RIGHT($A395,2))&gt;60),$A395&amp;"01 1",$A395),IF(AND(LEN($A395)=4,VALUE(RIGHT($A395,2))&lt;60),GUS_tabl_2!$A$8:$B$464,GUS_tabl_21!$A$5:$B$4886),2,FALSE)),SUM(FIND("..",TRIM(VLOOKUP(IF(AND(LEN($A395)=4,VALUE(RIGHT($A395,2))&gt;60),$A395&amp;"01 1",$A395),IF(AND(LEN($A395)=4,VALUE(RIGHT($A395,2))&lt;60),GUS_tabl_2!$A$8:$B$464,GUS_tabl_21!$A$5:$B$4886),2,FALSE))),-1)))))</f>
        <v>gm. w. Janów Podlaski</v>
      </c>
      <c r="D395" s="141">
        <f>IF(OR($A395="",ISERROR(VALUE(LEFT($A395,6)))),"",IF(LEN($A395)=2,SUMIF($A396:$A$2965,$A395&amp;"??",$D396:$D$2965),IF(AND(LEN($A395)=4,VALUE(RIGHT($A395,2))&lt;=60),SUMIF($A396:$A$2965,$A395&amp;"????",$D396:$D$2965),VLOOKUP(IF(LEN($A395)=4,$A395&amp;"01 1",$A395),GUS_tabl_21!$A$5:$F$4886,6,FALSE))))</f>
        <v>5285</v>
      </c>
      <c r="E395" s="29"/>
    </row>
    <row r="396" spans="1:5" ht="12" customHeight="1">
      <c r="A396" s="155" t="str">
        <f>"060106 2"</f>
        <v>060106 2</v>
      </c>
      <c r="B396" s="153" t="s">
        <v>57</v>
      </c>
      <c r="C396" s="156" t="str">
        <f>IF(OR($A396="",ISERROR(VALUE(LEFT($A396,6)))),"",IF(LEN($A396)=2,"WOJ. ",IF(LEN($A396)=4,IF(VALUE(RIGHT($A396,2))&gt;60,"","Powiat "),IF(VALUE(RIGHT($A396,1))=1,"m. ",IF(VALUE(RIGHT($A396,1))=2,"gm. w. ",IF(VALUE(RIGHT($A396,1))=8,"dz. ","gm. m.-w. ")))))&amp;IF(LEN($A396)=2,TRIM(UPPER(VLOOKUP($A396,GUS_tabl_1!$A$7:$B$22,2,FALSE))),IF(ISERROR(FIND("..",TRIM(VLOOKUP(IF(AND(LEN($A396)=4,VALUE(RIGHT($A396,2))&gt;60),$A396&amp;"01 1",$A396),IF(AND(LEN($A396)=4,VALUE(RIGHT($A396,2))&lt;60),GUS_tabl_2!$A$8:$B$464,GUS_tabl_21!$A$5:$B$4886),2,FALSE)))),TRIM(VLOOKUP(IF(AND(LEN($A396)=4,VALUE(RIGHT($A396,2))&gt;60),$A396&amp;"01 1",$A396),IF(AND(LEN($A396)=4,VALUE(RIGHT($A396,2))&lt;60),GUS_tabl_2!$A$8:$B$464,GUS_tabl_21!$A$5:$B$4886),2,FALSE)),LEFT(TRIM(VLOOKUP(IF(AND(LEN($A396)=4,VALUE(RIGHT($A396,2))&gt;60),$A396&amp;"01 1",$A396),IF(AND(LEN($A396)=4,VALUE(RIGHT($A396,2))&lt;60),GUS_tabl_2!$A$8:$B$464,GUS_tabl_21!$A$5:$B$4886),2,FALSE)),SUM(FIND("..",TRIM(VLOOKUP(IF(AND(LEN($A396)=4,VALUE(RIGHT($A396,2))&gt;60),$A396&amp;"01 1",$A396),IF(AND(LEN($A396)=4,VALUE(RIGHT($A396,2))&lt;60),GUS_tabl_2!$A$8:$B$464,GUS_tabl_21!$A$5:$B$4886),2,FALSE))),-1)))))</f>
        <v>gm. w. Kodeń</v>
      </c>
      <c r="D396" s="141">
        <f>IF(OR($A396="",ISERROR(VALUE(LEFT($A396,6)))),"",IF(LEN($A396)=2,SUMIF($A397:$A$2965,$A396&amp;"??",$D397:$D$2965),IF(AND(LEN($A396)=4,VALUE(RIGHT($A396,2))&lt;=60),SUMIF($A397:$A$2965,$A396&amp;"????",$D397:$D$2965),VLOOKUP(IF(LEN($A396)=4,$A396&amp;"01 1",$A396),GUS_tabl_21!$A$5:$F$4886,6,FALSE))))</f>
        <v>3524</v>
      </c>
      <c r="E396" s="29"/>
    </row>
    <row r="397" spans="1:5" ht="12" customHeight="1">
      <c r="A397" s="155" t="str">
        <f>"060107 2"</f>
        <v>060107 2</v>
      </c>
      <c r="B397" s="153" t="s">
        <v>57</v>
      </c>
      <c r="C397" s="156" t="str">
        <f>IF(OR($A397="",ISERROR(VALUE(LEFT($A397,6)))),"",IF(LEN($A397)=2,"WOJ. ",IF(LEN($A397)=4,IF(VALUE(RIGHT($A397,2))&gt;60,"","Powiat "),IF(VALUE(RIGHT($A397,1))=1,"m. ",IF(VALUE(RIGHT($A397,1))=2,"gm. w. ",IF(VALUE(RIGHT($A397,1))=8,"dz. ","gm. m.-w. ")))))&amp;IF(LEN($A397)=2,TRIM(UPPER(VLOOKUP($A397,GUS_tabl_1!$A$7:$B$22,2,FALSE))),IF(ISERROR(FIND("..",TRIM(VLOOKUP(IF(AND(LEN($A397)=4,VALUE(RIGHT($A397,2))&gt;60),$A397&amp;"01 1",$A397),IF(AND(LEN($A397)=4,VALUE(RIGHT($A397,2))&lt;60),GUS_tabl_2!$A$8:$B$464,GUS_tabl_21!$A$5:$B$4886),2,FALSE)))),TRIM(VLOOKUP(IF(AND(LEN($A397)=4,VALUE(RIGHT($A397,2))&gt;60),$A397&amp;"01 1",$A397),IF(AND(LEN($A397)=4,VALUE(RIGHT($A397,2))&lt;60),GUS_tabl_2!$A$8:$B$464,GUS_tabl_21!$A$5:$B$4886),2,FALSE)),LEFT(TRIM(VLOOKUP(IF(AND(LEN($A397)=4,VALUE(RIGHT($A397,2))&gt;60),$A397&amp;"01 1",$A397),IF(AND(LEN($A397)=4,VALUE(RIGHT($A397,2))&lt;60),GUS_tabl_2!$A$8:$B$464,GUS_tabl_21!$A$5:$B$4886),2,FALSE)),SUM(FIND("..",TRIM(VLOOKUP(IF(AND(LEN($A397)=4,VALUE(RIGHT($A397,2))&gt;60),$A397&amp;"01 1",$A397),IF(AND(LEN($A397)=4,VALUE(RIGHT($A397,2))&lt;60),GUS_tabl_2!$A$8:$B$464,GUS_tabl_21!$A$5:$B$4886),2,FALSE))),-1)))))</f>
        <v>gm. w. Konstantynów</v>
      </c>
      <c r="D397" s="141">
        <f>IF(OR($A397="",ISERROR(VALUE(LEFT($A397,6)))),"",IF(LEN($A397)=2,SUMIF($A398:$A$2965,$A397&amp;"??",$D398:$D$2965),IF(AND(LEN($A397)=4,VALUE(RIGHT($A397,2))&lt;=60),SUMIF($A398:$A$2965,$A397&amp;"????",$D398:$D$2965),VLOOKUP(IF(LEN($A397)=4,$A397&amp;"01 1",$A397),GUS_tabl_21!$A$5:$F$4886,6,FALSE))))</f>
        <v>4110</v>
      </c>
      <c r="E397" s="29"/>
    </row>
    <row r="398" spans="1:5" ht="12" customHeight="1">
      <c r="A398" s="155" t="str">
        <f>"060108 2"</f>
        <v>060108 2</v>
      </c>
      <c r="B398" s="153" t="s">
        <v>57</v>
      </c>
      <c r="C398" s="156" t="str">
        <f>IF(OR($A398="",ISERROR(VALUE(LEFT($A398,6)))),"",IF(LEN($A398)=2,"WOJ. ",IF(LEN($A398)=4,IF(VALUE(RIGHT($A398,2))&gt;60,"","Powiat "),IF(VALUE(RIGHT($A398,1))=1,"m. ",IF(VALUE(RIGHT($A398,1))=2,"gm. w. ",IF(VALUE(RIGHT($A398,1))=8,"dz. ","gm. m.-w. ")))))&amp;IF(LEN($A398)=2,TRIM(UPPER(VLOOKUP($A398,GUS_tabl_1!$A$7:$B$22,2,FALSE))),IF(ISERROR(FIND("..",TRIM(VLOOKUP(IF(AND(LEN($A398)=4,VALUE(RIGHT($A398,2))&gt;60),$A398&amp;"01 1",$A398),IF(AND(LEN($A398)=4,VALUE(RIGHT($A398,2))&lt;60),GUS_tabl_2!$A$8:$B$464,GUS_tabl_21!$A$5:$B$4886),2,FALSE)))),TRIM(VLOOKUP(IF(AND(LEN($A398)=4,VALUE(RIGHT($A398,2))&gt;60),$A398&amp;"01 1",$A398),IF(AND(LEN($A398)=4,VALUE(RIGHT($A398,2))&lt;60),GUS_tabl_2!$A$8:$B$464,GUS_tabl_21!$A$5:$B$4886),2,FALSE)),LEFT(TRIM(VLOOKUP(IF(AND(LEN($A398)=4,VALUE(RIGHT($A398,2))&gt;60),$A398&amp;"01 1",$A398),IF(AND(LEN($A398)=4,VALUE(RIGHT($A398,2))&lt;60),GUS_tabl_2!$A$8:$B$464,GUS_tabl_21!$A$5:$B$4886),2,FALSE)),SUM(FIND("..",TRIM(VLOOKUP(IF(AND(LEN($A398)=4,VALUE(RIGHT($A398,2))&gt;60),$A398&amp;"01 1",$A398),IF(AND(LEN($A398)=4,VALUE(RIGHT($A398,2))&lt;60),GUS_tabl_2!$A$8:$B$464,GUS_tabl_21!$A$5:$B$4886),2,FALSE))),-1)))))</f>
        <v>gm. w. Leśna Podlaska</v>
      </c>
      <c r="D398" s="141">
        <f>IF(OR($A398="",ISERROR(VALUE(LEFT($A398,6)))),"",IF(LEN($A398)=2,SUMIF($A399:$A$2965,$A398&amp;"??",$D399:$D$2965),IF(AND(LEN($A398)=4,VALUE(RIGHT($A398,2))&lt;=60),SUMIF($A399:$A$2965,$A398&amp;"????",$D399:$D$2965),VLOOKUP(IF(LEN($A398)=4,$A398&amp;"01 1",$A398),GUS_tabl_21!$A$5:$F$4886,6,FALSE))))</f>
        <v>4287</v>
      </c>
      <c r="E398" s="29"/>
    </row>
    <row r="399" spans="1:5" ht="12" customHeight="1">
      <c r="A399" s="155" t="str">
        <f>"060109 2"</f>
        <v>060109 2</v>
      </c>
      <c r="B399" s="153" t="s">
        <v>57</v>
      </c>
      <c r="C399" s="156" t="str">
        <f>IF(OR($A399="",ISERROR(VALUE(LEFT($A399,6)))),"",IF(LEN($A399)=2,"WOJ. ",IF(LEN($A399)=4,IF(VALUE(RIGHT($A399,2))&gt;60,"","Powiat "),IF(VALUE(RIGHT($A399,1))=1,"m. ",IF(VALUE(RIGHT($A399,1))=2,"gm. w. ",IF(VALUE(RIGHT($A399,1))=8,"dz. ","gm. m.-w. ")))))&amp;IF(LEN($A399)=2,TRIM(UPPER(VLOOKUP($A399,GUS_tabl_1!$A$7:$B$22,2,FALSE))),IF(ISERROR(FIND("..",TRIM(VLOOKUP(IF(AND(LEN($A399)=4,VALUE(RIGHT($A399,2))&gt;60),$A399&amp;"01 1",$A399),IF(AND(LEN($A399)=4,VALUE(RIGHT($A399,2))&lt;60),GUS_tabl_2!$A$8:$B$464,GUS_tabl_21!$A$5:$B$4886),2,FALSE)))),TRIM(VLOOKUP(IF(AND(LEN($A399)=4,VALUE(RIGHT($A399,2))&gt;60),$A399&amp;"01 1",$A399),IF(AND(LEN($A399)=4,VALUE(RIGHT($A399,2))&lt;60),GUS_tabl_2!$A$8:$B$464,GUS_tabl_21!$A$5:$B$4886),2,FALSE)),LEFT(TRIM(VLOOKUP(IF(AND(LEN($A399)=4,VALUE(RIGHT($A399,2))&gt;60),$A399&amp;"01 1",$A399),IF(AND(LEN($A399)=4,VALUE(RIGHT($A399,2))&lt;60),GUS_tabl_2!$A$8:$B$464,GUS_tabl_21!$A$5:$B$4886),2,FALSE)),SUM(FIND("..",TRIM(VLOOKUP(IF(AND(LEN($A399)=4,VALUE(RIGHT($A399,2))&gt;60),$A399&amp;"01 1",$A399),IF(AND(LEN($A399)=4,VALUE(RIGHT($A399,2))&lt;60),GUS_tabl_2!$A$8:$B$464,GUS_tabl_21!$A$5:$B$4886),2,FALSE))),-1)))))</f>
        <v>gm. w. Łomazy</v>
      </c>
      <c r="D399" s="141">
        <f>IF(OR($A399="",ISERROR(VALUE(LEFT($A399,6)))),"",IF(LEN($A399)=2,SUMIF($A400:$A$2965,$A399&amp;"??",$D400:$D$2965),IF(AND(LEN($A399)=4,VALUE(RIGHT($A399,2))&lt;=60),SUMIF($A400:$A$2965,$A399&amp;"????",$D400:$D$2965),VLOOKUP(IF(LEN($A399)=4,$A399&amp;"01 1",$A399),GUS_tabl_21!$A$5:$F$4886,6,FALSE))))</f>
        <v>4906</v>
      </c>
      <c r="E399" s="29"/>
    </row>
    <row r="400" spans="1:5" ht="12" customHeight="1">
      <c r="A400" s="155" t="str">
        <f>"060110 2"</f>
        <v>060110 2</v>
      </c>
      <c r="B400" s="153" t="s">
        <v>57</v>
      </c>
      <c r="C400" s="156" t="str">
        <f>IF(OR($A400="",ISERROR(VALUE(LEFT($A400,6)))),"",IF(LEN($A400)=2,"WOJ. ",IF(LEN($A400)=4,IF(VALUE(RIGHT($A400,2))&gt;60,"","Powiat "),IF(VALUE(RIGHT($A400,1))=1,"m. ",IF(VALUE(RIGHT($A400,1))=2,"gm. w. ",IF(VALUE(RIGHT($A400,1))=8,"dz. ","gm. m.-w. ")))))&amp;IF(LEN($A400)=2,TRIM(UPPER(VLOOKUP($A400,GUS_tabl_1!$A$7:$B$22,2,FALSE))),IF(ISERROR(FIND("..",TRIM(VLOOKUP(IF(AND(LEN($A400)=4,VALUE(RIGHT($A400,2))&gt;60),$A400&amp;"01 1",$A400),IF(AND(LEN($A400)=4,VALUE(RIGHT($A400,2))&lt;60),GUS_tabl_2!$A$8:$B$464,GUS_tabl_21!$A$5:$B$4886),2,FALSE)))),TRIM(VLOOKUP(IF(AND(LEN($A400)=4,VALUE(RIGHT($A400,2))&gt;60),$A400&amp;"01 1",$A400),IF(AND(LEN($A400)=4,VALUE(RIGHT($A400,2))&lt;60),GUS_tabl_2!$A$8:$B$464,GUS_tabl_21!$A$5:$B$4886),2,FALSE)),LEFT(TRIM(VLOOKUP(IF(AND(LEN($A400)=4,VALUE(RIGHT($A400,2))&gt;60),$A400&amp;"01 1",$A400),IF(AND(LEN($A400)=4,VALUE(RIGHT($A400,2))&lt;60),GUS_tabl_2!$A$8:$B$464,GUS_tabl_21!$A$5:$B$4886),2,FALSE)),SUM(FIND("..",TRIM(VLOOKUP(IF(AND(LEN($A400)=4,VALUE(RIGHT($A400,2))&gt;60),$A400&amp;"01 1",$A400),IF(AND(LEN($A400)=4,VALUE(RIGHT($A400,2))&lt;60),GUS_tabl_2!$A$8:$B$464,GUS_tabl_21!$A$5:$B$4886),2,FALSE))),-1)))))</f>
        <v>gm. w. Międzyrzec Podlaski</v>
      </c>
      <c r="D400" s="141">
        <f>IF(OR($A400="",ISERROR(VALUE(LEFT($A400,6)))),"",IF(LEN($A400)=2,SUMIF($A401:$A$2965,$A400&amp;"??",$D401:$D$2965),IF(AND(LEN($A400)=4,VALUE(RIGHT($A400,2))&lt;=60),SUMIF($A401:$A$2965,$A400&amp;"????",$D401:$D$2965),VLOOKUP(IF(LEN($A400)=4,$A400&amp;"01 1",$A400),GUS_tabl_21!$A$5:$F$4886,6,FALSE))))</f>
        <v>10467</v>
      </c>
      <c r="E400" s="29"/>
    </row>
    <row r="401" spans="1:5" ht="12" customHeight="1">
      <c r="A401" s="155" t="str">
        <f>"060111 2"</f>
        <v>060111 2</v>
      </c>
      <c r="B401" s="153" t="s">
        <v>57</v>
      </c>
      <c r="C401" s="156" t="str">
        <f>IF(OR($A401="",ISERROR(VALUE(LEFT($A401,6)))),"",IF(LEN($A401)=2,"WOJ. ",IF(LEN($A401)=4,IF(VALUE(RIGHT($A401,2))&gt;60,"","Powiat "),IF(VALUE(RIGHT($A401,1))=1,"m. ",IF(VALUE(RIGHT($A401,1))=2,"gm. w. ",IF(VALUE(RIGHT($A401,1))=8,"dz. ","gm. m.-w. ")))))&amp;IF(LEN($A401)=2,TRIM(UPPER(VLOOKUP($A401,GUS_tabl_1!$A$7:$B$22,2,FALSE))),IF(ISERROR(FIND("..",TRIM(VLOOKUP(IF(AND(LEN($A401)=4,VALUE(RIGHT($A401,2))&gt;60),$A401&amp;"01 1",$A401),IF(AND(LEN($A401)=4,VALUE(RIGHT($A401,2))&lt;60),GUS_tabl_2!$A$8:$B$464,GUS_tabl_21!$A$5:$B$4886),2,FALSE)))),TRIM(VLOOKUP(IF(AND(LEN($A401)=4,VALUE(RIGHT($A401,2))&gt;60),$A401&amp;"01 1",$A401),IF(AND(LEN($A401)=4,VALUE(RIGHT($A401,2))&lt;60),GUS_tabl_2!$A$8:$B$464,GUS_tabl_21!$A$5:$B$4886),2,FALSE)),LEFT(TRIM(VLOOKUP(IF(AND(LEN($A401)=4,VALUE(RIGHT($A401,2))&gt;60),$A401&amp;"01 1",$A401),IF(AND(LEN($A401)=4,VALUE(RIGHT($A401,2))&lt;60),GUS_tabl_2!$A$8:$B$464,GUS_tabl_21!$A$5:$B$4886),2,FALSE)),SUM(FIND("..",TRIM(VLOOKUP(IF(AND(LEN($A401)=4,VALUE(RIGHT($A401,2))&gt;60),$A401&amp;"01 1",$A401),IF(AND(LEN($A401)=4,VALUE(RIGHT($A401,2))&lt;60),GUS_tabl_2!$A$8:$B$464,GUS_tabl_21!$A$5:$B$4886),2,FALSE))),-1)))))</f>
        <v>gm. w. Piszczac</v>
      </c>
      <c r="D401" s="141">
        <f>IF(OR($A401="",ISERROR(VALUE(LEFT($A401,6)))),"",IF(LEN($A401)=2,SUMIF($A402:$A$2965,$A401&amp;"??",$D402:$D$2965),IF(AND(LEN($A401)=4,VALUE(RIGHT($A401,2))&lt;=60),SUMIF($A402:$A$2965,$A401&amp;"????",$D402:$D$2965),VLOOKUP(IF(LEN($A401)=4,$A401&amp;"01 1",$A401),GUS_tabl_21!$A$5:$F$4886,6,FALSE))))</f>
        <v>7188</v>
      </c>
      <c r="E401" s="29"/>
    </row>
    <row r="402" spans="1:5" ht="12" customHeight="1">
      <c r="A402" s="155" t="str">
        <f>"060112 2"</f>
        <v>060112 2</v>
      </c>
      <c r="B402" s="153" t="s">
        <v>57</v>
      </c>
      <c r="C402" s="156" t="str">
        <f>IF(OR($A402="",ISERROR(VALUE(LEFT($A402,6)))),"",IF(LEN($A402)=2,"WOJ. ",IF(LEN($A402)=4,IF(VALUE(RIGHT($A402,2))&gt;60,"","Powiat "),IF(VALUE(RIGHT($A402,1))=1,"m. ",IF(VALUE(RIGHT($A402,1))=2,"gm. w. ",IF(VALUE(RIGHT($A402,1))=8,"dz. ","gm. m.-w. ")))))&amp;IF(LEN($A402)=2,TRIM(UPPER(VLOOKUP($A402,GUS_tabl_1!$A$7:$B$22,2,FALSE))),IF(ISERROR(FIND("..",TRIM(VLOOKUP(IF(AND(LEN($A402)=4,VALUE(RIGHT($A402,2))&gt;60),$A402&amp;"01 1",$A402),IF(AND(LEN($A402)=4,VALUE(RIGHT($A402,2))&lt;60),GUS_tabl_2!$A$8:$B$464,GUS_tabl_21!$A$5:$B$4886),2,FALSE)))),TRIM(VLOOKUP(IF(AND(LEN($A402)=4,VALUE(RIGHT($A402,2))&gt;60),$A402&amp;"01 1",$A402),IF(AND(LEN($A402)=4,VALUE(RIGHT($A402,2))&lt;60),GUS_tabl_2!$A$8:$B$464,GUS_tabl_21!$A$5:$B$4886),2,FALSE)),LEFT(TRIM(VLOOKUP(IF(AND(LEN($A402)=4,VALUE(RIGHT($A402,2))&gt;60),$A402&amp;"01 1",$A402),IF(AND(LEN($A402)=4,VALUE(RIGHT($A402,2))&lt;60),GUS_tabl_2!$A$8:$B$464,GUS_tabl_21!$A$5:$B$4886),2,FALSE)),SUM(FIND("..",TRIM(VLOOKUP(IF(AND(LEN($A402)=4,VALUE(RIGHT($A402,2))&gt;60),$A402&amp;"01 1",$A402),IF(AND(LEN($A402)=4,VALUE(RIGHT($A402,2))&lt;60),GUS_tabl_2!$A$8:$B$464,GUS_tabl_21!$A$5:$B$4886),2,FALSE))),-1)))))</f>
        <v>gm. w. Rokitno</v>
      </c>
      <c r="D402" s="141">
        <f>IF(OR($A402="",ISERROR(VALUE(LEFT($A402,6)))),"",IF(LEN($A402)=2,SUMIF($A403:$A$2965,$A402&amp;"??",$D403:$D$2965),IF(AND(LEN($A402)=4,VALUE(RIGHT($A402,2))&lt;=60),SUMIF($A403:$A$2965,$A402&amp;"????",$D403:$D$2965),VLOOKUP(IF(LEN($A402)=4,$A402&amp;"01 1",$A402),GUS_tabl_21!$A$5:$F$4886,6,FALSE))))</f>
        <v>2972</v>
      </c>
      <c r="E402" s="29"/>
    </row>
    <row r="403" spans="1:5" ht="12" customHeight="1">
      <c r="A403" s="155" t="str">
        <f>"060113 2"</f>
        <v>060113 2</v>
      </c>
      <c r="B403" s="153" t="s">
        <v>57</v>
      </c>
      <c r="C403" s="156" t="str">
        <f>IF(OR($A403="",ISERROR(VALUE(LEFT($A403,6)))),"",IF(LEN($A403)=2,"WOJ. ",IF(LEN($A403)=4,IF(VALUE(RIGHT($A403,2))&gt;60,"","Powiat "),IF(VALUE(RIGHT($A403,1))=1,"m. ",IF(VALUE(RIGHT($A403,1))=2,"gm. w. ",IF(VALUE(RIGHT($A403,1))=8,"dz. ","gm. m.-w. ")))))&amp;IF(LEN($A403)=2,TRIM(UPPER(VLOOKUP($A403,GUS_tabl_1!$A$7:$B$22,2,FALSE))),IF(ISERROR(FIND("..",TRIM(VLOOKUP(IF(AND(LEN($A403)=4,VALUE(RIGHT($A403,2))&gt;60),$A403&amp;"01 1",$A403),IF(AND(LEN($A403)=4,VALUE(RIGHT($A403,2))&lt;60),GUS_tabl_2!$A$8:$B$464,GUS_tabl_21!$A$5:$B$4886),2,FALSE)))),TRIM(VLOOKUP(IF(AND(LEN($A403)=4,VALUE(RIGHT($A403,2))&gt;60),$A403&amp;"01 1",$A403),IF(AND(LEN($A403)=4,VALUE(RIGHT($A403,2))&lt;60),GUS_tabl_2!$A$8:$B$464,GUS_tabl_21!$A$5:$B$4886),2,FALSE)),LEFT(TRIM(VLOOKUP(IF(AND(LEN($A403)=4,VALUE(RIGHT($A403,2))&gt;60),$A403&amp;"01 1",$A403),IF(AND(LEN($A403)=4,VALUE(RIGHT($A403,2))&lt;60),GUS_tabl_2!$A$8:$B$464,GUS_tabl_21!$A$5:$B$4886),2,FALSE)),SUM(FIND("..",TRIM(VLOOKUP(IF(AND(LEN($A403)=4,VALUE(RIGHT($A403,2))&gt;60),$A403&amp;"01 1",$A403),IF(AND(LEN($A403)=4,VALUE(RIGHT($A403,2))&lt;60),GUS_tabl_2!$A$8:$B$464,GUS_tabl_21!$A$5:$B$4886),2,FALSE))),-1)))))</f>
        <v>gm. w. Rossosz</v>
      </c>
      <c r="D403" s="141">
        <f>IF(OR($A403="",ISERROR(VALUE(LEFT($A403,6)))),"",IF(LEN($A403)=2,SUMIF($A404:$A$2965,$A403&amp;"??",$D404:$D$2965),IF(AND(LEN($A403)=4,VALUE(RIGHT($A403,2))&lt;=60),SUMIF($A404:$A$2965,$A403&amp;"????",$D404:$D$2965),VLOOKUP(IF(LEN($A403)=4,$A403&amp;"01 1",$A403),GUS_tabl_21!$A$5:$F$4886,6,FALSE))))</f>
        <v>2193</v>
      </c>
      <c r="E403" s="29"/>
    </row>
    <row r="404" spans="1:5" ht="12" customHeight="1">
      <c r="A404" s="155" t="str">
        <f>"060114 2"</f>
        <v>060114 2</v>
      </c>
      <c r="B404" s="153" t="s">
        <v>57</v>
      </c>
      <c r="C404" s="156" t="str">
        <f>IF(OR($A404="",ISERROR(VALUE(LEFT($A404,6)))),"",IF(LEN($A404)=2,"WOJ. ",IF(LEN($A404)=4,IF(VALUE(RIGHT($A404,2))&gt;60,"","Powiat "),IF(VALUE(RIGHT($A404,1))=1,"m. ",IF(VALUE(RIGHT($A404,1))=2,"gm. w. ",IF(VALUE(RIGHT($A404,1))=8,"dz. ","gm. m.-w. ")))))&amp;IF(LEN($A404)=2,TRIM(UPPER(VLOOKUP($A404,GUS_tabl_1!$A$7:$B$22,2,FALSE))),IF(ISERROR(FIND("..",TRIM(VLOOKUP(IF(AND(LEN($A404)=4,VALUE(RIGHT($A404,2))&gt;60),$A404&amp;"01 1",$A404),IF(AND(LEN($A404)=4,VALUE(RIGHT($A404,2))&lt;60),GUS_tabl_2!$A$8:$B$464,GUS_tabl_21!$A$5:$B$4886),2,FALSE)))),TRIM(VLOOKUP(IF(AND(LEN($A404)=4,VALUE(RIGHT($A404,2))&gt;60),$A404&amp;"01 1",$A404),IF(AND(LEN($A404)=4,VALUE(RIGHT($A404,2))&lt;60),GUS_tabl_2!$A$8:$B$464,GUS_tabl_21!$A$5:$B$4886),2,FALSE)),LEFT(TRIM(VLOOKUP(IF(AND(LEN($A404)=4,VALUE(RIGHT($A404,2))&gt;60),$A404&amp;"01 1",$A404),IF(AND(LEN($A404)=4,VALUE(RIGHT($A404,2))&lt;60),GUS_tabl_2!$A$8:$B$464,GUS_tabl_21!$A$5:$B$4886),2,FALSE)),SUM(FIND("..",TRIM(VLOOKUP(IF(AND(LEN($A404)=4,VALUE(RIGHT($A404,2))&gt;60),$A404&amp;"01 1",$A404),IF(AND(LEN($A404)=4,VALUE(RIGHT($A404,2))&lt;60),GUS_tabl_2!$A$8:$B$464,GUS_tabl_21!$A$5:$B$4886),2,FALSE))),-1)))))</f>
        <v>gm. w. Sławatycze (c)</v>
      </c>
      <c r="D404" s="141">
        <f>IF(OR($A404="",ISERROR(VALUE(LEFT($A404,6)))),"",IF(LEN($A404)=2,SUMIF($A405:$A$2965,$A404&amp;"??",$D405:$D$2965),IF(AND(LEN($A404)=4,VALUE(RIGHT($A404,2))&lt;=60),SUMIF($A405:$A$2965,$A404&amp;"????",$D405:$D$2965),VLOOKUP(IF(LEN($A404)=4,$A404&amp;"01 1",$A404),GUS_tabl_21!$A$5:$F$4886,6,FALSE))))</f>
        <v>2293</v>
      </c>
      <c r="E404" s="29"/>
    </row>
    <row r="405" spans="1:5" ht="12" customHeight="1">
      <c r="A405" s="155" t="str">
        <f>"060115 2"</f>
        <v>060115 2</v>
      </c>
      <c r="B405" s="153" t="s">
        <v>57</v>
      </c>
      <c r="C405" s="156" t="str">
        <f>IF(OR($A405="",ISERROR(VALUE(LEFT($A405,6)))),"",IF(LEN($A405)=2,"WOJ. ",IF(LEN($A405)=4,IF(VALUE(RIGHT($A405,2))&gt;60,"","Powiat "),IF(VALUE(RIGHT($A405,1))=1,"m. ",IF(VALUE(RIGHT($A405,1))=2,"gm. w. ",IF(VALUE(RIGHT($A405,1))=8,"dz. ","gm. m.-w. ")))))&amp;IF(LEN($A405)=2,TRIM(UPPER(VLOOKUP($A405,GUS_tabl_1!$A$7:$B$22,2,FALSE))),IF(ISERROR(FIND("..",TRIM(VLOOKUP(IF(AND(LEN($A405)=4,VALUE(RIGHT($A405,2))&gt;60),$A405&amp;"01 1",$A405),IF(AND(LEN($A405)=4,VALUE(RIGHT($A405,2))&lt;60),GUS_tabl_2!$A$8:$B$464,GUS_tabl_21!$A$5:$B$4886),2,FALSE)))),TRIM(VLOOKUP(IF(AND(LEN($A405)=4,VALUE(RIGHT($A405,2))&gt;60),$A405&amp;"01 1",$A405),IF(AND(LEN($A405)=4,VALUE(RIGHT($A405,2))&lt;60),GUS_tabl_2!$A$8:$B$464,GUS_tabl_21!$A$5:$B$4886),2,FALSE)),LEFT(TRIM(VLOOKUP(IF(AND(LEN($A405)=4,VALUE(RIGHT($A405,2))&gt;60),$A405&amp;"01 1",$A405),IF(AND(LEN($A405)=4,VALUE(RIGHT($A405,2))&lt;60),GUS_tabl_2!$A$8:$B$464,GUS_tabl_21!$A$5:$B$4886),2,FALSE)),SUM(FIND("..",TRIM(VLOOKUP(IF(AND(LEN($A405)=4,VALUE(RIGHT($A405,2))&gt;60),$A405&amp;"01 1",$A405),IF(AND(LEN($A405)=4,VALUE(RIGHT($A405,2))&lt;60),GUS_tabl_2!$A$8:$B$464,GUS_tabl_21!$A$5:$B$4886),2,FALSE))),-1)))))</f>
        <v>gm. w. Sosnówka</v>
      </c>
      <c r="D405" s="141">
        <f>IF(OR($A405="",ISERROR(VALUE(LEFT($A405,6)))),"",IF(LEN($A405)=2,SUMIF($A406:$A$2965,$A405&amp;"??",$D406:$D$2965),IF(AND(LEN($A405)=4,VALUE(RIGHT($A405,2))&lt;=60),SUMIF($A406:$A$2965,$A405&amp;"????",$D406:$D$2965),VLOOKUP(IF(LEN($A405)=4,$A405&amp;"01 1",$A405),GUS_tabl_21!$A$5:$F$4886,6,FALSE))))</f>
        <v>2409</v>
      </c>
      <c r="E405" s="29"/>
    </row>
    <row r="406" spans="1:5" ht="12" customHeight="1">
      <c r="A406" s="155" t="str">
        <f>"060116 2"</f>
        <v>060116 2</v>
      </c>
      <c r="B406" s="153" t="s">
        <v>57</v>
      </c>
      <c r="C406" s="156" t="str">
        <f>IF(OR($A406="",ISERROR(VALUE(LEFT($A406,6)))),"",IF(LEN($A406)=2,"WOJ. ",IF(LEN($A406)=4,IF(VALUE(RIGHT($A406,2))&gt;60,"","Powiat "),IF(VALUE(RIGHT($A406,1))=1,"m. ",IF(VALUE(RIGHT($A406,1))=2,"gm. w. ",IF(VALUE(RIGHT($A406,1))=8,"dz. ","gm. m.-w. ")))))&amp;IF(LEN($A406)=2,TRIM(UPPER(VLOOKUP($A406,GUS_tabl_1!$A$7:$B$22,2,FALSE))),IF(ISERROR(FIND("..",TRIM(VLOOKUP(IF(AND(LEN($A406)=4,VALUE(RIGHT($A406,2))&gt;60),$A406&amp;"01 1",$A406),IF(AND(LEN($A406)=4,VALUE(RIGHT($A406,2))&lt;60),GUS_tabl_2!$A$8:$B$464,GUS_tabl_21!$A$5:$B$4886),2,FALSE)))),TRIM(VLOOKUP(IF(AND(LEN($A406)=4,VALUE(RIGHT($A406,2))&gt;60),$A406&amp;"01 1",$A406),IF(AND(LEN($A406)=4,VALUE(RIGHT($A406,2))&lt;60),GUS_tabl_2!$A$8:$B$464,GUS_tabl_21!$A$5:$B$4886),2,FALSE)),LEFT(TRIM(VLOOKUP(IF(AND(LEN($A406)=4,VALUE(RIGHT($A406,2))&gt;60),$A406&amp;"01 1",$A406),IF(AND(LEN($A406)=4,VALUE(RIGHT($A406,2))&lt;60),GUS_tabl_2!$A$8:$B$464,GUS_tabl_21!$A$5:$B$4886),2,FALSE)),SUM(FIND("..",TRIM(VLOOKUP(IF(AND(LEN($A406)=4,VALUE(RIGHT($A406,2))&gt;60),$A406&amp;"01 1",$A406),IF(AND(LEN($A406)=4,VALUE(RIGHT($A406,2))&lt;60),GUS_tabl_2!$A$8:$B$464,GUS_tabl_21!$A$5:$B$4886),2,FALSE))),-1)))))</f>
        <v>gm. w. Terespol (c)</v>
      </c>
      <c r="D406" s="141">
        <f>IF(OR($A406="",ISERROR(VALUE(LEFT($A406,6)))),"",IF(LEN($A406)=2,SUMIF($A407:$A$2965,$A406&amp;"??",$D407:$D$2965),IF(AND(LEN($A406)=4,VALUE(RIGHT($A406,2))&lt;=60),SUMIF($A407:$A$2965,$A406&amp;"????",$D407:$D$2965),VLOOKUP(IF(LEN($A406)=4,$A406&amp;"01 1",$A406),GUS_tabl_21!$A$5:$F$4886,6,FALSE))))</f>
        <v>6700</v>
      </c>
      <c r="E406" s="29"/>
    </row>
    <row r="407" spans="1:5" ht="12" customHeight="1">
      <c r="A407" s="155" t="str">
        <f>"060117 2"</f>
        <v>060117 2</v>
      </c>
      <c r="B407" s="153" t="s">
        <v>57</v>
      </c>
      <c r="C407" s="156" t="str">
        <f>IF(OR($A407="",ISERROR(VALUE(LEFT($A407,6)))),"",IF(LEN($A407)=2,"WOJ. ",IF(LEN($A407)=4,IF(VALUE(RIGHT($A407,2))&gt;60,"","Powiat "),IF(VALUE(RIGHT($A407,1))=1,"m. ",IF(VALUE(RIGHT($A407,1))=2,"gm. w. ",IF(VALUE(RIGHT($A407,1))=8,"dz. ","gm. m.-w. ")))))&amp;IF(LEN($A407)=2,TRIM(UPPER(VLOOKUP($A407,GUS_tabl_1!$A$7:$B$22,2,FALSE))),IF(ISERROR(FIND("..",TRIM(VLOOKUP(IF(AND(LEN($A407)=4,VALUE(RIGHT($A407,2))&gt;60),$A407&amp;"01 1",$A407),IF(AND(LEN($A407)=4,VALUE(RIGHT($A407,2))&lt;60),GUS_tabl_2!$A$8:$B$464,GUS_tabl_21!$A$5:$B$4886),2,FALSE)))),TRIM(VLOOKUP(IF(AND(LEN($A407)=4,VALUE(RIGHT($A407,2))&gt;60),$A407&amp;"01 1",$A407),IF(AND(LEN($A407)=4,VALUE(RIGHT($A407,2))&lt;60),GUS_tabl_2!$A$8:$B$464,GUS_tabl_21!$A$5:$B$4886),2,FALSE)),LEFT(TRIM(VLOOKUP(IF(AND(LEN($A407)=4,VALUE(RIGHT($A407,2))&gt;60),$A407&amp;"01 1",$A407),IF(AND(LEN($A407)=4,VALUE(RIGHT($A407,2))&lt;60),GUS_tabl_2!$A$8:$B$464,GUS_tabl_21!$A$5:$B$4886),2,FALSE)),SUM(FIND("..",TRIM(VLOOKUP(IF(AND(LEN($A407)=4,VALUE(RIGHT($A407,2))&gt;60),$A407&amp;"01 1",$A407),IF(AND(LEN($A407)=4,VALUE(RIGHT($A407,2))&lt;60),GUS_tabl_2!$A$8:$B$464,GUS_tabl_21!$A$5:$B$4886),2,FALSE))),-1)))))</f>
        <v>gm. w. Tuczna</v>
      </c>
      <c r="D407" s="141">
        <f>IF(OR($A407="",ISERROR(VALUE(LEFT($A407,6)))),"",IF(LEN($A407)=2,SUMIF($A408:$A$2965,$A407&amp;"??",$D408:$D$2965),IF(AND(LEN($A407)=4,VALUE(RIGHT($A407,2))&lt;=60),SUMIF($A408:$A$2965,$A407&amp;"????",$D408:$D$2965),VLOOKUP(IF(LEN($A407)=4,$A407&amp;"01 1",$A407),GUS_tabl_21!$A$5:$F$4886,6,FALSE))))</f>
        <v>3004</v>
      </c>
      <c r="E407" s="29"/>
    </row>
    <row r="408" spans="1:5" ht="12" customHeight="1">
      <c r="A408" s="155" t="str">
        <f>"060118 2"</f>
        <v>060118 2</v>
      </c>
      <c r="B408" s="153" t="s">
        <v>57</v>
      </c>
      <c r="C408" s="156" t="str">
        <f>IF(OR($A408="",ISERROR(VALUE(LEFT($A408,6)))),"",IF(LEN($A408)=2,"WOJ. ",IF(LEN($A408)=4,IF(VALUE(RIGHT($A408,2))&gt;60,"","Powiat "),IF(VALUE(RIGHT($A408,1))=1,"m. ",IF(VALUE(RIGHT($A408,1))=2,"gm. w. ",IF(VALUE(RIGHT($A408,1))=8,"dz. ","gm. m.-w. ")))))&amp;IF(LEN($A408)=2,TRIM(UPPER(VLOOKUP($A408,GUS_tabl_1!$A$7:$B$22,2,FALSE))),IF(ISERROR(FIND("..",TRIM(VLOOKUP(IF(AND(LEN($A408)=4,VALUE(RIGHT($A408,2))&gt;60),$A408&amp;"01 1",$A408),IF(AND(LEN($A408)=4,VALUE(RIGHT($A408,2))&lt;60),GUS_tabl_2!$A$8:$B$464,GUS_tabl_21!$A$5:$B$4886),2,FALSE)))),TRIM(VLOOKUP(IF(AND(LEN($A408)=4,VALUE(RIGHT($A408,2))&gt;60),$A408&amp;"01 1",$A408),IF(AND(LEN($A408)=4,VALUE(RIGHT($A408,2))&lt;60),GUS_tabl_2!$A$8:$B$464,GUS_tabl_21!$A$5:$B$4886),2,FALSE)),LEFT(TRIM(VLOOKUP(IF(AND(LEN($A408)=4,VALUE(RIGHT($A408,2))&gt;60),$A408&amp;"01 1",$A408),IF(AND(LEN($A408)=4,VALUE(RIGHT($A408,2))&lt;60),GUS_tabl_2!$A$8:$B$464,GUS_tabl_21!$A$5:$B$4886),2,FALSE)),SUM(FIND("..",TRIM(VLOOKUP(IF(AND(LEN($A408)=4,VALUE(RIGHT($A408,2))&gt;60),$A408&amp;"01 1",$A408),IF(AND(LEN($A408)=4,VALUE(RIGHT($A408,2))&lt;60),GUS_tabl_2!$A$8:$B$464,GUS_tabl_21!$A$5:$B$4886),2,FALSE))),-1)))))</f>
        <v>gm. w. Wisznice</v>
      </c>
      <c r="D408" s="141">
        <f>IF(OR($A408="",ISERROR(VALUE(LEFT($A408,6)))),"",IF(LEN($A408)=2,SUMIF($A409:$A$2965,$A408&amp;"??",$D409:$D$2965),IF(AND(LEN($A408)=4,VALUE(RIGHT($A408,2))&lt;=60),SUMIF($A409:$A$2965,$A408&amp;"????",$D409:$D$2965),VLOOKUP(IF(LEN($A408)=4,$A408&amp;"01 1",$A408),GUS_tabl_21!$A$5:$F$4886,6,FALSE))))</f>
        <v>4926</v>
      </c>
      <c r="E408" s="29"/>
    </row>
    <row r="409" spans="1:5" ht="12" customHeight="1">
      <c r="A409" s="155" t="str">
        <f>"060119 2"</f>
        <v>060119 2</v>
      </c>
      <c r="B409" s="153" t="s">
        <v>57</v>
      </c>
      <c r="C409" s="156" t="str">
        <f>IF(OR($A409="",ISERROR(VALUE(LEFT($A409,6)))),"",IF(LEN($A409)=2,"WOJ. ",IF(LEN($A409)=4,IF(VALUE(RIGHT($A409,2))&gt;60,"","Powiat "),IF(VALUE(RIGHT($A409,1))=1,"m. ",IF(VALUE(RIGHT($A409,1))=2,"gm. w. ",IF(VALUE(RIGHT($A409,1))=8,"dz. ","gm. m.-w. ")))))&amp;IF(LEN($A409)=2,TRIM(UPPER(VLOOKUP($A409,GUS_tabl_1!$A$7:$B$22,2,FALSE))),IF(ISERROR(FIND("..",TRIM(VLOOKUP(IF(AND(LEN($A409)=4,VALUE(RIGHT($A409,2))&gt;60),$A409&amp;"01 1",$A409),IF(AND(LEN($A409)=4,VALUE(RIGHT($A409,2))&lt;60),GUS_tabl_2!$A$8:$B$464,GUS_tabl_21!$A$5:$B$4886),2,FALSE)))),TRIM(VLOOKUP(IF(AND(LEN($A409)=4,VALUE(RIGHT($A409,2))&gt;60),$A409&amp;"01 1",$A409),IF(AND(LEN($A409)=4,VALUE(RIGHT($A409,2))&lt;60),GUS_tabl_2!$A$8:$B$464,GUS_tabl_21!$A$5:$B$4886),2,FALSE)),LEFT(TRIM(VLOOKUP(IF(AND(LEN($A409)=4,VALUE(RIGHT($A409,2))&gt;60),$A409&amp;"01 1",$A409),IF(AND(LEN($A409)=4,VALUE(RIGHT($A409,2))&lt;60),GUS_tabl_2!$A$8:$B$464,GUS_tabl_21!$A$5:$B$4886),2,FALSE)),SUM(FIND("..",TRIM(VLOOKUP(IF(AND(LEN($A409)=4,VALUE(RIGHT($A409,2))&gt;60),$A409&amp;"01 1",$A409),IF(AND(LEN($A409)=4,VALUE(RIGHT($A409,2))&lt;60),GUS_tabl_2!$A$8:$B$464,GUS_tabl_21!$A$5:$B$4886),2,FALSE))),-1)))))</f>
        <v>gm. w. Zalesie</v>
      </c>
      <c r="D409" s="141">
        <f>IF(OR($A409="",ISERROR(VALUE(LEFT($A409,6)))),"",IF(LEN($A409)=2,SUMIF($A410:$A$2965,$A409&amp;"??",$D410:$D$2965),IF(AND(LEN($A409)=4,VALUE(RIGHT($A409,2))&lt;=60),SUMIF($A410:$A$2965,$A409&amp;"????",$D410:$D$2965),VLOOKUP(IF(LEN($A409)=4,$A409&amp;"01 1",$A409),GUS_tabl_21!$A$5:$F$4886,6,FALSE))))</f>
        <v>4405</v>
      </c>
      <c r="E409" s="29"/>
    </row>
    <row r="410" spans="1:5" ht="12" customHeight="1">
      <c r="A410" s="152" t="str">
        <f>"0602"</f>
        <v>0602</v>
      </c>
      <c r="B410" s="153" t="s">
        <v>57</v>
      </c>
      <c r="C410" s="154" t="str">
        <f>IF(OR($A410="",ISERROR(VALUE(LEFT($A410,6)))),"",IF(LEN($A410)=2,"WOJ. ",IF(LEN($A410)=4,IF(VALUE(RIGHT($A410,2))&gt;60,"","Powiat "),IF(VALUE(RIGHT($A410,1))=1,"m. ",IF(VALUE(RIGHT($A410,1))=2,"gm. w. ",IF(VALUE(RIGHT($A410,1))=8,"dz. ","gm. m.-w. ")))))&amp;IF(LEN($A410)=2,TRIM(UPPER(VLOOKUP($A410,GUS_tabl_1!$A$7:$B$22,2,FALSE))),IF(ISERROR(FIND("..",TRIM(VLOOKUP(IF(AND(LEN($A410)=4,VALUE(RIGHT($A410,2))&gt;60),$A410&amp;"01 1",$A410),IF(AND(LEN($A410)=4,VALUE(RIGHT($A410,2))&lt;60),GUS_tabl_2!$A$8:$B$464,GUS_tabl_21!$A$5:$B$4886),2,FALSE)))),TRIM(VLOOKUP(IF(AND(LEN($A410)=4,VALUE(RIGHT($A410,2))&gt;60),$A410&amp;"01 1",$A410),IF(AND(LEN($A410)=4,VALUE(RIGHT($A410,2))&lt;60),GUS_tabl_2!$A$8:$B$464,GUS_tabl_21!$A$5:$B$4886),2,FALSE)),LEFT(TRIM(VLOOKUP(IF(AND(LEN($A410)=4,VALUE(RIGHT($A410,2))&gt;60),$A410&amp;"01 1",$A410),IF(AND(LEN($A410)=4,VALUE(RIGHT($A410,2))&lt;60),GUS_tabl_2!$A$8:$B$464,GUS_tabl_21!$A$5:$B$4886),2,FALSE)),SUM(FIND("..",TRIM(VLOOKUP(IF(AND(LEN($A410)=4,VALUE(RIGHT($A410,2))&gt;60),$A410&amp;"01 1",$A410),IF(AND(LEN($A410)=4,VALUE(RIGHT($A410,2))&lt;60),GUS_tabl_2!$A$8:$B$464,GUS_tabl_21!$A$5:$B$4886),2,FALSE))),-1)))))</f>
        <v>Powiat biłgorajski</v>
      </c>
      <c r="D410" s="140">
        <f>IF(OR($A410="",ISERROR(VALUE(LEFT($A410,6)))),"",IF(LEN($A410)=2,SUMIF($A411:$A$2965,$A410&amp;"??",$D411:$D$2965),IF(AND(LEN($A410)=4,VALUE(RIGHT($A410,2))&lt;=60),SUMIF($A411:$A$2965,$A410&amp;"????",$D411:$D$2965),VLOOKUP(IF(LEN($A410)=4,$A410&amp;"01 1",$A410),GUS_tabl_21!$A$5:$F$4886,6,FALSE))))</f>
        <v>100919</v>
      </c>
      <c r="E410" s="29"/>
    </row>
    <row r="411" spans="1:5" ht="12" customHeight="1">
      <c r="A411" s="155" t="str">
        <f>"060201 1"</f>
        <v>060201 1</v>
      </c>
      <c r="B411" s="153" t="s">
        <v>57</v>
      </c>
      <c r="C411" s="156" t="str">
        <f>IF(OR($A411="",ISERROR(VALUE(LEFT($A411,6)))),"",IF(LEN($A411)=2,"WOJ. ",IF(LEN($A411)=4,IF(VALUE(RIGHT($A411,2))&gt;60,"","Powiat "),IF(VALUE(RIGHT($A411,1))=1,"m. ",IF(VALUE(RIGHT($A411,1))=2,"gm. w. ",IF(VALUE(RIGHT($A411,1))=8,"dz. ","gm. m.-w. ")))))&amp;IF(LEN($A411)=2,TRIM(UPPER(VLOOKUP($A411,GUS_tabl_1!$A$7:$B$22,2,FALSE))),IF(ISERROR(FIND("..",TRIM(VLOOKUP(IF(AND(LEN($A411)=4,VALUE(RIGHT($A411,2))&gt;60),$A411&amp;"01 1",$A411),IF(AND(LEN($A411)=4,VALUE(RIGHT($A411,2))&lt;60),GUS_tabl_2!$A$8:$B$464,GUS_tabl_21!$A$5:$B$4886),2,FALSE)))),TRIM(VLOOKUP(IF(AND(LEN($A411)=4,VALUE(RIGHT($A411,2))&gt;60),$A411&amp;"01 1",$A411),IF(AND(LEN($A411)=4,VALUE(RIGHT($A411,2))&lt;60),GUS_tabl_2!$A$8:$B$464,GUS_tabl_21!$A$5:$B$4886),2,FALSE)),LEFT(TRIM(VLOOKUP(IF(AND(LEN($A411)=4,VALUE(RIGHT($A411,2))&gt;60),$A411&amp;"01 1",$A411),IF(AND(LEN($A411)=4,VALUE(RIGHT($A411,2))&lt;60),GUS_tabl_2!$A$8:$B$464,GUS_tabl_21!$A$5:$B$4886),2,FALSE)),SUM(FIND("..",TRIM(VLOOKUP(IF(AND(LEN($A411)=4,VALUE(RIGHT($A411,2))&gt;60),$A411&amp;"01 1",$A411),IF(AND(LEN($A411)=4,VALUE(RIGHT($A411,2))&lt;60),GUS_tabl_2!$A$8:$B$464,GUS_tabl_21!$A$5:$B$4886),2,FALSE))),-1)))))</f>
        <v>m. Biłgoraj</v>
      </c>
      <c r="D411" s="141">
        <f>IF(OR($A411="",ISERROR(VALUE(LEFT($A411,6)))),"",IF(LEN($A411)=2,SUMIF($A412:$A$2965,$A411&amp;"??",$D412:$D$2965),IF(AND(LEN($A411)=4,VALUE(RIGHT($A411,2))&lt;=60),SUMIF($A412:$A$2965,$A411&amp;"????",$D412:$D$2965),VLOOKUP(IF(LEN($A411)=4,$A411&amp;"01 1",$A411),GUS_tabl_21!$A$5:$F$4886,6,FALSE))))</f>
        <v>26329</v>
      </c>
      <c r="E411" s="29"/>
    </row>
    <row r="412" spans="1:5" ht="12" customHeight="1">
      <c r="A412" s="155" t="str">
        <f>"060202 2"</f>
        <v>060202 2</v>
      </c>
      <c r="B412" s="153" t="s">
        <v>57</v>
      </c>
      <c r="C412" s="156" t="str">
        <f>IF(OR($A412="",ISERROR(VALUE(LEFT($A412,6)))),"",IF(LEN($A412)=2,"WOJ. ",IF(LEN($A412)=4,IF(VALUE(RIGHT($A412,2))&gt;60,"","Powiat "),IF(VALUE(RIGHT($A412,1))=1,"m. ",IF(VALUE(RIGHT($A412,1))=2,"gm. w. ",IF(VALUE(RIGHT($A412,1))=8,"dz. ","gm. m.-w. ")))))&amp;IF(LEN($A412)=2,TRIM(UPPER(VLOOKUP($A412,GUS_tabl_1!$A$7:$B$22,2,FALSE))),IF(ISERROR(FIND("..",TRIM(VLOOKUP(IF(AND(LEN($A412)=4,VALUE(RIGHT($A412,2))&gt;60),$A412&amp;"01 1",$A412),IF(AND(LEN($A412)=4,VALUE(RIGHT($A412,2))&lt;60),GUS_tabl_2!$A$8:$B$464,GUS_tabl_21!$A$5:$B$4886),2,FALSE)))),TRIM(VLOOKUP(IF(AND(LEN($A412)=4,VALUE(RIGHT($A412,2))&gt;60),$A412&amp;"01 1",$A412),IF(AND(LEN($A412)=4,VALUE(RIGHT($A412,2))&lt;60),GUS_tabl_2!$A$8:$B$464,GUS_tabl_21!$A$5:$B$4886),2,FALSE)),LEFT(TRIM(VLOOKUP(IF(AND(LEN($A412)=4,VALUE(RIGHT($A412,2))&gt;60),$A412&amp;"01 1",$A412),IF(AND(LEN($A412)=4,VALUE(RIGHT($A412,2))&lt;60),GUS_tabl_2!$A$8:$B$464,GUS_tabl_21!$A$5:$B$4886),2,FALSE)),SUM(FIND("..",TRIM(VLOOKUP(IF(AND(LEN($A412)=4,VALUE(RIGHT($A412,2))&gt;60),$A412&amp;"01 1",$A412),IF(AND(LEN($A412)=4,VALUE(RIGHT($A412,2))&lt;60),GUS_tabl_2!$A$8:$B$464,GUS_tabl_21!$A$5:$B$4886),2,FALSE))),-1)))))</f>
        <v>gm. w. Aleksandrów</v>
      </c>
      <c r="D412" s="141">
        <f>IF(OR($A412="",ISERROR(VALUE(LEFT($A412,6)))),"",IF(LEN($A412)=2,SUMIF($A413:$A$2965,$A412&amp;"??",$D413:$D$2965),IF(AND(LEN($A412)=4,VALUE(RIGHT($A412,2))&lt;=60),SUMIF($A413:$A$2965,$A412&amp;"????",$D413:$D$2965),VLOOKUP(IF(LEN($A412)=4,$A412&amp;"01 1",$A412),GUS_tabl_21!$A$5:$F$4886,6,FALSE))))</f>
        <v>3281</v>
      </c>
      <c r="E412" s="29"/>
    </row>
    <row r="413" spans="1:5" ht="12" customHeight="1">
      <c r="A413" s="155" t="str">
        <f>"060203 2"</f>
        <v>060203 2</v>
      </c>
      <c r="B413" s="153" t="s">
        <v>57</v>
      </c>
      <c r="C413" s="156" t="str">
        <f>IF(OR($A413="",ISERROR(VALUE(LEFT($A413,6)))),"",IF(LEN($A413)=2,"WOJ. ",IF(LEN($A413)=4,IF(VALUE(RIGHT($A413,2))&gt;60,"","Powiat "),IF(VALUE(RIGHT($A413,1))=1,"m. ",IF(VALUE(RIGHT($A413,1))=2,"gm. w. ",IF(VALUE(RIGHT($A413,1))=8,"dz. ","gm. m.-w. ")))))&amp;IF(LEN($A413)=2,TRIM(UPPER(VLOOKUP($A413,GUS_tabl_1!$A$7:$B$22,2,FALSE))),IF(ISERROR(FIND("..",TRIM(VLOOKUP(IF(AND(LEN($A413)=4,VALUE(RIGHT($A413,2))&gt;60),$A413&amp;"01 1",$A413),IF(AND(LEN($A413)=4,VALUE(RIGHT($A413,2))&lt;60),GUS_tabl_2!$A$8:$B$464,GUS_tabl_21!$A$5:$B$4886),2,FALSE)))),TRIM(VLOOKUP(IF(AND(LEN($A413)=4,VALUE(RIGHT($A413,2))&gt;60),$A413&amp;"01 1",$A413),IF(AND(LEN($A413)=4,VALUE(RIGHT($A413,2))&lt;60),GUS_tabl_2!$A$8:$B$464,GUS_tabl_21!$A$5:$B$4886),2,FALSE)),LEFT(TRIM(VLOOKUP(IF(AND(LEN($A413)=4,VALUE(RIGHT($A413,2))&gt;60),$A413&amp;"01 1",$A413),IF(AND(LEN($A413)=4,VALUE(RIGHT($A413,2))&lt;60),GUS_tabl_2!$A$8:$B$464,GUS_tabl_21!$A$5:$B$4886),2,FALSE)),SUM(FIND("..",TRIM(VLOOKUP(IF(AND(LEN($A413)=4,VALUE(RIGHT($A413,2))&gt;60),$A413&amp;"01 1",$A413),IF(AND(LEN($A413)=4,VALUE(RIGHT($A413,2))&lt;60),GUS_tabl_2!$A$8:$B$464,GUS_tabl_21!$A$5:$B$4886),2,FALSE))),-1)))))</f>
        <v>gm. w. Biłgoraj</v>
      </c>
      <c r="D413" s="141">
        <f>IF(OR($A413="",ISERROR(VALUE(LEFT($A413,6)))),"",IF(LEN($A413)=2,SUMIF($A414:$A$2965,$A413&amp;"??",$D414:$D$2965),IF(AND(LEN($A413)=4,VALUE(RIGHT($A413,2))&lt;=60),SUMIF($A414:$A$2965,$A413&amp;"????",$D414:$D$2965),VLOOKUP(IF(LEN($A413)=4,$A413&amp;"01 1",$A413),GUS_tabl_21!$A$5:$F$4886,6,FALSE))))</f>
        <v>13355</v>
      </c>
      <c r="E413" s="29"/>
    </row>
    <row r="414" spans="1:5" ht="12" customHeight="1">
      <c r="A414" s="155" t="str">
        <f>"060204 2"</f>
        <v>060204 2</v>
      </c>
      <c r="B414" s="153" t="s">
        <v>57</v>
      </c>
      <c r="C414" s="156" t="str">
        <f>IF(OR($A414="",ISERROR(VALUE(LEFT($A414,6)))),"",IF(LEN($A414)=2,"WOJ. ",IF(LEN($A414)=4,IF(VALUE(RIGHT($A414,2))&gt;60,"","Powiat "),IF(VALUE(RIGHT($A414,1))=1,"m. ",IF(VALUE(RIGHT($A414,1))=2,"gm. w. ",IF(VALUE(RIGHT($A414,1))=8,"dz. ","gm. m.-w. ")))))&amp;IF(LEN($A414)=2,TRIM(UPPER(VLOOKUP($A414,GUS_tabl_1!$A$7:$B$22,2,FALSE))),IF(ISERROR(FIND("..",TRIM(VLOOKUP(IF(AND(LEN($A414)=4,VALUE(RIGHT($A414,2))&gt;60),$A414&amp;"01 1",$A414),IF(AND(LEN($A414)=4,VALUE(RIGHT($A414,2))&lt;60),GUS_tabl_2!$A$8:$B$464,GUS_tabl_21!$A$5:$B$4886),2,FALSE)))),TRIM(VLOOKUP(IF(AND(LEN($A414)=4,VALUE(RIGHT($A414,2))&gt;60),$A414&amp;"01 1",$A414),IF(AND(LEN($A414)=4,VALUE(RIGHT($A414,2))&lt;60),GUS_tabl_2!$A$8:$B$464,GUS_tabl_21!$A$5:$B$4886),2,FALSE)),LEFT(TRIM(VLOOKUP(IF(AND(LEN($A414)=4,VALUE(RIGHT($A414,2))&gt;60),$A414&amp;"01 1",$A414),IF(AND(LEN($A414)=4,VALUE(RIGHT($A414,2))&lt;60),GUS_tabl_2!$A$8:$B$464,GUS_tabl_21!$A$5:$B$4886),2,FALSE)),SUM(FIND("..",TRIM(VLOOKUP(IF(AND(LEN($A414)=4,VALUE(RIGHT($A414,2))&gt;60),$A414&amp;"01 1",$A414),IF(AND(LEN($A414)=4,VALUE(RIGHT($A414,2))&lt;60),GUS_tabl_2!$A$8:$B$464,GUS_tabl_21!$A$5:$B$4886),2,FALSE))),-1)))))</f>
        <v>gm. w. Biszcza</v>
      </c>
      <c r="D414" s="141">
        <f>IF(OR($A414="",ISERROR(VALUE(LEFT($A414,6)))),"",IF(LEN($A414)=2,SUMIF($A415:$A$2965,$A414&amp;"??",$D415:$D$2965),IF(AND(LEN($A414)=4,VALUE(RIGHT($A414,2))&lt;=60),SUMIF($A415:$A$2965,$A414&amp;"????",$D415:$D$2965),VLOOKUP(IF(LEN($A414)=4,$A414&amp;"01 1",$A414),GUS_tabl_21!$A$5:$F$4886,6,FALSE))))</f>
        <v>3764</v>
      </c>
      <c r="E414" s="29"/>
    </row>
    <row r="415" spans="1:5" ht="12" customHeight="1">
      <c r="A415" s="155" t="str">
        <f>"060205 3"</f>
        <v>060205 3</v>
      </c>
      <c r="B415" s="153" t="s">
        <v>57</v>
      </c>
      <c r="C415" s="156" t="str">
        <f>IF(OR($A415="",ISERROR(VALUE(LEFT($A415,6)))),"",IF(LEN($A415)=2,"WOJ. ",IF(LEN($A415)=4,IF(VALUE(RIGHT($A415,2))&gt;60,"","Powiat "),IF(VALUE(RIGHT($A415,1))=1,"m. ",IF(VALUE(RIGHT($A415,1))=2,"gm. w. ",IF(VALUE(RIGHT($A415,1))=8,"dz. ","gm. m.-w. ")))))&amp;IF(LEN($A415)=2,TRIM(UPPER(VLOOKUP($A415,GUS_tabl_1!$A$7:$B$22,2,FALSE))),IF(ISERROR(FIND("..",TRIM(VLOOKUP(IF(AND(LEN($A415)=4,VALUE(RIGHT($A415,2))&gt;60),$A415&amp;"01 1",$A415),IF(AND(LEN($A415)=4,VALUE(RIGHT($A415,2))&lt;60),GUS_tabl_2!$A$8:$B$464,GUS_tabl_21!$A$5:$B$4886),2,FALSE)))),TRIM(VLOOKUP(IF(AND(LEN($A415)=4,VALUE(RIGHT($A415,2))&gt;60),$A415&amp;"01 1",$A415),IF(AND(LEN($A415)=4,VALUE(RIGHT($A415,2))&lt;60),GUS_tabl_2!$A$8:$B$464,GUS_tabl_21!$A$5:$B$4886),2,FALSE)),LEFT(TRIM(VLOOKUP(IF(AND(LEN($A415)=4,VALUE(RIGHT($A415,2))&gt;60),$A415&amp;"01 1",$A415),IF(AND(LEN($A415)=4,VALUE(RIGHT($A415,2))&lt;60),GUS_tabl_2!$A$8:$B$464,GUS_tabl_21!$A$5:$B$4886),2,FALSE)),SUM(FIND("..",TRIM(VLOOKUP(IF(AND(LEN($A415)=4,VALUE(RIGHT($A415,2))&gt;60),$A415&amp;"01 1",$A415),IF(AND(LEN($A415)=4,VALUE(RIGHT($A415,2))&lt;60),GUS_tabl_2!$A$8:$B$464,GUS_tabl_21!$A$5:$B$4886),2,FALSE))),-1)))))</f>
        <v>gm. m.-w. Frampol</v>
      </c>
      <c r="D415" s="141">
        <f>IF(OR($A415="",ISERROR(VALUE(LEFT($A415,6)))),"",IF(LEN($A415)=2,SUMIF($A416:$A$2965,$A415&amp;"??",$D416:$D$2965),IF(AND(LEN($A415)=4,VALUE(RIGHT($A415,2))&lt;=60),SUMIF($A416:$A$2965,$A415&amp;"????",$D416:$D$2965),VLOOKUP(IF(LEN($A415)=4,$A415&amp;"01 1",$A415),GUS_tabl_21!$A$5:$F$4886,6,FALSE))))</f>
        <v>6095</v>
      </c>
      <c r="E415" s="29"/>
    </row>
    <row r="416" spans="1:5" ht="12" customHeight="1">
      <c r="A416" s="155" t="str">
        <f>"060206 2"</f>
        <v>060206 2</v>
      </c>
      <c r="B416" s="153" t="s">
        <v>57</v>
      </c>
      <c r="C416" s="156" t="str">
        <f>IF(OR($A416="",ISERROR(VALUE(LEFT($A416,6)))),"",IF(LEN($A416)=2,"WOJ. ",IF(LEN($A416)=4,IF(VALUE(RIGHT($A416,2))&gt;60,"","Powiat "),IF(VALUE(RIGHT($A416,1))=1,"m. ",IF(VALUE(RIGHT($A416,1))=2,"gm. w. ",IF(VALUE(RIGHT($A416,1))=8,"dz. ","gm. m.-w. ")))))&amp;IF(LEN($A416)=2,TRIM(UPPER(VLOOKUP($A416,GUS_tabl_1!$A$7:$B$22,2,FALSE))),IF(ISERROR(FIND("..",TRIM(VLOOKUP(IF(AND(LEN($A416)=4,VALUE(RIGHT($A416,2))&gt;60),$A416&amp;"01 1",$A416),IF(AND(LEN($A416)=4,VALUE(RIGHT($A416,2))&lt;60),GUS_tabl_2!$A$8:$B$464,GUS_tabl_21!$A$5:$B$4886),2,FALSE)))),TRIM(VLOOKUP(IF(AND(LEN($A416)=4,VALUE(RIGHT($A416,2))&gt;60),$A416&amp;"01 1",$A416),IF(AND(LEN($A416)=4,VALUE(RIGHT($A416,2))&lt;60),GUS_tabl_2!$A$8:$B$464,GUS_tabl_21!$A$5:$B$4886),2,FALSE)),LEFT(TRIM(VLOOKUP(IF(AND(LEN($A416)=4,VALUE(RIGHT($A416,2))&gt;60),$A416&amp;"01 1",$A416),IF(AND(LEN($A416)=4,VALUE(RIGHT($A416,2))&lt;60),GUS_tabl_2!$A$8:$B$464,GUS_tabl_21!$A$5:$B$4886),2,FALSE)),SUM(FIND("..",TRIM(VLOOKUP(IF(AND(LEN($A416)=4,VALUE(RIGHT($A416,2))&gt;60),$A416&amp;"01 1",$A416),IF(AND(LEN($A416)=4,VALUE(RIGHT($A416,2))&lt;60),GUS_tabl_2!$A$8:$B$464,GUS_tabl_21!$A$5:$B$4886),2,FALSE))),-1)))))</f>
        <v>gm. w. Goraj</v>
      </c>
      <c r="D416" s="141">
        <f>IF(OR($A416="",ISERROR(VALUE(LEFT($A416,6)))),"",IF(LEN($A416)=2,SUMIF($A417:$A$2965,$A416&amp;"??",$D417:$D$2965),IF(AND(LEN($A416)=4,VALUE(RIGHT($A416,2))&lt;=60),SUMIF($A417:$A$2965,$A416&amp;"????",$D417:$D$2965),VLOOKUP(IF(LEN($A416)=4,$A416&amp;"01 1",$A416),GUS_tabl_21!$A$5:$F$4886,6,FALSE))))</f>
        <v>4097</v>
      </c>
      <c r="E416" s="29"/>
    </row>
    <row r="417" spans="1:5" ht="12" customHeight="1">
      <c r="A417" s="155" t="str">
        <f>"060207 3"</f>
        <v>060207 3</v>
      </c>
      <c r="B417" s="153" t="s">
        <v>57</v>
      </c>
      <c r="C417" s="156" t="str">
        <f>IF(OR($A417="",ISERROR(VALUE(LEFT($A417,6)))),"",IF(LEN($A417)=2,"WOJ. ",IF(LEN($A417)=4,IF(VALUE(RIGHT($A417,2))&gt;60,"","Powiat "),IF(VALUE(RIGHT($A417,1))=1,"m. ",IF(VALUE(RIGHT($A417,1))=2,"gm. w. ",IF(VALUE(RIGHT($A417,1))=8,"dz. ","gm. m.-w. ")))))&amp;IF(LEN($A417)=2,TRIM(UPPER(VLOOKUP($A417,GUS_tabl_1!$A$7:$B$22,2,FALSE))),IF(ISERROR(FIND("..",TRIM(VLOOKUP(IF(AND(LEN($A417)=4,VALUE(RIGHT($A417,2))&gt;60),$A417&amp;"01 1",$A417),IF(AND(LEN($A417)=4,VALUE(RIGHT($A417,2))&lt;60),GUS_tabl_2!$A$8:$B$464,GUS_tabl_21!$A$5:$B$4886),2,FALSE)))),TRIM(VLOOKUP(IF(AND(LEN($A417)=4,VALUE(RIGHT($A417,2))&gt;60),$A417&amp;"01 1",$A417),IF(AND(LEN($A417)=4,VALUE(RIGHT($A417,2))&lt;60),GUS_tabl_2!$A$8:$B$464,GUS_tabl_21!$A$5:$B$4886),2,FALSE)),LEFT(TRIM(VLOOKUP(IF(AND(LEN($A417)=4,VALUE(RIGHT($A417,2))&gt;60),$A417&amp;"01 1",$A417),IF(AND(LEN($A417)=4,VALUE(RIGHT($A417,2))&lt;60),GUS_tabl_2!$A$8:$B$464,GUS_tabl_21!$A$5:$B$4886),2,FALSE)),SUM(FIND("..",TRIM(VLOOKUP(IF(AND(LEN($A417)=4,VALUE(RIGHT($A417,2))&gt;60),$A417&amp;"01 1",$A417),IF(AND(LEN($A417)=4,VALUE(RIGHT($A417,2))&lt;60),GUS_tabl_2!$A$8:$B$464,GUS_tabl_21!$A$5:$B$4886),2,FALSE))),-1)))))</f>
        <v>gm. m.-w. Józefów</v>
      </c>
      <c r="D417" s="141">
        <f>IF(OR($A417="",ISERROR(VALUE(LEFT($A417,6)))),"",IF(LEN($A417)=2,SUMIF($A418:$A$2965,$A417&amp;"??",$D418:$D$2965),IF(AND(LEN($A417)=4,VALUE(RIGHT($A417,2))&lt;=60),SUMIF($A418:$A$2965,$A417&amp;"????",$D418:$D$2965),VLOOKUP(IF(LEN($A417)=4,$A417&amp;"01 1",$A417),GUS_tabl_21!$A$5:$F$4886,6,FALSE))))</f>
        <v>6733</v>
      </c>
      <c r="E417" s="29"/>
    </row>
    <row r="418" spans="1:5" ht="12" customHeight="1">
      <c r="A418" s="155" t="str">
        <f>"060208 2"</f>
        <v>060208 2</v>
      </c>
      <c r="B418" s="153" t="s">
        <v>57</v>
      </c>
      <c r="C418" s="156" t="str">
        <f>IF(OR($A418="",ISERROR(VALUE(LEFT($A418,6)))),"",IF(LEN($A418)=2,"WOJ. ",IF(LEN($A418)=4,IF(VALUE(RIGHT($A418,2))&gt;60,"","Powiat "),IF(VALUE(RIGHT($A418,1))=1,"m. ",IF(VALUE(RIGHT($A418,1))=2,"gm. w. ",IF(VALUE(RIGHT($A418,1))=8,"dz. ","gm. m.-w. ")))))&amp;IF(LEN($A418)=2,TRIM(UPPER(VLOOKUP($A418,GUS_tabl_1!$A$7:$B$22,2,FALSE))),IF(ISERROR(FIND("..",TRIM(VLOOKUP(IF(AND(LEN($A418)=4,VALUE(RIGHT($A418,2))&gt;60),$A418&amp;"01 1",$A418),IF(AND(LEN($A418)=4,VALUE(RIGHT($A418,2))&lt;60),GUS_tabl_2!$A$8:$B$464,GUS_tabl_21!$A$5:$B$4886),2,FALSE)))),TRIM(VLOOKUP(IF(AND(LEN($A418)=4,VALUE(RIGHT($A418,2))&gt;60),$A418&amp;"01 1",$A418),IF(AND(LEN($A418)=4,VALUE(RIGHT($A418,2))&lt;60),GUS_tabl_2!$A$8:$B$464,GUS_tabl_21!$A$5:$B$4886),2,FALSE)),LEFT(TRIM(VLOOKUP(IF(AND(LEN($A418)=4,VALUE(RIGHT($A418,2))&gt;60),$A418&amp;"01 1",$A418),IF(AND(LEN($A418)=4,VALUE(RIGHT($A418,2))&lt;60),GUS_tabl_2!$A$8:$B$464,GUS_tabl_21!$A$5:$B$4886),2,FALSE)),SUM(FIND("..",TRIM(VLOOKUP(IF(AND(LEN($A418)=4,VALUE(RIGHT($A418,2))&gt;60),$A418&amp;"01 1",$A418),IF(AND(LEN($A418)=4,VALUE(RIGHT($A418,2))&lt;60),GUS_tabl_2!$A$8:$B$464,GUS_tabl_21!$A$5:$B$4886),2,FALSE))),-1)))))</f>
        <v>gm. w. Księżpol</v>
      </c>
      <c r="D418" s="141">
        <f>IF(OR($A418="",ISERROR(VALUE(LEFT($A418,6)))),"",IF(LEN($A418)=2,SUMIF($A419:$A$2965,$A418&amp;"??",$D419:$D$2965),IF(AND(LEN($A418)=4,VALUE(RIGHT($A418,2))&lt;=60),SUMIF($A419:$A$2965,$A418&amp;"????",$D419:$D$2965),VLOOKUP(IF(LEN($A418)=4,$A418&amp;"01 1",$A418),GUS_tabl_21!$A$5:$F$4886,6,FALSE))))</f>
        <v>6888</v>
      </c>
      <c r="E418" s="29"/>
    </row>
    <row r="419" spans="1:5" ht="12" customHeight="1">
      <c r="A419" s="155" t="str">
        <f>"060209 2"</f>
        <v>060209 2</v>
      </c>
      <c r="B419" s="153" t="s">
        <v>57</v>
      </c>
      <c r="C419" s="156" t="str">
        <f>IF(OR($A419="",ISERROR(VALUE(LEFT($A419,6)))),"",IF(LEN($A419)=2,"WOJ. ",IF(LEN($A419)=4,IF(VALUE(RIGHT($A419,2))&gt;60,"","Powiat "),IF(VALUE(RIGHT($A419,1))=1,"m. ",IF(VALUE(RIGHT($A419,1))=2,"gm. w. ",IF(VALUE(RIGHT($A419,1))=8,"dz. ","gm. m.-w. ")))))&amp;IF(LEN($A419)=2,TRIM(UPPER(VLOOKUP($A419,GUS_tabl_1!$A$7:$B$22,2,FALSE))),IF(ISERROR(FIND("..",TRIM(VLOOKUP(IF(AND(LEN($A419)=4,VALUE(RIGHT($A419,2))&gt;60),$A419&amp;"01 1",$A419),IF(AND(LEN($A419)=4,VALUE(RIGHT($A419,2))&lt;60),GUS_tabl_2!$A$8:$B$464,GUS_tabl_21!$A$5:$B$4886),2,FALSE)))),TRIM(VLOOKUP(IF(AND(LEN($A419)=4,VALUE(RIGHT($A419,2))&gt;60),$A419&amp;"01 1",$A419),IF(AND(LEN($A419)=4,VALUE(RIGHT($A419,2))&lt;60),GUS_tabl_2!$A$8:$B$464,GUS_tabl_21!$A$5:$B$4886),2,FALSE)),LEFT(TRIM(VLOOKUP(IF(AND(LEN($A419)=4,VALUE(RIGHT($A419,2))&gt;60),$A419&amp;"01 1",$A419),IF(AND(LEN($A419)=4,VALUE(RIGHT($A419,2))&lt;60),GUS_tabl_2!$A$8:$B$464,GUS_tabl_21!$A$5:$B$4886),2,FALSE)),SUM(FIND("..",TRIM(VLOOKUP(IF(AND(LEN($A419)=4,VALUE(RIGHT($A419,2))&gt;60),$A419&amp;"01 1",$A419),IF(AND(LEN($A419)=4,VALUE(RIGHT($A419,2))&lt;60),GUS_tabl_2!$A$8:$B$464,GUS_tabl_21!$A$5:$B$4886),2,FALSE))),-1)))))</f>
        <v>gm. w. Łukowa</v>
      </c>
      <c r="D419" s="141">
        <f>IF(OR($A419="",ISERROR(VALUE(LEFT($A419,6)))),"",IF(LEN($A419)=2,SUMIF($A420:$A$2965,$A419&amp;"??",$D420:$D$2965),IF(AND(LEN($A419)=4,VALUE(RIGHT($A419,2))&lt;=60),SUMIF($A420:$A$2965,$A419&amp;"????",$D420:$D$2965),VLOOKUP(IF(LEN($A419)=4,$A419&amp;"01 1",$A419),GUS_tabl_21!$A$5:$F$4886,6,FALSE))))</f>
        <v>4231</v>
      </c>
      <c r="E419" s="29"/>
    </row>
    <row r="420" spans="1:5" ht="12" customHeight="1">
      <c r="A420" s="155" t="str">
        <f>"060210 2"</f>
        <v>060210 2</v>
      </c>
      <c r="B420" s="153" t="s">
        <v>57</v>
      </c>
      <c r="C420" s="156" t="str">
        <f>IF(OR($A420="",ISERROR(VALUE(LEFT($A420,6)))),"",IF(LEN($A420)=2,"WOJ. ",IF(LEN($A420)=4,IF(VALUE(RIGHT($A420,2))&gt;60,"","Powiat "),IF(VALUE(RIGHT($A420,1))=1,"m. ",IF(VALUE(RIGHT($A420,1))=2,"gm. w. ",IF(VALUE(RIGHT($A420,1))=8,"dz. ","gm. m.-w. ")))))&amp;IF(LEN($A420)=2,TRIM(UPPER(VLOOKUP($A420,GUS_tabl_1!$A$7:$B$22,2,FALSE))),IF(ISERROR(FIND("..",TRIM(VLOOKUP(IF(AND(LEN($A420)=4,VALUE(RIGHT($A420,2))&gt;60),$A420&amp;"01 1",$A420),IF(AND(LEN($A420)=4,VALUE(RIGHT($A420,2))&lt;60),GUS_tabl_2!$A$8:$B$464,GUS_tabl_21!$A$5:$B$4886),2,FALSE)))),TRIM(VLOOKUP(IF(AND(LEN($A420)=4,VALUE(RIGHT($A420,2))&gt;60),$A420&amp;"01 1",$A420),IF(AND(LEN($A420)=4,VALUE(RIGHT($A420,2))&lt;60),GUS_tabl_2!$A$8:$B$464,GUS_tabl_21!$A$5:$B$4886),2,FALSE)),LEFT(TRIM(VLOOKUP(IF(AND(LEN($A420)=4,VALUE(RIGHT($A420,2))&gt;60),$A420&amp;"01 1",$A420),IF(AND(LEN($A420)=4,VALUE(RIGHT($A420,2))&lt;60),GUS_tabl_2!$A$8:$B$464,GUS_tabl_21!$A$5:$B$4886),2,FALSE)),SUM(FIND("..",TRIM(VLOOKUP(IF(AND(LEN($A420)=4,VALUE(RIGHT($A420,2))&gt;60),$A420&amp;"01 1",$A420),IF(AND(LEN($A420)=4,VALUE(RIGHT($A420,2))&lt;60),GUS_tabl_2!$A$8:$B$464,GUS_tabl_21!$A$5:$B$4886),2,FALSE))),-1)))))</f>
        <v>gm. w. Obsza</v>
      </c>
      <c r="D420" s="141">
        <f>IF(OR($A420="",ISERROR(VALUE(LEFT($A420,6)))),"",IF(LEN($A420)=2,SUMIF($A421:$A$2965,$A420&amp;"??",$D421:$D$2965),IF(AND(LEN($A420)=4,VALUE(RIGHT($A420,2))&lt;=60),SUMIF($A421:$A$2965,$A420&amp;"????",$D421:$D$2965),VLOOKUP(IF(LEN($A420)=4,$A420&amp;"01 1",$A420),GUS_tabl_21!$A$5:$F$4886,6,FALSE))))</f>
        <v>4233</v>
      </c>
      <c r="E420" s="29"/>
    </row>
    <row r="421" spans="1:5" ht="12" customHeight="1">
      <c r="A421" s="155" t="str">
        <f>"060211 2"</f>
        <v>060211 2</v>
      </c>
      <c r="B421" s="153" t="s">
        <v>57</v>
      </c>
      <c r="C421" s="156" t="str">
        <f>IF(OR($A421="",ISERROR(VALUE(LEFT($A421,6)))),"",IF(LEN($A421)=2,"WOJ. ",IF(LEN($A421)=4,IF(VALUE(RIGHT($A421,2))&gt;60,"","Powiat "),IF(VALUE(RIGHT($A421,1))=1,"m. ",IF(VALUE(RIGHT($A421,1))=2,"gm. w. ",IF(VALUE(RIGHT($A421,1))=8,"dz. ","gm. m.-w. ")))))&amp;IF(LEN($A421)=2,TRIM(UPPER(VLOOKUP($A421,GUS_tabl_1!$A$7:$B$22,2,FALSE))),IF(ISERROR(FIND("..",TRIM(VLOOKUP(IF(AND(LEN($A421)=4,VALUE(RIGHT($A421,2))&gt;60),$A421&amp;"01 1",$A421),IF(AND(LEN($A421)=4,VALUE(RIGHT($A421,2))&lt;60),GUS_tabl_2!$A$8:$B$464,GUS_tabl_21!$A$5:$B$4886),2,FALSE)))),TRIM(VLOOKUP(IF(AND(LEN($A421)=4,VALUE(RIGHT($A421,2))&gt;60),$A421&amp;"01 1",$A421),IF(AND(LEN($A421)=4,VALUE(RIGHT($A421,2))&lt;60),GUS_tabl_2!$A$8:$B$464,GUS_tabl_21!$A$5:$B$4886),2,FALSE)),LEFT(TRIM(VLOOKUP(IF(AND(LEN($A421)=4,VALUE(RIGHT($A421,2))&gt;60),$A421&amp;"01 1",$A421),IF(AND(LEN($A421)=4,VALUE(RIGHT($A421,2))&lt;60),GUS_tabl_2!$A$8:$B$464,GUS_tabl_21!$A$5:$B$4886),2,FALSE)),SUM(FIND("..",TRIM(VLOOKUP(IF(AND(LEN($A421)=4,VALUE(RIGHT($A421,2))&gt;60),$A421&amp;"01 1",$A421),IF(AND(LEN($A421)=4,VALUE(RIGHT($A421,2))&lt;60),GUS_tabl_2!$A$8:$B$464,GUS_tabl_21!$A$5:$B$4886),2,FALSE))),-1)))))</f>
        <v>gm. w. Potok Górny</v>
      </c>
      <c r="D421" s="141">
        <f>IF(OR($A421="",ISERROR(VALUE(LEFT($A421,6)))),"",IF(LEN($A421)=2,SUMIF($A422:$A$2965,$A421&amp;"??",$D422:$D$2965),IF(AND(LEN($A421)=4,VALUE(RIGHT($A421,2))&lt;=60),SUMIF($A422:$A$2965,$A421&amp;"????",$D422:$D$2965),VLOOKUP(IF(LEN($A421)=4,$A421&amp;"01 1",$A421),GUS_tabl_21!$A$5:$F$4886,6,FALSE))))</f>
        <v>5351</v>
      </c>
      <c r="E421" s="29"/>
    </row>
    <row r="422" spans="1:5" ht="12" customHeight="1">
      <c r="A422" s="155" t="str">
        <f>"060212 3"</f>
        <v>060212 3</v>
      </c>
      <c r="B422" s="153" t="s">
        <v>57</v>
      </c>
      <c r="C422" s="156" t="str">
        <f>IF(OR($A422="",ISERROR(VALUE(LEFT($A422,6)))),"",IF(LEN($A422)=2,"WOJ. ",IF(LEN($A422)=4,IF(VALUE(RIGHT($A422,2))&gt;60,"","Powiat "),IF(VALUE(RIGHT($A422,1))=1,"m. ",IF(VALUE(RIGHT($A422,1))=2,"gm. w. ",IF(VALUE(RIGHT($A422,1))=8,"dz. ","gm. m.-w. ")))))&amp;IF(LEN($A422)=2,TRIM(UPPER(VLOOKUP($A422,GUS_tabl_1!$A$7:$B$22,2,FALSE))),IF(ISERROR(FIND("..",TRIM(VLOOKUP(IF(AND(LEN($A422)=4,VALUE(RIGHT($A422,2))&gt;60),$A422&amp;"01 1",$A422),IF(AND(LEN($A422)=4,VALUE(RIGHT($A422,2))&lt;60),GUS_tabl_2!$A$8:$B$464,GUS_tabl_21!$A$5:$B$4886),2,FALSE)))),TRIM(VLOOKUP(IF(AND(LEN($A422)=4,VALUE(RIGHT($A422,2))&gt;60),$A422&amp;"01 1",$A422),IF(AND(LEN($A422)=4,VALUE(RIGHT($A422,2))&lt;60),GUS_tabl_2!$A$8:$B$464,GUS_tabl_21!$A$5:$B$4886),2,FALSE)),LEFT(TRIM(VLOOKUP(IF(AND(LEN($A422)=4,VALUE(RIGHT($A422,2))&gt;60),$A422&amp;"01 1",$A422),IF(AND(LEN($A422)=4,VALUE(RIGHT($A422,2))&lt;60),GUS_tabl_2!$A$8:$B$464,GUS_tabl_21!$A$5:$B$4886),2,FALSE)),SUM(FIND("..",TRIM(VLOOKUP(IF(AND(LEN($A422)=4,VALUE(RIGHT($A422,2))&gt;60),$A422&amp;"01 1",$A422),IF(AND(LEN($A422)=4,VALUE(RIGHT($A422,2))&lt;60),GUS_tabl_2!$A$8:$B$464,GUS_tabl_21!$A$5:$B$4886),2,FALSE))),-1)))))</f>
        <v>gm. m.-w. Tarnogród</v>
      </c>
      <c r="D422" s="141">
        <f>IF(OR($A422="",ISERROR(VALUE(LEFT($A422,6)))),"",IF(LEN($A422)=2,SUMIF($A423:$A$2965,$A422&amp;"??",$D423:$D$2965),IF(AND(LEN($A422)=4,VALUE(RIGHT($A422,2))&lt;=60),SUMIF($A423:$A$2965,$A422&amp;"????",$D423:$D$2965),VLOOKUP(IF(LEN($A422)=4,$A422&amp;"01 1",$A422),GUS_tabl_21!$A$5:$F$4886,6,FALSE))))</f>
        <v>6655</v>
      </c>
      <c r="E422" s="29"/>
    </row>
    <row r="423" spans="1:5" ht="12" customHeight="1">
      <c r="A423" s="155" t="str">
        <f>"060213 2"</f>
        <v>060213 2</v>
      </c>
      <c r="B423" s="153" t="s">
        <v>57</v>
      </c>
      <c r="C423" s="156" t="str">
        <f>IF(OR($A423="",ISERROR(VALUE(LEFT($A423,6)))),"",IF(LEN($A423)=2,"WOJ. ",IF(LEN($A423)=4,IF(VALUE(RIGHT($A423,2))&gt;60,"","Powiat "),IF(VALUE(RIGHT($A423,1))=1,"m. ",IF(VALUE(RIGHT($A423,1))=2,"gm. w. ",IF(VALUE(RIGHT($A423,1))=8,"dz. ","gm. m.-w. ")))))&amp;IF(LEN($A423)=2,TRIM(UPPER(VLOOKUP($A423,GUS_tabl_1!$A$7:$B$22,2,FALSE))),IF(ISERROR(FIND("..",TRIM(VLOOKUP(IF(AND(LEN($A423)=4,VALUE(RIGHT($A423,2))&gt;60),$A423&amp;"01 1",$A423),IF(AND(LEN($A423)=4,VALUE(RIGHT($A423,2))&lt;60),GUS_tabl_2!$A$8:$B$464,GUS_tabl_21!$A$5:$B$4886),2,FALSE)))),TRIM(VLOOKUP(IF(AND(LEN($A423)=4,VALUE(RIGHT($A423,2))&gt;60),$A423&amp;"01 1",$A423),IF(AND(LEN($A423)=4,VALUE(RIGHT($A423,2))&lt;60),GUS_tabl_2!$A$8:$B$464,GUS_tabl_21!$A$5:$B$4886),2,FALSE)),LEFT(TRIM(VLOOKUP(IF(AND(LEN($A423)=4,VALUE(RIGHT($A423,2))&gt;60),$A423&amp;"01 1",$A423),IF(AND(LEN($A423)=4,VALUE(RIGHT($A423,2))&lt;60),GUS_tabl_2!$A$8:$B$464,GUS_tabl_21!$A$5:$B$4886),2,FALSE)),SUM(FIND("..",TRIM(VLOOKUP(IF(AND(LEN($A423)=4,VALUE(RIGHT($A423,2))&gt;60),$A423&amp;"01 1",$A423),IF(AND(LEN($A423)=4,VALUE(RIGHT($A423,2))&lt;60),GUS_tabl_2!$A$8:$B$464,GUS_tabl_21!$A$5:$B$4886),2,FALSE))),-1)))))</f>
        <v>gm. w. Tereszpol</v>
      </c>
      <c r="D423" s="141">
        <f>IF(OR($A423="",ISERROR(VALUE(LEFT($A423,6)))),"",IF(LEN($A423)=2,SUMIF($A424:$A$2965,$A423&amp;"??",$D424:$D$2965),IF(AND(LEN($A423)=4,VALUE(RIGHT($A423,2))&lt;=60),SUMIF($A424:$A$2965,$A423&amp;"????",$D424:$D$2965),VLOOKUP(IF(LEN($A423)=4,$A423&amp;"01 1",$A423),GUS_tabl_21!$A$5:$F$4886,6,FALSE))))</f>
        <v>3878</v>
      </c>
      <c r="E423" s="29"/>
    </row>
    <row r="424" spans="1:5" ht="12" customHeight="1">
      <c r="A424" s="155" t="str">
        <f>"060214 2"</f>
        <v>060214 2</v>
      </c>
      <c r="B424" s="153" t="s">
        <v>57</v>
      </c>
      <c r="C424" s="156" t="str">
        <f>IF(OR($A424="",ISERROR(VALUE(LEFT($A424,6)))),"",IF(LEN($A424)=2,"WOJ. ",IF(LEN($A424)=4,IF(VALUE(RIGHT($A424,2))&gt;60,"","Powiat "),IF(VALUE(RIGHT($A424,1))=1,"m. ",IF(VALUE(RIGHT($A424,1))=2,"gm. w. ",IF(VALUE(RIGHT($A424,1))=8,"dz. ","gm. m.-w. ")))))&amp;IF(LEN($A424)=2,TRIM(UPPER(VLOOKUP($A424,GUS_tabl_1!$A$7:$B$22,2,FALSE))),IF(ISERROR(FIND("..",TRIM(VLOOKUP(IF(AND(LEN($A424)=4,VALUE(RIGHT($A424,2))&gt;60),$A424&amp;"01 1",$A424),IF(AND(LEN($A424)=4,VALUE(RIGHT($A424,2))&lt;60),GUS_tabl_2!$A$8:$B$464,GUS_tabl_21!$A$5:$B$4886),2,FALSE)))),TRIM(VLOOKUP(IF(AND(LEN($A424)=4,VALUE(RIGHT($A424,2))&gt;60),$A424&amp;"01 1",$A424),IF(AND(LEN($A424)=4,VALUE(RIGHT($A424,2))&lt;60),GUS_tabl_2!$A$8:$B$464,GUS_tabl_21!$A$5:$B$4886),2,FALSE)),LEFT(TRIM(VLOOKUP(IF(AND(LEN($A424)=4,VALUE(RIGHT($A424,2))&gt;60),$A424&amp;"01 1",$A424),IF(AND(LEN($A424)=4,VALUE(RIGHT($A424,2))&lt;60),GUS_tabl_2!$A$8:$B$464,GUS_tabl_21!$A$5:$B$4886),2,FALSE)),SUM(FIND("..",TRIM(VLOOKUP(IF(AND(LEN($A424)=4,VALUE(RIGHT($A424,2))&gt;60),$A424&amp;"01 1",$A424),IF(AND(LEN($A424)=4,VALUE(RIGHT($A424,2))&lt;60),GUS_tabl_2!$A$8:$B$464,GUS_tabl_21!$A$5:$B$4886),2,FALSE))),-1)))))</f>
        <v>gm. w. Turobin</v>
      </c>
      <c r="D424" s="141">
        <f>IF(OR($A424="",ISERROR(VALUE(LEFT($A424,6)))),"",IF(LEN($A424)=2,SUMIF($A425:$A$2965,$A424&amp;"??",$D425:$D$2965),IF(AND(LEN($A424)=4,VALUE(RIGHT($A424,2))&lt;=60),SUMIF($A425:$A$2965,$A424&amp;"????",$D425:$D$2965),VLOOKUP(IF(LEN($A424)=4,$A424&amp;"01 1",$A424),GUS_tabl_21!$A$5:$F$4886,6,FALSE))))</f>
        <v>6029</v>
      </c>
      <c r="E424" s="29"/>
    </row>
    <row r="425" spans="1:5" ht="12" customHeight="1">
      <c r="A425" s="152" t="str">
        <f>"0603"</f>
        <v>0603</v>
      </c>
      <c r="B425" s="153" t="s">
        <v>57</v>
      </c>
      <c r="C425" s="154" t="str">
        <f>IF(OR($A425="",ISERROR(VALUE(LEFT($A425,6)))),"",IF(LEN($A425)=2,"WOJ. ",IF(LEN($A425)=4,IF(VALUE(RIGHT($A425,2))&gt;60,"","Powiat "),IF(VALUE(RIGHT($A425,1))=1,"m. ",IF(VALUE(RIGHT($A425,1))=2,"gm. w. ",IF(VALUE(RIGHT($A425,1))=8,"dz. ","gm. m.-w. ")))))&amp;IF(LEN($A425)=2,TRIM(UPPER(VLOOKUP($A425,GUS_tabl_1!$A$7:$B$22,2,FALSE))),IF(ISERROR(FIND("..",TRIM(VLOOKUP(IF(AND(LEN($A425)=4,VALUE(RIGHT($A425,2))&gt;60),$A425&amp;"01 1",$A425),IF(AND(LEN($A425)=4,VALUE(RIGHT($A425,2))&lt;60),GUS_tabl_2!$A$8:$B$464,GUS_tabl_21!$A$5:$B$4886),2,FALSE)))),TRIM(VLOOKUP(IF(AND(LEN($A425)=4,VALUE(RIGHT($A425,2))&gt;60),$A425&amp;"01 1",$A425),IF(AND(LEN($A425)=4,VALUE(RIGHT($A425,2))&lt;60),GUS_tabl_2!$A$8:$B$464,GUS_tabl_21!$A$5:$B$4886),2,FALSE)),LEFT(TRIM(VLOOKUP(IF(AND(LEN($A425)=4,VALUE(RIGHT($A425,2))&gt;60),$A425&amp;"01 1",$A425),IF(AND(LEN($A425)=4,VALUE(RIGHT($A425,2))&lt;60),GUS_tabl_2!$A$8:$B$464,GUS_tabl_21!$A$5:$B$4886),2,FALSE)),SUM(FIND("..",TRIM(VLOOKUP(IF(AND(LEN($A425)=4,VALUE(RIGHT($A425,2))&gt;60),$A425&amp;"01 1",$A425),IF(AND(LEN($A425)=4,VALUE(RIGHT($A425,2))&lt;60),GUS_tabl_2!$A$8:$B$464,GUS_tabl_21!$A$5:$B$4886),2,FALSE))),-1)))))</f>
        <v>Powiat chełmski</v>
      </c>
      <c r="D425" s="140">
        <f>IF(OR($A425="",ISERROR(VALUE(LEFT($A425,6)))),"",IF(LEN($A425)=2,SUMIF($A426:$A$2965,$A425&amp;"??",$D426:$D$2965),IF(AND(LEN($A425)=4,VALUE(RIGHT($A425,2))&lt;=60),SUMIF($A426:$A$2965,$A425&amp;"????",$D426:$D$2965),VLOOKUP(IF(LEN($A425)=4,$A425&amp;"01 1",$A425),GUS_tabl_21!$A$5:$F$4886,6,FALSE))))</f>
        <v>78014</v>
      </c>
      <c r="E425" s="29"/>
    </row>
    <row r="426" spans="1:5" ht="12" customHeight="1">
      <c r="A426" s="155" t="str">
        <f>"060301 1"</f>
        <v>060301 1</v>
      </c>
      <c r="B426" s="153" t="s">
        <v>57</v>
      </c>
      <c r="C426" s="156" t="str">
        <f>IF(OR($A426="",ISERROR(VALUE(LEFT($A426,6)))),"",IF(LEN($A426)=2,"WOJ. ",IF(LEN($A426)=4,IF(VALUE(RIGHT($A426,2))&gt;60,"","Powiat "),IF(VALUE(RIGHT($A426,1))=1,"m. ",IF(VALUE(RIGHT($A426,1))=2,"gm. w. ",IF(VALUE(RIGHT($A426,1))=8,"dz. ","gm. m.-w. ")))))&amp;IF(LEN($A426)=2,TRIM(UPPER(VLOOKUP($A426,GUS_tabl_1!$A$7:$B$22,2,FALSE))),IF(ISERROR(FIND("..",TRIM(VLOOKUP(IF(AND(LEN($A426)=4,VALUE(RIGHT($A426,2))&gt;60),$A426&amp;"01 1",$A426),IF(AND(LEN($A426)=4,VALUE(RIGHT($A426,2))&lt;60),GUS_tabl_2!$A$8:$B$464,GUS_tabl_21!$A$5:$B$4886),2,FALSE)))),TRIM(VLOOKUP(IF(AND(LEN($A426)=4,VALUE(RIGHT($A426,2))&gt;60),$A426&amp;"01 1",$A426),IF(AND(LEN($A426)=4,VALUE(RIGHT($A426,2))&lt;60),GUS_tabl_2!$A$8:$B$464,GUS_tabl_21!$A$5:$B$4886),2,FALSE)),LEFT(TRIM(VLOOKUP(IF(AND(LEN($A426)=4,VALUE(RIGHT($A426,2))&gt;60),$A426&amp;"01 1",$A426),IF(AND(LEN($A426)=4,VALUE(RIGHT($A426,2))&lt;60),GUS_tabl_2!$A$8:$B$464,GUS_tabl_21!$A$5:$B$4886),2,FALSE)),SUM(FIND("..",TRIM(VLOOKUP(IF(AND(LEN($A426)=4,VALUE(RIGHT($A426,2))&gt;60),$A426&amp;"01 1",$A426),IF(AND(LEN($A426)=4,VALUE(RIGHT($A426,2))&lt;60),GUS_tabl_2!$A$8:$B$464,GUS_tabl_21!$A$5:$B$4886),2,FALSE))),-1)))))</f>
        <v>m. Rejowiec Fabryczny</v>
      </c>
      <c r="D426" s="141">
        <f>IF(OR($A426="",ISERROR(VALUE(LEFT($A426,6)))),"",IF(LEN($A426)=2,SUMIF($A427:$A$2965,$A426&amp;"??",$D427:$D$2965),IF(AND(LEN($A426)=4,VALUE(RIGHT($A426,2))&lt;=60),SUMIF($A427:$A$2965,$A426&amp;"????",$D427:$D$2965),VLOOKUP(IF(LEN($A426)=4,$A426&amp;"01 1",$A426),GUS_tabl_21!$A$5:$F$4886,6,FALSE))))</f>
        <v>4386</v>
      </c>
      <c r="E426" s="29"/>
    </row>
    <row r="427" spans="1:5" ht="12" customHeight="1">
      <c r="A427" s="155" t="str">
        <f>"060302 2"</f>
        <v>060302 2</v>
      </c>
      <c r="B427" s="153" t="s">
        <v>57</v>
      </c>
      <c r="C427" s="156" t="str">
        <f>IF(OR($A427="",ISERROR(VALUE(LEFT($A427,6)))),"",IF(LEN($A427)=2,"WOJ. ",IF(LEN($A427)=4,IF(VALUE(RIGHT($A427,2))&gt;60,"","Powiat "),IF(VALUE(RIGHT($A427,1))=1,"m. ",IF(VALUE(RIGHT($A427,1))=2,"gm. w. ",IF(VALUE(RIGHT($A427,1))=8,"dz. ","gm. m.-w. ")))))&amp;IF(LEN($A427)=2,TRIM(UPPER(VLOOKUP($A427,GUS_tabl_1!$A$7:$B$22,2,FALSE))),IF(ISERROR(FIND("..",TRIM(VLOOKUP(IF(AND(LEN($A427)=4,VALUE(RIGHT($A427,2))&gt;60),$A427&amp;"01 1",$A427),IF(AND(LEN($A427)=4,VALUE(RIGHT($A427,2))&lt;60),GUS_tabl_2!$A$8:$B$464,GUS_tabl_21!$A$5:$B$4886),2,FALSE)))),TRIM(VLOOKUP(IF(AND(LEN($A427)=4,VALUE(RIGHT($A427,2))&gt;60),$A427&amp;"01 1",$A427),IF(AND(LEN($A427)=4,VALUE(RIGHT($A427,2))&lt;60),GUS_tabl_2!$A$8:$B$464,GUS_tabl_21!$A$5:$B$4886),2,FALSE)),LEFT(TRIM(VLOOKUP(IF(AND(LEN($A427)=4,VALUE(RIGHT($A427,2))&gt;60),$A427&amp;"01 1",$A427),IF(AND(LEN($A427)=4,VALUE(RIGHT($A427,2))&lt;60),GUS_tabl_2!$A$8:$B$464,GUS_tabl_21!$A$5:$B$4886),2,FALSE)),SUM(FIND("..",TRIM(VLOOKUP(IF(AND(LEN($A427)=4,VALUE(RIGHT($A427,2))&gt;60),$A427&amp;"01 1",$A427),IF(AND(LEN($A427)=4,VALUE(RIGHT($A427,2))&lt;60),GUS_tabl_2!$A$8:$B$464,GUS_tabl_21!$A$5:$B$4886),2,FALSE))),-1)))))</f>
        <v>gm. w. Białopole</v>
      </c>
      <c r="D427" s="141">
        <f>IF(OR($A427="",ISERROR(VALUE(LEFT($A427,6)))),"",IF(LEN($A427)=2,SUMIF($A428:$A$2965,$A427&amp;"??",$D428:$D$2965),IF(AND(LEN($A427)=4,VALUE(RIGHT($A427,2))&lt;=60),SUMIF($A428:$A$2965,$A427&amp;"????",$D428:$D$2965),VLOOKUP(IF(LEN($A427)=4,$A427&amp;"01 1",$A427),GUS_tabl_21!$A$5:$F$4886,6,FALSE))))</f>
        <v>2886</v>
      </c>
      <c r="E427" s="29"/>
    </row>
    <row r="428" spans="1:5" ht="12" customHeight="1">
      <c r="A428" s="155" t="str">
        <f>"060303 2"</f>
        <v>060303 2</v>
      </c>
      <c r="B428" s="153" t="s">
        <v>57</v>
      </c>
      <c r="C428" s="156" t="str">
        <f>IF(OR($A428="",ISERROR(VALUE(LEFT($A428,6)))),"",IF(LEN($A428)=2,"WOJ. ",IF(LEN($A428)=4,IF(VALUE(RIGHT($A428,2))&gt;60,"","Powiat "),IF(VALUE(RIGHT($A428,1))=1,"m. ",IF(VALUE(RIGHT($A428,1))=2,"gm. w. ",IF(VALUE(RIGHT($A428,1))=8,"dz. ","gm. m.-w. ")))))&amp;IF(LEN($A428)=2,TRIM(UPPER(VLOOKUP($A428,GUS_tabl_1!$A$7:$B$22,2,FALSE))),IF(ISERROR(FIND("..",TRIM(VLOOKUP(IF(AND(LEN($A428)=4,VALUE(RIGHT($A428,2))&gt;60),$A428&amp;"01 1",$A428),IF(AND(LEN($A428)=4,VALUE(RIGHT($A428,2))&lt;60),GUS_tabl_2!$A$8:$B$464,GUS_tabl_21!$A$5:$B$4886),2,FALSE)))),TRIM(VLOOKUP(IF(AND(LEN($A428)=4,VALUE(RIGHT($A428,2))&gt;60),$A428&amp;"01 1",$A428),IF(AND(LEN($A428)=4,VALUE(RIGHT($A428,2))&lt;60),GUS_tabl_2!$A$8:$B$464,GUS_tabl_21!$A$5:$B$4886),2,FALSE)),LEFT(TRIM(VLOOKUP(IF(AND(LEN($A428)=4,VALUE(RIGHT($A428,2))&gt;60),$A428&amp;"01 1",$A428),IF(AND(LEN($A428)=4,VALUE(RIGHT($A428,2))&lt;60),GUS_tabl_2!$A$8:$B$464,GUS_tabl_21!$A$5:$B$4886),2,FALSE)),SUM(FIND("..",TRIM(VLOOKUP(IF(AND(LEN($A428)=4,VALUE(RIGHT($A428,2))&gt;60),$A428&amp;"01 1",$A428),IF(AND(LEN($A428)=4,VALUE(RIGHT($A428,2))&lt;60),GUS_tabl_2!$A$8:$B$464,GUS_tabl_21!$A$5:$B$4886),2,FALSE))),-1)))))</f>
        <v>gm. w. Chełm</v>
      </c>
      <c r="D428" s="141">
        <f>IF(OR($A428="",ISERROR(VALUE(LEFT($A428,6)))),"",IF(LEN($A428)=2,SUMIF($A429:$A$2965,$A428&amp;"??",$D429:$D$2965),IF(AND(LEN($A428)=4,VALUE(RIGHT($A428,2))&lt;=60),SUMIF($A429:$A$2965,$A428&amp;"????",$D429:$D$2965),VLOOKUP(IF(LEN($A428)=4,$A428&amp;"01 1",$A428),GUS_tabl_21!$A$5:$F$4886,6,FALSE))))</f>
        <v>15023</v>
      </c>
      <c r="E428" s="29"/>
    </row>
    <row r="429" spans="1:5" ht="12" customHeight="1">
      <c r="A429" s="155" t="str">
        <f>"060304 2"</f>
        <v>060304 2</v>
      </c>
      <c r="B429" s="153" t="s">
        <v>57</v>
      </c>
      <c r="C429" s="156" t="str">
        <f>IF(OR($A429="",ISERROR(VALUE(LEFT($A429,6)))),"",IF(LEN($A429)=2,"WOJ. ",IF(LEN($A429)=4,IF(VALUE(RIGHT($A429,2))&gt;60,"","Powiat "),IF(VALUE(RIGHT($A429,1))=1,"m. ",IF(VALUE(RIGHT($A429,1))=2,"gm. w. ",IF(VALUE(RIGHT($A429,1))=8,"dz. ","gm. m.-w. ")))))&amp;IF(LEN($A429)=2,TRIM(UPPER(VLOOKUP($A429,GUS_tabl_1!$A$7:$B$22,2,FALSE))),IF(ISERROR(FIND("..",TRIM(VLOOKUP(IF(AND(LEN($A429)=4,VALUE(RIGHT($A429,2))&gt;60),$A429&amp;"01 1",$A429),IF(AND(LEN($A429)=4,VALUE(RIGHT($A429,2))&lt;60),GUS_tabl_2!$A$8:$B$464,GUS_tabl_21!$A$5:$B$4886),2,FALSE)))),TRIM(VLOOKUP(IF(AND(LEN($A429)=4,VALUE(RIGHT($A429,2))&gt;60),$A429&amp;"01 1",$A429),IF(AND(LEN($A429)=4,VALUE(RIGHT($A429,2))&lt;60),GUS_tabl_2!$A$8:$B$464,GUS_tabl_21!$A$5:$B$4886),2,FALSE)),LEFT(TRIM(VLOOKUP(IF(AND(LEN($A429)=4,VALUE(RIGHT($A429,2))&gt;60),$A429&amp;"01 1",$A429),IF(AND(LEN($A429)=4,VALUE(RIGHT($A429,2))&lt;60),GUS_tabl_2!$A$8:$B$464,GUS_tabl_21!$A$5:$B$4886),2,FALSE)),SUM(FIND("..",TRIM(VLOOKUP(IF(AND(LEN($A429)=4,VALUE(RIGHT($A429,2))&gt;60),$A429&amp;"01 1",$A429),IF(AND(LEN($A429)=4,VALUE(RIGHT($A429,2))&lt;60),GUS_tabl_2!$A$8:$B$464,GUS_tabl_21!$A$5:$B$4886),2,FALSE))),-1)))))</f>
        <v>gm. w. Dorohusk (c)</v>
      </c>
      <c r="D429" s="141">
        <f>IF(OR($A429="",ISERROR(VALUE(LEFT($A429,6)))),"",IF(LEN($A429)=2,SUMIF($A430:$A$2965,$A429&amp;"??",$D430:$D$2965),IF(AND(LEN($A429)=4,VALUE(RIGHT($A429,2))&lt;=60),SUMIF($A430:$A$2965,$A429&amp;"????",$D430:$D$2965),VLOOKUP(IF(LEN($A429)=4,$A429&amp;"01 1",$A429),GUS_tabl_21!$A$5:$F$4886,6,FALSE))))</f>
        <v>6387</v>
      </c>
      <c r="E429" s="29"/>
    </row>
    <row r="430" spans="1:5" ht="12" customHeight="1">
      <c r="A430" s="155" t="str">
        <f>"060305 2"</f>
        <v>060305 2</v>
      </c>
      <c r="B430" s="153" t="s">
        <v>57</v>
      </c>
      <c r="C430" s="156" t="str">
        <f>IF(OR($A430="",ISERROR(VALUE(LEFT($A430,6)))),"",IF(LEN($A430)=2,"WOJ. ",IF(LEN($A430)=4,IF(VALUE(RIGHT($A430,2))&gt;60,"","Powiat "),IF(VALUE(RIGHT($A430,1))=1,"m. ",IF(VALUE(RIGHT($A430,1))=2,"gm. w. ",IF(VALUE(RIGHT($A430,1))=8,"dz. ","gm. m.-w. ")))))&amp;IF(LEN($A430)=2,TRIM(UPPER(VLOOKUP($A430,GUS_tabl_1!$A$7:$B$22,2,FALSE))),IF(ISERROR(FIND("..",TRIM(VLOOKUP(IF(AND(LEN($A430)=4,VALUE(RIGHT($A430,2))&gt;60),$A430&amp;"01 1",$A430),IF(AND(LEN($A430)=4,VALUE(RIGHT($A430,2))&lt;60),GUS_tabl_2!$A$8:$B$464,GUS_tabl_21!$A$5:$B$4886),2,FALSE)))),TRIM(VLOOKUP(IF(AND(LEN($A430)=4,VALUE(RIGHT($A430,2))&gt;60),$A430&amp;"01 1",$A430),IF(AND(LEN($A430)=4,VALUE(RIGHT($A430,2))&lt;60),GUS_tabl_2!$A$8:$B$464,GUS_tabl_21!$A$5:$B$4886),2,FALSE)),LEFT(TRIM(VLOOKUP(IF(AND(LEN($A430)=4,VALUE(RIGHT($A430,2))&gt;60),$A430&amp;"01 1",$A430),IF(AND(LEN($A430)=4,VALUE(RIGHT($A430,2))&lt;60),GUS_tabl_2!$A$8:$B$464,GUS_tabl_21!$A$5:$B$4886),2,FALSE)),SUM(FIND("..",TRIM(VLOOKUP(IF(AND(LEN($A430)=4,VALUE(RIGHT($A430,2))&gt;60),$A430&amp;"01 1",$A430),IF(AND(LEN($A430)=4,VALUE(RIGHT($A430,2))&lt;60),GUS_tabl_2!$A$8:$B$464,GUS_tabl_21!$A$5:$B$4886),2,FALSE))),-1)))))</f>
        <v>gm. w. Dubienka</v>
      </c>
      <c r="D430" s="141">
        <f>IF(OR($A430="",ISERROR(VALUE(LEFT($A430,6)))),"",IF(LEN($A430)=2,SUMIF($A431:$A$2965,$A430&amp;"??",$D431:$D$2965),IF(AND(LEN($A430)=4,VALUE(RIGHT($A430,2))&lt;=60),SUMIF($A431:$A$2965,$A430&amp;"????",$D431:$D$2965),VLOOKUP(IF(LEN($A430)=4,$A430&amp;"01 1",$A430),GUS_tabl_21!$A$5:$F$4886,6,FALSE))))</f>
        <v>2315</v>
      </c>
      <c r="E430" s="29"/>
    </row>
    <row r="431" spans="1:5" ht="12" customHeight="1">
      <c r="A431" s="155" t="str">
        <f>"060306 2"</f>
        <v>060306 2</v>
      </c>
      <c r="B431" s="153" t="s">
        <v>57</v>
      </c>
      <c r="C431" s="156" t="str">
        <f>IF(OR($A431="",ISERROR(VALUE(LEFT($A431,6)))),"",IF(LEN($A431)=2,"WOJ. ",IF(LEN($A431)=4,IF(VALUE(RIGHT($A431,2))&gt;60,"","Powiat "),IF(VALUE(RIGHT($A431,1))=1,"m. ",IF(VALUE(RIGHT($A431,1))=2,"gm. w. ",IF(VALUE(RIGHT($A431,1))=8,"dz. ","gm. m.-w. ")))))&amp;IF(LEN($A431)=2,TRIM(UPPER(VLOOKUP($A431,GUS_tabl_1!$A$7:$B$22,2,FALSE))),IF(ISERROR(FIND("..",TRIM(VLOOKUP(IF(AND(LEN($A431)=4,VALUE(RIGHT($A431,2))&gt;60),$A431&amp;"01 1",$A431),IF(AND(LEN($A431)=4,VALUE(RIGHT($A431,2))&lt;60),GUS_tabl_2!$A$8:$B$464,GUS_tabl_21!$A$5:$B$4886),2,FALSE)))),TRIM(VLOOKUP(IF(AND(LEN($A431)=4,VALUE(RIGHT($A431,2))&gt;60),$A431&amp;"01 1",$A431),IF(AND(LEN($A431)=4,VALUE(RIGHT($A431,2))&lt;60),GUS_tabl_2!$A$8:$B$464,GUS_tabl_21!$A$5:$B$4886),2,FALSE)),LEFT(TRIM(VLOOKUP(IF(AND(LEN($A431)=4,VALUE(RIGHT($A431,2))&gt;60),$A431&amp;"01 1",$A431),IF(AND(LEN($A431)=4,VALUE(RIGHT($A431,2))&lt;60),GUS_tabl_2!$A$8:$B$464,GUS_tabl_21!$A$5:$B$4886),2,FALSE)),SUM(FIND("..",TRIM(VLOOKUP(IF(AND(LEN($A431)=4,VALUE(RIGHT($A431,2))&gt;60),$A431&amp;"01 1",$A431),IF(AND(LEN($A431)=4,VALUE(RIGHT($A431,2))&lt;60),GUS_tabl_2!$A$8:$B$464,GUS_tabl_21!$A$5:$B$4886),2,FALSE))),-1)))))</f>
        <v>gm. w. Kamień</v>
      </c>
      <c r="D431" s="141">
        <f>IF(OR($A431="",ISERROR(VALUE(LEFT($A431,6)))),"",IF(LEN($A431)=2,SUMIF($A432:$A$2965,$A431&amp;"??",$D432:$D$2965),IF(AND(LEN($A431)=4,VALUE(RIGHT($A431,2))&lt;=60),SUMIF($A432:$A$2965,$A431&amp;"????",$D432:$D$2965),VLOOKUP(IF(LEN($A431)=4,$A431&amp;"01 1",$A431),GUS_tabl_21!$A$5:$F$4886,6,FALSE))))</f>
        <v>4167</v>
      </c>
      <c r="E431" s="29"/>
    </row>
    <row r="432" spans="1:5" ht="12" customHeight="1">
      <c r="A432" s="155" t="str">
        <f>"060307 2"</f>
        <v>060307 2</v>
      </c>
      <c r="B432" s="153" t="s">
        <v>57</v>
      </c>
      <c r="C432" s="156" t="str">
        <f>IF(OR($A432="",ISERROR(VALUE(LEFT($A432,6)))),"",IF(LEN($A432)=2,"WOJ. ",IF(LEN($A432)=4,IF(VALUE(RIGHT($A432,2))&gt;60,"","Powiat "),IF(VALUE(RIGHT($A432,1))=1,"m. ",IF(VALUE(RIGHT($A432,1))=2,"gm. w. ",IF(VALUE(RIGHT($A432,1))=8,"dz. ","gm. m.-w. ")))))&amp;IF(LEN($A432)=2,TRIM(UPPER(VLOOKUP($A432,GUS_tabl_1!$A$7:$B$22,2,FALSE))),IF(ISERROR(FIND("..",TRIM(VLOOKUP(IF(AND(LEN($A432)=4,VALUE(RIGHT($A432,2))&gt;60),$A432&amp;"01 1",$A432),IF(AND(LEN($A432)=4,VALUE(RIGHT($A432,2))&lt;60),GUS_tabl_2!$A$8:$B$464,GUS_tabl_21!$A$5:$B$4886),2,FALSE)))),TRIM(VLOOKUP(IF(AND(LEN($A432)=4,VALUE(RIGHT($A432,2))&gt;60),$A432&amp;"01 1",$A432),IF(AND(LEN($A432)=4,VALUE(RIGHT($A432,2))&lt;60),GUS_tabl_2!$A$8:$B$464,GUS_tabl_21!$A$5:$B$4886),2,FALSE)),LEFT(TRIM(VLOOKUP(IF(AND(LEN($A432)=4,VALUE(RIGHT($A432,2))&gt;60),$A432&amp;"01 1",$A432),IF(AND(LEN($A432)=4,VALUE(RIGHT($A432,2))&lt;60),GUS_tabl_2!$A$8:$B$464,GUS_tabl_21!$A$5:$B$4886),2,FALSE)),SUM(FIND("..",TRIM(VLOOKUP(IF(AND(LEN($A432)=4,VALUE(RIGHT($A432,2))&gt;60),$A432&amp;"01 1",$A432),IF(AND(LEN($A432)=4,VALUE(RIGHT($A432,2))&lt;60),GUS_tabl_2!$A$8:$B$464,GUS_tabl_21!$A$5:$B$4886),2,FALSE))),-1)))))</f>
        <v>gm. w. Leśniowice</v>
      </c>
      <c r="D432" s="141">
        <f>IF(OR($A432="",ISERROR(VALUE(LEFT($A432,6)))),"",IF(LEN($A432)=2,SUMIF($A433:$A$2965,$A432&amp;"??",$D433:$D$2965),IF(AND(LEN($A432)=4,VALUE(RIGHT($A432,2))&lt;=60),SUMIF($A433:$A$2965,$A432&amp;"????",$D433:$D$2965),VLOOKUP(IF(LEN($A432)=4,$A432&amp;"01 1",$A432),GUS_tabl_21!$A$5:$F$4886,6,FALSE))))</f>
        <v>3583</v>
      </c>
      <c r="E432" s="29"/>
    </row>
    <row r="433" spans="1:5" ht="12" customHeight="1">
      <c r="A433" s="155" t="str">
        <f>"060308 2"</f>
        <v>060308 2</v>
      </c>
      <c r="B433" s="153" t="s">
        <v>57</v>
      </c>
      <c r="C433" s="156" t="str">
        <f>IF(OR($A433="",ISERROR(VALUE(LEFT($A433,6)))),"",IF(LEN($A433)=2,"WOJ. ",IF(LEN($A433)=4,IF(VALUE(RIGHT($A433,2))&gt;60,"","Powiat "),IF(VALUE(RIGHT($A433,1))=1,"m. ",IF(VALUE(RIGHT($A433,1))=2,"gm. w. ",IF(VALUE(RIGHT($A433,1))=8,"dz. ","gm. m.-w. ")))))&amp;IF(LEN($A433)=2,TRIM(UPPER(VLOOKUP($A433,GUS_tabl_1!$A$7:$B$22,2,FALSE))),IF(ISERROR(FIND("..",TRIM(VLOOKUP(IF(AND(LEN($A433)=4,VALUE(RIGHT($A433,2))&gt;60),$A433&amp;"01 1",$A433),IF(AND(LEN($A433)=4,VALUE(RIGHT($A433,2))&lt;60),GUS_tabl_2!$A$8:$B$464,GUS_tabl_21!$A$5:$B$4886),2,FALSE)))),TRIM(VLOOKUP(IF(AND(LEN($A433)=4,VALUE(RIGHT($A433,2))&gt;60),$A433&amp;"01 1",$A433),IF(AND(LEN($A433)=4,VALUE(RIGHT($A433,2))&lt;60),GUS_tabl_2!$A$8:$B$464,GUS_tabl_21!$A$5:$B$4886),2,FALSE)),LEFT(TRIM(VLOOKUP(IF(AND(LEN($A433)=4,VALUE(RIGHT($A433,2))&gt;60),$A433&amp;"01 1",$A433),IF(AND(LEN($A433)=4,VALUE(RIGHT($A433,2))&lt;60),GUS_tabl_2!$A$8:$B$464,GUS_tabl_21!$A$5:$B$4886),2,FALSE)),SUM(FIND("..",TRIM(VLOOKUP(IF(AND(LEN($A433)=4,VALUE(RIGHT($A433,2))&gt;60),$A433&amp;"01 1",$A433),IF(AND(LEN($A433)=4,VALUE(RIGHT($A433,2))&lt;60),GUS_tabl_2!$A$8:$B$464,GUS_tabl_21!$A$5:$B$4886),2,FALSE))),-1)))))</f>
        <v>gm. w. Rejowiec Fabryczny</v>
      </c>
      <c r="D433" s="141">
        <f>IF(OR($A433="",ISERROR(VALUE(LEFT($A433,6)))),"",IF(LEN($A433)=2,SUMIF($A434:$A$2965,$A433&amp;"??",$D434:$D$2965),IF(AND(LEN($A433)=4,VALUE(RIGHT($A433,2))&lt;=60),SUMIF($A434:$A$2965,$A433&amp;"????",$D434:$D$2965),VLOOKUP(IF(LEN($A433)=4,$A433&amp;"01 1",$A433),GUS_tabl_21!$A$5:$F$4886,6,FALSE))))</f>
        <v>4227</v>
      </c>
      <c r="E433" s="29"/>
    </row>
    <row r="434" spans="1:5" ht="12" customHeight="1">
      <c r="A434" s="155" t="str">
        <f>"060309 2"</f>
        <v>060309 2</v>
      </c>
      <c r="B434" s="153" t="s">
        <v>57</v>
      </c>
      <c r="C434" s="156" t="str">
        <f>IF(OR($A434="",ISERROR(VALUE(LEFT($A434,6)))),"",IF(LEN($A434)=2,"WOJ. ",IF(LEN($A434)=4,IF(VALUE(RIGHT($A434,2))&gt;60,"","Powiat "),IF(VALUE(RIGHT($A434,1))=1,"m. ",IF(VALUE(RIGHT($A434,1))=2,"gm. w. ",IF(VALUE(RIGHT($A434,1))=8,"dz. ","gm. m.-w. ")))))&amp;IF(LEN($A434)=2,TRIM(UPPER(VLOOKUP($A434,GUS_tabl_1!$A$7:$B$22,2,FALSE))),IF(ISERROR(FIND("..",TRIM(VLOOKUP(IF(AND(LEN($A434)=4,VALUE(RIGHT($A434,2))&gt;60),$A434&amp;"01 1",$A434),IF(AND(LEN($A434)=4,VALUE(RIGHT($A434,2))&lt;60),GUS_tabl_2!$A$8:$B$464,GUS_tabl_21!$A$5:$B$4886),2,FALSE)))),TRIM(VLOOKUP(IF(AND(LEN($A434)=4,VALUE(RIGHT($A434,2))&gt;60),$A434&amp;"01 1",$A434),IF(AND(LEN($A434)=4,VALUE(RIGHT($A434,2))&lt;60),GUS_tabl_2!$A$8:$B$464,GUS_tabl_21!$A$5:$B$4886),2,FALSE)),LEFT(TRIM(VLOOKUP(IF(AND(LEN($A434)=4,VALUE(RIGHT($A434,2))&gt;60),$A434&amp;"01 1",$A434),IF(AND(LEN($A434)=4,VALUE(RIGHT($A434,2))&lt;60),GUS_tabl_2!$A$8:$B$464,GUS_tabl_21!$A$5:$B$4886),2,FALSE)),SUM(FIND("..",TRIM(VLOOKUP(IF(AND(LEN($A434)=4,VALUE(RIGHT($A434,2))&gt;60),$A434&amp;"01 1",$A434),IF(AND(LEN($A434)=4,VALUE(RIGHT($A434,2))&lt;60),GUS_tabl_2!$A$8:$B$464,GUS_tabl_21!$A$5:$B$4886),2,FALSE))),-1)))))</f>
        <v>gm. w. Ruda-Huta</v>
      </c>
      <c r="D434" s="141">
        <f>IF(OR($A434="",ISERROR(VALUE(LEFT($A434,6)))),"",IF(LEN($A434)=2,SUMIF($A435:$A$2965,$A434&amp;"??",$D435:$D$2965),IF(AND(LEN($A434)=4,VALUE(RIGHT($A434,2))&lt;=60),SUMIF($A435:$A$2965,$A434&amp;"????",$D435:$D$2965),VLOOKUP(IF(LEN($A434)=4,$A434&amp;"01 1",$A434),GUS_tabl_21!$A$5:$F$4886,6,FALSE))))</f>
        <v>4502</v>
      </c>
      <c r="E434" s="29"/>
    </row>
    <row r="435" spans="1:5" ht="12" customHeight="1">
      <c r="A435" s="155" t="str">
        <f>"060310 2"</f>
        <v>060310 2</v>
      </c>
      <c r="B435" s="153" t="s">
        <v>57</v>
      </c>
      <c r="C435" s="156" t="str">
        <f>IF(OR($A435="",ISERROR(VALUE(LEFT($A435,6)))),"",IF(LEN($A435)=2,"WOJ. ",IF(LEN($A435)=4,IF(VALUE(RIGHT($A435,2))&gt;60,"","Powiat "),IF(VALUE(RIGHT($A435,1))=1,"m. ",IF(VALUE(RIGHT($A435,1))=2,"gm. w. ",IF(VALUE(RIGHT($A435,1))=8,"dz. ","gm. m.-w. ")))))&amp;IF(LEN($A435)=2,TRIM(UPPER(VLOOKUP($A435,GUS_tabl_1!$A$7:$B$22,2,FALSE))),IF(ISERROR(FIND("..",TRIM(VLOOKUP(IF(AND(LEN($A435)=4,VALUE(RIGHT($A435,2))&gt;60),$A435&amp;"01 1",$A435),IF(AND(LEN($A435)=4,VALUE(RIGHT($A435,2))&lt;60),GUS_tabl_2!$A$8:$B$464,GUS_tabl_21!$A$5:$B$4886),2,FALSE)))),TRIM(VLOOKUP(IF(AND(LEN($A435)=4,VALUE(RIGHT($A435,2))&gt;60),$A435&amp;"01 1",$A435),IF(AND(LEN($A435)=4,VALUE(RIGHT($A435,2))&lt;60),GUS_tabl_2!$A$8:$B$464,GUS_tabl_21!$A$5:$B$4886),2,FALSE)),LEFT(TRIM(VLOOKUP(IF(AND(LEN($A435)=4,VALUE(RIGHT($A435,2))&gt;60),$A435&amp;"01 1",$A435),IF(AND(LEN($A435)=4,VALUE(RIGHT($A435,2))&lt;60),GUS_tabl_2!$A$8:$B$464,GUS_tabl_21!$A$5:$B$4886),2,FALSE)),SUM(FIND("..",TRIM(VLOOKUP(IF(AND(LEN($A435)=4,VALUE(RIGHT($A435,2))&gt;60),$A435&amp;"01 1",$A435),IF(AND(LEN($A435)=4,VALUE(RIGHT($A435,2))&lt;60),GUS_tabl_2!$A$8:$B$464,GUS_tabl_21!$A$5:$B$4886),2,FALSE))),-1)))))</f>
        <v>gm. w. Sawin</v>
      </c>
      <c r="D435" s="141">
        <f>IF(OR($A435="",ISERROR(VALUE(LEFT($A435,6)))),"",IF(LEN($A435)=2,SUMIF($A436:$A$2965,$A435&amp;"??",$D436:$D$2965),IF(AND(LEN($A435)=4,VALUE(RIGHT($A435,2))&lt;=60),SUMIF($A436:$A$2965,$A435&amp;"????",$D436:$D$2965),VLOOKUP(IF(LEN($A435)=4,$A435&amp;"01 1",$A435),GUS_tabl_21!$A$5:$F$4886,6,FALSE))))</f>
        <v>5470</v>
      </c>
      <c r="E435" s="29"/>
    </row>
    <row r="436" spans="1:5" ht="12" customHeight="1">
      <c r="A436" s="155" t="str">
        <f>"060311 3"</f>
        <v>060311 3</v>
      </c>
      <c r="B436" s="153" t="s">
        <v>57</v>
      </c>
      <c r="C436" s="159" t="str">
        <f>IF(OR($A436="",ISERROR(VALUE(LEFT($A436,6)))),"",IF(LEN($A436)=2,"WOJ. ",IF(LEN($A436)=4,IF(VALUE(RIGHT($A436,2))&gt;60,"","Powiat "),IF(VALUE(RIGHT($A436,1))=1,"m. ",IF(VALUE(RIGHT($A436,1))=2,"gm. w. ",IF(VALUE(RIGHT($A436,1))=8,"dz. ","gm. m.-w. ")))))&amp;IF(LEN($A436)=2,TRIM(UPPER(VLOOKUP($A436,GUS_tabl_1!$A$7:$B$22,2,FALSE))),IF(ISERROR(FIND("..",TRIM(VLOOKUP(IF(AND(LEN($A436)=4,VALUE(RIGHT($A436,2))&gt;60),$A436&amp;"01 1",$A436),IF(AND(LEN($A436)=4,VALUE(RIGHT($A436,2))&lt;60),GUS_tabl_2!$A$8:$B$464,GUS_tabl_21!$A$5:$B$4886),2,FALSE)))),TRIM(VLOOKUP(IF(AND(LEN($A436)=4,VALUE(RIGHT($A436,2))&gt;60),$A436&amp;"01 1",$A436),IF(AND(LEN($A436)=4,VALUE(RIGHT($A436,2))&lt;60),GUS_tabl_2!$A$8:$B$464,GUS_tabl_21!$A$5:$B$4886),2,FALSE)),LEFT(TRIM(VLOOKUP(IF(AND(LEN($A436)=4,VALUE(RIGHT($A436,2))&gt;60),$A436&amp;"01 1",$A436),IF(AND(LEN($A436)=4,VALUE(RIGHT($A436,2))&lt;60),GUS_tabl_2!$A$8:$B$464,GUS_tabl_21!$A$5:$B$4886),2,FALSE)),SUM(FIND("..",TRIM(VLOOKUP(IF(AND(LEN($A436)=4,VALUE(RIGHT($A436,2))&gt;60),$A436&amp;"01 1",$A436),IF(AND(LEN($A436)=4,VALUE(RIGHT($A436,2))&lt;60),GUS_tabl_2!$A$8:$B$464,GUS_tabl_21!$A$5:$B$4886),2,FALSE))),-1)))))</f>
        <v>gm. m.-w. Siedliszcze</v>
      </c>
      <c r="D436" s="141">
        <f>IF(OR($A436="",ISERROR(VALUE(LEFT($A436,6)))),"",IF(LEN($A436)=2,SUMIF($A437:$A$2965,$A436&amp;"??",$D437:$D$2965),IF(AND(LEN($A436)=4,VALUE(RIGHT($A436,2))&lt;=60),SUMIF($A437:$A$2965,$A436&amp;"????",$D437:$D$2965),VLOOKUP(IF(LEN($A436)=4,$A436&amp;"01 1",$A436),GUS_tabl_21!$A$5:$F$4886,6,FALSE))))</f>
        <v>6836</v>
      </c>
      <c r="E436" s="29"/>
    </row>
    <row r="437" spans="1:5" ht="12" customHeight="1">
      <c r="A437" s="155" t="str">
        <f>"060312 2"</f>
        <v>060312 2</v>
      </c>
      <c r="B437" s="153" t="s">
        <v>57</v>
      </c>
      <c r="C437" s="156" t="str">
        <f>IF(OR($A437="",ISERROR(VALUE(LEFT($A437,6)))),"",IF(LEN($A437)=2,"WOJ. ",IF(LEN($A437)=4,IF(VALUE(RIGHT($A437,2))&gt;60,"","Powiat "),IF(VALUE(RIGHT($A437,1))=1,"m. ",IF(VALUE(RIGHT($A437,1))=2,"gm. w. ",IF(VALUE(RIGHT($A437,1))=8,"dz. ","gm. m.-w. ")))))&amp;IF(LEN($A437)=2,TRIM(UPPER(VLOOKUP($A437,GUS_tabl_1!$A$7:$B$22,2,FALSE))),IF(ISERROR(FIND("..",TRIM(VLOOKUP(IF(AND(LEN($A437)=4,VALUE(RIGHT($A437,2))&gt;60),$A437&amp;"01 1",$A437),IF(AND(LEN($A437)=4,VALUE(RIGHT($A437,2))&lt;60),GUS_tabl_2!$A$8:$B$464,GUS_tabl_21!$A$5:$B$4886),2,FALSE)))),TRIM(VLOOKUP(IF(AND(LEN($A437)=4,VALUE(RIGHT($A437,2))&gt;60),$A437&amp;"01 1",$A437),IF(AND(LEN($A437)=4,VALUE(RIGHT($A437,2))&lt;60),GUS_tabl_2!$A$8:$B$464,GUS_tabl_21!$A$5:$B$4886),2,FALSE)),LEFT(TRIM(VLOOKUP(IF(AND(LEN($A437)=4,VALUE(RIGHT($A437,2))&gt;60),$A437&amp;"01 1",$A437),IF(AND(LEN($A437)=4,VALUE(RIGHT($A437,2))&lt;60),GUS_tabl_2!$A$8:$B$464,GUS_tabl_21!$A$5:$B$4886),2,FALSE)),SUM(FIND("..",TRIM(VLOOKUP(IF(AND(LEN($A437)=4,VALUE(RIGHT($A437,2))&gt;60),$A437&amp;"01 1",$A437),IF(AND(LEN($A437)=4,VALUE(RIGHT($A437,2))&lt;60),GUS_tabl_2!$A$8:$B$464,GUS_tabl_21!$A$5:$B$4886),2,FALSE))),-1)))))</f>
        <v>gm. w. Wierzbica</v>
      </c>
      <c r="D437" s="141">
        <f>IF(OR($A437="",ISERROR(VALUE(LEFT($A437,6)))),"",IF(LEN($A437)=2,SUMIF($A438:$A$2965,$A437&amp;"??",$D438:$D$2965),IF(AND(LEN($A437)=4,VALUE(RIGHT($A437,2))&lt;=60),SUMIF($A438:$A$2965,$A437&amp;"????",$D438:$D$2965),VLOOKUP(IF(LEN($A437)=4,$A437&amp;"01 1",$A437),GUS_tabl_21!$A$5:$F$4886,6,FALSE))))</f>
        <v>5060</v>
      </c>
      <c r="E437" s="29"/>
    </row>
    <row r="438" spans="1:5" ht="12" customHeight="1">
      <c r="A438" s="155" t="str">
        <f>"060313 2"</f>
        <v>060313 2</v>
      </c>
      <c r="B438" s="153" t="s">
        <v>57</v>
      </c>
      <c r="C438" s="156" t="str">
        <f>IF(OR($A438="",ISERROR(VALUE(LEFT($A438,6)))),"",IF(LEN($A438)=2,"WOJ. ",IF(LEN($A438)=4,IF(VALUE(RIGHT($A438,2))&gt;60,"","Powiat "),IF(VALUE(RIGHT($A438,1))=1,"m. ",IF(VALUE(RIGHT($A438,1))=2,"gm. w. ",IF(VALUE(RIGHT($A438,1))=8,"dz. ","gm. m.-w. ")))))&amp;IF(LEN($A438)=2,TRIM(UPPER(VLOOKUP($A438,GUS_tabl_1!$A$7:$B$22,2,FALSE))),IF(ISERROR(FIND("..",TRIM(VLOOKUP(IF(AND(LEN($A438)=4,VALUE(RIGHT($A438,2))&gt;60),$A438&amp;"01 1",$A438),IF(AND(LEN($A438)=4,VALUE(RIGHT($A438,2))&lt;60),GUS_tabl_2!$A$8:$B$464,GUS_tabl_21!$A$5:$B$4886),2,FALSE)))),TRIM(VLOOKUP(IF(AND(LEN($A438)=4,VALUE(RIGHT($A438,2))&gt;60),$A438&amp;"01 1",$A438),IF(AND(LEN($A438)=4,VALUE(RIGHT($A438,2))&lt;60),GUS_tabl_2!$A$8:$B$464,GUS_tabl_21!$A$5:$B$4886),2,FALSE)),LEFT(TRIM(VLOOKUP(IF(AND(LEN($A438)=4,VALUE(RIGHT($A438,2))&gt;60),$A438&amp;"01 1",$A438),IF(AND(LEN($A438)=4,VALUE(RIGHT($A438,2))&lt;60),GUS_tabl_2!$A$8:$B$464,GUS_tabl_21!$A$5:$B$4886),2,FALSE)),SUM(FIND("..",TRIM(VLOOKUP(IF(AND(LEN($A438)=4,VALUE(RIGHT($A438,2))&gt;60),$A438&amp;"01 1",$A438),IF(AND(LEN($A438)=4,VALUE(RIGHT($A438,2))&lt;60),GUS_tabl_2!$A$8:$B$464,GUS_tabl_21!$A$5:$B$4886),2,FALSE))),-1)))))</f>
        <v>gm. w. Wojsławice</v>
      </c>
      <c r="D438" s="141">
        <f>IF(OR($A438="",ISERROR(VALUE(LEFT($A438,6)))),"",IF(LEN($A438)=2,SUMIF($A439:$A$2965,$A438&amp;"??",$D439:$D$2965),IF(AND(LEN($A438)=4,VALUE(RIGHT($A438,2))&lt;=60),SUMIF($A439:$A$2965,$A438&amp;"????",$D439:$D$2965),VLOOKUP(IF(LEN($A438)=4,$A438&amp;"01 1",$A438),GUS_tabl_21!$A$5:$F$4886,6,FALSE))))</f>
        <v>3745</v>
      </c>
      <c r="E438" s="29"/>
    </row>
    <row r="439" spans="1:5" ht="12" customHeight="1">
      <c r="A439" s="155" t="str">
        <f>"060314 2"</f>
        <v>060314 2</v>
      </c>
      <c r="B439" s="153" t="s">
        <v>57</v>
      </c>
      <c r="C439" s="156" t="str">
        <f>IF(OR($A439="",ISERROR(VALUE(LEFT($A439,6)))),"",IF(LEN($A439)=2,"WOJ. ",IF(LEN($A439)=4,IF(VALUE(RIGHT($A439,2))&gt;60,"","Powiat "),IF(VALUE(RIGHT($A439,1))=1,"m. ",IF(VALUE(RIGHT($A439,1))=2,"gm. w. ",IF(VALUE(RIGHT($A439,1))=8,"dz. ","gm. m.-w. ")))))&amp;IF(LEN($A439)=2,TRIM(UPPER(VLOOKUP($A439,GUS_tabl_1!$A$7:$B$22,2,FALSE))),IF(ISERROR(FIND("..",TRIM(VLOOKUP(IF(AND(LEN($A439)=4,VALUE(RIGHT($A439,2))&gt;60),$A439&amp;"01 1",$A439),IF(AND(LEN($A439)=4,VALUE(RIGHT($A439,2))&lt;60),GUS_tabl_2!$A$8:$B$464,GUS_tabl_21!$A$5:$B$4886),2,FALSE)))),TRIM(VLOOKUP(IF(AND(LEN($A439)=4,VALUE(RIGHT($A439,2))&gt;60),$A439&amp;"01 1",$A439),IF(AND(LEN($A439)=4,VALUE(RIGHT($A439,2))&lt;60),GUS_tabl_2!$A$8:$B$464,GUS_tabl_21!$A$5:$B$4886),2,FALSE)),LEFT(TRIM(VLOOKUP(IF(AND(LEN($A439)=4,VALUE(RIGHT($A439,2))&gt;60),$A439&amp;"01 1",$A439),IF(AND(LEN($A439)=4,VALUE(RIGHT($A439,2))&lt;60),GUS_tabl_2!$A$8:$B$464,GUS_tabl_21!$A$5:$B$4886),2,FALSE)),SUM(FIND("..",TRIM(VLOOKUP(IF(AND(LEN($A439)=4,VALUE(RIGHT($A439,2))&gt;60),$A439&amp;"01 1",$A439),IF(AND(LEN($A439)=4,VALUE(RIGHT($A439,2))&lt;60),GUS_tabl_2!$A$8:$B$464,GUS_tabl_21!$A$5:$B$4886),2,FALSE))),-1)))))</f>
        <v>gm. w. Żmudź</v>
      </c>
      <c r="D439" s="141">
        <f>IF(OR($A439="",ISERROR(VALUE(LEFT($A439,6)))),"",IF(LEN($A439)=2,SUMIF($A440:$A$2965,$A439&amp;"??",$D440:$D$2965),IF(AND(LEN($A439)=4,VALUE(RIGHT($A439,2))&lt;=60),SUMIF($A440:$A$2965,$A439&amp;"????",$D440:$D$2965),VLOOKUP(IF(LEN($A439)=4,$A439&amp;"01 1",$A439),GUS_tabl_21!$A$5:$F$4886,6,FALSE))))</f>
        <v>3055</v>
      </c>
      <c r="E439" s="29"/>
    </row>
    <row r="440" spans="1:5" ht="12" customHeight="1">
      <c r="A440" s="155" t="str">
        <f>"060315 3"</f>
        <v>060315 3</v>
      </c>
      <c r="B440" s="153" t="s">
        <v>57</v>
      </c>
      <c r="C440" s="159" t="str">
        <f>IF(OR($A440="",ISERROR(VALUE(LEFT($A440,6)))),"",IF(LEN($A440)=2,"WOJ. ",IF(LEN($A440)=4,IF(VALUE(RIGHT($A440,2))&gt;60,"","Powiat "),IF(VALUE(RIGHT($A440,1))=1,"m. ",IF(VALUE(RIGHT($A440,1))=2,"gm. w. ",IF(VALUE(RIGHT($A440,1))=8,"dz. ","gm. m.-w. ")))))&amp;IF(LEN($A440)=2,TRIM(UPPER(VLOOKUP($A440,GUS_tabl_1!$A$7:$B$22,2,FALSE))),IF(ISERROR(FIND("..",TRIM(VLOOKUP(IF(AND(LEN($A440)=4,VALUE(RIGHT($A440,2))&gt;60),$A440&amp;"01 1",$A440),IF(AND(LEN($A440)=4,VALUE(RIGHT($A440,2))&lt;60),GUS_tabl_2!$A$8:$B$464,GUS_tabl_21!$A$5:$B$4886),2,FALSE)))),TRIM(VLOOKUP(IF(AND(LEN($A440)=4,VALUE(RIGHT($A440,2))&gt;60),$A440&amp;"01 1",$A440),IF(AND(LEN($A440)=4,VALUE(RIGHT($A440,2))&lt;60),GUS_tabl_2!$A$8:$B$464,GUS_tabl_21!$A$5:$B$4886),2,FALSE)),LEFT(TRIM(VLOOKUP(IF(AND(LEN($A440)=4,VALUE(RIGHT($A440,2))&gt;60),$A440&amp;"01 1",$A440),IF(AND(LEN($A440)=4,VALUE(RIGHT($A440,2))&lt;60),GUS_tabl_2!$A$8:$B$464,GUS_tabl_21!$A$5:$B$4886),2,FALSE)),SUM(FIND("..",TRIM(VLOOKUP(IF(AND(LEN($A440)=4,VALUE(RIGHT($A440,2))&gt;60),$A440&amp;"01 1",$A440),IF(AND(LEN($A440)=4,VALUE(RIGHT($A440,2))&lt;60),GUS_tabl_2!$A$8:$B$464,GUS_tabl_21!$A$5:$B$4886),2,FALSE))),-1)))))</f>
        <v>gm. m.-w. Rejowiec</v>
      </c>
      <c r="D440" s="141">
        <f>IF(OR($A440="",ISERROR(VALUE(LEFT($A440,6)))),"",IF(LEN($A440)=2,SUMIF($A441:$A$2965,$A440&amp;"??",$D441:$D$2965),IF(AND(LEN($A440)=4,VALUE(RIGHT($A440,2))&lt;=60),SUMIF($A441:$A$2965,$A440&amp;"????",$D441:$D$2965),VLOOKUP(IF(LEN($A440)=4,$A440&amp;"01 1",$A440),GUS_tabl_21!$A$5:$F$4886,6,FALSE))))</f>
        <v>6372</v>
      </c>
      <c r="E440" s="29"/>
    </row>
    <row r="441" spans="1:5" ht="12" customHeight="1">
      <c r="A441" s="152" t="str">
        <f>"0604"</f>
        <v>0604</v>
      </c>
      <c r="B441" s="153" t="s">
        <v>57</v>
      </c>
      <c r="C441" s="154" t="str">
        <f>IF(OR($A441="",ISERROR(VALUE(LEFT($A441,6)))),"",IF(LEN($A441)=2,"WOJ. ",IF(LEN($A441)=4,IF(VALUE(RIGHT($A441,2))&gt;60,"","Powiat "),IF(VALUE(RIGHT($A441,1))=1,"m. ",IF(VALUE(RIGHT($A441,1))=2,"gm. w. ",IF(VALUE(RIGHT($A441,1))=8,"dz. ","gm. m.-w. ")))))&amp;IF(LEN($A441)=2,TRIM(UPPER(VLOOKUP($A441,GUS_tabl_1!$A$7:$B$22,2,FALSE))),IF(ISERROR(FIND("..",TRIM(VLOOKUP(IF(AND(LEN($A441)=4,VALUE(RIGHT($A441,2))&gt;60),$A441&amp;"01 1",$A441),IF(AND(LEN($A441)=4,VALUE(RIGHT($A441,2))&lt;60),GUS_tabl_2!$A$8:$B$464,GUS_tabl_21!$A$5:$B$4886),2,FALSE)))),TRIM(VLOOKUP(IF(AND(LEN($A441)=4,VALUE(RIGHT($A441,2))&gt;60),$A441&amp;"01 1",$A441),IF(AND(LEN($A441)=4,VALUE(RIGHT($A441,2))&lt;60),GUS_tabl_2!$A$8:$B$464,GUS_tabl_21!$A$5:$B$4886),2,FALSE)),LEFT(TRIM(VLOOKUP(IF(AND(LEN($A441)=4,VALUE(RIGHT($A441,2))&gt;60),$A441&amp;"01 1",$A441),IF(AND(LEN($A441)=4,VALUE(RIGHT($A441,2))&lt;60),GUS_tabl_2!$A$8:$B$464,GUS_tabl_21!$A$5:$B$4886),2,FALSE)),SUM(FIND("..",TRIM(VLOOKUP(IF(AND(LEN($A441)=4,VALUE(RIGHT($A441,2))&gt;60),$A441&amp;"01 1",$A441),IF(AND(LEN($A441)=4,VALUE(RIGHT($A441,2))&lt;60),GUS_tabl_2!$A$8:$B$464,GUS_tabl_21!$A$5:$B$4886),2,FALSE))),-1)))))</f>
        <v>Powiat hrubieszowski</v>
      </c>
      <c r="D441" s="140">
        <f>IF(OR($A441="",ISERROR(VALUE(LEFT($A441,6)))),"",IF(LEN($A441)=2,SUMIF($A442:$A$2965,$A441&amp;"??",$D442:$D$2965),IF(AND(LEN($A441)=4,VALUE(RIGHT($A441,2))&lt;=60),SUMIF($A442:$A$2965,$A441&amp;"????",$D442:$D$2965),VLOOKUP(IF(LEN($A441)=4,$A441&amp;"01 1",$A441),GUS_tabl_21!$A$5:$F$4886,6,FALSE))))</f>
        <v>62847</v>
      </c>
      <c r="E441" s="29"/>
    </row>
    <row r="442" spans="1:5" ht="12" customHeight="1">
      <c r="A442" s="155" t="str">
        <f>"060401 1"</f>
        <v>060401 1</v>
      </c>
      <c r="B442" s="153" t="s">
        <v>57</v>
      </c>
      <c r="C442" s="156" t="str">
        <f>IF(OR($A442="",ISERROR(VALUE(LEFT($A442,6)))),"",IF(LEN($A442)=2,"WOJ. ",IF(LEN($A442)=4,IF(VALUE(RIGHT($A442,2))&gt;60,"","Powiat "),IF(VALUE(RIGHT($A442,1))=1,"m. ",IF(VALUE(RIGHT($A442,1))=2,"gm. w. ",IF(VALUE(RIGHT($A442,1))=8,"dz. ","gm. m.-w. ")))))&amp;IF(LEN($A442)=2,TRIM(UPPER(VLOOKUP($A442,GUS_tabl_1!$A$7:$B$22,2,FALSE))),IF(ISERROR(FIND("..",TRIM(VLOOKUP(IF(AND(LEN($A442)=4,VALUE(RIGHT($A442,2))&gt;60),$A442&amp;"01 1",$A442),IF(AND(LEN($A442)=4,VALUE(RIGHT($A442,2))&lt;60),GUS_tabl_2!$A$8:$B$464,GUS_tabl_21!$A$5:$B$4886),2,FALSE)))),TRIM(VLOOKUP(IF(AND(LEN($A442)=4,VALUE(RIGHT($A442,2))&gt;60),$A442&amp;"01 1",$A442),IF(AND(LEN($A442)=4,VALUE(RIGHT($A442,2))&lt;60),GUS_tabl_2!$A$8:$B$464,GUS_tabl_21!$A$5:$B$4886),2,FALSE)),LEFT(TRIM(VLOOKUP(IF(AND(LEN($A442)=4,VALUE(RIGHT($A442,2))&gt;60),$A442&amp;"01 1",$A442),IF(AND(LEN($A442)=4,VALUE(RIGHT($A442,2))&lt;60),GUS_tabl_2!$A$8:$B$464,GUS_tabl_21!$A$5:$B$4886),2,FALSE)),SUM(FIND("..",TRIM(VLOOKUP(IF(AND(LEN($A442)=4,VALUE(RIGHT($A442,2))&gt;60),$A442&amp;"01 1",$A442),IF(AND(LEN($A442)=4,VALUE(RIGHT($A442,2))&lt;60),GUS_tabl_2!$A$8:$B$464,GUS_tabl_21!$A$5:$B$4886),2,FALSE))),-1)))))</f>
        <v>m. Hrubieszów (c)</v>
      </c>
      <c r="D442" s="141">
        <f>IF(OR($A442="",ISERROR(VALUE(LEFT($A442,6)))),"",IF(LEN($A442)=2,SUMIF($A443:$A$2965,$A442&amp;"??",$D443:$D$2965),IF(AND(LEN($A442)=4,VALUE(RIGHT($A442,2))&lt;=60),SUMIF($A443:$A$2965,$A442&amp;"????",$D443:$D$2965),VLOOKUP(IF(LEN($A442)=4,$A442&amp;"01 1",$A442),GUS_tabl_21!$A$5:$F$4886,6,FALSE))))</f>
        <v>17528</v>
      </c>
      <c r="E442" s="29"/>
    </row>
    <row r="443" spans="1:5" ht="12" customHeight="1">
      <c r="A443" s="155" t="str">
        <f>"060402 2"</f>
        <v>060402 2</v>
      </c>
      <c r="B443" s="153" t="s">
        <v>57</v>
      </c>
      <c r="C443" s="156" t="str">
        <f>IF(OR($A443="",ISERROR(VALUE(LEFT($A443,6)))),"",IF(LEN($A443)=2,"WOJ. ",IF(LEN($A443)=4,IF(VALUE(RIGHT($A443,2))&gt;60,"","Powiat "),IF(VALUE(RIGHT($A443,1))=1,"m. ",IF(VALUE(RIGHT($A443,1))=2,"gm. w. ",IF(VALUE(RIGHT($A443,1))=8,"dz. ","gm. m.-w. ")))))&amp;IF(LEN($A443)=2,TRIM(UPPER(VLOOKUP($A443,GUS_tabl_1!$A$7:$B$22,2,FALSE))),IF(ISERROR(FIND("..",TRIM(VLOOKUP(IF(AND(LEN($A443)=4,VALUE(RIGHT($A443,2))&gt;60),$A443&amp;"01 1",$A443),IF(AND(LEN($A443)=4,VALUE(RIGHT($A443,2))&lt;60),GUS_tabl_2!$A$8:$B$464,GUS_tabl_21!$A$5:$B$4886),2,FALSE)))),TRIM(VLOOKUP(IF(AND(LEN($A443)=4,VALUE(RIGHT($A443,2))&gt;60),$A443&amp;"01 1",$A443),IF(AND(LEN($A443)=4,VALUE(RIGHT($A443,2))&lt;60),GUS_tabl_2!$A$8:$B$464,GUS_tabl_21!$A$5:$B$4886),2,FALSE)),LEFT(TRIM(VLOOKUP(IF(AND(LEN($A443)=4,VALUE(RIGHT($A443,2))&gt;60),$A443&amp;"01 1",$A443),IF(AND(LEN($A443)=4,VALUE(RIGHT($A443,2))&lt;60),GUS_tabl_2!$A$8:$B$464,GUS_tabl_21!$A$5:$B$4886),2,FALSE)),SUM(FIND("..",TRIM(VLOOKUP(IF(AND(LEN($A443)=4,VALUE(RIGHT($A443,2))&gt;60),$A443&amp;"01 1",$A443),IF(AND(LEN($A443)=4,VALUE(RIGHT($A443,2))&lt;60),GUS_tabl_2!$A$8:$B$464,GUS_tabl_21!$A$5:$B$4886),2,FALSE))),-1)))))</f>
        <v>gm. w. Dołhobyczów (c)</v>
      </c>
      <c r="D443" s="141">
        <f>IF(OR($A443="",ISERROR(VALUE(LEFT($A443,6)))),"",IF(LEN($A443)=2,SUMIF($A444:$A$2965,$A443&amp;"??",$D444:$D$2965),IF(AND(LEN($A443)=4,VALUE(RIGHT($A443,2))&lt;=60),SUMIF($A444:$A$2965,$A443&amp;"????",$D444:$D$2965),VLOOKUP(IF(LEN($A443)=4,$A443&amp;"01 1",$A443),GUS_tabl_21!$A$5:$F$4886,6,FALSE))))</f>
        <v>5353</v>
      </c>
      <c r="E443" s="29"/>
    </row>
    <row r="444" spans="1:5" ht="12" customHeight="1">
      <c r="A444" s="155" t="str">
        <f>"060403 2"</f>
        <v>060403 2</v>
      </c>
      <c r="B444" s="153" t="s">
        <v>57</v>
      </c>
      <c r="C444" s="156" t="str">
        <f>IF(OR($A444="",ISERROR(VALUE(LEFT($A444,6)))),"",IF(LEN($A444)=2,"WOJ. ",IF(LEN($A444)=4,IF(VALUE(RIGHT($A444,2))&gt;60,"","Powiat "),IF(VALUE(RIGHT($A444,1))=1,"m. ",IF(VALUE(RIGHT($A444,1))=2,"gm. w. ",IF(VALUE(RIGHT($A444,1))=8,"dz. ","gm. m.-w. ")))))&amp;IF(LEN($A444)=2,TRIM(UPPER(VLOOKUP($A444,GUS_tabl_1!$A$7:$B$22,2,FALSE))),IF(ISERROR(FIND("..",TRIM(VLOOKUP(IF(AND(LEN($A444)=4,VALUE(RIGHT($A444,2))&gt;60),$A444&amp;"01 1",$A444),IF(AND(LEN($A444)=4,VALUE(RIGHT($A444,2))&lt;60),GUS_tabl_2!$A$8:$B$464,GUS_tabl_21!$A$5:$B$4886),2,FALSE)))),TRIM(VLOOKUP(IF(AND(LEN($A444)=4,VALUE(RIGHT($A444,2))&gt;60),$A444&amp;"01 1",$A444),IF(AND(LEN($A444)=4,VALUE(RIGHT($A444,2))&lt;60),GUS_tabl_2!$A$8:$B$464,GUS_tabl_21!$A$5:$B$4886),2,FALSE)),LEFT(TRIM(VLOOKUP(IF(AND(LEN($A444)=4,VALUE(RIGHT($A444,2))&gt;60),$A444&amp;"01 1",$A444),IF(AND(LEN($A444)=4,VALUE(RIGHT($A444,2))&lt;60),GUS_tabl_2!$A$8:$B$464,GUS_tabl_21!$A$5:$B$4886),2,FALSE)),SUM(FIND("..",TRIM(VLOOKUP(IF(AND(LEN($A444)=4,VALUE(RIGHT($A444,2))&gt;60),$A444&amp;"01 1",$A444),IF(AND(LEN($A444)=4,VALUE(RIGHT($A444,2))&lt;60),GUS_tabl_2!$A$8:$B$464,GUS_tabl_21!$A$5:$B$4886),2,FALSE))),-1)))))</f>
        <v>gm. w. Horodło (c)</v>
      </c>
      <c r="D444" s="141">
        <f>IF(OR($A444="",ISERROR(VALUE(LEFT($A444,6)))),"",IF(LEN($A444)=2,SUMIF($A445:$A$2965,$A444&amp;"??",$D445:$D$2965),IF(AND(LEN($A444)=4,VALUE(RIGHT($A444,2))&lt;=60),SUMIF($A445:$A$2965,$A444&amp;"????",$D445:$D$2965),VLOOKUP(IF(LEN($A444)=4,$A444&amp;"01 1",$A444),GUS_tabl_21!$A$5:$F$4886,6,FALSE))))</f>
        <v>5102</v>
      </c>
      <c r="E444" s="29"/>
    </row>
    <row r="445" spans="1:5" ht="12" customHeight="1">
      <c r="A445" s="155" t="str">
        <f>"060404 2"</f>
        <v>060404 2</v>
      </c>
      <c r="B445" s="153" t="s">
        <v>57</v>
      </c>
      <c r="C445" s="156" t="str">
        <f>IF(OR($A445="",ISERROR(VALUE(LEFT($A445,6)))),"",IF(LEN($A445)=2,"WOJ. ",IF(LEN($A445)=4,IF(VALUE(RIGHT($A445,2))&gt;60,"","Powiat "),IF(VALUE(RIGHT($A445,1))=1,"m. ",IF(VALUE(RIGHT($A445,1))=2,"gm. w. ",IF(VALUE(RIGHT($A445,1))=8,"dz. ","gm. m.-w. ")))))&amp;IF(LEN($A445)=2,TRIM(UPPER(VLOOKUP($A445,GUS_tabl_1!$A$7:$B$22,2,FALSE))),IF(ISERROR(FIND("..",TRIM(VLOOKUP(IF(AND(LEN($A445)=4,VALUE(RIGHT($A445,2))&gt;60),$A445&amp;"01 1",$A445),IF(AND(LEN($A445)=4,VALUE(RIGHT($A445,2))&lt;60),GUS_tabl_2!$A$8:$B$464,GUS_tabl_21!$A$5:$B$4886),2,FALSE)))),TRIM(VLOOKUP(IF(AND(LEN($A445)=4,VALUE(RIGHT($A445,2))&gt;60),$A445&amp;"01 1",$A445),IF(AND(LEN($A445)=4,VALUE(RIGHT($A445,2))&lt;60),GUS_tabl_2!$A$8:$B$464,GUS_tabl_21!$A$5:$B$4886),2,FALSE)),LEFT(TRIM(VLOOKUP(IF(AND(LEN($A445)=4,VALUE(RIGHT($A445,2))&gt;60),$A445&amp;"01 1",$A445),IF(AND(LEN($A445)=4,VALUE(RIGHT($A445,2))&lt;60),GUS_tabl_2!$A$8:$B$464,GUS_tabl_21!$A$5:$B$4886),2,FALSE)),SUM(FIND("..",TRIM(VLOOKUP(IF(AND(LEN($A445)=4,VALUE(RIGHT($A445,2))&gt;60),$A445&amp;"01 1",$A445),IF(AND(LEN($A445)=4,VALUE(RIGHT($A445,2))&lt;60),GUS_tabl_2!$A$8:$B$464,GUS_tabl_21!$A$5:$B$4886),2,FALSE))),-1)))))</f>
        <v>gm. w. Hrubieszów</v>
      </c>
      <c r="D445" s="141">
        <f>IF(OR($A445="",ISERROR(VALUE(LEFT($A445,6)))),"",IF(LEN($A445)=2,SUMIF($A446:$A$2965,$A445&amp;"??",$D446:$D$2965),IF(AND(LEN($A445)=4,VALUE(RIGHT($A445,2))&lt;=60),SUMIF($A446:$A$2965,$A445&amp;"????",$D446:$D$2965),VLOOKUP(IF(LEN($A445)=4,$A445&amp;"01 1",$A445),GUS_tabl_21!$A$5:$F$4886,6,FALSE))))</f>
        <v>9980</v>
      </c>
      <c r="E445" s="29"/>
    </row>
    <row r="446" spans="1:5" ht="12" customHeight="1">
      <c r="A446" s="155" t="str">
        <f>"060405 2"</f>
        <v>060405 2</v>
      </c>
      <c r="B446" s="153" t="s">
        <v>57</v>
      </c>
      <c r="C446" s="156" t="str">
        <f>IF(OR($A446="",ISERROR(VALUE(LEFT($A446,6)))),"",IF(LEN($A446)=2,"WOJ. ",IF(LEN($A446)=4,IF(VALUE(RIGHT($A446,2))&gt;60,"","Powiat "),IF(VALUE(RIGHT($A446,1))=1,"m. ",IF(VALUE(RIGHT($A446,1))=2,"gm. w. ",IF(VALUE(RIGHT($A446,1))=8,"dz. ","gm. m.-w. ")))))&amp;IF(LEN($A446)=2,TRIM(UPPER(VLOOKUP($A446,GUS_tabl_1!$A$7:$B$22,2,FALSE))),IF(ISERROR(FIND("..",TRIM(VLOOKUP(IF(AND(LEN($A446)=4,VALUE(RIGHT($A446,2))&gt;60),$A446&amp;"01 1",$A446),IF(AND(LEN($A446)=4,VALUE(RIGHT($A446,2))&lt;60),GUS_tabl_2!$A$8:$B$464,GUS_tabl_21!$A$5:$B$4886),2,FALSE)))),TRIM(VLOOKUP(IF(AND(LEN($A446)=4,VALUE(RIGHT($A446,2))&gt;60),$A446&amp;"01 1",$A446),IF(AND(LEN($A446)=4,VALUE(RIGHT($A446,2))&lt;60),GUS_tabl_2!$A$8:$B$464,GUS_tabl_21!$A$5:$B$4886),2,FALSE)),LEFT(TRIM(VLOOKUP(IF(AND(LEN($A446)=4,VALUE(RIGHT($A446,2))&gt;60),$A446&amp;"01 1",$A446),IF(AND(LEN($A446)=4,VALUE(RIGHT($A446,2))&lt;60),GUS_tabl_2!$A$8:$B$464,GUS_tabl_21!$A$5:$B$4886),2,FALSE)),SUM(FIND("..",TRIM(VLOOKUP(IF(AND(LEN($A446)=4,VALUE(RIGHT($A446,2))&gt;60),$A446&amp;"01 1",$A446),IF(AND(LEN($A446)=4,VALUE(RIGHT($A446,2))&lt;60),GUS_tabl_2!$A$8:$B$464,GUS_tabl_21!$A$5:$B$4886),2,FALSE))),-1)))))</f>
        <v>gm. w. Mircze</v>
      </c>
      <c r="D446" s="141">
        <f>IF(OR($A446="",ISERROR(VALUE(LEFT($A446,6)))),"",IF(LEN($A446)=2,SUMIF($A447:$A$2965,$A446&amp;"??",$D447:$D$2965),IF(AND(LEN($A446)=4,VALUE(RIGHT($A446,2))&lt;=60),SUMIF($A447:$A$2965,$A446&amp;"????",$D447:$D$2965),VLOOKUP(IF(LEN($A446)=4,$A446&amp;"01 1",$A446),GUS_tabl_21!$A$5:$F$4886,6,FALSE))))</f>
        <v>7007</v>
      </c>
      <c r="E446" s="29"/>
    </row>
    <row r="447" spans="1:5" ht="12" customHeight="1">
      <c r="A447" s="155" t="str">
        <f>"060406 2"</f>
        <v>060406 2</v>
      </c>
      <c r="B447" s="153" t="s">
        <v>57</v>
      </c>
      <c r="C447" s="156" t="str">
        <f>IF(OR($A447="",ISERROR(VALUE(LEFT($A447,6)))),"",IF(LEN($A447)=2,"WOJ. ",IF(LEN($A447)=4,IF(VALUE(RIGHT($A447,2))&gt;60,"","Powiat "),IF(VALUE(RIGHT($A447,1))=1,"m. ",IF(VALUE(RIGHT($A447,1))=2,"gm. w. ",IF(VALUE(RIGHT($A447,1))=8,"dz. ","gm. m.-w. ")))))&amp;IF(LEN($A447)=2,TRIM(UPPER(VLOOKUP($A447,GUS_tabl_1!$A$7:$B$22,2,FALSE))),IF(ISERROR(FIND("..",TRIM(VLOOKUP(IF(AND(LEN($A447)=4,VALUE(RIGHT($A447,2))&gt;60),$A447&amp;"01 1",$A447),IF(AND(LEN($A447)=4,VALUE(RIGHT($A447,2))&lt;60),GUS_tabl_2!$A$8:$B$464,GUS_tabl_21!$A$5:$B$4886),2,FALSE)))),TRIM(VLOOKUP(IF(AND(LEN($A447)=4,VALUE(RIGHT($A447,2))&gt;60),$A447&amp;"01 1",$A447),IF(AND(LEN($A447)=4,VALUE(RIGHT($A447,2))&lt;60),GUS_tabl_2!$A$8:$B$464,GUS_tabl_21!$A$5:$B$4886),2,FALSE)),LEFT(TRIM(VLOOKUP(IF(AND(LEN($A447)=4,VALUE(RIGHT($A447,2))&gt;60),$A447&amp;"01 1",$A447),IF(AND(LEN($A447)=4,VALUE(RIGHT($A447,2))&lt;60),GUS_tabl_2!$A$8:$B$464,GUS_tabl_21!$A$5:$B$4886),2,FALSE)),SUM(FIND("..",TRIM(VLOOKUP(IF(AND(LEN($A447)=4,VALUE(RIGHT($A447,2))&gt;60),$A447&amp;"01 1",$A447),IF(AND(LEN($A447)=4,VALUE(RIGHT($A447,2))&lt;60),GUS_tabl_2!$A$8:$B$464,GUS_tabl_21!$A$5:$B$4886),2,FALSE))),-1)))))</f>
        <v>gm. w. Trzeszczany</v>
      </c>
      <c r="D447" s="141">
        <f>IF(OR($A447="",ISERROR(VALUE(LEFT($A447,6)))),"",IF(LEN($A447)=2,SUMIF($A448:$A$2965,$A447&amp;"??",$D448:$D$2965),IF(AND(LEN($A447)=4,VALUE(RIGHT($A447,2))&lt;=60),SUMIF($A448:$A$2965,$A447&amp;"????",$D448:$D$2965),VLOOKUP(IF(LEN($A447)=4,$A447&amp;"01 1",$A447),GUS_tabl_21!$A$5:$F$4886,6,FALSE))))</f>
        <v>4091</v>
      </c>
      <c r="E447" s="29"/>
    </row>
    <row r="448" spans="1:5" ht="12" customHeight="1">
      <c r="A448" s="155" t="str">
        <f>"060407 2"</f>
        <v>060407 2</v>
      </c>
      <c r="B448" s="153" t="s">
        <v>57</v>
      </c>
      <c r="C448" s="156" t="str">
        <f>IF(OR($A448="",ISERROR(VALUE(LEFT($A448,6)))),"",IF(LEN($A448)=2,"WOJ. ",IF(LEN($A448)=4,IF(VALUE(RIGHT($A448,2))&gt;60,"","Powiat "),IF(VALUE(RIGHT($A448,1))=1,"m. ",IF(VALUE(RIGHT($A448,1))=2,"gm. w. ",IF(VALUE(RIGHT($A448,1))=8,"dz. ","gm. m.-w. ")))))&amp;IF(LEN($A448)=2,TRIM(UPPER(VLOOKUP($A448,GUS_tabl_1!$A$7:$B$22,2,FALSE))),IF(ISERROR(FIND("..",TRIM(VLOOKUP(IF(AND(LEN($A448)=4,VALUE(RIGHT($A448,2))&gt;60),$A448&amp;"01 1",$A448),IF(AND(LEN($A448)=4,VALUE(RIGHT($A448,2))&lt;60),GUS_tabl_2!$A$8:$B$464,GUS_tabl_21!$A$5:$B$4886),2,FALSE)))),TRIM(VLOOKUP(IF(AND(LEN($A448)=4,VALUE(RIGHT($A448,2))&gt;60),$A448&amp;"01 1",$A448),IF(AND(LEN($A448)=4,VALUE(RIGHT($A448,2))&lt;60),GUS_tabl_2!$A$8:$B$464,GUS_tabl_21!$A$5:$B$4886),2,FALSE)),LEFT(TRIM(VLOOKUP(IF(AND(LEN($A448)=4,VALUE(RIGHT($A448,2))&gt;60),$A448&amp;"01 1",$A448),IF(AND(LEN($A448)=4,VALUE(RIGHT($A448,2))&lt;60),GUS_tabl_2!$A$8:$B$464,GUS_tabl_21!$A$5:$B$4886),2,FALSE)),SUM(FIND("..",TRIM(VLOOKUP(IF(AND(LEN($A448)=4,VALUE(RIGHT($A448,2))&gt;60),$A448&amp;"01 1",$A448),IF(AND(LEN($A448)=4,VALUE(RIGHT($A448,2))&lt;60),GUS_tabl_2!$A$8:$B$464,GUS_tabl_21!$A$5:$B$4886),2,FALSE))),-1)))))</f>
        <v>gm. w. Uchanie</v>
      </c>
      <c r="D448" s="141">
        <f>IF(OR($A448="",ISERROR(VALUE(LEFT($A448,6)))),"",IF(LEN($A448)=2,SUMIF($A449:$A$2965,$A448&amp;"??",$D449:$D$2965),IF(AND(LEN($A448)=4,VALUE(RIGHT($A448,2))&lt;=60),SUMIF($A449:$A$2965,$A448&amp;"????",$D449:$D$2965),VLOOKUP(IF(LEN($A448)=4,$A448&amp;"01 1",$A448),GUS_tabl_21!$A$5:$F$4886,6,FALSE))))</f>
        <v>4514</v>
      </c>
      <c r="E448" s="29"/>
    </row>
    <row r="449" spans="1:5" ht="12" customHeight="1">
      <c r="A449" s="155" t="str">
        <f>"060408 2"</f>
        <v>060408 2</v>
      </c>
      <c r="B449" s="153" t="s">
        <v>57</v>
      </c>
      <c r="C449" s="156" t="str">
        <f>IF(OR($A449="",ISERROR(VALUE(LEFT($A449,6)))),"",IF(LEN($A449)=2,"WOJ. ",IF(LEN($A449)=4,IF(VALUE(RIGHT($A449,2))&gt;60,"","Powiat "),IF(VALUE(RIGHT($A449,1))=1,"m. ",IF(VALUE(RIGHT($A449,1))=2,"gm. w. ",IF(VALUE(RIGHT($A449,1))=8,"dz. ","gm. m.-w. ")))))&amp;IF(LEN($A449)=2,TRIM(UPPER(VLOOKUP($A449,GUS_tabl_1!$A$7:$B$22,2,FALSE))),IF(ISERROR(FIND("..",TRIM(VLOOKUP(IF(AND(LEN($A449)=4,VALUE(RIGHT($A449,2))&gt;60),$A449&amp;"01 1",$A449),IF(AND(LEN($A449)=4,VALUE(RIGHT($A449,2))&lt;60),GUS_tabl_2!$A$8:$B$464,GUS_tabl_21!$A$5:$B$4886),2,FALSE)))),TRIM(VLOOKUP(IF(AND(LEN($A449)=4,VALUE(RIGHT($A449,2))&gt;60),$A449&amp;"01 1",$A449),IF(AND(LEN($A449)=4,VALUE(RIGHT($A449,2))&lt;60),GUS_tabl_2!$A$8:$B$464,GUS_tabl_21!$A$5:$B$4886),2,FALSE)),LEFT(TRIM(VLOOKUP(IF(AND(LEN($A449)=4,VALUE(RIGHT($A449,2))&gt;60),$A449&amp;"01 1",$A449),IF(AND(LEN($A449)=4,VALUE(RIGHT($A449,2))&lt;60),GUS_tabl_2!$A$8:$B$464,GUS_tabl_21!$A$5:$B$4886),2,FALSE)),SUM(FIND("..",TRIM(VLOOKUP(IF(AND(LEN($A449)=4,VALUE(RIGHT($A449,2))&gt;60),$A449&amp;"01 1",$A449),IF(AND(LEN($A449)=4,VALUE(RIGHT($A449,2))&lt;60),GUS_tabl_2!$A$8:$B$464,GUS_tabl_21!$A$5:$B$4886),2,FALSE))),-1)))))</f>
        <v>gm. w. Werbkowice</v>
      </c>
      <c r="D449" s="141">
        <f>IF(OR($A449="",ISERROR(VALUE(LEFT($A449,6)))),"",IF(LEN($A449)=2,SUMIF($A450:$A$2965,$A449&amp;"??",$D450:$D$2965),IF(AND(LEN($A449)=4,VALUE(RIGHT($A449,2))&lt;=60),SUMIF($A450:$A$2965,$A449&amp;"????",$D450:$D$2965),VLOOKUP(IF(LEN($A449)=4,$A449&amp;"01 1",$A449),GUS_tabl_21!$A$5:$F$4886,6,FALSE))))</f>
        <v>9272</v>
      </c>
      <c r="E449" s="29"/>
    </row>
    <row r="450" spans="1:5" ht="12" customHeight="1">
      <c r="A450" s="152" t="str">
        <f>"0605"</f>
        <v>0605</v>
      </c>
      <c r="B450" s="153" t="s">
        <v>57</v>
      </c>
      <c r="C450" s="154" t="str">
        <f>IF(OR($A450="",ISERROR(VALUE(LEFT($A450,6)))),"",IF(LEN($A450)=2,"WOJ. ",IF(LEN($A450)=4,IF(VALUE(RIGHT($A450,2))&gt;60,"","Powiat "),IF(VALUE(RIGHT($A450,1))=1,"m. ",IF(VALUE(RIGHT($A450,1))=2,"gm. w. ",IF(VALUE(RIGHT($A450,1))=8,"dz. ","gm. m.-w. ")))))&amp;IF(LEN($A450)=2,TRIM(UPPER(VLOOKUP($A450,GUS_tabl_1!$A$7:$B$22,2,FALSE))),IF(ISERROR(FIND("..",TRIM(VLOOKUP(IF(AND(LEN($A450)=4,VALUE(RIGHT($A450,2))&gt;60),$A450&amp;"01 1",$A450),IF(AND(LEN($A450)=4,VALUE(RIGHT($A450,2))&lt;60),GUS_tabl_2!$A$8:$B$464,GUS_tabl_21!$A$5:$B$4886),2,FALSE)))),TRIM(VLOOKUP(IF(AND(LEN($A450)=4,VALUE(RIGHT($A450,2))&gt;60),$A450&amp;"01 1",$A450),IF(AND(LEN($A450)=4,VALUE(RIGHT($A450,2))&lt;60),GUS_tabl_2!$A$8:$B$464,GUS_tabl_21!$A$5:$B$4886),2,FALSE)),LEFT(TRIM(VLOOKUP(IF(AND(LEN($A450)=4,VALUE(RIGHT($A450,2))&gt;60),$A450&amp;"01 1",$A450),IF(AND(LEN($A450)=4,VALUE(RIGHT($A450,2))&lt;60),GUS_tabl_2!$A$8:$B$464,GUS_tabl_21!$A$5:$B$4886),2,FALSE)),SUM(FIND("..",TRIM(VLOOKUP(IF(AND(LEN($A450)=4,VALUE(RIGHT($A450,2))&gt;60),$A450&amp;"01 1",$A450),IF(AND(LEN($A450)=4,VALUE(RIGHT($A450,2))&lt;60),GUS_tabl_2!$A$8:$B$464,GUS_tabl_21!$A$5:$B$4886),2,FALSE))),-1)))))</f>
        <v>Powiat janowski</v>
      </c>
      <c r="D450" s="140">
        <f>IF(OR($A450="",ISERROR(VALUE(LEFT($A450,6)))),"",IF(LEN($A450)=2,SUMIF($A451:$A$2965,$A450&amp;"??",$D451:$D$2965),IF(AND(LEN($A450)=4,VALUE(RIGHT($A450,2))&lt;=60),SUMIF($A451:$A$2965,$A450&amp;"????",$D451:$D$2965),VLOOKUP(IF(LEN($A450)=4,$A450&amp;"01 1",$A450),GUS_tabl_21!$A$5:$F$4886,6,FALSE))))</f>
        <v>45709</v>
      </c>
      <c r="E450" s="29"/>
    </row>
    <row r="451" spans="1:5" ht="12" customHeight="1">
      <c r="A451" s="155" t="str">
        <f>"060501 2"</f>
        <v>060501 2</v>
      </c>
      <c r="B451" s="153" t="s">
        <v>57</v>
      </c>
      <c r="C451" s="156" t="str">
        <f>IF(OR($A451="",ISERROR(VALUE(LEFT($A451,6)))),"",IF(LEN($A451)=2,"WOJ. ",IF(LEN($A451)=4,IF(VALUE(RIGHT($A451,2))&gt;60,"","Powiat "),IF(VALUE(RIGHT($A451,1))=1,"m. ",IF(VALUE(RIGHT($A451,1))=2,"gm. w. ",IF(VALUE(RIGHT($A451,1))=8,"dz. ","gm. m.-w. ")))))&amp;IF(LEN($A451)=2,TRIM(UPPER(VLOOKUP($A451,GUS_tabl_1!$A$7:$B$22,2,FALSE))),IF(ISERROR(FIND("..",TRIM(VLOOKUP(IF(AND(LEN($A451)=4,VALUE(RIGHT($A451,2))&gt;60),$A451&amp;"01 1",$A451),IF(AND(LEN($A451)=4,VALUE(RIGHT($A451,2))&lt;60),GUS_tabl_2!$A$8:$B$464,GUS_tabl_21!$A$5:$B$4886),2,FALSE)))),TRIM(VLOOKUP(IF(AND(LEN($A451)=4,VALUE(RIGHT($A451,2))&gt;60),$A451&amp;"01 1",$A451),IF(AND(LEN($A451)=4,VALUE(RIGHT($A451,2))&lt;60),GUS_tabl_2!$A$8:$B$464,GUS_tabl_21!$A$5:$B$4886),2,FALSE)),LEFT(TRIM(VLOOKUP(IF(AND(LEN($A451)=4,VALUE(RIGHT($A451,2))&gt;60),$A451&amp;"01 1",$A451),IF(AND(LEN($A451)=4,VALUE(RIGHT($A451,2))&lt;60),GUS_tabl_2!$A$8:$B$464,GUS_tabl_21!$A$5:$B$4886),2,FALSE)),SUM(FIND("..",TRIM(VLOOKUP(IF(AND(LEN($A451)=4,VALUE(RIGHT($A451,2))&gt;60),$A451&amp;"01 1",$A451),IF(AND(LEN($A451)=4,VALUE(RIGHT($A451,2))&lt;60),GUS_tabl_2!$A$8:$B$464,GUS_tabl_21!$A$5:$B$4886),2,FALSE))),-1)))))</f>
        <v>gm. w. Batorz</v>
      </c>
      <c r="D451" s="141">
        <f>IF(OR($A451="",ISERROR(VALUE(LEFT($A451,6)))),"",IF(LEN($A451)=2,SUMIF($A452:$A$2965,$A451&amp;"??",$D452:$D$2965),IF(AND(LEN($A451)=4,VALUE(RIGHT($A451,2))&lt;=60),SUMIF($A452:$A$2965,$A451&amp;"????",$D452:$D$2965),VLOOKUP(IF(LEN($A451)=4,$A451&amp;"01 1",$A451),GUS_tabl_21!$A$5:$F$4886,6,FALSE))))</f>
        <v>3264</v>
      </c>
      <c r="E451" s="29"/>
    </row>
    <row r="452" spans="1:5" ht="12" customHeight="1">
      <c r="A452" s="155" t="str">
        <f>"060502 2"</f>
        <v>060502 2</v>
      </c>
      <c r="B452" s="153" t="s">
        <v>57</v>
      </c>
      <c r="C452" s="156" t="str">
        <f>IF(OR($A452="",ISERROR(VALUE(LEFT($A452,6)))),"",IF(LEN($A452)=2,"WOJ. ",IF(LEN($A452)=4,IF(VALUE(RIGHT($A452,2))&gt;60,"","Powiat "),IF(VALUE(RIGHT($A452,1))=1,"m. ",IF(VALUE(RIGHT($A452,1))=2,"gm. w. ",IF(VALUE(RIGHT($A452,1))=8,"dz. ","gm. m.-w. ")))))&amp;IF(LEN($A452)=2,TRIM(UPPER(VLOOKUP($A452,GUS_tabl_1!$A$7:$B$22,2,FALSE))),IF(ISERROR(FIND("..",TRIM(VLOOKUP(IF(AND(LEN($A452)=4,VALUE(RIGHT($A452,2))&gt;60),$A452&amp;"01 1",$A452),IF(AND(LEN($A452)=4,VALUE(RIGHT($A452,2))&lt;60),GUS_tabl_2!$A$8:$B$464,GUS_tabl_21!$A$5:$B$4886),2,FALSE)))),TRIM(VLOOKUP(IF(AND(LEN($A452)=4,VALUE(RIGHT($A452,2))&gt;60),$A452&amp;"01 1",$A452),IF(AND(LEN($A452)=4,VALUE(RIGHT($A452,2))&lt;60),GUS_tabl_2!$A$8:$B$464,GUS_tabl_21!$A$5:$B$4886),2,FALSE)),LEFT(TRIM(VLOOKUP(IF(AND(LEN($A452)=4,VALUE(RIGHT($A452,2))&gt;60),$A452&amp;"01 1",$A452),IF(AND(LEN($A452)=4,VALUE(RIGHT($A452,2))&lt;60),GUS_tabl_2!$A$8:$B$464,GUS_tabl_21!$A$5:$B$4886),2,FALSE)),SUM(FIND("..",TRIM(VLOOKUP(IF(AND(LEN($A452)=4,VALUE(RIGHT($A452,2))&gt;60),$A452&amp;"01 1",$A452),IF(AND(LEN($A452)=4,VALUE(RIGHT($A452,2))&lt;60),GUS_tabl_2!$A$8:$B$464,GUS_tabl_21!$A$5:$B$4886),2,FALSE))),-1)))))</f>
        <v>gm. w. Chrzanów</v>
      </c>
      <c r="D452" s="141">
        <f>IF(OR($A452="",ISERROR(VALUE(LEFT($A452,6)))),"",IF(LEN($A452)=2,SUMIF($A453:$A$2965,$A452&amp;"??",$D453:$D$2965),IF(AND(LEN($A452)=4,VALUE(RIGHT($A452,2))&lt;=60),SUMIF($A453:$A$2965,$A452&amp;"????",$D453:$D$2965),VLOOKUP(IF(LEN($A452)=4,$A452&amp;"01 1",$A452),GUS_tabl_21!$A$5:$F$4886,6,FALSE))))</f>
        <v>2921</v>
      </c>
      <c r="E452" s="29"/>
    </row>
    <row r="453" spans="1:5" ht="12" customHeight="1">
      <c r="A453" s="155" t="str">
        <f>"060503 2"</f>
        <v>060503 2</v>
      </c>
      <c r="B453" s="153" t="s">
        <v>57</v>
      </c>
      <c r="C453" s="156" t="str">
        <f>IF(OR($A453="",ISERROR(VALUE(LEFT($A453,6)))),"",IF(LEN($A453)=2,"WOJ. ",IF(LEN($A453)=4,IF(VALUE(RIGHT($A453,2))&gt;60,"","Powiat "),IF(VALUE(RIGHT($A453,1))=1,"m. ",IF(VALUE(RIGHT($A453,1))=2,"gm. w. ",IF(VALUE(RIGHT($A453,1))=8,"dz. ","gm. m.-w. ")))))&amp;IF(LEN($A453)=2,TRIM(UPPER(VLOOKUP($A453,GUS_tabl_1!$A$7:$B$22,2,FALSE))),IF(ISERROR(FIND("..",TRIM(VLOOKUP(IF(AND(LEN($A453)=4,VALUE(RIGHT($A453,2))&gt;60),$A453&amp;"01 1",$A453),IF(AND(LEN($A453)=4,VALUE(RIGHT($A453,2))&lt;60),GUS_tabl_2!$A$8:$B$464,GUS_tabl_21!$A$5:$B$4886),2,FALSE)))),TRIM(VLOOKUP(IF(AND(LEN($A453)=4,VALUE(RIGHT($A453,2))&gt;60),$A453&amp;"01 1",$A453),IF(AND(LEN($A453)=4,VALUE(RIGHT($A453,2))&lt;60),GUS_tabl_2!$A$8:$B$464,GUS_tabl_21!$A$5:$B$4886),2,FALSE)),LEFT(TRIM(VLOOKUP(IF(AND(LEN($A453)=4,VALUE(RIGHT($A453,2))&gt;60),$A453&amp;"01 1",$A453),IF(AND(LEN($A453)=4,VALUE(RIGHT($A453,2))&lt;60),GUS_tabl_2!$A$8:$B$464,GUS_tabl_21!$A$5:$B$4886),2,FALSE)),SUM(FIND("..",TRIM(VLOOKUP(IF(AND(LEN($A453)=4,VALUE(RIGHT($A453,2))&gt;60),$A453&amp;"01 1",$A453),IF(AND(LEN($A453)=4,VALUE(RIGHT($A453,2))&lt;60),GUS_tabl_2!$A$8:$B$464,GUS_tabl_21!$A$5:$B$4886),2,FALSE))),-1)))))</f>
        <v>gm. w. Dzwola</v>
      </c>
      <c r="D453" s="141">
        <f>IF(OR($A453="",ISERROR(VALUE(LEFT($A453,6)))),"",IF(LEN($A453)=2,SUMIF($A454:$A$2965,$A453&amp;"??",$D454:$D$2965),IF(AND(LEN($A453)=4,VALUE(RIGHT($A453,2))&lt;=60),SUMIF($A454:$A$2965,$A453&amp;"????",$D454:$D$2965),VLOOKUP(IF(LEN($A453)=4,$A453&amp;"01 1",$A453),GUS_tabl_21!$A$5:$F$4886,6,FALSE))))</f>
        <v>6241</v>
      </c>
      <c r="E453" s="29"/>
    </row>
    <row r="454" spans="1:5" ht="12" customHeight="1">
      <c r="A454" s="155" t="str">
        <f>"060504 2"</f>
        <v>060504 2</v>
      </c>
      <c r="B454" s="153" t="s">
        <v>57</v>
      </c>
      <c r="C454" s="156" t="str">
        <f>IF(OR($A454="",ISERROR(VALUE(LEFT($A454,6)))),"",IF(LEN($A454)=2,"WOJ. ",IF(LEN($A454)=4,IF(VALUE(RIGHT($A454,2))&gt;60,"","Powiat "),IF(VALUE(RIGHT($A454,1))=1,"m. ",IF(VALUE(RIGHT($A454,1))=2,"gm. w. ",IF(VALUE(RIGHT($A454,1))=8,"dz. ","gm. m.-w. ")))))&amp;IF(LEN($A454)=2,TRIM(UPPER(VLOOKUP($A454,GUS_tabl_1!$A$7:$B$22,2,FALSE))),IF(ISERROR(FIND("..",TRIM(VLOOKUP(IF(AND(LEN($A454)=4,VALUE(RIGHT($A454,2))&gt;60),$A454&amp;"01 1",$A454),IF(AND(LEN($A454)=4,VALUE(RIGHT($A454,2))&lt;60),GUS_tabl_2!$A$8:$B$464,GUS_tabl_21!$A$5:$B$4886),2,FALSE)))),TRIM(VLOOKUP(IF(AND(LEN($A454)=4,VALUE(RIGHT($A454,2))&gt;60),$A454&amp;"01 1",$A454),IF(AND(LEN($A454)=4,VALUE(RIGHT($A454,2))&lt;60),GUS_tabl_2!$A$8:$B$464,GUS_tabl_21!$A$5:$B$4886),2,FALSE)),LEFT(TRIM(VLOOKUP(IF(AND(LEN($A454)=4,VALUE(RIGHT($A454,2))&gt;60),$A454&amp;"01 1",$A454),IF(AND(LEN($A454)=4,VALUE(RIGHT($A454,2))&lt;60),GUS_tabl_2!$A$8:$B$464,GUS_tabl_21!$A$5:$B$4886),2,FALSE)),SUM(FIND("..",TRIM(VLOOKUP(IF(AND(LEN($A454)=4,VALUE(RIGHT($A454,2))&gt;60),$A454&amp;"01 1",$A454),IF(AND(LEN($A454)=4,VALUE(RIGHT($A454,2))&lt;60),GUS_tabl_2!$A$8:$B$464,GUS_tabl_21!$A$5:$B$4886),2,FALSE))),-1)))))</f>
        <v>gm. w. Godziszów</v>
      </c>
      <c r="D454" s="141">
        <f>IF(OR($A454="",ISERROR(VALUE(LEFT($A454,6)))),"",IF(LEN($A454)=2,SUMIF($A455:$A$2965,$A454&amp;"??",$D455:$D$2965),IF(AND(LEN($A454)=4,VALUE(RIGHT($A454,2))&lt;=60),SUMIF($A455:$A$2965,$A454&amp;"????",$D455:$D$2965),VLOOKUP(IF(LEN($A454)=4,$A454&amp;"01 1",$A454),GUS_tabl_21!$A$5:$F$4886,6,FALSE))))</f>
        <v>5801</v>
      </c>
      <c r="E454" s="29"/>
    </row>
    <row r="455" spans="1:5" ht="12" customHeight="1">
      <c r="A455" s="155" t="str">
        <f>"060505 3"</f>
        <v>060505 3</v>
      </c>
      <c r="B455" s="153" t="s">
        <v>57</v>
      </c>
      <c r="C455" s="156" t="str">
        <f>IF(OR($A455="",ISERROR(VALUE(LEFT($A455,6)))),"",IF(LEN($A455)=2,"WOJ. ",IF(LEN($A455)=4,IF(VALUE(RIGHT($A455,2))&gt;60,"","Powiat "),IF(VALUE(RIGHT($A455,1))=1,"m. ",IF(VALUE(RIGHT($A455,1))=2,"gm. w. ",IF(VALUE(RIGHT($A455,1))=8,"dz. ","gm. m.-w. ")))))&amp;IF(LEN($A455)=2,TRIM(UPPER(VLOOKUP($A455,GUS_tabl_1!$A$7:$B$22,2,FALSE))),IF(ISERROR(FIND("..",TRIM(VLOOKUP(IF(AND(LEN($A455)=4,VALUE(RIGHT($A455,2))&gt;60),$A455&amp;"01 1",$A455),IF(AND(LEN($A455)=4,VALUE(RIGHT($A455,2))&lt;60),GUS_tabl_2!$A$8:$B$464,GUS_tabl_21!$A$5:$B$4886),2,FALSE)))),TRIM(VLOOKUP(IF(AND(LEN($A455)=4,VALUE(RIGHT($A455,2))&gt;60),$A455&amp;"01 1",$A455),IF(AND(LEN($A455)=4,VALUE(RIGHT($A455,2))&lt;60),GUS_tabl_2!$A$8:$B$464,GUS_tabl_21!$A$5:$B$4886),2,FALSE)),LEFT(TRIM(VLOOKUP(IF(AND(LEN($A455)=4,VALUE(RIGHT($A455,2))&gt;60),$A455&amp;"01 1",$A455),IF(AND(LEN($A455)=4,VALUE(RIGHT($A455,2))&lt;60),GUS_tabl_2!$A$8:$B$464,GUS_tabl_21!$A$5:$B$4886),2,FALSE)),SUM(FIND("..",TRIM(VLOOKUP(IF(AND(LEN($A455)=4,VALUE(RIGHT($A455,2))&gt;60),$A455&amp;"01 1",$A455),IF(AND(LEN($A455)=4,VALUE(RIGHT($A455,2))&lt;60),GUS_tabl_2!$A$8:$B$464,GUS_tabl_21!$A$5:$B$4886),2,FALSE))),-1)))))</f>
        <v>gm. m.-w. Janów Lubelski</v>
      </c>
      <c r="D455" s="141">
        <f>IF(OR($A455="",ISERROR(VALUE(LEFT($A455,6)))),"",IF(LEN($A455)=2,SUMIF($A456:$A$2965,$A455&amp;"??",$D456:$D$2965),IF(AND(LEN($A455)=4,VALUE(RIGHT($A455,2))&lt;=60),SUMIF($A456:$A$2965,$A455&amp;"????",$D456:$D$2965),VLOOKUP(IF(LEN($A455)=4,$A455&amp;"01 1",$A455),GUS_tabl_21!$A$5:$F$4886,6,FALSE))))</f>
        <v>15874</v>
      </c>
      <c r="E455" s="29"/>
    </row>
    <row r="456" spans="1:5" ht="12" customHeight="1">
      <c r="A456" s="155" t="str">
        <f>"060506 3"</f>
        <v>060506 3</v>
      </c>
      <c r="B456" s="153" t="s">
        <v>57</v>
      </c>
      <c r="C456" s="159" t="str">
        <f>IF(OR($A456="",ISERROR(VALUE(LEFT($A456,6)))),"",IF(LEN($A456)=2,"WOJ. ",IF(LEN($A456)=4,IF(VALUE(RIGHT($A456,2))&gt;60,"","Powiat "),IF(VALUE(RIGHT($A456,1))=1,"m. ",IF(VALUE(RIGHT($A456,1))=2,"gm. w. ",IF(VALUE(RIGHT($A456,1))=8,"dz. ","gm. m.-w. ")))))&amp;IF(LEN($A456)=2,TRIM(UPPER(VLOOKUP($A456,GUS_tabl_1!$A$7:$B$22,2,FALSE))),IF(ISERROR(FIND("..",TRIM(VLOOKUP(IF(AND(LEN($A456)=4,VALUE(RIGHT($A456,2))&gt;60),$A456&amp;"01 1",$A456),IF(AND(LEN($A456)=4,VALUE(RIGHT($A456,2))&lt;60),GUS_tabl_2!$A$8:$B$464,GUS_tabl_21!$A$5:$B$4886),2,FALSE)))),TRIM(VLOOKUP(IF(AND(LEN($A456)=4,VALUE(RIGHT($A456,2))&gt;60),$A456&amp;"01 1",$A456),IF(AND(LEN($A456)=4,VALUE(RIGHT($A456,2))&lt;60),GUS_tabl_2!$A$8:$B$464,GUS_tabl_21!$A$5:$B$4886),2,FALSE)),LEFT(TRIM(VLOOKUP(IF(AND(LEN($A456)=4,VALUE(RIGHT($A456,2))&gt;60),$A456&amp;"01 1",$A456),IF(AND(LEN($A456)=4,VALUE(RIGHT($A456,2))&lt;60),GUS_tabl_2!$A$8:$B$464,GUS_tabl_21!$A$5:$B$4886),2,FALSE)),SUM(FIND("..",TRIM(VLOOKUP(IF(AND(LEN($A456)=4,VALUE(RIGHT($A456,2))&gt;60),$A456&amp;"01 1",$A456),IF(AND(LEN($A456)=4,VALUE(RIGHT($A456,2))&lt;60),GUS_tabl_2!$A$8:$B$464,GUS_tabl_21!$A$5:$B$4886),2,FALSE))),-1)))))</f>
        <v>gm. m.-w. Modliborzyce</v>
      </c>
      <c r="D456" s="141">
        <f>IF(OR($A456="",ISERROR(VALUE(LEFT($A456,6)))),"",IF(LEN($A456)=2,SUMIF($A457:$A$2965,$A456&amp;"??",$D457:$D$2965),IF(AND(LEN($A456)=4,VALUE(RIGHT($A456,2))&lt;=60),SUMIF($A457:$A$2965,$A456&amp;"????",$D457:$D$2965),VLOOKUP(IF(LEN($A456)=4,$A456&amp;"01 1",$A456),GUS_tabl_21!$A$5:$F$4886,6,FALSE))))</f>
        <v>6957</v>
      </c>
      <c r="E456" s="29"/>
    </row>
    <row r="457" spans="1:5" ht="12" customHeight="1">
      <c r="A457" s="155" t="str">
        <f>"060507 2"</f>
        <v>060507 2</v>
      </c>
      <c r="B457" s="153" t="s">
        <v>57</v>
      </c>
      <c r="C457" s="156" t="str">
        <f>IF(OR($A457="",ISERROR(VALUE(LEFT($A457,6)))),"",IF(LEN($A457)=2,"WOJ. ",IF(LEN($A457)=4,IF(VALUE(RIGHT($A457,2))&gt;60,"","Powiat "),IF(VALUE(RIGHT($A457,1))=1,"m. ",IF(VALUE(RIGHT($A457,1))=2,"gm. w. ",IF(VALUE(RIGHT($A457,1))=8,"dz. ","gm. m.-w. ")))))&amp;IF(LEN($A457)=2,TRIM(UPPER(VLOOKUP($A457,GUS_tabl_1!$A$7:$B$22,2,FALSE))),IF(ISERROR(FIND("..",TRIM(VLOOKUP(IF(AND(LEN($A457)=4,VALUE(RIGHT($A457,2))&gt;60),$A457&amp;"01 1",$A457),IF(AND(LEN($A457)=4,VALUE(RIGHT($A457,2))&lt;60),GUS_tabl_2!$A$8:$B$464,GUS_tabl_21!$A$5:$B$4886),2,FALSE)))),TRIM(VLOOKUP(IF(AND(LEN($A457)=4,VALUE(RIGHT($A457,2))&gt;60),$A457&amp;"01 1",$A457),IF(AND(LEN($A457)=4,VALUE(RIGHT($A457,2))&lt;60),GUS_tabl_2!$A$8:$B$464,GUS_tabl_21!$A$5:$B$4886),2,FALSE)),LEFT(TRIM(VLOOKUP(IF(AND(LEN($A457)=4,VALUE(RIGHT($A457,2))&gt;60),$A457&amp;"01 1",$A457),IF(AND(LEN($A457)=4,VALUE(RIGHT($A457,2))&lt;60),GUS_tabl_2!$A$8:$B$464,GUS_tabl_21!$A$5:$B$4886),2,FALSE)),SUM(FIND("..",TRIM(VLOOKUP(IF(AND(LEN($A457)=4,VALUE(RIGHT($A457,2))&gt;60),$A457&amp;"01 1",$A457),IF(AND(LEN($A457)=4,VALUE(RIGHT($A457,2))&lt;60),GUS_tabl_2!$A$8:$B$464,GUS_tabl_21!$A$5:$B$4886),2,FALSE))),-1)))))</f>
        <v>gm. w. Potok Wielki</v>
      </c>
      <c r="D457" s="141">
        <f>IF(OR($A457="",ISERROR(VALUE(LEFT($A457,6)))),"",IF(LEN($A457)=2,SUMIF($A458:$A$2965,$A457&amp;"??",$D458:$D$2965),IF(AND(LEN($A457)=4,VALUE(RIGHT($A457,2))&lt;=60),SUMIF($A458:$A$2965,$A457&amp;"????",$D458:$D$2965),VLOOKUP(IF(LEN($A457)=4,$A457&amp;"01 1",$A457),GUS_tabl_21!$A$5:$F$4886,6,FALSE))))</f>
        <v>4651</v>
      </c>
      <c r="E457" s="29"/>
    </row>
    <row r="458" spans="1:5" ht="12" customHeight="1">
      <c r="A458" s="152" t="str">
        <f>"0606"</f>
        <v>0606</v>
      </c>
      <c r="B458" s="153" t="s">
        <v>57</v>
      </c>
      <c r="C458" s="154" t="str">
        <f>IF(OR($A458="",ISERROR(VALUE(LEFT($A458,6)))),"",IF(LEN($A458)=2,"WOJ. ",IF(LEN($A458)=4,IF(VALUE(RIGHT($A458,2))&gt;60,"","Powiat "),IF(VALUE(RIGHT($A458,1))=1,"m. ",IF(VALUE(RIGHT($A458,1))=2,"gm. w. ",IF(VALUE(RIGHT($A458,1))=8,"dz. ","gm. m.-w. ")))))&amp;IF(LEN($A458)=2,TRIM(UPPER(VLOOKUP($A458,GUS_tabl_1!$A$7:$B$22,2,FALSE))),IF(ISERROR(FIND("..",TRIM(VLOOKUP(IF(AND(LEN($A458)=4,VALUE(RIGHT($A458,2))&gt;60),$A458&amp;"01 1",$A458),IF(AND(LEN($A458)=4,VALUE(RIGHT($A458,2))&lt;60),GUS_tabl_2!$A$8:$B$464,GUS_tabl_21!$A$5:$B$4886),2,FALSE)))),TRIM(VLOOKUP(IF(AND(LEN($A458)=4,VALUE(RIGHT($A458,2))&gt;60),$A458&amp;"01 1",$A458),IF(AND(LEN($A458)=4,VALUE(RIGHT($A458,2))&lt;60),GUS_tabl_2!$A$8:$B$464,GUS_tabl_21!$A$5:$B$4886),2,FALSE)),LEFT(TRIM(VLOOKUP(IF(AND(LEN($A458)=4,VALUE(RIGHT($A458,2))&gt;60),$A458&amp;"01 1",$A458),IF(AND(LEN($A458)=4,VALUE(RIGHT($A458,2))&lt;60),GUS_tabl_2!$A$8:$B$464,GUS_tabl_21!$A$5:$B$4886),2,FALSE)),SUM(FIND("..",TRIM(VLOOKUP(IF(AND(LEN($A458)=4,VALUE(RIGHT($A458,2))&gt;60),$A458&amp;"01 1",$A458),IF(AND(LEN($A458)=4,VALUE(RIGHT($A458,2))&lt;60),GUS_tabl_2!$A$8:$B$464,GUS_tabl_21!$A$5:$B$4886),2,FALSE))),-1)))))</f>
        <v>Powiat krasnostawski</v>
      </c>
      <c r="D458" s="140">
        <f>IF(OR($A458="",ISERROR(VALUE(LEFT($A458,6)))),"",IF(LEN($A458)=2,SUMIF($A459:$A$2965,$A458&amp;"??",$D459:$D$2965),IF(AND(LEN($A458)=4,VALUE(RIGHT($A458,2))&lt;=60),SUMIF($A459:$A$2965,$A458&amp;"????",$D459:$D$2965),VLOOKUP(IF(LEN($A458)=4,$A458&amp;"01 1",$A458),GUS_tabl_21!$A$5:$F$4886,6,FALSE))))</f>
        <v>63258</v>
      </c>
      <c r="E458" s="29"/>
    </row>
    <row r="459" spans="1:5" ht="12" customHeight="1">
      <c r="A459" s="155" t="str">
        <f>"060601 1"</f>
        <v>060601 1</v>
      </c>
      <c r="B459" s="153" t="s">
        <v>57</v>
      </c>
      <c r="C459" s="156" t="str">
        <f>IF(OR($A459="",ISERROR(VALUE(LEFT($A459,6)))),"",IF(LEN($A459)=2,"WOJ. ",IF(LEN($A459)=4,IF(VALUE(RIGHT($A459,2))&gt;60,"","Powiat "),IF(VALUE(RIGHT($A459,1))=1,"m. ",IF(VALUE(RIGHT($A459,1))=2,"gm. w. ",IF(VALUE(RIGHT($A459,1))=8,"dz. ","gm. m.-w. ")))))&amp;IF(LEN($A459)=2,TRIM(UPPER(VLOOKUP($A459,GUS_tabl_1!$A$7:$B$22,2,FALSE))),IF(ISERROR(FIND("..",TRIM(VLOOKUP(IF(AND(LEN($A459)=4,VALUE(RIGHT($A459,2))&gt;60),$A459&amp;"01 1",$A459),IF(AND(LEN($A459)=4,VALUE(RIGHT($A459,2))&lt;60),GUS_tabl_2!$A$8:$B$464,GUS_tabl_21!$A$5:$B$4886),2,FALSE)))),TRIM(VLOOKUP(IF(AND(LEN($A459)=4,VALUE(RIGHT($A459,2))&gt;60),$A459&amp;"01 1",$A459),IF(AND(LEN($A459)=4,VALUE(RIGHT($A459,2))&lt;60),GUS_tabl_2!$A$8:$B$464,GUS_tabl_21!$A$5:$B$4886),2,FALSE)),LEFT(TRIM(VLOOKUP(IF(AND(LEN($A459)=4,VALUE(RIGHT($A459,2))&gt;60),$A459&amp;"01 1",$A459),IF(AND(LEN($A459)=4,VALUE(RIGHT($A459,2))&lt;60),GUS_tabl_2!$A$8:$B$464,GUS_tabl_21!$A$5:$B$4886),2,FALSE)),SUM(FIND("..",TRIM(VLOOKUP(IF(AND(LEN($A459)=4,VALUE(RIGHT($A459,2))&gt;60),$A459&amp;"01 1",$A459),IF(AND(LEN($A459)=4,VALUE(RIGHT($A459,2))&lt;60),GUS_tabl_2!$A$8:$B$464,GUS_tabl_21!$A$5:$B$4886),2,FALSE))),-1)))))</f>
        <v>m. Krasnystaw</v>
      </c>
      <c r="D459" s="141">
        <f>IF(OR($A459="",ISERROR(VALUE(LEFT($A459,6)))),"",IF(LEN($A459)=2,SUMIF($A460:$A$2965,$A459&amp;"??",$D460:$D$2965),IF(AND(LEN($A459)=4,VALUE(RIGHT($A459,2))&lt;=60),SUMIF($A460:$A$2965,$A459&amp;"????",$D460:$D$2965),VLOOKUP(IF(LEN($A459)=4,$A459&amp;"01 1",$A459),GUS_tabl_21!$A$5:$F$4886,6,FALSE))))</f>
        <v>18630</v>
      </c>
      <c r="E459" s="29"/>
    </row>
    <row r="460" spans="1:5" ht="12" customHeight="1">
      <c r="A460" s="155" t="str">
        <f>"060602 2"</f>
        <v>060602 2</v>
      </c>
      <c r="B460" s="153" t="s">
        <v>57</v>
      </c>
      <c r="C460" s="156" t="str">
        <f>IF(OR($A460="",ISERROR(VALUE(LEFT($A460,6)))),"",IF(LEN($A460)=2,"WOJ. ",IF(LEN($A460)=4,IF(VALUE(RIGHT($A460,2))&gt;60,"","Powiat "),IF(VALUE(RIGHT($A460,1))=1,"m. ",IF(VALUE(RIGHT($A460,1))=2,"gm. w. ",IF(VALUE(RIGHT($A460,1))=8,"dz. ","gm. m.-w. ")))))&amp;IF(LEN($A460)=2,TRIM(UPPER(VLOOKUP($A460,GUS_tabl_1!$A$7:$B$22,2,FALSE))),IF(ISERROR(FIND("..",TRIM(VLOOKUP(IF(AND(LEN($A460)=4,VALUE(RIGHT($A460,2))&gt;60),$A460&amp;"01 1",$A460),IF(AND(LEN($A460)=4,VALUE(RIGHT($A460,2))&lt;60),GUS_tabl_2!$A$8:$B$464,GUS_tabl_21!$A$5:$B$4886),2,FALSE)))),TRIM(VLOOKUP(IF(AND(LEN($A460)=4,VALUE(RIGHT($A460,2))&gt;60),$A460&amp;"01 1",$A460),IF(AND(LEN($A460)=4,VALUE(RIGHT($A460,2))&lt;60),GUS_tabl_2!$A$8:$B$464,GUS_tabl_21!$A$5:$B$4886),2,FALSE)),LEFT(TRIM(VLOOKUP(IF(AND(LEN($A460)=4,VALUE(RIGHT($A460,2))&gt;60),$A460&amp;"01 1",$A460),IF(AND(LEN($A460)=4,VALUE(RIGHT($A460,2))&lt;60),GUS_tabl_2!$A$8:$B$464,GUS_tabl_21!$A$5:$B$4886),2,FALSE)),SUM(FIND("..",TRIM(VLOOKUP(IF(AND(LEN($A460)=4,VALUE(RIGHT($A460,2))&gt;60),$A460&amp;"01 1",$A460),IF(AND(LEN($A460)=4,VALUE(RIGHT($A460,2))&lt;60),GUS_tabl_2!$A$8:$B$464,GUS_tabl_21!$A$5:$B$4886),2,FALSE))),-1)))))</f>
        <v>gm. w. Fajsławice</v>
      </c>
      <c r="D460" s="141">
        <f>IF(OR($A460="",ISERROR(VALUE(LEFT($A460,6)))),"",IF(LEN($A460)=2,SUMIF($A461:$A$2965,$A460&amp;"??",$D461:$D$2965),IF(AND(LEN($A460)=4,VALUE(RIGHT($A460,2))&lt;=60),SUMIF($A461:$A$2965,$A460&amp;"????",$D461:$D$2965),VLOOKUP(IF(LEN($A460)=4,$A460&amp;"01 1",$A460),GUS_tabl_21!$A$5:$F$4886,6,FALSE))))</f>
        <v>4570</v>
      </c>
      <c r="E460" s="29"/>
    </row>
    <row r="461" spans="1:5" ht="12" customHeight="1">
      <c r="A461" s="155" t="str">
        <f>"060603 2"</f>
        <v>060603 2</v>
      </c>
      <c r="B461" s="153" t="s">
        <v>57</v>
      </c>
      <c r="C461" s="156" t="str">
        <f>IF(OR($A461="",ISERROR(VALUE(LEFT($A461,6)))),"",IF(LEN($A461)=2,"WOJ. ",IF(LEN($A461)=4,IF(VALUE(RIGHT($A461,2))&gt;60,"","Powiat "),IF(VALUE(RIGHT($A461,1))=1,"m. ",IF(VALUE(RIGHT($A461,1))=2,"gm. w. ",IF(VALUE(RIGHT($A461,1))=8,"dz. ","gm. m.-w. ")))))&amp;IF(LEN($A461)=2,TRIM(UPPER(VLOOKUP($A461,GUS_tabl_1!$A$7:$B$22,2,FALSE))),IF(ISERROR(FIND("..",TRIM(VLOOKUP(IF(AND(LEN($A461)=4,VALUE(RIGHT($A461,2))&gt;60),$A461&amp;"01 1",$A461),IF(AND(LEN($A461)=4,VALUE(RIGHT($A461,2))&lt;60),GUS_tabl_2!$A$8:$B$464,GUS_tabl_21!$A$5:$B$4886),2,FALSE)))),TRIM(VLOOKUP(IF(AND(LEN($A461)=4,VALUE(RIGHT($A461,2))&gt;60),$A461&amp;"01 1",$A461),IF(AND(LEN($A461)=4,VALUE(RIGHT($A461,2))&lt;60),GUS_tabl_2!$A$8:$B$464,GUS_tabl_21!$A$5:$B$4886),2,FALSE)),LEFT(TRIM(VLOOKUP(IF(AND(LEN($A461)=4,VALUE(RIGHT($A461,2))&gt;60),$A461&amp;"01 1",$A461),IF(AND(LEN($A461)=4,VALUE(RIGHT($A461,2))&lt;60),GUS_tabl_2!$A$8:$B$464,GUS_tabl_21!$A$5:$B$4886),2,FALSE)),SUM(FIND("..",TRIM(VLOOKUP(IF(AND(LEN($A461)=4,VALUE(RIGHT($A461,2))&gt;60),$A461&amp;"01 1",$A461),IF(AND(LEN($A461)=4,VALUE(RIGHT($A461,2))&lt;60),GUS_tabl_2!$A$8:$B$464,GUS_tabl_21!$A$5:$B$4886),2,FALSE))),-1)))))</f>
        <v>gm. w. Gorzków</v>
      </c>
      <c r="D461" s="141">
        <f>IF(OR($A461="",ISERROR(VALUE(LEFT($A461,6)))),"",IF(LEN($A461)=2,SUMIF($A462:$A$2965,$A461&amp;"??",$D462:$D$2965),IF(AND(LEN($A461)=4,VALUE(RIGHT($A461,2))&lt;=60),SUMIF($A462:$A$2965,$A461&amp;"????",$D462:$D$2965),VLOOKUP(IF(LEN($A461)=4,$A461&amp;"01 1",$A461),GUS_tabl_21!$A$5:$F$4886,6,FALSE))))</f>
        <v>3429</v>
      </c>
      <c r="E461" s="29"/>
    </row>
    <row r="462" spans="1:5" ht="12" customHeight="1">
      <c r="A462" s="155" t="str">
        <f>"060604 2"</f>
        <v>060604 2</v>
      </c>
      <c r="B462" s="153" t="s">
        <v>57</v>
      </c>
      <c r="C462" s="156" t="str">
        <f>IF(OR($A462="",ISERROR(VALUE(LEFT($A462,6)))),"",IF(LEN($A462)=2,"WOJ. ",IF(LEN($A462)=4,IF(VALUE(RIGHT($A462,2))&gt;60,"","Powiat "),IF(VALUE(RIGHT($A462,1))=1,"m. ",IF(VALUE(RIGHT($A462,1))=2,"gm. w. ",IF(VALUE(RIGHT($A462,1))=8,"dz. ","gm. m.-w. ")))))&amp;IF(LEN($A462)=2,TRIM(UPPER(VLOOKUP($A462,GUS_tabl_1!$A$7:$B$22,2,FALSE))),IF(ISERROR(FIND("..",TRIM(VLOOKUP(IF(AND(LEN($A462)=4,VALUE(RIGHT($A462,2))&gt;60),$A462&amp;"01 1",$A462),IF(AND(LEN($A462)=4,VALUE(RIGHT($A462,2))&lt;60),GUS_tabl_2!$A$8:$B$464,GUS_tabl_21!$A$5:$B$4886),2,FALSE)))),TRIM(VLOOKUP(IF(AND(LEN($A462)=4,VALUE(RIGHT($A462,2))&gt;60),$A462&amp;"01 1",$A462),IF(AND(LEN($A462)=4,VALUE(RIGHT($A462,2))&lt;60),GUS_tabl_2!$A$8:$B$464,GUS_tabl_21!$A$5:$B$4886),2,FALSE)),LEFT(TRIM(VLOOKUP(IF(AND(LEN($A462)=4,VALUE(RIGHT($A462,2))&gt;60),$A462&amp;"01 1",$A462),IF(AND(LEN($A462)=4,VALUE(RIGHT($A462,2))&lt;60),GUS_tabl_2!$A$8:$B$464,GUS_tabl_21!$A$5:$B$4886),2,FALSE)),SUM(FIND("..",TRIM(VLOOKUP(IF(AND(LEN($A462)=4,VALUE(RIGHT($A462,2))&gt;60),$A462&amp;"01 1",$A462),IF(AND(LEN($A462)=4,VALUE(RIGHT($A462,2))&lt;60),GUS_tabl_2!$A$8:$B$464,GUS_tabl_21!$A$5:$B$4886),2,FALSE))),-1)))))</f>
        <v>gm. w. Izbica</v>
      </c>
      <c r="D462" s="141">
        <f>IF(OR($A462="",ISERROR(VALUE(LEFT($A462,6)))),"",IF(LEN($A462)=2,SUMIF($A463:$A$2965,$A462&amp;"??",$D463:$D$2965),IF(AND(LEN($A462)=4,VALUE(RIGHT($A462,2))&lt;=60),SUMIF($A463:$A$2965,$A462&amp;"????",$D463:$D$2965),VLOOKUP(IF(LEN($A462)=4,$A462&amp;"01 1",$A462),GUS_tabl_21!$A$5:$F$4886,6,FALSE))))</f>
        <v>8124</v>
      </c>
      <c r="E462" s="29"/>
    </row>
    <row r="463" spans="1:5" ht="12" customHeight="1">
      <c r="A463" s="155" t="str">
        <f>"060605 2"</f>
        <v>060605 2</v>
      </c>
      <c r="B463" s="153" t="s">
        <v>57</v>
      </c>
      <c r="C463" s="156" t="str">
        <f>IF(OR($A463="",ISERROR(VALUE(LEFT($A463,6)))),"",IF(LEN($A463)=2,"WOJ. ",IF(LEN($A463)=4,IF(VALUE(RIGHT($A463,2))&gt;60,"","Powiat "),IF(VALUE(RIGHT($A463,1))=1,"m. ",IF(VALUE(RIGHT($A463,1))=2,"gm. w. ",IF(VALUE(RIGHT($A463,1))=8,"dz. ","gm. m.-w. ")))))&amp;IF(LEN($A463)=2,TRIM(UPPER(VLOOKUP($A463,GUS_tabl_1!$A$7:$B$22,2,FALSE))),IF(ISERROR(FIND("..",TRIM(VLOOKUP(IF(AND(LEN($A463)=4,VALUE(RIGHT($A463,2))&gt;60),$A463&amp;"01 1",$A463),IF(AND(LEN($A463)=4,VALUE(RIGHT($A463,2))&lt;60),GUS_tabl_2!$A$8:$B$464,GUS_tabl_21!$A$5:$B$4886),2,FALSE)))),TRIM(VLOOKUP(IF(AND(LEN($A463)=4,VALUE(RIGHT($A463,2))&gt;60),$A463&amp;"01 1",$A463),IF(AND(LEN($A463)=4,VALUE(RIGHT($A463,2))&lt;60),GUS_tabl_2!$A$8:$B$464,GUS_tabl_21!$A$5:$B$4886),2,FALSE)),LEFT(TRIM(VLOOKUP(IF(AND(LEN($A463)=4,VALUE(RIGHT($A463,2))&gt;60),$A463&amp;"01 1",$A463),IF(AND(LEN($A463)=4,VALUE(RIGHT($A463,2))&lt;60),GUS_tabl_2!$A$8:$B$464,GUS_tabl_21!$A$5:$B$4886),2,FALSE)),SUM(FIND("..",TRIM(VLOOKUP(IF(AND(LEN($A463)=4,VALUE(RIGHT($A463,2))&gt;60),$A463&amp;"01 1",$A463),IF(AND(LEN($A463)=4,VALUE(RIGHT($A463,2))&lt;60),GUS_tabl_2!$A$8:$B$464,GUS_tabl_21!$A$5:$B$4886),2,FALSE))),-1)))))</f>
        <v>gm. w. Krasnystaw</v>
      </c>
      <c r="D463" s="141">
        <f>IF(OR($A463="",ISERROR(VALUE(LEFT($A463,6)))),"",IF(LEN($A463)=2,SUMIF($A464:$A$2965,$A463&amp;"??",$D464:$D$2965),IF(AND(LEN($A463)=4,VALUE(RIGHT($A463,2))&lt;=60),SUMIF($A464:$A$2965,$A463&amp;"????",$D464:$D$2965),VLOOKUP(IF(LEN($A463)=4,$A463&amp;"01 1",$A463),GUS_tabl_21!$A$5:$F$4886,6,FALSE))))</f>
        <v>8529</v>
      </c>
      <c r="E463" s="29"/>
    </row>
    <row r="464" spans="1:5" ht="12" customHeight="1">
      <c r="A464" s="155" t="str">
        <f>"060606 2"</f>
        <v>060606 2</v>
      </c>
      <c r="B464" s="153" t="s">
        <v>57</v>
      </c>
      <c r="C464" s="156" t="str">
        <f>IF(OR($A464="",ISERROR(VALUE(LEFT($A464,6)))),"",IF(LEN($A464)=2,"WOJ. ",IF(LEN($A464)=4,IF(VALUE(RIGHT($A464,2))&gt;60,"","Powiat "),IF(VALUE(RIGHT($A464,1))=1,"m. ",IF(VALUE(RIGHT($A464,1))=2,"gm. w. ",IF(VALUE(RIGHT($A464,1))=8,"dz. ","gm. m.-w. ")))))&amp;IF(LEN($A464)=2,TRIM(UPPER(VLOOKUP($A464,GUS_tabl_1!$A$7:$B$22,2,FALSE))),IF(ISERROR(FIND("..",TRIM(VLOOKUP(IF(AND(LEN($A464)=4,VALUE(RIGHT($A464,2))&gt;60),$A464&amp;"01 1",$A464),IF(AND(LEN($A464)=4,VALUE(RIGHT($A464,2))&lt;60),GUS_tabl_2!$A$8:$B$464,GUS_tabl_21!$A$5:$B$4886),2,FALSE)))),TRIM(VLOOKUP(IF(AND(LEN($A464)=4,VALUE(RIGHT($A464,2))&gt;60),$A464&amp;"01 1",$A464),IF(AND(LEN($A464)=4,VALUE(RIGHT($A464,2))&lt;60),GUS_tabl_2!$A$8:$B$464,GUS_tabl_21!$A$5:$B$4886),2,FALSE)),LEFT(TRIM(VLOOKUP(IF(AND(LEN($A464)=4,VALUE(RIGHT($A464,2))&gt;60),$A464&amp;"01 1",$A464),IF(AND(LEN($A464)=4,VALUE(RIGHT($A464,2))&lt;60),GUS_tabl_2!$A$8:$B$464,GUS_tabl_21!$A$5:$B$4886),2,FALSE)),SUM(FIND("..",TRIM(VLOOKUP(IF(AND(LEN($A464)=4,VALUE(RIGHT($A464,2))&gt;60),$A464&amp;"01 1",$A464),IF(AND(LEN($A464)=4,VALUE(RIGHT($A464,2))&lt;60),GUS_tabl_2!$A$8:$B$464,GUS_tabl_21!$A$5:$B$4886),2,FALSE))),-1)))))</f>
        <v>gm. w. Kraśniczyn</v>
      </c>
      <c r="D464" s="141">
        <f>IF(OR($A464="",ISERROR(VALUE(LEFT($A464,6)))),"",IF(LEN($A464)=2,SUMIF($A465:$A$2965,$A464&amp;"??",$D465:$D$2965),IF(AND(LEN($A464)=4,VALUE(RIGHT($A464,2))&lt;=60),SUMIF($A465:$A$2965,$A464&amp;"????",$D465:$D$2965),VLOOKUP(IF(LEN($A464)=4,$A464&amp;"01 1",$A464),GUS_tabl_21!$A$5:$F$4886,6,FALSE))))</f>
        <v>3639</v>
      </c>
      <c r="E464" s="29"/>
    </row>
    <row r="465" spans="1:5" ht="12" customHeight="1">
      <c r="A465" s="155" t="str">
        <f>"060607 2"</f>
        <v>060607 2</v>
      </c>
      <c r="B465" s="153" t="s">
        <v>57</v>
      </c>
      <c r="C465" s="156" t="str">
        <f>IF(OR($A465="",ISERROR(VALUE(LEFT($A465,6)))),"",IF(LEN($A465)=2,"WOJ. ",IF(LEN($A465)=4,IF(VALUE(RIGHT($A465,2))&gt;60,"","Powiat "),IF(VALUE(RIGHT($A465,1))=1,"m. ",IF(VALUE(RIGHT($A465,1))=2,"gm. w. ",IF(VALUE(RIGHT($A465,1))=8,"dz. ","gm. m.-w. ")))))&amp;IF(LEN($A465)=2,TRIM(UPPER(VLOOKUP($A465,GUS_tabl_1!$A$7:$B$22,2,FALSE))),IF(ISERROR(FIND("..",TRIM(VLOOKUP(IF(AND(LEN($A465)=4,VALUE(RIGHT($A465,2))&gt;60),$A465&amp;"01 1",$A465),IF(AND(LEN($A465)=4,VALUE(RIGHT($A465,2))&lt;60),GUS_tabl_2!$A$8:$B$464,GUS_tabl_21!$A$5:$B$4886),2,FALSE)))),TRIM(VLOOKUP(IF(AND(LEN($A465)=4,VALUE(RIGHT($A465,2))&gt;60),$A465&amp;"01 1",$A465),IF(AND(LEN($A465)=4,VALUE(RIGHT($A465,2))&lt;60),GUS_tabl_2!$A$8:$B$464,GUS_tabl_21!$A$5:$B$4886),2,FALSE)),LEFT(TRIM(VLOOKUP(IF(AND(LEN($A465)=4,VALUE(RIGHT($A465,2))&gt;60),$A465&amp;"01 1",$A465),IF(AND(LEN($A465)=4,VALUE(RIGHT($A465,2))&lt;60),GUS_tabl_2!$A$8:$B$464,GUS_tabl_21!$A$5:$B$4886),2,FALSE)),SUM(FIND("..",TRIM(VLOOKUP(IF(AND(LEN($A465)=4,VALUE(RIGHT($A465,2))&gt;60),$A465&amp;"01 1",$A465),IF(AND(LEN($A465)=4,VALUE(RIGHT($A465,2))&lt;60),GUS_tabl_2!$A$8:$B$464,GUS_tabl_21!$A$5:$B$4886),2,FALSE))),-1)))))</f>
        <v>gm. w. Łopiennik Górny</v>
      </c>
      <c r="D465" s="141">
        <f>IF(OR($A465="",ISERROR(VALUE(LEFT($A465,6)))),"",IF(LEN($A465)=2,SUMIF($A466:$A$2965,$A465&amp;"??",$D466:$D$2965),IF(AND(LEN($A465)=4,VALUE(RIGHT($A465,2))&lt;=60),SUMIF($A466:$A$2965,$A465&amp;"????",$D466:$D$2965),VLOOKUP(IF(LEN($A465)=4,$A465&amp;"01 1",$A465),GUS_tabl_21!$A$5:$F$4886,6,FALSE))))</f>
        <v>3893</v>
      </c>
      <c r="E465" s="29"/>
    </row>
    <row r="466" spans="1:5" ht="12" customHeight="1">
      <c r="A466" s="155" t="str">
        <f>"060609 2"</f>
        <v>060609 2</v>
      </c>
      <c r="B466" s="153" t="s">
        <v>57</v>
      </c>
      <c r="C466" s="156" t="str">
        <f>IF(OR($A466="",ISERROR(VALUE(LEFT($A466,6)))),"",IF(LEN($A466)=2,"WOJ. ",IF(LEN($A466)=4,IF(VALUE(RIGHT($A466,2))&gt;60,"","Powiat "),IF(VALUE(RIGHT($A466,1))=1,"m. ",IF(VALUE(RIGHT($A466,1))=2,"gm. w. ",IF(VALUE(RIGHT($A466,1))=8,"dz. ","gm. m.-w. ")))))&amp;IF(LEN($A466)=2,TRIM(UPPER(VLOOKUP($A466,GUS_tabl_1!$A$7:$B$22,2,FALSE))),IF(ISERROR(FIND("..",TRIM(VLOOKUP(IF(AND(LEN($A466)=4,VALUE(RIGHT($A466,2))&gt;60),$A466&amp;"01 1",$A466),IF(AND(LEN($A466)=4,VALUE(RIGHT($A466,2))&lt;60),GUS_tabl_2!$A$8:$B$464,GUS_tabl_21!$A$5:$B$4886),2,FALSE)))),TRIM(VLOOKUP(IF(AND(LEN($A466)=4,VALUE(RIGHT($A466,2))&gt;60),$A466&amp;"01 1",$A466),IF(AND(LEN($A466)=4,VALUE(RIGHT($A466,2))&lt;60),GUS_tabl_2!$A$8:$B$464,GUS_tabl_21!$A$5:$B$4886),2,FALSE)),LEFT(TRIM(VLOOKUP(IF(AND(LEN($A466)=4,VALUE(RIGHT($A466,2))&gt;60),$A466&amp;"01 1",$A466),IF(AND(LEN($A466)=4,VALUE(RIGHT($A466,2))&lt;60),GUS_tabl_2!$A$8:$B$464,GUS_tabl_21!$A$5:$B$4886),2,FALSE)),SUM(FIND("..",TRIM(VLOOKUP(IF(AND(LEN($A466)=4,VALUE(RIGHT($A466,2))&gt;60),$A466&amp;"01 1",$A466),IF(AND(LEN($A466)=4,VALUE(RIGHT($A466,2))&lt;60),GUS_tabl_2!$A$8:$B$464,GUS_tabl_21!$A$5:$B$4886),2,FALSE))),-1)))))</f>
        <v>gm. w. Rudnik</v>
      </c>
      <c r="D466" s="141">
        <f>IF(OR($A466="",ISERROR(VALUE(LEFT($A466,6)))),"",IF(LEN($A466)=2,SUMIF($A467:$A$2965,$A466&amp;"??",$D467:$D$2965),IF(AND(LEN($A466)=4,VALUE(RIGHT($A466,2))&lt;=60),SUMIF($A467:$A$2965,$A466&amp;"????",$D467:$D$2965),VLOOKUP(IF(LEN($A466)=4,$A466&amp;"01 1",$A466),GUS_tabl_21!$A$5:$F$4886,6,FALSE))))</f>
        <v>3009</v>
      </c>
      <c r="E466" s="29"/>
    </row>
    <row r="467" spans="1:5" ht="12" customHeight="1">
      <c r="A467" s="155" t="str">
        <f>"060610 2"</f>
        <v>060610 2</v>
      </c>
      <c r="B467" s="153" t="s">
        <v>57</v>
      </c>
      <c r="C467" s="156" t="str">
        <f>IF(OR($A467="",ISERROR(VALUE(LEFT($A467,6)))),"",IF(LEN($A467)=2,"WOJ. ",IF(LEN($A467)=4,IF(VALUE(RIGHT($A467,2))&gt;60,"","Powiat "),IF(VALUE(RIGHT($A467,1))=1,"m. ",IF(VALUE(RIGHT($A467,1))=2,"gm. w. ",IF(VALUE(RIGHT($A467,1))=8,"dz. ","gm. m.-w. ")))))&amp;IF(LEN($A467)=2,TRIM(UPPER(VLOOKUP($A467,GUS_tabl_1!$A$7:$B$22,2,FALSE))),IF(ISERROR(FIND("..",TRIM(VLOOKUP(IF(AND(LEN($A467)=4,VALUE(RIGHT($A467,2))&gt;60),$A467&amp;"01 1",$A467),IF(AND(LEN($A467)=4,VALUE(RIGHT($A467,2))&lt;60),GUS_tabl_2!$A$8:$B$464,GUS_tabl_21!$A$5:$B$4886),2,FALSE)))),TRIM(VLOOKUP(IF(AND(LEN($A467)=4,VALUE(RIGHT($A467,2))&gt;60),$A467&amp;"01 1",$A467),IF(AND(LEN($A467)=4,VALUE(RIGHT($A467,2))&lt;60),GUS_tabl_2!$A$8:$B$464,GUS_tabl_21!$A$5:$B$4886),2,FALSE)),LEFT(TRIM(VLOOKUP(IF(AND(LEN($A467)=4,VALUE(RIGHT($A467,2))&gt;60),$A467&amp;"01 1",$A467),IF(AND(LEN($A467)=4,VALUE(RIGHT($A467,2))&lt;60),GUS_tabl_2!$A$8:$B$464,GUS_tabl_21!$A$5:$B$4886),2,FALSE)),SUM(FIND("..",TRIM(VLOOKUP(IF(AND(LEN($A467)=4,VALUE(RIGHT($A467,2))&gt;60),$A467&amp;"01 1",$A467),IF(AND(LEN($A467)=4,VALUE(RIGHT($A467,2))&lt;60),GUS_tabl_2!$A$8:$B$464,GUS_tabl_21!$A$5:$B$4886),2,FALSE))),-1)))))</f>
        <v>gm. w. Siennica Różana</v>
      </c>
      <c r="D467" s="141">
        <f>IF(OR($A467="",ISERROR(VALUE(LEFT($A467,6)))),"",IF(LEN($A467)=2,SUMIF($A468:$A$2965,$A467&amp;"??",$D468:$D$2965),IF(AND(LEN($A467)=4,VALUE(RIGHT($A467,2))&lt;=60),SUMIF($A468:$A$2965,$A467&amp;"????",$D468:$D$2965),VLOOKUP(IF(LEN($A467)=4,$A467&amp;"01 1",$A467),GUS_tabl_21!$A$5:$F$4886,6,FALSE))))</f>
        <v>4110</v>
      </c>
      <c r="E467" s="29"/>
    </row>
    <row r="468" spans="1:5" ht="12" customHeight="1">
      <c r="A468" s="155" t="str">
        <f>"060611 2"</f>
        <v>060611 2</v>
      </c>
      <c r="B468" s="153" t="s">
        <v>57</v>
      </c>
      <c r="C468" s="156" t="str">
        <f>IF(OR($A468="",ISERROR(VALUE(LEFT($A468,6)))),"",IF(LEN($A468)=2,"WOJ. ",IF(LEN($A468)=4,IF(VALUE(RIGHT($A468,2))&gt;60,"","Powiat "),IF(VALUE(RIGHT($A468,1))=1,"m. ",IF(VALUE(RIGHT($A468,1))=2,"gm. w. ",IF(VALUE(RIGHT($A468,1))=8,"dz. ","gm. m.-w. ")))))&amp;IF(LEN($A468)=2,TRIM(UPPER(VLOOKUP($A468,GUS_tabl_1!$A$7:$B$22,2,FALSE))),IF(ISERROR(FIND("..",TRIM(VLOOKUP(IF(AND(LEN($A468)=4,VALUE(RIGHT($A468,2))&gt;60),$A468&amp;"01 1",$A468),IF(AND(LEN($A468)=4,VALUE(RIGHT($A468,2))&lt;60),GUS_tabl_2!$A$8:$B$464,GUS_tabl_21!$A$5:$B$4886),2,FALSE)))),TRIM(VLOOKUP(IF(AND(LEN($A468)=4,VALUE(RIGHT($A468,2))&gt;60),$A468&amp;"01 1",$A468),IF(AND(LEN($A468)=4,VALUE(RIGHT($A468,2))&lt;60),GUS_tabl_2!$A$8:$B$464,GUS_tabl_21!$A$5:$B$4886),2,FALSE)),LEFT(TRIM(VLOOKUP(IF(AND(LEN($A468)=4,VALUE(RIGHT($A468,2))&gt;60),$A468&amp;"01 1",$A468),IF(AND(LEN($A468)=4,VALUE(RIGHT($A468,2))&lt;60),GUS_tabl_2!$A$8:$B$464,GUS_tabl_21!$A$5:$B$4886),2,FALSE)),SUM(FIND("..",TRIM(VLOOKUP(IF(AND(LEN($A468)=4,VALUE(RIGHT($A468,2))&gt;60),$A468&amp;"01 1",$A468),IF(AND(LEN($A468)=4,VALUE(RIGHT($A468,2))&lt;60),GUS_tabl_2!$A$8:$B$464,GUS_tabl_21!$A$5:$B$4886),2,FALSE))),-1)))))</f>
        <v>gm. w. Żółkiewka</v>
      </c>
      <c r="D468" s="141">
        <f>IF(OR($A468="",ISERROR(VALUE(LEFT($A468,6)))),"",IF(LEN($A468)=2,SUMIF($A469:$A$2965,$A468&amp;"??",$D469:$D$2965),IF(AND(LEN($A468)=4,VALUE(RIGHT($A468,2))&lt;=60),SUMIF($A469:$A$2965,$A468&amp;"????",$D469:$D$2965),VLOOKUP(IF(LEN($A468)=4,$A468&amp;"01 1",$A468),GUS_tabl_21!$A$5:$F$4886,6,FALSE))))</f>
        <v>5325</v>
      </c>
      <c r="E468" s="29"/>
    </row>
    <row r="469" spans="1:5" ht="12" customHeight="1">
      <c r="A469" s="152" t="str">
        <f>"0607"</f>
        <v>0607</v>
      </c>
      <c r="B469" s="153" t="s">
        <v>57</v>
      </c>
      <c r="C469" s="154" t="str">
        <f>IF(OR($A469="",ISERROR(VALUE(LEFT($A469,6)))),"",IF(LEN($A469)=2,"WOJ. ",IF(LEN($A469)=4,IF(VALUE(RIGHT($A469,2))&gt;60,"","Powiat "),IF(VALUE(RIGHT($A469,1))=1,"m. ",IF(VALUE(RIGHT($A469,1))=2,"gm. w. ",IF(VALUE(RIGHT($A469,1))=8,"dz. ","gm. m.-w. ")))))&amp;IF(LEN($A469)=2,TRIM(UPPER(VLOOKUP($A469,GUS_tabl_1!$A$7:$B$22,2,FALSE))),IF(ISERROR(FIND("..",TRIM(VLOOKUP(IF(AND(LEN($A469)=4,VALUE(RIGHT($A469,2))&gt;60),$A469&amp;"01 1",$A469),IF(AND(LEN($A469)=4,VALUE(RIGHT($A469,2))&lt;60),GUS_tabl_2!$A$8:$B$464,GUS_tabl_21!$A$5:$B$4886),2,FALSE)))),TRIM(VLOOKUP(IF(AND(LEN($A469)=4,VALUE(RIGHT($A469,2))&gt;60),$A469&amp;"01 1",$A469),IF(AND(LEN($A469)=4,VALUE(RIGHT($A469,2))&lt;60),GUS_tabl_2!$A$8:$B$464,GUS_tabl_21!$A$5:$B$4886),2,FALSE)),LEFT(TRIM(VLOOKUP(IF(AND(LEN($A469)=4,VALUE(RIGHT($A469,2))&gt;60),$A469&amp;"01 1",$A469),IF(AND(LEN($A469)=4,VALUE(RIGHT($A469,2))&lt;60),GUS_tabl_2!$A$8:$B$464,GUS_tabl_21!$A$5:$B$4886),2,FALSE)),SUM(FIND("..",TRIM(VLOOKUP(IF(AND(LEN($A469)=4,VALUE(RIGHT($A469,2))&gt;60),$A469&amp;"01 1",$A469),IF(AND(LEN($A469)=4,VALUE(RIGHT($A469,2))&lt;60),GUS_tabl_2!$A$8:$B$464,GUS_tabl_21!$A$5:$B$4886),2,FALSE))),-1)))))</f>
        <v>Powiat kraśnicki</v>
      </c>
      <c r="D469" s="140">
        <f>IF(OR($A469="",ISERROR(VALUE(LEFT($A469,6)))),"",IF(LEN($A469)=2,SUMIF($A470:$A$2965,$A469&amp;"??",$D470:$D$2965),IF(AND(LEN($A469)=4,VALUE(RIGHT($A469,2))&lt;=60),SUMIF($A470:$A$2965,$A469&amp;"????",$D470:$D$2965),VLOOKUP(IF(LEN($A469)=4,$A469&amp;"01 1",$A469),GUS_tabl_21!$A$5:$F$4886,6,FALSE))))</f>
        <v>95348</v>
      </c>
      <c r="E469" s="29"/>
    </row>
    <row r="470" spans="1:5" ht="12" customHeight="1">
      <c r="A470" s="155" t="str">
        <f>"060701 1"</f>
        <v>060701 1</v>
      </c>
      <c r="B470" s="153" t="s">
        <v>57</v>
      </c>
      <c r="C470" s="156" t="str">
        <f>IF(OR($A470="",ISERROR(VALUE(LEFT($A470,6)))),"",IF(LEN($A470)=2,"WOJ. ",IF(LEN($A470)=4,IF(VALUE(RIGHT($A470,2))&gt;60,"","Powiat "),IF(VALUE(RIGHT($A470,1))=1,"m. ",IF(VALUE(RIGHT($A470,1))=2,"gm. w. ",IF(VALUE(RIGHT($A470,1))=8,"dz. ","gm. m.-w. ")))))&amp;IF(LEN($A470)=2,TRIM(UPPER(VLOOKUP($A470,GUS_tabl_1!$A$7:$B$22,2,FALSE))),IF(ISERROR(FIND("..",TRIM(VLOOKUP(IF(AND(LEN($A470)=4,VALUE(RIGHT($A470,2))&gt;60),$A470&amp;"01 1",$A470),IF(AND(LEN($A470)=4,VALUE(RIGHT($A470,2))&lt;60),GUS_tabl_2!$A$8:$B$464,GUS_tabl_21!$A$5:$B$4886),2,FALSE)))),TRIM(VLOOKUP(IF(AND(LEN($A470)=4,VALUE(RIGHT($A470,2))&gt;60),$A470&amp;"01 1",$A470),IF(AND(LEN($A470)=4,VALUE(RIGHT($A470,2))&lt;60),GUS_tabl_2!$A$8:$B$464,GUS_tabl_21!$A$5:$B$4886),2,FALSE)),LEFT(TRIM(VLOOKUP(IF(AND(LEN($A470)=4,VALUE(RIGHT($A470,2))&gt;60),$A470&amp;"01 1",$A470),IF(AND(LEN($A470)=4,VALUE(RIGHT($A470,2))&lt;60),GUS_tabl_2!$A$8:$B$464,GUS_tabl_21!$A$5:$B$4886),2,FALSE)),SUM(FIND("..",TRIM(VLOOKUP(IF(AND(LEN($A470)=4,VALUE(RIGHT($A470,2))&gt;60),$A470&amp;"01 1",$A470),IF(AND(LEN($A470)=4,VALUE(RIGHT($A470,2))&lt;60),GUS_tabl_2!$A$8:$B$464,GUS_tabl_21!$A$5:$B$4886),2,FALSE))),-1)))))</f>
        <v>m. Kraśnik</v>
      </c>
      <c r="D470" s="141">
        <f>IF(OR($A470="",ISERROR(VALUE(LEFT($A470,6)))),"",IF(LEN($A470)=2,SUMIF($A471:$A$2965,$A470&amp;"??",$D471:$D$2965),IF(AND(LEN($A470)=4,VALUE(RIGHT($A470,2))&lt;=60),SUMIF($A471:$A$2965,$A470&amp;"????",$D471:$D$2965),VLOOKUP(IF(LEN($A470)=4,$A470&amp;"01 1",$A470),GUS_tabl_21!$A$5:$F$4886,6,FALSE))))</f>
        <v>34230</v>
      </c>
      <c r="E470" s="29"/>
    </row>
    <row r="471" spans="1:5" ht="12" customHeight="1">
      <c r="A471" s="155" t="str">
        <f>"060702 3"</f>
        <v>060702 3</v>
      </c>
      <c r="B471" s="153" t="s">
        <v>57</v>
      </c>
      <c r="C471" s="156" t="str">
        <f>IF(OR($A471="",ISERROR(VALUE(LEFT($A471,6)))),"",IF(LEN($A471)=2,"WOJ. ",IF(LEN($A471)=4,IF(VALUE(RIGHT($A471,2))&gt;60,"","Powiat "),IF(VALUE(RIGHT($A471,1))=1,"m. ",IF(VALUE(RIGHT($A471,1))=2,"gm. w. ",IF(VALUE(RIGHT($A471,1))=8,"dz. ","gm. m.-w. ")))))&amp;IF(LEN($A471)=2,TRIM(UPPER(VLOOKUP($A471,GUS_tabl_1!$A$7:$B$22,2,FALSE))),IF(ISERROR(FIND("..",TRIM(VLOOKUP(IF(AND(LEN($A471)=4,VALUE(RIGHT($A471,2))&gt;60),$A471&amp;"01 1",$A471),IF(AND(LEN($A471)=4,VALUE(RIGHT($A471,2))&lt;60),GUS_tabl_2!$A$8:$B$464,GUS_tabl_21!$A$5:$B$4886),2,FALSE)))),TRIM(VLOOKUP(IF(AND(LEN($A471)=4,VALUE(RIGHT($A471,2))&gt;60),$A471&amp;"01 1",$A471),IF(AND(LEN($A471)=4,VALUE(RIGHT($A471,2))&lt;60),GUS_tabl_2!$A$8:$B$464,GUS_tabl_21!$A$5:$B$4886),2,FALSE)),LEFT(TRIM(VLOOKUP(IF(AND(LEN($A471)=4,VALUE(RIGHT($A471,2))&gt;60),$A471&amp;"01 1",$A471),IF(AND(LEN($A471)=4,VALUE(RIGHT($A471,2))&lt;60),GUS_tabl_2!$A$8:$B$464,GUS_tabl_21!$A$5:$B$4886),2,FALSE)),SUM(FIND("..",TRIM(VLOOKUP(IF(AND(LEN($A471)=4,VALUE(RIGHT($A471,2))&gt;60),$A471&amp;"01 1",$A471),IF(AND(LEN($A471)=4,VALUE(RIGHT($A471,2))&lt;60),GUS_tabl_2!$A$8:$B$464,GUS_tabl_21!$A$5:$B$4886),2,FALSE))),-1)))))</f>
        <v>gm. m.-w. Annopol</v>
      </c>
      <c r="D471" s="141">
        <f>IF(OR($A471="",ISERROR(VALUE(LEFT($A471,6)))),"",IF(LEN($A471)=2,SUMIF($A472:$A$2965,$A471&amp;"??",$D472:$D$2965),IF(AND(LEN($A471)=4,VALUE(RIGHT($A471,2))&lt;=60),SUMIF($A472:$A$2965,$A471&amp;"????",$D472:$D$2965),VLOOKUP(IF(LEN($A471)=4,$A471&amp;"01 1",$A471),GUS_tabl_21!$A$5:$F$4886,6,FALSE))))</f>
        <v>8596</v>
      </c>
      <c r="E471" s="29"/>
    </row>
    <row r="472" spans="1:5" ht="12" customHeight="1">
      <c r="A472" s="155" t="str">
        <f>"060703 2"</f>
        <v>060703 2</v>
      </c>
      <c r="B472" s="153" t="s">
        <v>57</v>
      </c>
      <c r="C472" s="156" t="str">
        <f>IF(OR($A472="",ISERROR(VALUE(LEFT($A472,6)))),"",IF(LEN($A472)=2,"WOJ. ",IF(LEN($A472)=4,IF(VALUE(RIGHT($A472,2))&gt;60,"","Powiat "),IF(VALUE(RIGHT($A472,1))=1,"m. ",IF(VALUE(RIGHT($A472,1))=2,"gm. w. ",IF(VALUE(RIGHT($A472,1))=8,"dz. ","gm. m.-w. ")))))&amp;IF(LEN($A472)=2,TRIM(UPPER(VLOOKUP($A472,GUS_tabl_1!$A$7:$B$22,2,FALSE))),IF(ISERROR(FIND("..",TRIM(VLOOKUP(IF(AND(LEN($A472)=4,VALUE(RIGHT($A472,2))&gt;60),$A472&amp;"01 1",$A472),IF(AND(LEN($A472)=4,VALUE(RIGHT($A472,2))&lt;60),GUS_tabl_2!$A$8:$B$464,GUS_tabl_21!$A$5:$B$4886),2,FALSE)))),TRIM(VLOOKUP(IF(AND(LEN($A472)=4,VALUE(RIGHT($A472,2))&gt;60),$A472&amp;"01 1",$A472),IF(AND(LEN($A472)=4,VALUE(RIGHT($A472,2))&lt;60),GUS_tabl_2!$A$8:$B$464,GUS_tabl_21!$A$5:$B$4886),2,FALSE)),LEFT(TRIM(VLOOKUP(IF(AND(LEN($A472)=4,VALUE(RIGHT($A472,2))&gt;60),$A472&amp;"01 1",$A472),IF(AND(LEN($A472)=4,VALUE(RIGHT($A472,2))&lt;60),GUS_tabl_2!$A$8:$B$464,GUS_tabl_21!$A$5:$B$4886),2,FALSE)),SUM(FIND("..",TRIM(VLOOKUP(IF(AND(LEN($A472)=4,VALUE(RIGHT($A472,2))&gt;60),$A472&amp;"01 1",$A472),IF(AND(LEN($A472)=4,VALUE(RIGHT($A472,2))&lt;60),GUS_tabl_2!$A$8:$B$464,GUS_tabl_21!$A$5:$B$4886),2,FALSE))),-1)))))</f>
        <v>gm. w. Dzierzkowice</v>
      </c>
      <c r="D472" s="141">
        <f>IF(OR($A472="",ISERROR(VALUE(LEFT($A472,6)))),"",IF(LEN($A472)=2,SUMIF($A473:$A$2965,$A472&amp;"??",$D473:$D$2965),IF(AND(LEN($A472)=4,VALUE(RIGHT($A472,2))&lt;=60),SUMIF($A473:$A$2965,$A472&amp;"????",$D473:$D$2965),VLOOKUP(IF(LEN($A472)=4,$A472&amp;"01 1",$A472),GUS_tabl_21!$A$5:$F$4886,6,FALSE))))</f>
        <v>5274</v>
      </c>
      <c r="E472" s="29"/>
    </row>
    <row r="473" spans="1:5" ht="12" customHeight="1">
      <c r="A473" s="155" t="str">
        <f>"060704 2"</f>
        <v>060704 2</v>
      </c>
      <c r="B473" s="153" t="s">
        <v>57</v>
      </c>
      <c r="C473" s="156" t="str">
        <f>IF(OR($A473="",ISERROR(VALUE(LEFT($A473,6)))),"",IF(LEN($A473)=2,"WOJ. ",IF(LEN($A473)=4,IF(VALUE(RIGHT($A473,2))&gt;60,"","Powiat "),IF(VALUE(RIGHT($A473,1))=1,"m. ",IF(VALUE(RIGHT($A473,1))=2,"gm. w. ",IF(VALUE(RIGHT($A473,1))=8,"dz. ","gm. m.-w. ")))))&amp;IF(LEN($A473)=2,TRIM(UPPER(VLOOKUP($A473,GUS_tabl_1!$A$7:$B$22,2,FALSE))),IF(ISERROR(FIND("..",TRIM(VLOOKUP(IF(AND(LEN($A473)=4,VALUE(RIGHT($A473,2))&gt;60),$A473&amp;"01 1",$A473),IF(AND(LEN($A473)=4,VALUE(RIGHT($A473,2))&lt;60),GUS_tabl_2!$A$8:$B$464,GUS_tabl_21!$A$5:$B$4886),2,FALSE)))),TRIM(VLOOKUP(IF(AND(LEN($A473)=4,VALUE(RIGHT($A473,2))&gt;60),$A473&amp;"01 1",$A473),IF(AND(LEN($A473)=4,VALUE(RIGHT($A473,2))&lt;60),GUS_tabl_2!$A$8:$B$464,GUS_tabl_21!$A$5:$B$4886),2,FALSE)),LEFT(TRIM(VLOOKUP(IF(AND(LEN($A473)=4,VALUE(RIGHT($A473,2))&gt;60),$A473&amp;"01 1",$A473),IF(AND(LEN($A473)=4,VALUE(RIGHT($A473,2))&lt;60),GUS_tabl_2!$A$8:$B$464,GUS_tabl_21!$A$5:$B$4886),2,FALSE)),SUM(FIND("..",TRIM(VLOOKUP(IF(AND(LEN($A473)=4,VALUE(RIGHT($A473,2))&gt;60),$A473&amp;"01 1",$A473),IF(AND(LEN($A473)=4,VALUE(RIGHT($A473,2))&lt;60),GUS_tabl_2!$A$8:$B$464,GUS_tabl_21!$A$5:$B$4886),2,FALSE))),-1)))))</f>
        <v>gm. w. Gościeradów</v>
      </c>
      <c r="D473" s="141">
        <f>IF(OR($A473="",ISERROR(VALUE(LEFT($A473,6)))),"",IF(LEN($A473)=2,SUMIF($A474:$A$2965,$A473&amp;"??",$D474:$D$2965),IF(AND(LEN($A473)=4,VALUE(RIGHT($A473,2))&lt;=60),SUMIF($A474:$A$2965,$A473&amp;"????",$D474:$D$2965),VLOOKUP(IF(LEN($A473)=4,$A473&amp;"01 1",$A473),GUS_tabl_21!$A$5:$F$4886,6,FALSE))))</f>
        <v>7209</v>
      </c>
      <c r="E473" s="29"/>
    </row>
    <row r="474" spans="1:5" ht="12" customHeight="1">
      <c r="A474" s="155" t="str">
        <f>"060705 2"</f>
        <v>060705 2</v>
      </c>
      <c r="B474" s="153" t="s">
        <v>57</v>
      </c>
      <c r="C474" s="156" t="str">
        <f>IF(OR($A474="",ISERROR(VALUE(LEFT($A474,6)))),"",IF(LEN($A474)=2,"WOJ. ",IF(LEN($A474)=4,IF(VALUE(RIGHT($A474,2))&gt;60,"","Powiat "),IF(VALUE(RIGHT($A474,1))=1,"m. ",IF(VALUE(RIGHT($A474,1))=2,"gm. w. ",IF(VALUE(RIGHT($A474,1))=8,"dz. ","gm. m.-w. ")))))&amp;IF(LEN($A474)=2,TRIM(UPPER(VLOOKUP($A474,GUS_tabl_1!$A$7:$B$22,2,FALSE))),IF(ISERROR(FIND("..",TRIM(VLOOKUP(IF(AND(LEN($A474)=4,VALUE(RIGHT($A474,2))&gt;60),$A474&amp;"01 1",$A474),IF(AND(LEN($A474)=4,VALUE(RIGHT($A474,2))&lt;60),GUS_tabl_2!$A$8:$B$464,GUS_tabl_21!$A$5:$B$4886),2,FALSE)))),TRIM(VLOOKUP(IF(AND(LEN($A474)=4,VALUE(RIGHT($A474,2))&gt;60),$A474&amp;"01 1",$A474),IF(AND(LEN($A474)=4,VALUE(RIGHT($A474,2))&lt;60),GUS_tabl_2!$A$8:$B$464,GUS_tabl_21!$A$5:$B$4886),2,FALSE)),LEFT(TRIM(VLOOKUP(IF(AND(LEN($A474)=4,VALUE(RIGHT($A474,2))&gt;60),$A474&amp;"01 1",$A474),IF(AND(LEN($A474)=4,VALUE(RIGHT($A474,2))&lt;60),GUS_tabl_2!$A$8:$B$464,GUS_tabl_21!$A$5:$B$4886),2,FALSE)),SUM(FIND("..",TRIM(VLOOKUP(IF(AND(LEN($A474)=4,VALUE(RIGHT($A474,2))&gt;60),$A474&amp;"01 1",$A474),IF(AND(LEN($A474)=4,VALUE(RIGHT($A474,2))&lt;60),GUS_tabl_2!$A$8:$B$464,GUS_tabl_21!$A$5:$B$4886),2,FALSE))),-1)))))</f>
        <v>gm. w. Kraśnik</v>
      </c>
      <c r="D474" s="141">
        <f>IF(OR($A474="",ISERROR(VALUE(LEFT($A474,6)))),"",IF(LEN($A474)=2,SUMIF($A475:$A$2965,$A474&amp;"??",$D475:$D$2965),IF(AND(LEN($A474)=4,VALUE(RIGHT($A474,2))&lt;=60),SUMIF($A475:$A$2965,$A474&amp;"????",$D475:$D$2965),VLOOKUP(IF(LEN($A474)=4,$A474&amp;"01 1",$A474),GUS_tabl_21!$A$5:$F$4886,6,FALSE))))</f>
        <v>7323</v>
      </c>
      <c r="E474" s="29"/>
    </row>
    <row r="475" spans="1:5" ht="12" customHeight="1">
      <c r="A475" s="155" t="str">
        <f>"060706 2"</f>
        <v>060706 2</v>
      </c>
      <c r="B475" s="153" t="s">
        <v>57</v>
      </c>
      <c r="C475" s="156" t="str">
        <f>IF(OR($A475="",ISERROR(VALUE(LEFT($A475,6)))),"",IF(LEN($A475)=2,"WOJ. ",IF(LEN($A475)=4,IF(VALUE(RIGHT($A475,2))&gt;60,"","Powiat "),IF(VALUE(RIGHT($A475,1))=1,"m. ",IF(VALUE(RIGHT($A475,1))=2,"gm. w. ",IF(VALUE(RIGHT($A475,1))=8,"dz. ","gm. m.-w. ")))))&amp;IF(LEN($A475)=2,TRIM(UPPER(VLOOKUP($A475,GUS_tabl_1!$A$7:$B$22,2,FALSE))),IF(ISERROR(FIND("..",TRIM(VLOOKUP(IF(AND(LEN($A475)=4,VALUE(RIGHT($A475,2))&gt;60),$A475&amp;"01 1",$A475),IF(AND(LEN($A475)=4,VALUE(RIGHT($A475,2))&lt;60),GUS_tabl_2!$A$8:$B$464,GUS_tabl_21!$A$5:$B$4886),2,FALSE)))),TRIM(VLOOKUP(IF(AND(LEN($A475)=4,VALUE(RIGHT($A475,2))&gt;60),$A475&amp;"01 1",$A475),IF(AND(LEN($A475)=4,VALUE(RIGHT($A475,2))&lt;60),GUS_tabl_2!$A$8:$B$464,GUS_tabl_21!$A$5:$B$4886),2,FALSE)),LEFT(TRIM(VLOOKUP(IF(AND(LEN($A475)=4,VALUE(RIGHT($A475,2))&gt;60),$A475&amp;"01 1",$A475),IF(AND(LEN($A475)=4,VALUE(RIGHT($A475,2))&lt;60),GUS_tabl_2!$A$8:$B$464,GUS_tabl_21!$A$5:$B$4886),2,FALSE)),SUM(FIND("..",TRIM(VLOOKUP(IF(AND(LEN($A475)=4,VALUE(RIGHT($A475,2))&gt;60),$A475&amp;"01 1",$A475),IF(AND(LEN($A475)=4,VALUE(RIGHT($A475,2))&lt;60),GUS_tabl_2!$A$8:$B$464,GUS_tabl_21!$A$5:$B$4886),2,FALSE))),-1)))))</f>
        <v>gm. w. Szastarka</v>
      </c>
      <c r="D475" s="141">
        <f>IF(OR($A475="",ISERROR(VALUE(LEFT($A475,6)))),"",IF(LEN($A475)=2,SUMIF($A476:$A$2965,$A475&amp;"??",$D476:$D$2965),IF(AND(LEN($A475)=4,VALUE(RIGHT($A475,2))&lt;=60),SUMIF($A476:$A$2965,$A475&amp;"????",$D476:$D$2965),VLOOKUP(IF(LEN($A475)=4,$A475&amp;"01 1",$A475),GUS_tabl_21!$A$5:$F$4886,6,FALSE))))</f>
        <v>5758</v>
      </c>
      <c r="E475" s="29"/>
    </row>
    <row r="476" spans="1:5" ht="12" customHeight="1">
      <c r="A476" s="155" t="str">
        <f>"060707 2"</f>
        <v>060707 2</v>
      </c>
      <c r="B476" s="153" t="s">
        <v>57</v>
      </c>
      <c r="C476" s="156" t="str">
        <f>IF(OR($A476="",ISERROR(VALUE(LEFT($A476,6)))),"",IF(LEN($A476)=2,"WOJ. ",IF(LEN($A476)=4,IF(VALUE(RIGHT($A476,2))&gt;60,"","Powiat "),IF(VALUE(RIGHT($A476,1))=1,"m. ",IF(VALUE(RIGHT($A476,1))=2,"gm. w. ",IF(VALUE(RIGHT($A476,1))=8,"dz. ","gm. m.-w. ")))))&amp;IF(LEN($A476)=2,TRIM(UPPER(VLOOKUP($A476,GUS_tabl_1!$A$7:$B$22,2,FALSE))),IF(ISERROR(FIND("..",TRIM(VLOOKUP(IF(AND(LEN($A476)=4,VALUE(RIGHT($A476,2))&gt;60),$A476&amp;"01 1",$A476),IF(AND(LEN($A476)=4,VALUE(RIGHT($A476,2))&lt;60),GUS_tabl_2!$A$8:$B$464,GUS_tabl_21!$A$5:$B$4886),2,FALSE)))),TRIM(VLOOKUP(IF(AND(LEN($A476)=4,VALUE(RIGHT($A476,2))&gt;60),$A476&amp;"01 1",$A476),IF(AND(LEN($A476)=4,VALUE(RIGHT($A476,2))&lt;60),GUS_tabl_2!$A$8:$B$464,GUS_tabl_21!$A$5:$B$4886),2,FALSE)),LEFT(TRIM(VLOOKUP(IF(AND(LEN($A476)=4,VALUE(RIGHT($A476,2))&gt;60),$A476&amp;"01 1",$A476),IF(AND(LEN($A476)=4,VALUE(RIGHT($A476,2))&lt;60),GUS_tabl_2!$A$8:$B$464,GUS_tabl_21!$A$5:$B$4886),2,FALSE)),SUM(FIND("..",TRIM(VLOOKUP(IF(AND(LEN($A476)=4,VALUE(RIGHT($A476,2))&gt;60),$A476&amp;"01 1",$A476),IF(AND(LEN($A476)=4,VALUE(RIGHT($A476,2))&lt;60),GUS_tabl_2!$A$8:$B$464,GUS_tabl_21!$A$5:$B$4886),2,FALSE))),-1)))))</f>
        <v>gm. w. Trzydnik Duży</v>
      </c>
      <c r="D476" s="141">
        <f>IF(OR($A476="",ISERROR(VALUE(LEFT($A476,6)))),"",IF(LEN($A476)=2,SUMIF($A477:$A$2965,$A476&amp;"??",$D477:$D$2965),IF(AND(LEN($A476)=4,VALUE(RIGHT($A476,2))&lt;=60),SUMIF($A477:$A$2965,$A476&amp;"????",$D477:$D$2965),VLOOKUP(IF(LEN($A476)=4,$A476&amp;"01 1",$A476),GUS_tabl_21!$A$5:$F$4886,6,FALSE))))</f>
        <v>6406</v>
      </c>
      <c r="E476" s="29"/>
    </row>
    <row r="477" spans="1:5" ht="12" customHeight="1">
      <c r="A477" s="155" t="str">
        <f>"060708 3"</f>
        <v>060708 3</v>
      </c>
      <c r="B477" s="153" t="s">
        <v>57</v>
      </c>
      <c r="C477" s="159" t="str">
        <f>IF(OR($A477="",ISERROR(VALUE(LEFT($A477,6)))),"",IF(LEN($A477)=2,"WOJ. ",IF(LEN($A477)=4,IF(VALUE(RIGHT($A477,2))&gt;60,"","Powiat "),IF(VALUE(RIGHT($A477,1))=1,"m. ",IF(VALUE(RIGHT($A477,1))=2,"gm. w. ",IF(VALUE(RIGHT($A477,1))=8,"dz. ","gm. m.-w. ")))))&amp;IF(LEN($A477)=2,TRIM(UPPER(VLOOKUP($A477,GUS_tabl_1!$A$7:$B$22,2,FALSE))),IF(ISERROR(FIND("..",TRIM(VLOOKUP(IF(AND(LEN($A477)=4,VALUE(RIGHT($A477,2))&gt;60),$A477&amp;"01 1",$A477),IF(AND(LEN($A477)=4,VALUE(RIGHT($A477,2))&lt;60),GUS_tabl_2!$A$8:$B$464,GUS_tabl_21!$A$5:$B$4886),2,FALSE)))),TRIM(VLOOKUP(IF(AND(LEN($A477)=4,VALUE(RIGHT($A477,2))&gt;60),$A477&amp;"01 1",$A477),IF(AND(LEN($A477)=4,VALUE(RIGHT($A477,2))&lt;60),GUS_tabl_2!$A$8:$B$464,GUS_tabl_21!$A$5:$B$4886),2,FALSE)),LEFT(TRIM(VLOOKUP(IF(AND(LEN($A477)=4,VALUE(RIGHT($A477,2))&gt;60),$A477&amp;"01 1",$A477),IF(AND(LEN($A477)=4,VALUE(RIGHT($A477,2))&lt;60),GUS_tabl_2!$A$8:$B$464,GUS_tabl_21!$A$5:$B$4886),2,FALSE)),SUM(FIND("..",TRIM(VLOOKUP(IF(AND(LEN($A477)=4,VALUE(RIGHT($A477,2))&gt;60),$A477&amp;"01 1",$A477),IF(AND(LEN($A477)=4,VALUE(RIGHT($A477,2))&lt;60),GUS_tabl_2!$A$8:$B$464,GUS_tabl_21!$A$5:$B$4886),2,FALSE))),-1)))))</f>
        <v>gm. m.-w. Urzędów</v>
      </c>
      <c r="D477" s="141">
        <f>IF(OR($A477="",ISERROR(VALUE(LEFT($A477,6)))),"",IF(LEN($A477)=2,SUMIF($A478:$A$2965,$A477&amp;"??",$D478:$D$2965),IF(AND(LEN($A477)=4,VALUE(RIGHT($A477,2))&lt;=60),SUMIF($A478:$A$2965,$A477&amp;"????",$D478:$D$2965),VLOOKUP(IF(LEN($A477)=4,$A477&amp;"01 1",$A477),GUS_tabl_21!$A$5:$F$4886,6,FALSE))))</f>
        <v>8582</v>
      </c>
      <c r="E477" s="29"/>
    </row>
    <row r="478" spans="1:5" ht="12" customHeight="1">
      <c r="A478" s="155" t="str">
        <f>"060709 2"</f>
        <v>060709 2</v>
      </c>
      <c r="B478" s="153" t="s">
        <v>57</v>
      </c>
      <c r="C478" s="156" t="str">
        <f>IF(OR($A478="",ISERROR(VALUE(LEFT($A478,6)))),"",IF(LEN($A478)=2,"WOJ. ",IF(LEN($A478)=4,IF(VALUE(RIGHT($A478,2))&gt;60,"","Powiat "),IF(VALUE(RIGHT($A478,1))=1,"m. ",IF(VALUE(RIGHT($A478,1))=2,"gm. w. ",IF(VALUE(RIGHT($A478,1))=8,"dz. ","gm. m.-w. ")))))&amp;IF(LEN($A478)=2,TRIM(UPPER(VLOOKUP($A478,GUS_tabl_1!$A$7:$B$22,2,FALSE))),IF(ISERROR(FIND("..",TRIM(VLOOKUP(IF(AND(LEN($A478)=4,VALUE(RIGHT($A478,2))&gt;60),$A478&amp;"01 1",$A478),IF(AND(LEN($A478)=4,VALUE(RIGHT($A478,2))&lt;60),GUS_tabl_2!$A$8:$B$464,GUS_tabl_21!$A$5:$B$4886),2,FALSE)))),TRIM(VLOOKUP(IF(AND(LEN($A478)=4,VALUE(RIGHT($A478,2))&gt;60),$A478&amp;"01 1",$A478),IF(AND(LEN($A478)=4,VALUE(RIGHT($A478,2))&lt;60),GUS_tabl_2!$A$8:$B$464,GUS_tabl_21!$A$5:$B$4886),2,FALSE)),LEFT(TRIM(VLOOKUP(IF(AND(LEN($A478)=4,VALUE(RIGHT($A478,2))&gt;60),$A478&amp;"01 1",$A478),IF(AND(LEN($A478)=4,VALUE(RIGHT($A478,2))&lt;60),GUS_tabl_2!$A$8:$B$464,GUS_tabl_21!$A$5:$B$4886),2,FALSE)),SUM(FIND("..",TRIM(VLOOKUP(IF(AND(LEN($A478)=4,VALUE(RIGHT($A478,2))&gt;60),$A478&amp;"01 1",$A478),IF(AND(LEN($A478)=4,VALUE(RIGHT($A478,2))&lt;60),GUS_tabl_2!$A$8:$B$464,GUS_tabl_21!$A$5:$B$4886),2,FALSE))),-1)))))</f>
        <v>gm. w. Wilkołaz</v>
      </c>
      <c r="D478" s="141">
        <f>IF(OR($A478="",ISERROR(VALUE(LEFT($A478,6)))),"",IF(LEN($A478)=2,SUMIF($A479:$A$2965,$A478&amp;"??",$D479:$D$2965),IF(AND(LEN($A478)=4,VALUE(RIGHT($A478,2))&lt;=60),SUMIF($A479:$A$2965,$A478&amp;"????",$D479:$D$2965),VLOOKUP(IF(LEN($A478)=4,$A478&amp;"01 1",$A478),GUS_tabl_21!$A$5:$F$4886,6,FALSE))))</f>
        <v>5527</v>
      </c>
      <c r="E478" s="29"/>
    </row>
    <row r="479" spans="1:5" ht="12" customHeight="1">
      <c r="A479" s="155" t="str">
        <f>"060710 2"</f>
        <v>060710 2</v>
      </c>
      <c r="B479" s="153" t="s">
        <v>57</v>
      </c>
      <c r="C479" s="156" t="str">
        <f>IF(OR($A479="",ISERROR(VALUE(LEFT($A479,6)))),"",IF(LEN($A479)=2,"WOJ. ",IF(LEN($A479)=4,IF(VALUE(RIGHT($A479,2))&gt;60,"","Powiat "),IF(VALUE(RIGHT($A479,1))=1,"m. ",IF(VALUE(RIGHT($A479,1))=2,"gm. w. ",IF(VALUE(RIGHT($A479,1))=8,"dz. ","gm. m.-w. ")))))&amp;IF(LEN($A479)=2,TRIM(UPPER(VLOOKUP($A479,GUS_tabl_1!$A$7:$B$22,2,FALSE))),IF(ISERROR(FIND("..",TRIM(VLOOKUP(IF(AND(LEN($A479)=4,VALUE(RIGHT($A479,2))&gt;60),$A479&amp;"01 1",$A479),IF(AND(LEN($A479)=4,VALUE(RIGHT($A479,2))&lt;60),GUS_tabl_2!$A$8:$B$464,GUS_tabl_21!$A$5:$B$4886),2,FALSE)))),TRIM(VLOOKUP(IF(AND(LEN($A479)=4,VALUE(RIGHT($A479,2))&gt;60),$A479&amp;"01 1",$A479),IF(AND(LEN($A479)=4,VALUE(RIGHT($A479,2))&lt;60),GUS_tabl_2!$A$8:$B$464,GUS_tabl_21!$A$5:$B$4886),2,FALSE)),LEFT(TRIM(VLOOKUP(IF(AND(LEN($A479)=4,VALUE(RIGHT($A479,2))&gt;60),$A479&amp;"01 1",$A479),IF(AND(LEN($A479)=4,VALUE(RIGHT($A479,2))&lt;60),GUS_tabl_2!$A$8:$B$464,GUS_tabl_21!$A$5:$B$4886),2,FALSE)),SUM(FIND("..",TRIM(VLOOKUP(IF(AND(LEN($A479)=4,VALUE(RIGHT($A479,2))&gt;60),$A479&amp;"01 1",$A479),IF(AND(LEN($A479)=4,VALUE(RIGHT($A479,2))&lt;60),GUS_tabl_2!$A$8:$B$464,GUS_tabl_21!$A$5:$B$4886),2,FALSE))),-1)))))</f>
        <v>gm. w. Zakrzówek</v>
      </c>
      <c r="D479" s="141">
        <f>IF(OR($A479="",ISERROR(VALUE(LEFT($A479,6)))),"",IF(LEN($A479)=2,SUMIF($A480:$A$2965,$A479&amp;"??",$D480:$D$2965),IF(AND(LEN($A479)=4,VALUE(RIGHT($A479,2))&lt;=60),SUMIF($A480:$A$2965,$A479&amp;"????",$D480:$D$2965),VLOOKUP(IF(LEN($A479)=4,$A479&amp;"01 1",$A479),GUS_tabl_21!$A$5:$F$4886,6,FALSE))))</f>
        <v>6443</v>
      </c>
      <c r="E479" s="29"/>
    </row>
    <row r="480" spans="1:5" ht="12" customHeight="1">
      <c r="A480" s="152" t="str">
        <f>"0608"</f>
        <v>0608</v>
      </c>
      <c r="B480" s="153" t="s">
        <v>57</v>
      </c>
      <c r="C480" s="154" t="str">
        <f>IF(OR($A480="",ISERROR(VALUE(LEFT($A480,6)))),"",IF(LEN($A480)=2,"WOJ. ",IF(LEN($A480)=4,IF(VALUE(RIGHT($A480,2))&gt;60,"","Powiat "),IF(VALUE(RIGHT($A480,1))=1,"m. ",IF(VALUE(RIGHT($A480,1))=2,"gm. w. ",IF(VALUE(RIGHT($A480,1))=8,"dz. ","gm. m.-w. ")))))&amp;IF(LEN($A480)=2,TRIM(UPPER(VLOOKUP($A480,GUS_tabl_1!$A$7:$B$22,2,FALSE))),IF(ISERROR(FIND("..",TRIM(VLOOKUP(IF(AND(LEN($A480)=4,VALUE(RIGHT($A480,2))&gt;60),$A480&amp;"01 1",$A480),IF(AND(LEN($A480)=4,VALUE(RIGHT($A480,2))&lt;60),GUS_tabl_2!$A$8:$B$464,GUS_tabl_21!$A$5:$B$4886),2,FALSE)))),TRIM(VLOOKUP(IF(AND(LEN($A480)=4,VALUE(RIGHT($A480,2))&gt;60),$A480&amp;"01 1",$A480),IF(AND(LEN($A480)=4,VALUE(RIGHT($A480,2))&lt;60),GUS_tabl_2!$A$8:$B$464,GUS_tabl_21!$A$5:$B$4886),2,FALSE)),LEFT(TRIM(VLOOKUP(IF(AND(LEN($A480)=4,VALUE(RIGHT($A480,2))&gt;60),$A480&amp;"01 1",$A480),IF(AND(LEN($A480)=4,VALUE(RIGHT($A480,2))&lt;60),GUS_tabl_2!$A$8:$B$464,GUS_tabl_21!$A$5:$B$4886),2,FALSE)),SUM(FIND("..",TRIM(VLOOKUP(IF(AND(LEN($A480)=4,VALUE(RIGHT($A480,2))&gt;60),$A480&amp;"01 1",$A480),IF(AND(LEN($A480)=4,VALUE(RIGHT($A480,2))&lt;60),GUS_tabl_2!$A$8:$B$464,GUS_tabl_21!$A$5:$B$4886),2,FALSE))),-1)))))</f>
        <v>Powiat lubartowski</v>
      </c>
      <c r="D480" s="140">
        <f>IF(OR($A480="",ISERROR(VALUE(LEFT($A480,6)))),"",IF(LEN($A480)=2,SUMIF($A481:$A$2965,$A480&amp;"??",$D481:$D$2965),IF(AND(LEN($A480)=4,VALUE(RIGHT($A480,2))&lt;=60),SUMIF($A481:$A$2965,$A480&amp;"????",$D481:$D$2965),VLOOKUP(IF(LEN($A480)=4,$A480&amp;"01 1",$A480),GUS_tabl_21!$A$5:$F$4886,6,FALSE))))</f>
        <v>88352</v>
      </c>
      <c r="E480" s="29"/>
    </row>
    <row r="481" spans="1:5" ht="12" customHeight="1">
      <c r="A481" s="155" t="str">
        <f>"060801 1"</f>
        <v>060801 1</v>
      </c>
      <c r="B481" s="153" t="s">
        <v>57</v>
      </c>
      <c r="C481" s="156" t="str">
        <f>IF(OR($A481="",ISERROR(VALUE(LEFT($A481,6)))),"",IF(LEN($A481)=2,"WOJ. ",IF(LEN($A481)=4,IF(VALUE(RIGHT($A481,2))&gt;60,"","Powiat "),IF(VALUE(RIGHT($A481,1))=1,"m. ",IF(VALUE(RIGHT($A481,1))=2,"gm. w. ",IF(VALUE(RIGHT($A481,1))=8,"dz. ","gm. m.-w. ")))))&amp;IF(LEN($A481)=2,TRIM(UPPER(VLOOKUP($A481,GUS_tabl_1!$A$7:$B$22,2,FALSE))),IF(ISERROR(FIND("..",TRIM(VLOOKUP(IF(AND(LEN($A481)=4,VALUE(RIGHT($A481,2))&gt;60),$A481&amp;"01 1",$A481),IF(AND(LEN($A481)=4,VALUE(RIGHT($A481,2))&lt;60),GUS_tabl_2!$A$8:$B$464,GUS_tabl_21!$A$5:$B$4886),2,FALSE)))),TRIM(VLOOKUP(IF(AND(LEN($A481)=4,VALUE(RIGHT($A481,2))&gt;60),$A481&amp;"01 1",$A481),IF(AND(LEN($A481)=4,VALUE(RIGHT($A481,2))&lt;60),GUS_tabl_2!$A$8:$B$464,GUS_tabl_21!$A$5:$B$4886),2,FALSE)),LEFT(TRIM(VLOOKUP(IF(AND(LEN($A481)=4,VALUE(RIGHT($A481,2))&gt;60),$A481&amp;"01 1",$A481),IF(AND(LEN($A481)=4,VALUE(RIGHT($A481,2))&lt;60),GUS_tabl_2!$A$8:$B$464,GUS_tabl_21!$A$5:$B$4886),2,FALSE)),SUM(FIND("..",TRIM(VLOOKUP(IF(AND(LEN($A481)=4,VALUE(RIGHT($A481,2))&gt;60),$A481&amp;"01 1",$A481),IF(AND(LEN($A481)=4,VALUE(RIGHT($A481,2))&lt;60),GUS_tabl_2!$A$8:$B$464,GUS_tabl_21!$A$5:$B$4886),2,FALSE))),-1)))))</f>
        <v>m. Lubartów</v>
      </c>
      <c r="D481" s="141">
        <f>IF(OR($A481="",ISERROR(VALUE(LEFT($A481,6)))),"",IF(LEN($A481)=2,SUMIF($A482:$A$2965,$A481&amp;"??",$D482:$D$2965),IF(AND(LEN($A481)=4,VALUE(RIGHT($A481,2))&lt;=60),SUMIF($A482:$A$2965,$A481&amp;"????",$D482:$D$2965),VLOOKUP(IF(LEN($A481)=4,$A481&amp;"01 1",$A481),GUS_tabl_21!$A$5:$F$4886,6,FALSE))))</f>
        <v>21828</v>
      </c>
      <c r="E481" s="29"/>
    </row>
    <row r="482" spans="1:5" ht="12" customHeight="1">
      <c r="A482" s="155" t="str">
        <f>"060802 2"</f>
        <v>060802 2</v>
      </c>
      <c r="B482" s="153" t="s">
        <v>57</v>
      </c>
      <c r="C482" s="156" t="str">
        <f>IF(OR($A482="",ISERROR(VALUE(LEFT($A482,6)))),"",IF(LEN($A482)=2,"WOJ. ",IF(LEN($A482)=4,IF(VALUE(RIGHT($A482,2))&gt;60,"","Powiat "),IF(VALUE(RIGHT($A482,1))=1,"m. ",IF(VALUE(RIGHT($A482,1))=2,"gm. w. ",IF(VALUE(RIGHT($A482,1))=8,"dz. ","gm. m.-w. ")))))&amp;IF(LEN($A482)=2,TRIM(UPPER(VLOOKUP($A482,GUS_tabl_1!$A$7:$B$22,2,FALSE))),IF(ISERROR(FIND("..",TRIM(VLOOKUP(IF(AND(LEN($A482)=4,VALUE(RIGHT($A482,2))&gt;60),$A482&amp;"01 1",$A482),IF(AND(LEN($A482)=4,VALUE(RIGHT($A482,2))&lt;60),GUS_tabl_2!$A$8:$B$464,GUS_tabl_21!$A$5:$B$4886),2,FALSE)))),TRIM(VLOOKUP(IF(AND(LEN($A482)=4,VALUE(RIGHT($A482,2))&gt;60),$A482&amp;"01 1",$A482),IF(AND(LEN($A482)=4,VALUE(RIGHT($A482,2))&lt;60),GUS_tabl_2!$A$8:$B$464,GUS_tabl_21!$A$5:$B$4886),2,FALSE)),LEFT(TRIM(VLOOKUP(IF(AND(LEN($A482)=4,VALUE(RIGHT($A482,2))&gt;60),$A482&amp;"01 1",$A482),IF(AND(LEN($A482)=4,VALUE(RIGHT($A482,2))&lt;60),GUS_tabl_2!$A$8:$B$464,GUS_tabl_21!$A$5:$B$4886),2,FALSE)),SUM(FIND("..",TRIM(VLOOKUP(IF(AND(LEN($A482)=4,VALUE(RIGHT($A482,2))&gt;60),$A482&amp;"01 1",$A482),IF(AND(LEN($A482)=4,VALUE(RIGHT($A482,2))&lt;60),GUS_tabl_2!$A$8:$B$464,GUS_tabl_21!$A$5:$B$4886),2,FALSE))),-1)))))</f>
        <v>gm. w. Abramów</v>
      </c>
      <c r="D482" s="141">
        <f>IF(OR($A482="",ISERROR(VALUE(LEFT($A482,6)))),"",IF(LEN($A482)=2,SUMIF($A483:$A$2965,$A482&amp;"??",$D483:$D$2965),IF(AND(LEN($A482)=4,VALUE(RIGHT($A482,2))&lt;=60),SUMIF($A483:$A$2965,$A482&amp;"????",$D483:$D$2965),VLOOKUP(IF(LEN($A482)=4,$A482&amp;"01 1",$A482),GUS_tabl_21!$A$5:$F$4886,6,FALSE))))</f>
        <v>4039</v>
      </c>
      <c r="E482" s="29"/>
    </row>
    <row r="483" spans="1:5" ht="12" customHeight="1">
      <c r="A483" s="155" t="str">
        <f>"060803 2"</f>
        <v>060803 2</v>
      </c>
      <c r="B483" s="153" t="s">
        <v>57</v>
      </c>
      <c r="C483" s="156" t="str">
        <f>IF(OR($A483="",ISERROR(VALUE(LEFT($A483,6)))),"",IF(LEN($A483)=2,"WOJ. ",IF(LEN($A483)=4,IF(VALUE(RIGHT($A483,2))&gt;60,"","Powiat "),IF(VALUE(RIGHT($A483,1))=1,"m. ",IF(VALUE(RIGHT($A483,1))=2,"gm. w. ",IF(VALUE(RIGHT($A483,1))=8,"dz. ","gm. m.-w. ")))))&amp;IF(LEN($A483)=2,TRIM(UPPER(VLOOKUP($A483,GUS_tabl_1!$A$7:$B$22,2,FALSE))),IF(ISERROR(FIND("..",TRIM(VLOOKUP(IF(AND(LEN($A483)=4,VALUE(RIGHT($A483,2))&gt;60),$A483&amp;"01 1",$A483),IF(AND(LEN($A483)=4,VALUE(RIGHT($A483,2))&lt;60),GUS_tabl_2!$A$8:$B$464,GUS_tabl_21!$A$5:$B$4886),2,FALSE)))),TRIM(VLOOKUP(IF(AND(LEN($A483)=4,VALUE(RIGHT($A483,2))&gt;60),$A483&amp;"01 1",$A483),IF(AND(LEN($A483)=4,VALUE(RIGHT($A483,2))&lt;60),GUS_tabl_2!$A$8:$B$464,GUS_tabl_21!$A$5:$B$4886),2,FALSE)),LEFT(TRIM(VLOOKUP(IF(AND(LEN($A483)=4,VALUE(RIGHT($A483,2))&gt;60),$A483&amp;"01 1",$A483),IF(AND(LEN($A483)=4,VALUE(RIGHT($A483,2))&lt;60),GUS_tabl_2!$A$8:$B$464,GUS_tabl_21!$A$5:$B$4886),2,FALSE)),SUM(FIND("..",TRIM(VLOOKUP(IF(AND(LEN($A483)=4,VALUE(RIGHT($A483,2))&gt;60),$A483&amp;"01 1",$A483),IF(AND(LEN($A483)=4,VALUE(RIGHT($A483,2))&lt;60),GUS_tabl_2!$A$8:$B$464,GUS_tabl_21!$A$5:$B$4886),2,FALSE))),-1)))))</f>
        <v>gm. w. Firlej</v>
      </c>
      <c r="D483" s="141">
        <f>IF(OR($A483="",ISERROR(VALUE(LEFT($A483,6)))),"",IF(LEN($A483)=2,SUMIF($A484:$A$2965,$A483&amp;"??",$D484:$D$2965),IF(AND(LEN($A483)=4,VALUE(RIGHT($A483,2))&lt;=60),SUMIF($A484:$A$2965,$A483&amp;"????",$D484:$D$2965),VLOOKUP(IF(LEN($A483)=4,$A483&amp;"01 1",$A483),GUS_tabl_21!$A$5:$F$4886,6,FALSE))))</f>
        <v>5885</v>
      </c>
      <c r="E483" s="29"/>
    </row>
    <row r="484" spans="1:5" ht="12" customHeight="1">
      <c r="A484" s="155" t="str">
        <f>"060804 2"</f>
        <v>060804 2</v>
      </c>
      <c r="B484" s="153" t="s">
        <v>57</v>
      </c>
      <c r="C484" s="156" t="str">
        <f>IF(OR($A484="",ISERROR(VALUE(LEFT($A484,6)))),"",IF(LEN($A484)=2,"WOJ. ",IF(LEN($A484)=4,IF(VALUE(RIGHT($A484,2))&gt;60,"","Powiat "),IF(VALUE(RIGHT($A484,1))=1,"m. ",IF(VALUE(RIGHT($A484,1))=2,"gm. w. ",IF(VALUE(RIGHT($A484,1))=8,"dz. ","gm. m.-w. ")))))&amp;IF(LEN($A484)=2,TRIM(UPPER(VLOOKUP($A484,GUS_tabl_1!$A$7:$B$22,2,FALSE))),IF(ISERROR(FIND("..",TRIM(VLOOKUP(IF(AND(LEN($A484)=4,VALUE(RIGHT($A484,2))&gt;60),$A484&amp;"01 1",$A484),IF(AND(LEN($A484)=4,VALUE(RIGHT($A484,2))&lt;60),GUS_tabl_2!$A$8:$B$464,GUS_tabl_21!$A$5:$B$4886),2,FALSE)))),TRIM(VLOOKUP(IF(AND(LEN($A484)=4,VALUE(RIGHT($A484,2))&gt;60),$A484&amp;"01 1",$A484),IF(AND(LEN($A484)=4,VALUE(RIGHT($A484,2))&lt;60),GUS_tabl_2!$A$8:$B$464,GUS_tabl_21!$A$5:$B$4886),2,FALSE)),LEFT(TRIM(VLOOKUP(IF(AND(LEN($A484)=4,VALUE(RIGHT($A484,2))&gt;60),$A484&amp;"01 1",$A484),IF(AND(LEN($A484)=4,VALUE(RIGHT($A484,2))&lt;60),GUS_tabl_2!$A$8:$B$464,GUS_tabl_21!$A$5:$B$4886),2,FALSE)),SUM(FIND("..",TRIM(VLOOKUP(IF(AND(LEN($A484)=4,VALUE(RIGHT($A484,2))&gt;60),$A484&amp;"01 1",$A484),IF(AND(LEN($A484)=4,VALUE(RIGHT($A484,2))&lt;60),GUS_tabl_2!$A$8:$B$464,GUS_tabl_21!$A$5:$B$4886),2,FALSE))),-1)))))</f>
        <v>gm. w. Jeziorzany</v>
      </c>
      <c r="D484" s="141">
        <f>IF(OR($A484="",ISERROR(VALUE(LEFT($A484,6)))),"",IF(LEN($A484)=2,SUMIF($A485:$A$2965,$A484&amp;"??",$D485:$D$2965),IF(AND(LEN($A484)=4,VALUE(RIGHT($A484,2))&lt;=60),SUMIF($A485:$A$2965,$A484&amp;"????",$D485:$D$2965),VLOOKUP(IF(LEN($A484)=4,$A484&amp;"01 1",$A484),GUS_tabl_21!$A$5:$F$4886,6,FALSE))))</f>
        <v>2773</v>
      </c>
      <c r="E484" s="29"/>
    </row>
    <row r="485" spans="1:5" ht="12" customHeight="1">
      <c r="A485" s="155" t="str">
        <f>"060805 2"</f>
        <v>060805 2</v>
      </c>
      <c r="B485" s="153" t="s">
        <v>57</v>
      </c>
      <c r="C485" s="156" t="str">
        <f>IF(OR($A485="",ISERROR(VALUE(LEFT($A485,6)))),"",IF(LEN($A485)=2,"WOJ. ",IF(LEN($A485)=4,IF(VALUE(RIGHT($A485,2))&gt;60,"","Powiat "),IF(VALUE(RIGHT($A485,1))=1,"m. ",IF(VALUE(RIGHT($A485,1))=2,"gm. w. ",IF(VALUE(RIGHT($A485,1))=8,"dz. ","gm. m.-w. ")))))&amp;IF(LEN($A485)=2,TRIM(UPPER(VLOOKUP($A485,GUS_tabl_1!$A$7:$B$22,2,FALSE))),IF(ISERROR(FIND("..",TRIM(VLOOKUP(IF(AND(LEN($A485)=4,VALUE(RIGHT($A485,2))&gt;60),$A485&amp;"01 1",$A485),IF(AND(LEN($A485)=4,VALUE(RIGHT($A485,2))&lt;60),GUS_tabl_2!$A$8:$B$464,GUS_tabl_21!$A$5:$B$4886),2,FALSE)))),TRIM(VLOOKUP(IF(AND(LEN($A485)=4,VALUE(RIGHT($A485,2))&gt;60),$A485&amp;"01 1",$A485),IF(AND(LEN($A485)=4,VALUE(RIGHT($A485,2))&lt;60),GUS_tabl_2!$A$8:$B$464,GUS_tabl_21!$A$5:$B$4886),2,FALSE)),LEFT(TRIM(VLOOKUP(IF(AND(LEN($A485)=4,VALUE(RIGHT($A485,2))&gt;60),$A485&amp;"01 1",$A485),IF(AND(LEN($A485)=4,VALUE(RIGHT($A485,2))&lt;60),GUS_tabl_2!$A$8:$B$464,GUS_tabl_21!$A$5:$B$4886),2,FALSE)),SUM(FIND("..",TRIM(VLOOKUP(IF(AND(LEN($A485)=4,VALUE(RIGHT($A485,2))&gt;60),$A485&amp;"01 1",$A485),IF(AND(LEN($A485)=4,VALUE(RIGHT($A485,2))&lt;60),GUS_tabl_2!$A$8:$B$464,GUS_tabl_21!$A$5:$B$4886),2,FALSE))),-1)))))</f>
        <v>gm. w. Kamionka</v>
      </c>
      <c r="D485" s="141">
        <f>IF(OR($A485="",ISERROR(VALUE(LEFT($A485,6)))),"",IF(LEN($A485)=2,SUMIF($A486:$A$2965,$A485&amp;"??",$D486:$D$2965),IF(AND(LEN($A485)=4,VALUE(RIGHT($A485,2))&lt;=60),SUMIF($A486:$A$2965,$A485&amp;"????",$D486:$D$2965),VLOOKUP(IF(LEN($A485)=4,$A485&amp;"01 1",$A485),GUS_tabl_21!$A$5:$F$4886,6,FALSE))))</f>
        <v>6485</v>
      </c>
      <c r="E485" s="29"/>
    </row>
    <row r="486" spans="1:5" ht="12" customHeight="1">
      <c r="A486" s="155" t="str">
        <f>"060806 3"</f>
        <v>060806 3</v>
      </c>
      <c r="B486" s="153" t="s">
        <v>57</v>
      </c>
      <c r="C486" s="156" t="str">
        <f>IF(OR($A486="",ISERROR(VALUE(LEFT($A486,6)))),"",IF(LEN($A486)=2,"WOJ. ",IF(LEN($A486)=4,IF(VALUE(RIGHT($A486,2))&gt;60,"","Powiat "),IF(VALUE(RIGHT($A486,1))=1,"m. ",IF(VALUE(RIGHT($A486,1))=2,"gm. w. ",IF(VALUE(RIGHT($A486,1))=8,"dz. ","gm. m.-w. ")))))&amp;IF(LEN($A486)=2,TRIM(UPPER(VLOOKUP($A486,GUS_tabl_1!$A$7:$B$22,2,FALSE))),IF(ISERROR(FIND("..",TRIM(VLOOKUP(IF(AND(LEN($A486)=4,VALUE(RIGHT($A486,2))&gt;60),$A486&amp;"01 1",$A486),IF(AND(LEN($A486)=4,VALUE(RIGHT($A486,2))&lt;60),GUS_tabl_2!$A$8:$B$464,GUS_tabl_21!$A$5:$B$4886),2,FALSE)))),TRIM(VLOOKUP(IF(AND(LEN($A486)=4,VALUE(RIGHT($A486,2))&gt;60),$A486&amp;"01 1",$A486),IF(AND(LEN($A486)=4,VALUE(RIGHT($A486,2))&lt;60),GUS_tabl_2!$A$8:$B$464,GUS_tabl_21!$A$5:$B$4886),2,FALSE)),LEFT(TRIM(VLOOKUP(IF(AND(LEN($A486)=4,VALUE(RIGHT($A486,2))&gt;60),$A486&amp;"01 1",$A486),IF(AND(LEN($A486)=4,VALUE(RIGHT($A486,2))&lt;60),GUS_tabl_2!$A$8:$B$464,GUS_tabl_21!$A$5:$B$4886),2,FALSE)),SUM(FIND("..",TRIM(VLOOKUP(IF(AND(LEN($A486)=4,VALUE(RIGHT($A486,2))&gt;60),$A486&amp;"01 1",$A486),IF(AND(LEN($A486)=4,VALUE(RIGHT($A486,2))&lt;60),GUS_tabl_2!$A$8:$B$464,GUS_tabl_21!$A$5:$B$4886),2,FALSE))),-1)))))</f>
        <v>gm. m.-w. Kock</v>
      </c>
      <c r="D486" s="141">
        <f>IF(OR($A486="",ISERROR(VALUE(LEFT($A486,6)))),"",IF(LEN($A486)=2,SUMIF($A487:$A$2965,$A486&amp;"??",$D487:$D$2965),IF(AND(LEN($A486)=4,VALUE(RIGHT($A486,2))&lt;=60),SUMIF($A487:$A$2965,$A486&amp;"????",$D487:$D$2965),VLOOKUP(IF(LEN($A486)=4,$A486&amp;"01 1",$A486),GUS_tabl_21!$A$5:$F$4886,6,FALSE))))</f>
        <v>6349</v>
      </c>
      <c r="E486" s="29"/>
    </row>
    <row r="487" spans="1:5" ht="12" customHeight="1">
      <c r="A487" s="155" t="str">
        <f>"060807 2"</f>
        <v>060807 2</v>
      </c>
      <c r="B487" s="153" t="s">
        <v>57</v>
      </c>
      <c r="C487" s="156" t="str">
        <f>IF(OR($A487="",ISERROR(VALUE(LEFT($A487,6)))),"",IF(LEN($A487)=2,"WOJ. ",IF(LEN($A487)=4,IF(VALUE(RIGHT($A487,2))&gt;60,"","Powiat "),IF(VALUE(RIGHT($A487,1))=1,"m. ",IF(VALUE(RIGHT($A487,1))=2,"gm. w. ",IF(VALUE(RIGHT($A487,1))=8,"dz. ","gm. m.-w. ")))))&amp;IF(LEN($A487)=2,TRIM(UPPER(VLOOKUP($A487,GUS_tabl_1!$A$7:$B$22,2,FALSE))),IF(ISERROR(FIND("..",TRIM(VLOOKUP(IF(AND(LEN($A487)=4,VALUE(RIGHT($A487,2))&gt;60),$A487&amp;"01 1",$A487),IF(AND(LEN($A487)=4,VALUE(RIGHT($A487,2))&lt;60),GUS_tabl_2!$A$8:$B$464,GUS_tabl_21!$A$5:$B$4886),2,FALSE)))),TRIM(VLOOKUP(IF(AND(LEN($A487)=4,VALUE(RIGHT($A487,2))&gt;60),$A487&amp;"01 1",$A487),IF(AND(LEN($A487)=4,VALUE(RIGHT($A487,2))&lt;60),GUS_tabl_2!$A$8:$B$464,GUS_tabl_21!$A$5:$B$4886),2,FALSE)),LEFT(TRIM(VLOOKUP(IF(AND(LEN($A487)=4,VALUE(RIGHT($A487,2))&gt;60),$A487&amp;"01 1",$A487),IF(AND(LEN($A487)=4,VALUE(RIGHT($A487,2))&lt;60),GUS_tabl_2!$A$8:$B$464,GUS_tabl_21!$A$5:$B$4886),2,FALSE)),SUM(FIND("..",TRIM(VLOOKUP(IF(AND(LEN($A487)=4,VALUE(RIGHT($A487,2))&gt;60),$A487&amp;"01 1",$A487),IF(AND(LEN($A487)=4,VALUE(RIGHT($A487,2))&lt;60),GUS_tabl_2!$A$8:$B$464,GUS_tabl_21!$A$5:$B$4886),2,FALSE))),-1)))))</f>
        <v>gm. w. Lubartów</v>
      </c>
      <c r="D487" s="141">
        <f>IF(OR($A487="",ISERROR(VALUE(LEFT($A487,6)))),"",IF(LEN($A487)=2,SUMIF($A488:$A$2965,$A487&amp;"??",$D488:$D$2965),IF(AND(LEN($A487)=4,VALUE(RIGHT($A487,2))&lt;=60),SUMIF($A488:$A$2965,$A487&amp;"????",$D488:$D$2965),VLOOKUP(IF(LEN($A487)=4,$A487&amp;"01 1",$A487),GUS_tabl_21!$A$5:$F$4886,6,FALSE))))</f>
        <v>11812</v>
      </c>
      <c r="E487" s="29"/>
    </row>
    <row r="488" spans="1:5" ht="12" customHeight="1">
      <c r="A488" s="155" t="str">
        <f>"060808 2"</f>
        <v>060808 2</v>
      </c>
      <c r="B488" s="153" t="s">
        <v>57</v>
      </c>
      <c r="C488" s="156" t="str">
        <f>IF(OR($A488="",ISERROR(VALUE(LEFT($A488,6)))),"",IF(LEN($A488)=2,"WOJ. ",IF(LEN($A488)=4,IF(VALUE(RIGHT($A488,2))&gt;60,"","Powiat "),IF(VALUE(RIGHT($A488,1))=1,"m. ",IF(VALUE(RIGHT($A488,1))=2,"gm. w. ",IF(VALUE(RIGHT($A488,1))=8,"dz. ","gm. m.-w. ")))))&amp;IF(LEN($A488)=2,TRIM(UPPER(VLOOKUP($A488,GUS_tabl_1!$A$7:$B$22,2,FALSE))),IF(ISERROR(FIND("..",TRIM(VLOOKUP(IF(AND(LEN($A488)=4,VALUE(RIGHT($A488,2))&gt;60),$A488&amp;"01 1",$A488),IF(AND(LEN($A488)=4,VALUE(RIGHT($A488,2))&lt;60),GUS_tabl_2!$A$8:$B$464,GUS_tabl_21!$A$5:$B$4886),2,FALSE)))),TRIM(VLOOKUP(IF(AND(LEN($A488)=4,VALUE(RIGHT($A488,2))&gt;60),$A488&amp;"01 1",$A488),IF(AND(LEN($A488)=4,VALUE(RIGHT($A488,2))&lt;60),GUS_tabl_2!$A$8:$B$464,GUS_tabl_21!$A$5:$B$4886),2,FALSE)),LEFT(TRIM(VLOOKUP(IF(AND(LEN($A488)=4,VALUE(RIGHT($A488,2))&gt;60),$A488&amp;"01 1",$A488),IF(AND(LEN($A488)=4,VALUE(RIGHT($A488,2))&lt;60),GUS_tabl_2!$A$8:$B$464,GUS_tabl_21!$A$5:$B$4886),2,FALSE)),SUM(FIND("..",TRIM(VLOOKUP(IF(AND(LEN($A488)=4,VALUE(RIGHT($A488,2))&gt;60),$A488&amp;"01 1",$A488),IF(AND(LEN($A488)=4,VALUE(RIGHT($A488,2))&lt;60),GUS_tabl_2!$A$8:$B$464,GUS_tabl_21!$A$5:$B$4886),2,FALSE))),-1)))))</f>
        <v>gm. w. Michów</v>
      </c>
      <c r="D488" s="141">
        <f>IF(OR($A488="",ISERROR(VALUE(LEFT($A488,6)))),"",IF(LEN($A488)=2,SUMIF($A489:$A$2965,$A488&amp;"??",$D489:$D$2965),IF(AND(LEN($A488)=4,VALUE(RIGHT($A488,2))&lt;=60),SUMIF($A489:$A$2965,$A488&amp;"????",$D489:$D$2965),VLOOKUP(IF(LEN($A488)=4,$A488&amp;"01 1",$A488),GUS_tabl_21!$A$5:$F$4886,6,FALSE))))</f>
        <v>5849</v>
      </c>
      <c r="E488" s="29"/>
    </row>
    <row r="489" spans="1:5" ht="12" customHeight="1">
      <c r="A489" s="155" t="str">
        <f>"060809 2"</f>
        <v>060809 2</v>
      </c>
      <c r="B489" s="153" t="s">
        <v>57</v>
      </c>
      <c r="C489" s="156" t="str">
        <f>IF(OR($A489="",ISERROR(VALUE(LEFT($A489,6)))),"",IF(LEN($A489)=2,"WOJ. ",IF(LEN($A489)=4,IF(VALUE(RIGHT($A489,2))&gt;60,"","Powiat "),IF(VALUE(RIGHT($A489,1))=1,"m. ",IF(VALUE(RIGHT($A489,1))=2,"gm. w. ",IF(VALUE(RIGHT($A489,1))=8,"dz. ","gm. m.-w. ")))))&amp;IF(LEN($A489)=2,TRIM(UPPER(VLOOKUP($A489,GUS_tabl_1!$A$7:$B$22,2,FALSE))),IF(ISERROR(FIND("..",TRIM(VLOOKUP(IF(AND(LEN($A489)=4,VALUE(RIGHT($A489,2))&gt;60),$A489&amp;"01 1",$A489),IF(AND(LEN($A489)=4,VALUE(RIGHT($A489,2))&lt;60),GUS_tabl_2!$A$8:$B$464,GUS_tabl_21!$A$5:$B$4886),2,FALSE)))),TRIM(VLOOKUP(IF(AND(LEN($A489)=4,VALUE(RIGHT($A489,2))&gt;60),$A489&amp;"01 1",$A489),IF(AND(LEN($A489)=4,VALUE(RIGHT($A489,2))&lt;60),GUS_tabl_2!$A$8:$B$464,GUS_tabl_21!$A$5:$B$4886),2,FALSE)),LEFT(TRIM(VLOOKUP(IF(AND(LEN($A489)=4,VALUE(RIGHT($A489,2))&gt;60),$A489&amp;"01 1",$A489),IF(AND(LEN($A489)=4,VALUE(RIGHT($A489,2))&lt;60),GUS_tabl_2!$A$8:$B$464,GUS_tabl_21!$A$5:$B$4886),2,FALSE)),SUM(FIND("..",TRIM(VLOOKUP(IF(AND(LEN($A489)=4,VALUE(RIGHT($A489,2))&gt;60),$A489&amp;"01 1",$A489),IF(AND(LEN($A489)=4,VALUE(RIGHT($A489,2))&lt;60),GUS_tabl_2!$A$8:$B$464,GUS_tabl_21!$A$5:$B$4886),2,FALSE))),-1)))))</f>
        <v>gm. w. Niedźwiada</v>
      </c>
      <c r="D489" s="141">
        <f>IF(OR($A489="",ISERROR(VALUE(LEFT($A489,6)))),"",IF(LEN($A489)=2,SUMIF($A490:$A$2965,$A489&amp;"??",$D490:$D$2965),IF(AND(LEN($A489)=4,VALUE(RIGHT($A489,2))&lt;=60),SUMIF($A490:$A$2965,$A489&amp;"????",$D490:$D$2965),VLOOKUP(IF(LEN($A489)=4,$A489&amp;"01 1",$A489),GUS_tabl_21!$A$5:$F$4886,6,FALSE))))</f>
        <v>6183</v>
      </c>
      <c r="E489" s="29"/>
    </row>
    <row r="490" spans="1:5" ht="12" customHeight="1">
      <c r="A490" s="155" t="str">
        <f>"060810 3"</f>
        <v>060810 3</v>
      </c>
      <c r="B490" s="153" t="s">
        <v>57</v>
      </c>
      <c r="C490" s="156" t="str">
        <f>IF(OR($A490="",ISERROR(VALUE(LEFT($A490,6)))),"",IF(LEN($A490)=2,"WOJ. ",IF(LEN($A490)=4,IF(VALUE(RIGHT($A490,2))&gt;60,"","Powiat "),IF(VALUE(RIGHT($A490,1))=1,"m. ",IF(VALUE(RIGHT($A490,1))=2,"gm. w. ",IF(VALUE(RIGHT($A490,1))=8,"dz. ","gm. m.-w. ")))))&amp;IF(LEN($A490)=2,TRIM(UPPER(VLOOKUP($A490,GUS_tabl_1!$A$7:$B$22,2,FALSE))),IF(ISERROR(FIND("..",TRIM(VLOOKUP(IF(AND(LEN($A490)=4,VALUE(RIGHT($A490,2))&gt;60),$A490&amp;"01 1",$A490),IF(AND(LEN($A490)=4,VALUE(RIGHT($A490,2))&lt;60),GUS_tabl_2!$A$8:$B$464,GUS_tabl_21!$A$5:$B$4886),2,FALSE)))),TRIM(VLOOKUP(IF(AND(LEN($A490)=4,VALUE(RIGHT($A490,2))&gt;60),$A490&amp;"01 1",$A490),IF(AND(LEN($A490)=4,VALUE(RIGHT($A490,2))&lt;60),GUS_tabl_2!$A$8:$B$464,GUS_tabl_21!$A$5:$B$4886),2,FALSE)),LEFT(TRIM(VLOOKUP(IF(AND(LEN($A490)=4,VALUE(RIGHT($A490,2))&gt;60),$A490&amp;"01 1",$A490),IF(AND(LEN($A490)=4,VALUE(RIGHT($A490,2))&lt;60),GUS_tabl_2!$A$8:$B$464,GUS_tabl_21!$A$5:$B$4886),2,FALSE)),SUM(FIND("..",TRIM(VLOOKUP(IF(AND(LEN($A490)=4,VALUE(RIGHT($A490,2))&gt;60),$A490&amp;"01 1",$A490),IF(AND(LEN($A490)=4,VALUE(RIGHT($A490,2))&lt;60),GUS_tabl_2!$A$8:$B$464,GUS_tabl_21!$A$5:$B$4886),2,FALSE))),-1)))))</f>
        <v>gm. m.-w. Ostrów Lubelski</v>
      </c>
      <c r="D490" s="141">
        <f>IF(OR($A490="",ISERROR(VALUE(LEFT($A490,6)))),"",IF(LEN($A490)=2,SUMIF($A491:$A$2965,$A490&amp;"??",$D491:$D$2965),IF(AND(LEN($A490)=4,VALUE(RIGHT($A490,2))&lt;=60),SUMIF($A491:$A$2965,$A490&amp;"????",$D491:$D$2965),VLOOKUP(IF(LEN($A490)=4,$A490&amp;"01 1",$A490),GUS_tabl_21!$A$5:$F$4886,6,FALSE))))</f>
        <v>5244</v>
      </c>
      <c r="E490" s="29"/>
    </row>
    <row r="491" spans="1:5" ht="12" customHeight="1">
      <c r="A491" s="155" t="str">
        <f>"060811 2"</f>
        <v>060811 2</v>
      </c>
      <c r="B491" s="153" t="s">
        <v>57</v>
      </c>
      <c r="C491" s="156" t="str">
        <f>IF(OR($A491="",ISERROR(VALUE(LEFT($A491,6)))),"",IF(LEN($A491)=2,"WOJ. ",IF(LEN($A491)=4,IF(VALUE(RIGHT($A491,2))&gt;60,"","Powiat "),IF(VALUE(RIGHT($A491,1))=1,"m. ",IF(VALUE(RIGHT($A491,1))=2,"gm. w. ",IF(VALUE(RIGHT($A491,1))=8,"dz. ","gm. m.-w. ")))))&amp;IF(LEN($A491)=2,TRIM(UPPER(VLOOKUP($A491,GUS_tabl_1!$A$7:$B$22,2,FALSE))),IF(ISERROR(FIND("..",TRIM(VLOOKUP(IF(AND(LEN($A491)=4,VALUE(RIGHT($A491,2))&gt;60),$A491&amp;"01 1",$A491),IF(AND(LEN($A491)=4,VALUE(RIGHT($A491,2))&lt;60),GUS_tabl_2!$A$8:$B$464,GUS_tabl_21!$A$5:$B$4886),2,FALSE)))),TRIM(VLOOKUP(IF(AND(LEN($A491)=4,VALUE(RIGHT($A491,2))&gt;60),$A491&amp;"01 1",$A491),IF(AND(LEN($A491)=4,VALUE(RIGHT($A491,2))&lt;60),GUS_tabl_2!$A$8:$B$464,GUS_tabl_21!$A$5:$B$4886),2,FALSE)),LEFT(TRIM(VLOOKUP(IF(AND(LEN($A491)=4,VALUE(RIGHT($A491,2))&gt;60),$A491&amp;"01 1",$A491),IF(AND(LEN($A491)=4,VALUE(RIGHT($A491,2))&lt;60),GUS_tabl_2!$A$8:$B$464,GUS_tabl_21!$A$5:$B$4886),2,FALSE)),SUM(FIND("..",TRIM(VLOOKUP(IF(AND(LEN($A491)=4,VALUE(RIGHT($A491,2))&gt;60),$A491&amp;"01 1",$A491),IF(AND(LEN($A491)=4,VALUE(RIGHT($A491,2))&lt;60),GUS_tabl_2!$A$8:$B$464,GUS_tabl_21!$A$5:$B$4886),2,FALSE))),-1)))))</f>
        <v>gm. w. Ostrówek</v>
      </c>
      <c r="D491" s="141">
        <f>IF(OR($A491="",ISERROR(VALUE(LEFT($A491,6)))),"",IF(LEN($A491)=2,SUMIF($A492:$A$2965,$A491&amp;"??",$D492:$D$2965),IF(AND(LEN($A491)=4,VALUE(RIGHT($A491,2))&lt;=60),SUMIF($A492:$A$2965,$A491&amp;"????",$D492:$D$2965),VLOOKUP(IF(LEN($A491)=4,$A491&amp;"01 1",$A491),GUS_tabl_21!$A$5:$F$4886,6,FALSE))))</f>
        <v>3829</v>
      </c>
      <c r="E491" s="29"/>
    </row>
    <row r="492" spans="1:5" ht="12" customHeight="1">
      <c r="A492" s="155" t="str">
        <f>"060812 2"</f>
        <v>060812 2</v>
      </c>
      <c r="B492" s="153" t="s">
        <v>57</v>
      </c>
      <c r="C492" s="156" t="str">
        <f>IF(OR($A492="",ISERROR(VALUE(LEFT($A492,6)))),"",IF(LEN($A492)=2,"WOJ. ",IF(LEN($A492)=4,IF(VALUE(RIGHT($A492,2))&gt;60,"","Powiat "),IF(VALUE(RIGHT($A492,1))=1,"m. ",IF(VALUE(RIGHT($A492,1))=2,"gm. w. ",IF(VALUE(RIGHT($A492,1))=8,"dz. ","gm. m.-w. ")))))&amp;IF(LEN($A492)=2,TRIM(UPPER(VLOOKUP($A492,GUS_tabl_1!$A$7:$B$22,2,FALSE))),IF(ISERROR(FIND("..",TRIM(VLOOKUP(IF(AND(LEN($A492)=4,VALUE(RIGHT($A492,2))&gt;60),$A492&amp;"01 1",$A492),IF(AND(LEN($A492)=4,VALUE(RIGHT($A492,2))&lt;60),GUS_tabl_2!$A$8:$B$464,GUS_tabl_21!$A$5:$B$4886),2,FALSE)))),TRIM(VLOOKUP(IF(AND(LEN($A492)=4,VALUE(RIGHT($A492,2))&gt;60),$A492&amp;"01 1",$A492),IF(AND(LEN($A492)=4,VALUE(RIGHT($A492,2))&lt;60),GUS_tabl_2!$A$8:$B$464,GUS_tabl_21!$A$5:$B$4886),2,FALSE)),LEFT(TRIM(VLOOKUP(IF(AND(LEN($A492)=4,VALUE(RIGHT($A492,2))&gt;60),$A492&amp;"01 1",$A492),IF(AND(LEN($A492)=4,VALUE(RIGHT($A492,2))&lt;60),GUS_tabl_2!$A$8:$B$464,GUS_tabl_21!$A$5:$B$4886),2,FALSE)),SUM(FIND("..",TRIM(VLOOKUP(IF(AND(LEN($A492)=4,VALUE(RIGHT($A492,2))&gt;60),$A492&amp;"01 1",$A492),IF(AND(LEN($A492)=4,VALUE(RIGHT($A492,2))&lt;60),GUS_tabl_2!$A$8:$B$464,GUS_tabl_21!$A$5:$B$4886),2,FALSE))),-1)))))</f>
        <v>gm. w. Serniki</v>
      </c>
      <c r="D492" s="141">
        <f>IF(OR($A492="",ISERROR(VALUE(LEFT($A492,6)))),"",IF(LEN($A492)=2,SUMIF($A493:$A$2965,$A492&amp;"??",$D493:$D$2965),IF(AND(LEN($A492)=4,VALUE(RIGHT($A492,2))&lt;=60),SUMIF($A493:$A$2965,$A492&amp;"????",$D493:$D$2965),VLOOKUP(IF(LEN($A492)=4,$A492&amp;"01 1",$A492),GUS_tabl_21!$A$5:$F$4886,6,FALSE))))</f>
        <v>4914</v>
      </c>
      <c r="E492" s="29"/>
    </row>
    <row r="493" spans="1:5" ht="12" customHeight="1">
      <c r="A493" s="155" t="str">
        <f>"060813 2"</f>
        <v>060813 2</v>
      </c>
      <c r="B493" s="153" t="s">
        <v>57</v>
      </c>
      <c r="C493" s="156" t="str">
        <f>IF(OR($A493="",ISERROR(VALUE(LEFT($A493,6)))),"",IF(LEN($A493)=2,"WOJ. ",IF(LEN($A493)=4,IF(VALUE(RIGHT($A493,2))&gt;60,"","Powiat "),IF(VALUE(RIGHT($A493,1))=1,"m. ",IF(VALUE(RIGHT($A493,1))=2,"gm. w. ",IF(VALUE(RIGHT($A493,1))=8,"dz. ","gm. m.-w. ")))))&amp;IF(LEN($A493)=2,TRIM(UPPER(VLOOKUP($A493,GUS_tabl_1!$A$7:$B$22,2,FALSE))),IF(ISERROR(FIND("..",TRIM(VLOOKUP(IF(AND(LEN($A493)=4,VALUE(RIGHT($A493,2))&gt;60),$A493&amp;"01 1",$A493),IF(AND(LEN($A493)=4,VALUE(RIGHT($A493,2))&lt;60),GUS_tabl_2!$A$8:$B$464,GUS_tabl_21!$A$5:$B$4886),2,FALSE)))),TRIM(VLOOKUP(IF(AND(LEN($A493)=4,VALUE(RIGHT($A493,2))&gt;60),$A493&amp;"01 1",$A493),IF(AND(LEN($A493)=4,VALUE(RIGHT($A493,2))&lt;60),GUS_tabl_2!$A$8:$B$464,GUS_tabl_21!$A$5:$B$4886),2,FALSE)),LEFT(TRIM(VLOOKUP(IF(AND(LEN($A493)=4,VALUE(RIGHT($A493,2))&gt;60),$A493&amp;"01 1",$A493),IF(AND(LEN($A493)=4,VALUE(RIGHT($A493,2))&lt;60),GUS_tabl_2!$A$8:$B$464,GUS_tabl_21!$A$5:$B$4886),2,FALSE)),SUM(FIND("..",TRIM(VLOOKUP(IF(AND(LEN($A493)=4,VALUE(RIGHT($A493,2))&gt;60),$A493&amp;"01 1",$A493),IF(AND(LEN($A493)=4,VALUE(RIGHT($A493,2))&lt;60),GUS_tabl_2!$A$8:$B$464,GUS_tabl_21!$A$5:$B$4886),2,FALSE))),-1)))))</f>
        <v>gm. w. Uścimów</v>
      </c>
      <c r="D493" s="141">
        <f>IF(OR($A493="",ISERROR(VALUE(LEFT($A493,6)))),"",IF(LEN($A493)=2,SUMIF($A494:$A$2965,$A493&amp;"??",$D494:$D$2965),IF(AND(LEN($A493)=4,VALUE(RIGHT($A493,2))&lt;=60),SUMIF($A494:$A$2965,$A493&amp;"????",$D494:$D$2965),VLOOKUP(IF(LEN($A493)=4,$A493&amp;"01 1",$A493),GUS_tabl_21!$A$5:$F$4886,6,FALSE))))</f>
        <v>3162</v>
      </c>
      <c r="E493" s="29"/>
    </row>
    <row r="494" spans="1:5" ht="12" customHeight="1">
      <c r="A494" s="152" t="str">
        <f>"0609"</f>
        <v>0609</v>
      </c>
      <c r="B494" s="153" t="s">
        <v>57</v>
      </c>
      <c r="C494" s="154" t="str">
        <f>IF(OR($A494="",ISERROR(VALUE(LEFT($A494,6)))),"",IF(LEN($A494)=2,"WOJ. ",IF(LEN($A494)=4,IF(VALUE(RIGHT($A494,2))&gt;60,"","Powiat "),IF(VALUE(RIGHT($A494,1))=1,"m. ",IF(VALUE(RIGHT($A494,1))=2,"gm. w. ",IF(VALUE(RIGHT($A494,1))=8,"dz. ","gm. m.-w. ")))))&amp;IF(LEN($A494)=2,TRIM(UPPER(VLOOKUP($A494,GUS_tabl_1!$A$7:$B$22,2,FALSE))),IF(ISERROR(FIND("..",TRIM(VLOOKUP(IF(AND(LEN($A494)=4,VALUE(RIGHT($A494,2))&gt;60),$A494&amp;"01 1",$A494),IF(AND(LEN($A494)=4,VALUE(RIGHT($A494,2))&lt;60),GUS_tabl_2!$A$8:$B$464,GUS_tabl_21!$A$5:$B$4886),2,FALSE)))),TRIM(VLOOKUP(IF(AND(LEN($A494)=4,VALUE(RIGHT($A494,2))&gt;60),$A494&amp;"01 1",$A494),IF(AND(LEN($A494)=4,VALUE(RIGHT($A494,2))&lt;60),GUS_tabl_2!$A$8:$B$464,GUS_tabl_21!$A$5:$B$4886),2,FALSE)),LEFT(TRIM(VLOOKUP(IF(AND(LEN($A494)=4,VALUE(RIGHT($A494,2))&gt;60),$A494&amp;"01 1",$A494),IF(AND(LEN($A494)=4,VALUE(RIGHT($A494,2))&lt;60),GUS_tabl_2!$A$8:$B$464,GUS_tabl_21!$A$5:$B$4886),2,FALSE)),SUM(FIND("..",TRIM(VLOOKUP(IF(AND(LEN($A494)=4,VALUE(RIGHT($A494,2))&gt;60),$A494&amp;"01 1",$A494),IF(AND(LEN($A494)=4,VALUE(RIGHT($A494,2))&lt;60),GUS_tabl_2!$A$8:$B$464,GUS_tabl_21!$A$5:$B$4886),2,FALSE))),-1)))))</f>
        <v>Powiat lubelski</v>
      </c>
      <c r="D494" s="140">
        <f>IF(OR($A494="",ISERROR(VALUE(LEFT($A494,6)))),"",IF(LEN($A494)=2,SUMIF($A495:$A$2965,$A494&amp;"??",$D495:$D$2965),IF(AND(LEN($A494)=4,VALUE(RIGHT($A494,2))&lt;=60),SUMIF($A495:$A$2965,$A494&amp;"????",$D495:$D$2965),VLOOKUP(IF(LEN($A494)=4,$A494&amp;"01 1",$A494),GUS_tabl_21!$A$5:$F$4886,6,FALSE))))</f>
        <v>155566</v>
      </c>
      <c r="E494" s="29"/>
    </row>
    <row r="495" spans="1:5" ht="12" customHeight="1">
      <c r="A495" s="155" t="str">
        <f>"060901 3"</f>
        <v>060901 3</v>
      </c>
      <c r="B495" s="153" t="s">
        <v>57</v>
      </c>
      <c r="C495" s="156" t="str">
        <f>IF(OR($A495="",ISERROR(VALUE(LEFT($A495,6)))),"",IF(LEN($A495)=2,"WOJ. ",IF(LEN($A495)=4,IF(VALUE(RIGHT($A495,2))&gt;60,"","Powiat "),IF(VALUE(RIGHT($A495,1))=1,"m. ",IF(VALUE(RIGHT($A495,1))=2,"gm. w. ",IF(VALUE(RIGHT($A495,1))=8,"dz. ","gm. m.-w. ")))))&amp;IF(LEN($A495)=2,TRIM(UPPER(VLOOKUP($A495,GUS_tabl_1!$A$7:$B$22,2,FALSE))),IF(ISERROR(FIND("..",TRIM(VLOOKUP(IF(AND(LEN($A495)=4,VALUE(RIGHT($A495,2))&gt;60),$A495&amp;"01 1",$A495),IF(AND(LEN($A495)=4,VALUE(RIGHT($A495,2))&lt;60),GUS_tabl_2!$A$8:$B$464,GUS_tabl_21!$A$5:$B$4886),2,FALSE)))),TRIM(VLOOKUP(IF(AND(LEN($A495)=4,VALUE(RIGHT($A495,2))&gt;60),$A495&amp;"01 1",$A495),IF(AND(LEN($A495)=4,VALUE(RIGHT($A495,2))&lt;60),GUS_tabl_2!$A$8:$B$464,GUS_tabl_21!$A$5:$B$4886),2,FALSE)),LEFT(TRIM(VLOOKUP(IF(AND(LEN($A495)=4,VALUE(RIGHT($A495,2))&gt;60),$A495&amp;"01 1",$A495),IF(AND(LEN($A495)=4,VALUE(RIGHT($A495,2))&lt;60),GUS_tabl_2!$A$8:$B$464,GUS_tabl_21!$A$5:$B$4886),2,FALSE)),SUM(FIND("..",TRIM(VLOOKUP(IF(AND(LEN($A495)=4,VALUE(RIGHT($A495,2))&gt;60),$A495&amp;"01 1",$A495),IF(AND(LEN($A495)=4,VALUE(RIGHT($A495,2))&lt;60),GUS_tabl_2!$A$8:$B$464,GUS_tabl_21!$A$5:$B$4886),2,FALSE))),-1)))))</f>
        <v>gm. m.-w. Bełżyce</v>
      </c>
      <c r="D495" s="141">
        <f>IF(OR($A495="",ISERROR(VALUE(LEFT($A495,6)))),"",IF(LEN($A495)=2,SUMIF($A496:$A$2965,$A495&amp;"??",$D496:$D$2965),IF(AND(LEN($A495)=4,VALUE(RIGHT($A495,2))&lt;=60),SUMIF($A496:$A$2965,$A495&amp;"????",$D496:$D$2965),VLOOKUP(IF(LEN($A495)=4,$A495&amp;"01 1",$A495),GUS_tabl_21!$A$5:$F$4886,6,FALSE))))</f>
        <v>13256</v>
      </c>
      <c r="E495" s="29"/>
    </row>
    <row r="496" spans="1:5" ht="12" customHeight="1">
      <c r="A496" s="155" t="str">
        <f>"060902 2"</f>
        <v>060902 2</v>
      </c>
      <c r="B496" s="153" t="s">
        <v>57</v>
      </c>
      <c r="C496" s="156" t="str">
        <f>IF(OR($A496="",ISERROR(VALUE(LEFT($A496,6)))),"",IF(LEN($A496)=2,"WOJ. ",IF(LEN($A496)=4,IF(VALUE(RIGHT($A496,2))&gt;60,"","Powiat "),IF(VALUE(RIGHT($A496,1))=1,"m. ",IF(VALUE(RIGHT($A496,1))=2,"gm. w. ",IF(VALUE(RIGHT($A496,1))=8,"dz. ","gm. m.-w. ")))))&amp;IF(LEN($A496)=2,TRIM(UPPER(VLOOKUP($A496,GUS_tabl_1!$A$7:$B$22,2,FALSE))),IF(ISERROR(FIND("..",TRIM(VLOOKUP(IF(AND(LEN($A496)=4,VALUE(RIGHT($A496,2))&gt;60),$A496&amp;"01 1",$A496),IF(AND(LEN($A496)=4,VALUE(RIGHT($A496,2))&lt;60),GUS_tabl_2!$A$8:$B$464,GUS_tabl_21!$A$5:$B$4886),2,FALSE)))),TRIM(VLOOKUP(IF(AND(LEN($A496)=4,VALUE(RIGHT($A496,2))&gt;60),$A496&amp;"01 1",$A496),IF(AND(LEN($A496)=4,VALUE(RIGHT($A496,2))&lt;60),GUS_tabl_2!$A$8:$B$464,GUS_tabl_21!$A$5:$B$4886),2,FALSE)),LEFT(TRIM(VLOOKUP(IF(AND(LEN($A496)=4,VALUE(RIGHT($A496,2))&gt;60),$A496&amp;"01 1",$A496),IF(AND(LEN($A496)=4,VALUE(RIGHT($A496,2))&lt;60),GUS_tabl_2!$A$8:$B$464,GUS_tabl_21!$A$5:$B$4886),2,FALSE)),SUM(FIND("..",TRIM(VLOOKUP(IF(AND(LEN($A496)=4,VALUE(RIGHT($A496,2))&gt;60),$A496&amp;"01 1",$A496),IF(AND(LEN($A496)=4,VALUE(RIGHT($A496,2))&lt;60),GUS_tabl_2!$A$8:$B$464,GUS_tabl_21!$A$5:$B$4886),2,FALSE))),-1)))))</f>
        <v>gm. w. Borzechów</v>
      </c>
      <c r="D496" s="141">
        <f>IF(OR($A496="",ISERROR(VALUE(LEFT($A496,6)))),"",IF(LEN($A496)=2,SUMIF($A497:$A$2965,$A496&amp;"??",$D497:$D$2965),IF(AND(LEN($A496)=4,VALUE(RIGHT($A496,2))&lt;=60),SUMIF($A497:$A$2965,$A496&amp;"????",$D497:$D$2965),VLOOKUP(IF(LEN($A496)=4,$A496&amp;"01 1",$A496),GUS_tabl_21!$A$5:$F$4886,6,FALSE))))</f>
        <v>3760</v>
      </c>
      <c r="E496" s="29"/>
    </row>
    <row r="497" spans="1:5" ht="12" customHeight="1">
      <c r="A497" s="155" t="str">
        <f>"060903 3"</f>
        <v>060903 3</v>
      </c>
      <c r="B497" s="153" t="s">
        <v>57</v>
      </c>
      <c r="C497" s="156" t="str">
        <f>IF(OR($A497="",ISERROR(VALUE(LEFT($A497,6)))),"",IF(LEN($A497)=2,"WOJ. ",IF(LEN($A497)=4,IF(VALUE(RIGHT($A497,2))&gt;60,"","Powiat "),IF(VALUE(RIGHT($A497,1))=1,"m. ",IF(VALUE(RIGHT($A497,1))=2,"gm. w. ",IF(VALUE(RIGHT($A497,1))=8,"dz. ","gm. m.-w. ")))))&amp;IF(LEN($A497)=2,TRIM(UPPER(VLOOKUP($A497,GUS_tabl_1!$A$7:$B$22,2,FALSE))),IF(ISERROR(FIND("..",TRIM(VLOOKUP(IF(AND(LEN($A497)=4,VALUE(RIGHT($A497,2))&gt;60),$A497&amp;"01 1",$A497),IF(AND(LEN($A497)=4,VALUE(RIGHT($A497,2))&lt;60),GUS_tabl_2!$A$8:$B$464,GUS_tabl_21!$A$5:$B$4886),2,FALSE)))),TRIM(VLOOKUP(IF(AND(LEN($A497)=4,VALUE(RIGHT($A497,2))&gt;60),$A497&amp;"01 1",$A497),IF(AND(LEN($A497)=4,VALUE(RIGHT($A497,2))&lt;60),GUS_tabl_2!$A$8:$B$464,GUS_tabl_21!$A$5:$B$4886),2,FALSE)),LEFT(TRIM(VLOOKUP(IF(AND(LEN($A497)=4,VALUE(RIGHT($A497,2))&gt;60),$A497&amp;"01 1",$A497),IF(AND(LEN($A497)=4,VALUE(RIGHT($A497,2))&lt;60),GUS_tabl_2!$A$8:$B$464,GUS_tabl_21!$A$5:$B$4886),2,FALSE)),SUM(FIND("..",TRIM(VLOOKUP(IF(AND(LEN($A497)=4,VALUE(RIGHT($A497,2))&gt;60),$A497&amp;"01 1",$A497),IF(AND(LEN($A497)=4,VALUE(RIGHT($A497,2))&lt;60),GUS_tabl_2!$A$8:$B$464,GUS_tabl_21!$A$5:$B$4886),2,FALSE))),-1)))))</f>
        <v>gm. m.-w. Bychawa</v>
      </c>
      <c r="D497" s="141">
        <f>IF(OR($A497="",ISERROR(VALUE(LEFT($A497,6)))),"",IF(LEN($A497)=2,SUMIF($A498:$A$2965,$A497&amp;"??",$D498:$D$2965),IF(AND(LEN($A497)=4,VALUE(RIGHT($A497,2))&lt;=60),SUMIF($A498:$A$2965,$A497&amp;"????",$D498:$D$2965),VLOOKUP(IF(LEN($A497)=4,$A497&amp;"01 1",$A497),GUS_tabl_21!$A$5:$F$4886,6,FALSE))))</f>
        <v>11595</v>
      </c>
      <c r="E497" s="29"/>
    </row>
    <row r="498" spans="1:5" ht="12" customHeight="1">
      <c r="A498" s="155" t="str">
        <f>"060904 2"</f>
        <v>060904 2</v>
      </c>
      <c r="B498" s="153" t="s">
        <v>57</v>
      </c>
      <c r="C498" s="156" t="str">
        <f>IF(OR($A498="",ISERROR(VALUE(LEFT($A498,6)))),"",IF(LEN($A498)=2,"WOJ. ",IF(LEN($A498)=4,IF(VALUE(RIGHT($A498,2))&gt;60,"","Powiat "),IF(VALUE(RIGHT($A498,1))=1,"m. ",IF(VALUE(RIGHT($A498,1))=2,"gm. w. ",IF(VALUE(RIGHT($A498,1))=8,"dz. ","gm. m.-w. ")))))&amp;IF(LEN($A498)=2,TRIM(UPPER(VLOOKUP($A498,GUS_tabl_1!$A$7:$B$22,2,FALSE))),IF(ISERROR(FIND("..",TRIM(VLOOKUP(IF(AND(LEN($A498)=4,VALUE(RIGHT($A498,2))&gt;60),$A498&amp;"01 1",$A498),IF(AND(LEN($A498)=4,VALUE(RIGHT($A498,2))&lt;60),GUS_tabl_2!$A$8:$B$464,GUS_tabl_21!$A$5:$B$4886),2,FALSE)))),TRIM(VLOOKUP(IF(AND(LEN($A498)=4,VALUE(RIGHT($A498,2))&gt;60),$A498&amp;"01 1",$A498),IF(AND(LEN($A498)=4,VALUE(RIGHT($A498,2))&lt;60),GUS_tabl_2!$A$8:$B$464,GUS_tabl_21!$A$5:$B$4886),2,FALSE)),LEFT(TRIM(VLOOKUP(IF(AND(LEN($A498)=4,VALUE(RIGHT($A498,2))&gt;60),$A498&amp;"01 1",$A498),IF(AND(LEN($A498)=4,VALUE(RIGHT($A498,2))&lt;60),GUS_tabl_2!$A$8:$B$464,GUS_tabl_21!$A$5:$B$4886),2,FALSE)),SUM(FIND("..",TRIM(VLOOKUP(IF(AND(LEN($A498)=4,VALUE(RIGHT($A498,2))&gt;60),$A498&amp;"01 1",$A498),IF(AND(LEN($A498)=4,VALUE(RIGHT($A498,2))&lt;60),GUS_tabl_2!$A$8:$B$464,GUS_tabl_21!$A$5:$B$4886),2,FALSE))),-1)))))</f>
        <v>gm. w. Garbów</v>
      </c>
      <c r="D498" s="141">
        <f>IF(OR($A498="",ISERROR(VALUE(LEFT($A498,6)))),"",IF(LEN($A498)=2,SUMIF($A499:$A$2965,$A498&amp;"??",$D499:$D$2965),IF(AND(LEN($A498)=4,VALUE(RIGHT($A498,2))&lt;=60),SUMIF($A499:$A$2965,$A498&amp;"????",$D499:$D$2965),VLOOKUP(IF(LEN($A498)=4,$A498&amp;"01 1",$A498),GUS_tabl_21!$A$5:$F$4886,6,FALSE))))</f>
        <v>9064</v>
      </c>
      <c r="E498" s="29"/>
    </row>
    <row r="499" spans="1:5" ht="12" customHeight="1">
      <c r="A499" s="155" t="str">
        <f>"060905 2"</f>
        <v>060905 2</v>
      </c>
      <c r="B499" s="153" t="s">
        <v>57</v>
      </c>
      <c r="C499" s="156" t="str">
        <f>IF(OR($A499="",ISERROR(VALUE(LEFT($A499,6)))),"",IF(LEN($A499)=2,"WOJ. ",IF(LEN($A499)=4,IF(VALUE(RIGHT($A499,2))&gt;60,"","Powiat "),IF(VALUE(RIGHT($A499,1))=1,"m. ",IF(VALUE(RIGHT($A499,1))=2,"gm. w. ",IF(VALUE(RIGHT($A499,1))=8,"dz. ","gm. m.-w. ")))))&amp;IF(LEN($A499)=2,TRIM(UPPER(VLOOKUP($A499,GUS_tabl_1!$A$7:$B$22,2,FALSE))),IF(ISERROR(FIND("..",TRIM(VLOOKUP(IF(AND(LEN($A499)=4,VALUE(RIGHT($A499,2))&gt;60),$A499&amp;"01 1",$A499),IF(AND(LEN($A499)=4,VALUE(RIGHT($A499,2))&lt;60),GUS_tabl_2!$A$8:$B$464,GUS_tabl_21!$A$5:$B$4886),2,FALSE)))),TRIM(VLOOKUP(IF(AND(LEN($A499)=4,VALUE(RIGHT($A499,2))&gt;60),$A499&amp;"01 1",$A499),IF(AND(LEN($A499)=4,VALUE(RIGHT($A499,2))&lt;60),GUS_tabl_2!$A$8:$B$464,GUS_tabl_21!$A$5:$B$4886),2,FALSE)),LEFT(TRIM(VLOOKUP(IF(AND(LEN($A499)=4,VALUE(RIGHT($A499,2))&gt;60),$A499&amp;"01 1",$A499),IF(AND(LEN($A499)=4,VALUE(RIGHT($A499,2))&lt;60),GUS_tabl_2!$A$8:$B$464,GUS_tabl_21!$A$5:$B$4886),2,FALSE)),SUM(FIND("..",TRIM(VLOOKUP(IF(AND(LEN($A499)=4,VALUE(RIGHT($A499,2))&gt;60),$A499&amp;"01 1",$A499),IF(AND(LEN($A499)=4,VALUE(RIGHT($A499,2))&lt;60),GUS_tabl_2!$A$8:$B$464,GUS_tabl_21!$A$5:$B$4886),2,FALSE))),-1)))))</f>
        <v>gm. w. Głusk</v>
      </c>
      <c r="D499" s="141">
        <f>IF(OR($A499="",ISERROR(VALUE(LEFT($A499,6)))),"",IF(LEN($A499)=2,SUMIF($A500:$A$2965,$A499&amp;"??",$D500:$D$2965),IF(AND(LEN($A499)=4,VALUE(RIGHT($A499,2))&lt;=60),SUMIF($A500:$A$2965,$A499&amp;"????",$D500:$D$2965),VLOOKUP(IF(LEN($A499)=4,$A499&amp;"01 1",$A499),GUS_tabl_21!$A$5:$F$4886,6,FALSE))))</f>
        <v>11557</v>
      </c>
      <c r="E499" s="29"/>
    </row>
    <row r="500" spans="1:5" ht="12" customHeight="1">
      <c r="A500" s="155" t="str">
        <f>"060906 2"</f>
        <v>060906 2</v>
      </c>
      <c r="B500" s="153" t="s">
        <v>57</v>
      </c>
      <c r="C500" s="156" t="str">
        <f>IF(OR($A500="",ISERROR(VALUE(LEFT($A500,6)))),"",IF(LEN($A500)=2,"WOJ. ",IF(LEN($A500)=4,IF(VALUE(RIGHT($A500,2))&gt;60,"","Powiat "),IF(VALUE(RIGHT($A500,1))=1,"m. ",IF(VALUE(RIGHT($A500,1))=2,"gm. w. ",IF(VALUE(RIGHT($A500,1))=8,"dz. ","gm. m.-w. ")))))&amp;IF(LEN($A500)=2,TRIM(UPPER(VLOOKUP($A500,GUS_tabl_1!$A$7:$B$22,2,FALSE))),IF(ISERROR(FIND("..",TRIM(VLOOKUP(IF(AND(LEN($A500)=4,VALUE(RIGHT($A500,2))&gt;60),$A500&amp;"01 1",$A500),IF(AND(LEN($A500)=4,VALUE(RIGHT($A500,2))&lt;60),GUS_tabl_2!$A$8:$B$464,GUS_tabl_21!$A$5:$B$4886),2,FALSE)))),TRIM(VLOOKUP(IF(AND(LEN($A500)=4,VALUE(RIGHT($A500,2))&gt;60),$A500&amp;"01 1",$A500),IF(AND(LEN($A500)=4,VALUE(RIGHT($A500,2))&lt;60),GUS_tabl_2!$A$8:$B$464,GUS_tabl_21!$A$5:$B$4886),2,FALSE)),LEFT(TRIM(VLOOKUP(IF(AND(LEN($A500)=4,VALUE(RIGHT($A500,2))&gt;60),$A500&amp;"01 1",$A500),IF(AND(LEN($A500)=4,VALUE(RIGHT($A500,2))&lt;60),GUS_tabl_2!$A$8:$B$464,GUS_tabl_21!$A$5:$B$4886),2,FALSE)),SUM(FIND("..",TRIM(VLOOKUP(IF(AND(LEN($A500)=4,VALUE(RIGHT($A500,2))&gt;60),$A500&amp;"01 1",$A500),IF(AND(LEN($A500)=4,VALUE(RIGHT($A500,2))&lt;60),GUS_tabl_2!$A$8:$B$464,GUS_tabl_21!$A$5:$B$4886),2,FALSE))),-1)))))</f>
        <v>gm. w. Jabłonna</v>
      </c>
      <c r="D500" s="141">
        <f>IF(OR($A500="",ISERROR(VALUE(LEFT($A500,6)))),"",IF(LEN($A500)=2,SUMIF($A501:$A$2965,$A500&amp;"??",$D501:$D$2965),IF(AND(LEN($A500)=4,VALUE(RIGHT($A500,2))&lt;=60),SUMIF($A501:$A$2965,$A500&amp;"????",$D501:$D$2965),VLOOKUP(IF(LEN($A500)=4,$A500&amp;"01 1",$A500),GUS_tabl_21!$A$5:$F$4886,6,FALSE))))</f>
        <v>8054</v>
      </c>
      <c r="E500" s="29"/>
    </row>
    <row r="501" spans="1:5" ht="12" customHeight="1">
      <c r="A501" s="155" t="str">
        <f>"060907 2"</f>
        <v>060907 2</v>
      </c>
      <c r="B501" s="153" t="s">
        <v>57</v>
      </c>
      <c r="C501" s="156" t="str">
        <f>IF(OR($A501="",ISERROR(VALUE(LEFT($A501,6)))),"",IF(LEN($A501)=2,"WOJ. ",IF(LEN($A501)=4,IF(VALUE(RIGHT($A501,2))&gt;60,"","Powiat "),IF(VALUE(RIGHT($A501,1))=1,"m. ",IF(VALUE(RIGHT($A501,1))=2,"gm. w. ",IF(VALUE(RIGHT($A501,1))=8,"dz. ","gm. m.-w. ")))))&amp;IF(LEN($A501)=2,TRIM(UPPER(VLOOKUP($A501,GUS_tabl_1!$A$7:$B$22,2,FALSE))),IF(ISERROR(FIND("..",TRIM(VLOOKUP(IF(AND(LEN($A501)=4,VALUE(RIGHT($A501,2))&gt;60),$A501&amp;"01 1",$A501),IF(AND(LEN($A501)=4,VALUE(RIGHT($A501,2))&lt;60),GUS_tabl_2!$A$8:$B$464,GUS_tabl_21!$A$5:$B$4886),2,FALSE)))),TRIM(VLOOKUP(IF(AND(LEN($A501)=4,VALUE(RIGHT($A501,2))&gt;60),$A501&amp;"01 1",$A501),IF(AND(LEN($A501)=4,VALUE(RIGHT($A501,2))&lt;60),GUS_tabl_2!$A$8:$B$464,GUS_tabl_21!$A$5:$B$4886),2,FALSE)),LEFT(TRIM(VLOOKUP(IF(AND(LEN($A501)=4,VALUE(RIGHT($A501,2))&gt;60),$A501&amp;"01 1",$A501),IF(AND(LEN($A501)=4,VALUE(RIGHT($A501,2))&lt;60),GUS_tabl_2!$A$8:$B$464,GUS_tabl_21!$A$5:$B$4886),2,FALSE)),SUM(FIND("..",TRIM(VLOOKUP(IF(AND(LEN($A501)=4,VALUE(RIGHT($A501,2))&gt;60),$A501&amp;"01 1",$A501),IF(AND(LEN($A501)=4,VALUE(RIGHT($A501,2))&lt;60),GUS_tabl_2!$A$8:$B$464,GUS_tabl_21!$A$5:$B$4886),2,FALSE))),-1)))))</f>
        <v>gm. w. Jastków</v>
      </c>
      <c r="D501" s="141">
        <f>IF(OR($A501="",ISERROR(VALUE(LEFT($A501,6)))),"",IF(LEN($A501)=2,SUMIF($A502:$A$2965,$A501&amp;"??",$D502:$D$2965),IF(AND(LEN($A501)=4,VALUE(RIGHT($A501,2))&lt;=60),SUMIF($A502:$A$2965,$A501&amp;"????",$D502:$D$2965),VLOOKUP(IF(LEN($A501)=4,$A501&amp;"01 1",$A501),GUS_tabl_21!$A$5:$F$4886,6,FALSE))))</f>
        <v>14185</v>
      </c>
      <c r="E501" s="29"/>
    </row>
    <row r="502" spans="1:5" ht="12" customHeight="1">
      <c r="A502" s="155" t="str">
        <f>"060908 2"</f>
        <v>060908 2</v>
      </c>
      <c r="B502" s="153" t="s">
        <v>57</v>
      </c>
      <c r="C502" s="156" t="str">
        <f>IF(OR($A502="",ISERROR(VALUE(LEFT($A502,6)))),"",IF(LEN($A502)=2,"WOJ. ",IF(LEN($A502)=4,IF(VALUE(RIGHT($A502,2))&gt;60,"","Powiat "),IF(VALUE(RIGHT($A502,1))=1,"m. ",IF(VALUE(RIGHT($A502,1))=2,"gm. w. ",IF(VALUE(RIGHT($A502,1))=8,"dz. ","gm. m.-w. ")))))&amp;IF(LEN($A502)=2,TRIM(UPPER(VLOOKUP($A502,GUS_tabl_1!$A$7:$B$22,2,FALSE))),IF(ISERROR(FIND("..",TRIM(VLOOKUP(IF(AND(LEN($A502)=4,VALUE(RIGHT($A502,2))&gt;60),$A502&amp;"01 1",$A502),IF(AND(LEN($A502)=4,VALUE(RIGHT($A502,2))&lt;60),GUS_tabl_2!$A$8:$B$464,GUS_tabl_21!$A$5:$B$4886),2,FALSE)))),TRIM(VLOOKUP(IF(AND(LEN($A502)=4,VALUE(RIGHT($A502,2))&gt;60),$A502&amp;"01 1",$A502),IF(AND(LEN($A502)=4,VALUE(RIGHT($A502,2))&lt;60),GUS_tabl_2!$A$8:$B$464,GUS_tabl_21!$A$5:$B$4886),2,FALSE)),LEFT(TRIM(VLOOKUP(IF(AND(LEN($A502)=4,VALUE(RIGHT($A502,2))&gt;60),$A502&amp;"01 1",$A502),IF(AND(LEN($A502)=4,VALUE(RIGHT($A502,2))&lt;60),GUS_tabl_2!$A$8:$B$464,GUS_tabl_21!$A$5:$B$4886),2,FALSE)),SUM(FIND("..",TRIM(VLOOKUP(IF(AND(LEN($A502)=4,VALUE(RIGHT($A502,2))&gt;60),$A502&amp;"01 1",$A502),IF(AND(LEN($A502)=4,VALUE(RIGHT($A502,2))&lt;60),GUS_tabl_2!$A$8:$B$464,GUS_tabl_21!$A$5:$B$4886),2,FALSE))),-1)))))</f>
        <v>gm. w. Konopnica</v>
      </c>
      <c r="D502" s="141">
        <f>IF(OR($A502="",ISERROR(VALUE(LEFT($A502,6)))),"",IF(LEN($A502)=2,SUMIF($A503:$A$2965,$A502&amp;"??",$D503:$D$2965),IF(AND(LEN($A502)=4,VALUE(RIGHT($A502,2))&lt;=60),SUMIF($A503:$A$2965,$A502&amp;"????",$D503:$D$2965),VLOOKUP(IF(LEN($A502)=4,$A502&amp;"01 1",$A502),GUS_tabl_21!$A$5:$F$4886,6,FALSE))))</f>
        <v>14083</v>
      </c>
      <c r="E502" s="29"/>
    </row>
    <row r="503" spans="1:5" ht="12" customHeight="1">
      <c r="A503" s="155" t="str">
        <f>"060909 2"</f>
        <v>060909 2</v>
      </c>
      <c r="B503" s="153" t="s">
        <v>57</v>
      </c>
      <c r="C503" s="156" t="str">
        <f>IF(OR($A503="",ISERROR(VALUE(LEFT($A503,6)))),"",IF(LEN($A503)=2,"WOJ. ",IF(LEN($A503)=4,IF(VALUE(RIGHT($A503,2))&gt;60,"","Powiat "),IF(VALUE(RIGHT($A503,1))=1,"m. ",IF(VALUE(RIGHT($A503,1))=2,"gm. w. ",IF(VALUE(RIGHT($A503,1))=8,"dz. ","gm. m.-w. ")))))&amp;IF(LEN($A503)=2,TRIM(UPPER(VLOOKUP($A503,GUS_tabl_1!$A$7:$B$22,2,FALSE))),IF(ISERROR(FIND("..",TRIM(VLOOKUP(IF(AND(LEN($A503)=4,VALUE(RIGHT($A503,2))&gt;60),$A503&amp;"01 1",$A503),IF(AND(LEN($A503)=4,VALUE(RIGHT($A503,2))&lt;60),GUS_tabl_2!$A$8:$B$464,GUS_tabl_21!$A$5:$B$4886),2,FALSE)))),TRIM(VLOOKUP(IF(AND(LEN($A503)=4,VALUE(RIGHT($A503,2))&gt;60),$A503&amp;"01 1",$A503),IF(AND(LEN($A503)=4,VALUE(RIGHT($A503,2))&lt;60),GUS_tabl_2!$A$8:$B$464,GUS_tabl_21!$A$5:$B$4886),2,FALSE)),LEFT(TRIM(VLOOKUP(IF(AND(LEN($A503)=4,VALUE(RIGHT($A503,2))&gt;60),$A503&amp;"01 1",$A503),IF(AND(LEN($A503)=4,VALUE(RIGHT($A503,2))&lt;60),GUS_tabl_2!$A$8:$B$464,GUS_tabl_21!$A$5:$B$4886),2,FALSE)),SUM(FIND("..",TRIM(VLOOKUP(IF(AND(LEN($A503)=4,VALUE(RIGHT($A503,2))&gt;60),$A503&amp;"01 1",$A503),IF(AND(LEN($A503)=4,VALUE(RIGHT($A503,2))&lt;60),GUS_tabl_2!$A$8:$B$464,GUS_tabl_21!$A$5:$B$4886),2,FALSE))),-1)))))</f>
        <v>gm. w. Krzczonów</v>
      </c>
      <c r="D503" s="141">
        <f>IF(OR($A503="",ISERROR(VALUE(LEFT($A503,6)))),"",IF(LEN($A503)=2,SUMIF($A504:$A$2965,$A503&amp;"??",$D504:$D$2965),IF(AND(LEN($A503)=4,VALUE(RIGHT($A503,2))&lt;=60),SUMIF($A504:$A$2965,$A503&amp;"????",$D504:$D$2965),VLOOKUP(IF(LEN($A503)=4,$A503&amp;"01 1",$A503),GUS_tabl_21!$A$5:$F$4886,6,FALSE))))</f>
        <v>4369</v>
      </c>
      <c r="E503" s="29"/>
    </row>
    <row r="504" spans="1:5" ht="12" customHeight="1">
      <c r="A504" s="155" t="str">
        <f>"060910 2"</f>
        <v>060910 2</v>
      </c>
      <c r="B504" s="153" t="s">
        <v>57</v>
      </c>
      <c r="C504" s="156" t="str">
        <f>IF(OR($A504="",ISERROR(VALUE(LEFT($A504,6)))),"",IF(LEN($A504)=2,"WOJ. ",IF(LEN($A504)=4,IF(VALUE(RIGHT($A504,2))&gt;60,"","Powiat "),IF(VALUE(RIGHT($A504,1))=1,"m. ",IF(VALUE(RIGHT($A504,1))=2,"gm. w. ",IF(VALUE(RIGHT($A504,1))=8,"dz. ","gm. m.-w. ")))))&amp;IF(LEN($A504)=2,TRIM(UPPER(VLOOKUP($A504,GUS_tabl_1!$A$7:$B$22,2,FALSE))),IF(ISERROR(FIND("..",TRIM(VLOOKUP(IF(AND(LEN($A504)=4,VALUE(RIGHT($A504,2))&gt;60),$A504&amp;"01 1",$A504),IF(AND(LEN($A504)=4,VALUE(RIGHT($A504,2))&lt;60),GUS_tabl_2!$A$8:$B$464,GUS_tabl_21!$A$5:$B$4886),2,FALSE)))),TRIM(VLOOKUP(IF(AND(LEN($A504)=4,VALUE(RIGHT($A504,2))&gt;60),$A504&amp;"01 1",$A504),IF(AND(LEN($A504)=4,VALUE(RIGHT($A504,2))&lt;60),GUS_tabl_2!$A$8:$B$464,GUS_tabl_21!$A$5:$B$4886),2,FALSE)),LEFT(TRIM(VLOOKUP(IF(AND(LEN($A504)=4,VALUE(RIGHT($A504,2))&gt;60),$A504&amp;"01 1",$A504),IF(AND(LEN($A504)=4,VALUE(RIGHT($A504,2))&lt;60),GUS_tabl_2!$A$8:$B$464,GUS_tabl_21!$A$5:$B$4886),2,FALSE)),SUM(FIND("..",TRIM(VLOOKUP(IF(AND(LEN($A504)=4,VALUE(RIGHT($A504,2))&gt;60),$A504&amp;"01 1",$A504),IF(AND(LEN($A504)=4,VALUE(RIGHT($A504,2))&lt;60),GUS_tabl_2!$A$8:$B$464,GUS_tabl_21!$A$5:$B$4886),2,FALSE))),-1)))))</f>
        <v>gm. w. Niedrzwica Duża</v>
      </c>
      <c r="D504" s="141">
        <f>IF(OR($A504="",ISERROR(VALUE(LEFT($A504,6)))),"",IF(LEN($A504)=2,SUMIF($A505:$A$2965,$A504&amp;"??",$D505:$D$2965),IF(AND(LEN($A504)=4,VALUE(RIGHT($A504,2))&lt;=60),SUMIF($A505:$A$2965,$A504&amp;"????",$D505:$D$2965),VLOOKUP(IF(LEN($A504)=4,$A504&amp;"01 1",$A504),GUS_tabl_21!$A$5:$F$4886,6,FALSE))))</f>
        <v>11917</v>
      </c>
      <c r="E504" s="29"/>
    </row>
    <row r="505" spans="1:5" ht="12" customHeight="1">
      <c r="A505" s="155" t="str">
        <f>"060911 2"</f>
        <v>060911 2</v>
      </c>
      <c r="B505" s="153" t="s">
        <v>57</v>
      </c>
      <c r="C505" s="156" t="str">
        <f>IF(OR($A505="",ISERROR(VALUE(LEFT($A505,6)))),"",IF(LEN($A505)=2,"WOJ. ",IF(LEN($A505)=4,IF(VALUE(RIGHT($A505,2))&gt;60,"","Powiat "),IF(VALUE(RIGHT($A505,1))=1,"m. ",IF(VALUE(RIGHT($A505,1))=2,"gm. w. ",IF(VALUE(RIGHT($A505,1))=8,"dz. ","gm. m.-w. ")))))&amp;IF(LEN($A505)=2,TRIM(UPPER(VLOOKUP($A505,GUS_tabl_1!$A$7:$B$22,2,FALSE))),IF(ISERROR(FIND("..",TRIM(VLOOKUP(IF(AND(LEN($A505)=4,VALUE(RIGHT($A505,2))&gt;60),$A505&amp;"01 1",$A505),IF(AND(LEN($A505)=4,VALUE(RIGHT($A505,2))&lt;60),GUS_tabl_2!$A$8:$B$464,GUS_tabl_21!$A$5:$B$4886),2,FALSE)))),TRIM(VLOOKUP(IF(AND(LEN($A505)=4,VALUE(RIGHT($A505,2))&gt;60),$A505&amp;"01 1",$A505),IF(AND(LEN($A505)=4,VALUE(RIGHT($A505,2))&lt;60),GUS_tabl_2!$A$8:$B$464,GUS_tabl_21!$A$5:$B$4886),2,FALSE)),LEFT(TRIM(VLOOKUP(IF(AND(LEN($A505)=4,VALUE(RIGHT($A505,2))&gt;60),$A505&amp;"01 1",$A505),IF(AND(LEN($A505)=4,VALUE(RIGHT($A505,2))&lt;60),GUS_tabl_2!$A$8:$B$464,GUS_tabl_21!$A$5:$B$4886),2,FALSE)),SUM(FIND("..",TRIM(VLOOKUP(IF(AND(LEN($A505)=4,VALUE(RIGHT($A505,2))&gt;60),$A505&amp;"01 1",$A505),IF(AND(LEN($A505)=4,VALUE(RIGHT($A505,2))&lt;60),GUS_tabl_2!$A$8:$B$464,GUS_tabl_21!$A$5:$B$4886),2,FALSE))),-1)))))</f>
        <v>gm. w. Niemce</v>
      </c>
      <c r="D505" s="141">
        <f>IF(OR($A505="",ISERROR(VALUE(LEFT($A505,6)))),"",IF(LEN($A505)=2,SUMIF($A506:$A$2965,$A505&amp;"??",$D506:$D$2965),IF(AND(LEN($A505)=4,VALUE(RIGHT($A505,2))&lt;=60),SUMIF($A506:$A$2965,$A505&amp;"????",$D506:$D$2965),VLOOKUP(IF(LEN($A505)=4,$A505&amp;"01 1",$A505),GUS_tabl_21!$A$5:$F$4886,6,FALSE))))</f>
        <v>19814</v>
      </c>
      <c r="E505" s="29"/>
    </row>
    <row r="506" spans="1:5" ht="12" customHeight="1">
      <c r="A506" s="155" t="str">
        <f>"060912 2"</f>
        <v>060912 2</v>
      </c>
      <c r="B506" s="153" t="s">
        <v>57</v>
      </c>
      <c r="C506" s="156" t="str">
        <f>IF(OR($A506="",ISERROR(VALUE(LEFT($A506,6)))),"",IF(LEN($A506)=2,"WOJ. ",IF(LEN($A506)=4,IF(VALUE(RIGHT($A506,2))&gt;60,"","Powiat "),IF(VALUE(RIGHT($A506,1))=1,"m. ",IF(VALUE(RIGHT($A506,1))=2,"gm. w. ",IF(VALUE(RIGHT($A506,1))=8,"dz. ","gm. m.-w. ")))))&amp;IF(LEN($A506)=2,TRIM(UPPER(VLOOKUP($A506,GUS_tabl_1!$A$7:$B$22,2,FALSE))),IF(ISERROR(FIND("..",TRIM(VLOOKUP(IF(AND(LEN($A506)=4,VALUE(RIGHT($A506,2))&gt;60),$A506&amp;"01 1",$A506),IF(AND(LEN($A506)=4,VALUE(RIGHT($A506,2))&lt;60),GUS_tabl_2!$A$8:$B$464,GUS_tabl_21!$A$5:$B$4886),2,FALSE)))),TRIM(VLOOKUP(IF(AND(LEN($A506)=4,VALUE(RIGHT($A506,2))&gt;60),$A506&amp;"01 1",$A506),IF(AND(LEN($A506)=4,VALUE(RIGHT($A506,2))&lt;60),GUS_tabl_2!$A$8:$B$464,GUS_tabl_21!$A$5:$B$4886),2,FALSE)),LEFT(TRIM(VLOOKUP(IF(AND(LEN($A506)=4,VALUE(RIGHT($A506,2))&gt;60),$A506&amp;"01 1",$A506),IF(AND(LEN($A506)=4,VALUE(RIGHT($A506,2))&lt;60),GUS_tabl_2!$A$8:$B$464,GUS_tabl_21!$A$5:$B$4886),2,FALSE)),SUM(FIND("..",TRIM(VLOOKUP(IF(AND(LEN($A506)=4,VALUE(RIGHT($A506,2))&gt;60),$A506&amp;"01 1",$A506),IF(AND(LEN($A506)=4,VALUE(RIGHT($A506,2))&lt;60),GUS_tabl_2!$A$8:$B$464,GUS_tabl_21!$A$5:$B$4886),2,FALSE))),-1)))))</f>
        <v>gm. w. Strzyżewice</v>
      </c>
      <c r="D506" s="141">
        <f>IF(OR($A506="",ISERROR(VALUE(LEFT($A506,6)))),"",IF(LEN($A506)=2,SUMIF($A507:$A$2965,$A506&amp;"??",$D507:$D$2965),IF(AND(LEN($A506)=4,VALUE(RIGHT($A506,2))&lt;=60),SUMIF($A507:$A$2965,$A506&amp;"????",$D507:$D$2965),VLOOKUP(IF(LEN($A506)=4,$A506&amp;"01 1",$A506),GUS_tabl_21!$A$5:$F$4886,6,FALSE))))</f>
        <v>8110</v>
      </c>
      <c r="E506" s="29"/>
    </row>
    <row r="507" spans="1:5" ht="12" customHeight="1">
      <c r="A507" s="155" t="str">
        <f>"060913 2"</f>
        <v>060913 2</v>
      </c>
      <c r="B507" s="153" t="s">
        <v>57</v>
      </c>
      <c r="C507" s="156" t="str">
        <f>IF(OR($A507="",ISERROR(VALUE(LEFT($A507,6)))),"",IF(LEN($A507)=2,"WOJ. ",IF(LEN($A507)=4,IF(VALUE(RIGHT($A507,2))&gt;60,"","Powiat "),IF(VALUE(RIGHT($A507,1))=1,"m. ",IF(VALUE(RIGHT($A507,1))=2,"gm. w. ",IF(VALUE(RIGHT($A507,1))=8,"dz. ","gm. m.-w. ")))))&amp;IF(LEN($A507)=2,TRIM(UPPER(VLOOKUP($A507,GUS_tabl_1!$A$7:$B$22,2,FALSE))),IF(ISERROR(FIND("..",TRIM(VLOOKUP(IF(AND(LEN($A507)=4,VALUE(RIGHT($A507,2))&gt;60),$A507&amp;"01 1",$A507),IF(AND(LEN($A507)=4,VALUE(RIGHT($A507,2))&lt;60),GUS_tabl_2!$A$8:$B$464,GUS_tabl_21!$A$5:$B$4886),2,FALSE)))),TRIM(VLOOKUP(IF(AND(LEN($A507)=4,VALUE(RIGHT($A507,2))&gt;60),$A507&amp;"01 1",$A507),IF(AND(LEN($A507)=4,VALUE(RIGHT($A507,2))&lt;60),GUS_tabl_2!$A$8:$B$464,GUS_tabl_21!$A$5:$B$4886),2,FALSE)),LEFT(TRIM(VLOOKUP(IF(AND(LEN($A507)=4,VALUE(RIGHT($A507,2))&gt;60),$A507&amp;"01 1",$A507),IF(AND(LEN($A507)=4,VALUE(RIGHT($A507,2))&lt;60),GUS_tabl_2!$A$8:$B$464,GUS_tabl_21!$A$5:$B$4886),2,FALSE)),SUM(FIND("..",TRIM(VLOOKUP(IF(AND(LEN($A507)=4,VALUE(RIGHT($A507,2))&gt;60),$A507&amp;"01 1",$A507),IF(AND(LEN($A507)=4,VALUE(RIGHT($A507,2))&lt;60),GUS_tabl_2!$A$8:$B$464,GUS_tabl_21!$A$5:$B$4886),2,FALSE))),-1)))))</f>
        <v>gm. w. Wojciechów</v>
      </c>
      <c r="D507" s="141">
        <f>IF(OR($A507="",ISERROR(VALUE(LEFT($A507,6)))),"",IF(LEN($A507)=2,SUMIF($A508:$A$2965,$A507&amp;"??",$D508:$D$2965),IF(AND(LEN($A507)=4,VALUE(RIGHT($A507,2))&lt;=60),SUMIF($A508:$A$2965,$A507&amp;"????",$D508:$D$2965),VLOOKUP(IF(LEN($A507)=4,$A507&amp;"01 1",$A507),GUS_tabl_21!$A$5:$F$4886,6,FALSE))))</f>
        <v>5974</v>
      </c>
      <c r="E507" s="29"/>
    </row>
    <row r="508" spans="1:5" ht="12" customHeight="1">
      <c r="A508" s="155" t="str">
        <f>"060914 2"</f>
        <v>060914 2</v>
      </c>
      <c r="B508" s="153" t="s">
        <v>57</v>
      </c>
      <c r="C508" s="156" t="str">
        <f>IF(OR($A508="",ISERROR(VALUE(LEFT($A508,6)))),"",IF(LEN($A508)=2,"WOJ. ",IF(LEN($A508)=4,IF(VALUE(RIGHT($A508,2))&gt;60,"","Powiat "),IF(VALUE(RIGHT($A508,1))=1,"m. ",IF(VALUE(RIGHT($A508,1))=2,"gm. w. ",IF(VALUE(RIGHT($A508,1))=8,"dz. ","gm. m.-w. ")))))&amp;IF(LEN($A508)=2,TRIM(UPPER(VLOOKUP($A508,GUS_tabl_1!$A$7:$B$22,2,FALSE))),IF(ISERROR(FIND("..",TRIM(VLOOKUP(IF(AND(LEN($A508)=4,VALUE(RIGHT($A508,2))&gt;60),$A508&amp;"01 1",$A508),IF(AND(LEN($A508)=4,VALUE(RIGHT($A508,2))&lt;60),GUS_tabl_2!$A$8:$B$464,GUS_tabl_21!$A$5:$B$4886),2,FALSE)))),TRIM(VLOOKUP(IF(AND(LEN($A508)=4,VALUE(RIGHT($A508,2))&gt;60),$A508&amp;"01 1",$A508),IF(AND(LEN($A508)=4,VALUE(RIGHT($A508,2))&lt;60),GUS_tabl_2!$A$8:$B$464,GUS_tabl_21!$A$5:$B$4886),2,FALSE)),LEFT(TRIM(VLOOKUP(IF(AND(LEN($A508)=4,VALUE(RIGHT($A508,2))&gt;60),$A508&amp;"01 1",$A508),IF(AND(LEN($A508)=4,VALUE(RIGHT($A508,2))&lt;60),GUS_tabl_2!$A$8:$B$464,GUS_tabl_21!$A$5:$B$4886),2,FALSE)),SUM(FIND("..",TRIM(VLOOKUP(IF(AND(LEN($A508)=4,VALUE(RIGHT($A508,2))&gt;60),$A508&amp;"01 1",$A508),IF(AND(LEN($A508)=4,VALUE(RIGHT($A508,2))&lt;60),GUS_tabl_2!$A$8:$B$464,GUS_tabl_21!$A$5:$B$4886),2,FALSE))),-1)))))</f>
        <v>gm. w. Wólka</v>
      </c>
      <c r="D508" s="141">
        <f>IF(OR($A508="",ISERROR(VALUE(LEFT($A508,6)))),"",IF(LEN($A508)=2,SUMIF($A509:$A$2965,$A508&amp;"??",$D509:$D$2965),IF(AND(LEN($A508)=4,VALUE(RIGHT($A508,2))&lt;=60),SUMIF($A509:$A$2965,$A508&amp;"????",$D509:$D$2965),VLOOKUP(IF(LEN($A508)=4,$A508&amp;"01 1",$A508),GUS_tabl_21!$A$5:$F$4886,6,FALSE))))</f>
        <v>12547</v>
      </c>
      <c r="E508" s="29"/>
    </row>
    <row r="509" spans="1:5" ht="12" customHeight="1">
      <c r="A509" s="155" t="str">
        <f>"060915 2"</f>
        <v>060915 2</v>
      </c>
      <c r="B509" s="153" t="s">
        <v>57</v>
      </c>
      <c r="C509" s="156" t="str">
        <f>IF(OR($A509="",ISERROR(VALUE(LEFT($A509,6)))),"",IF(LEN($A509)=2,"WOJ. ",IF(LEN($A509)=4,IF(VALUE(RIGHT($A509,2))&gt;60,"","Powiat "),IF(VALUE(RIGHT($A509,1))=1,"m. ",IF(VALUE(RIGHT($A509,1))=2,"gm. w. ",IF(VALUE(RIGHT($A509,1))=8,"dz. ","gm. m.-w. ")))))&amp;IF(LEN($A509)=2,TRIM(UPPER(VLOOKUP($A509,GUS_tabl_1!$A$7:$B$22,2,FALSE))),IF(ISERROR(FIND("..",TRIM(VLOOKUP(IF(AND(LEN($A509)=4,VALUE(RIGHT($A509,2))&gt;60),$A509&amp;"01 1",$A509),IF(AND(LEN($A509)=4,VALUE(RIGHT($A509,2))&lt;60),GUS_tabl_2!$A$8:$B$464,GUS_tabl_21!$A$5:$B$4886),2,FALSE)))),TRIM(VLOOKUP(IF(AND(LEN($A509)=4,VALUE(RIGHT($A509,2))&gt;60),$A509&amp;"01 1",$A509),IF(AND(LEN($A509)=4,VALUE(RIGHT($A509,2))&lt;60),GUS_tabl_2!$A$8:$B$464,GUS_tabl_21!$A$5:$B$4886),2,FALSE)),LEFT(TRIM(VLOOKUP(IF(AND(LEN($A509)=4,VALUE(RIGHT($A509,2))&gt;60),$A509&amp;"01 1",$A509),IF(AND(LEN($A509)=4,VALUE(RIGHT($A509,2))&lt;60),GUS_tabl_2!$A$8:$B$464,GUS_tabl_21!$A$5:$B$4886),2,FALSE)),SUM(FIND("..",TRIM(VLOOKUP(IF(AND(LEN($A509)=4,VALUE(RIGHT($A509,2))&gt;60),$A509&amp;"01 1",$A509),IF(AND(LEN($A509)=4,VALUE(RIGHT($A509,2))&lt;60),GUS_tabl_2!$A$8:$B$464,GUS_tabl_21!$A$5:$B$4886),2,FALSE))),-1)))))</f>
        <v>gm. w. Wysokie</v>
      </c>
      <c r="D509" s="141">
        <f>IF(OR($A509="",ISERROR(VALUE(LEFT($A509,6)))),"",IF(LEN($A509)=2,SUMIF($A510:$A$2965,$A509&amp;"??",$D510:$D$2965),IF(AND(LEN($A509)=4,VALUE(RIGHT($A509,2))&lt;=60),SUMIF($A510:$A$2965,$A509&amp;"????",$D510:$D$2965),VLOOKUP(IF(LEN($A509)=4,$A509&amp;"01 1",$A509),GUS_tabl_21!$A$5:$F$4886,6,FALSE))))</f>
        <v>4392</v>
      </c>
      <c r="E509" s="29"/>
    </row>
    <row r="510" spans="1:5" ht="12" customHeight="1">
      <c r="A510" s="155" t="str">
        <f>"060916 2"</f>
        <v>060916 2</v>
      </c>
      <c r="B510" s="153" t="s">
        <v>57</v>
      </c>
      <c r="C510" s="156" t="str">
        <f>IF(OR($A510="",ISERROR(VALUE(LEFT($A510,6)))),"",IF(LEN($A510)=2,"WOJ. ",IF(LEN($A510)=4,IF(VALUE(RIGHT($A510,2))&gt;60,"","Powiat "),IF(VALUE(RIGHT($A510,1))=1,"m. ",IF(VALUE(RIGHT($A510,1))=2,"gm. w. ",IF(VALUE(RIGHT($A510,1))=8,"dz. ","gm. m.-w. ")))))&amp;IF(LEN($A510)=2,TRIM(UPPER(VLOOKUP($A510,GUS_tabl_1!$A$7:$B$22,2,FALSE))),IF(ISERROR(FIND("..",TRIM(VLOOKUP(IF(AND(LEN($A510)=4,VALUE(RIGHT($A510,2))&gt;60),$A510&amp;"01 1",$A510),IF(AND(LEN($A510)=4,VALUE(RIGHT($A510,2))&lt;60),GUS_tabl_2!$A$8:$B$464,GUS_tabl_21!$A$5:$B$4886),2,FALSE)))),TRIM(VLOOKUP(IF(AND(LEN($A510)=4,VALUE(RIGHT($A510,2))&gt;60),$A510&amp;"01 1",$A510),IF(AND(LEN($A510)=4,VALUE(RIGHT($A510,2))&lt;60),GUS_tabl_2!$A$8:$B$464,GUS_tabl_21!$A$5:$B$4886),2,FALSE)),LEFT(TRIM(VLOOKUP(IF(AND(LEN($A510)=4,VALUE(RIGHT($A510,2))&gt;60),$A510&amp;"01 1",$A510),IF(AND(LEN($A510)=4,VALUE(RIGHT($A510,2))&lt;60),GUS_tabl_2!$A$8:$B$464,GUS_tabl_21!$A$5:$B$4886),2,FALSE)),SUM(FIND("..",TRIM(VLOOKUP(IF(AND(LEN($A510)=4,VALUE(RIGHT($A510,2))&gt;60),$A510&amp;"01 1",$A510),IF(AND(LEN($A510)=4,VALUE(RIGHT($A510,2))&lt;60),GUS_tabl_2!$A$8:$B$464,GUS_tabl_21!$A$5:$B$4886),2,FALSE))),-1)))))</f>
        <v>gm. w. Zakrzew</v>
      </c>
      <c r="D510" s="141">
        <f>IF(OR($A510="",ISERROR(VALUE(LEFT($A510,6)))),"",IF(LEN($A510)=2,SUMIF($A511:$A$2965,$A510&amp;"??",$D511:$D$2965),IF(AND(LEN($A510)=4,VALUE(RIGHT($A510,2))&lt;=60),SUMIF($A511:$A$2965,$A510&amp;"????",$D511:$D$2965),VLOOKUP(IF(LEN($A510)=4,$A510&amp;"01 1",$A510),GUS_tabl_21!$A$5:$F$4886,6,FALSE))))</f>
        <v>2889</v>
      </c>
      <c r="E510" s="29"/>
    </row>
    <row r="511" spans="1:5" ht="12" customHeight="1">
      <c r="A511" s="152" t="str">
        <f>"0610"</f>
        <v>0610</v>
      </c>
      <c r="B511" s="153" t="s">
        <v>57</v>
      </c>
      <c r="C511" s="154" t="str">
        <f>IF(OR($A511="",ISERROR(VALUE(LEFT($A511,6)))),"",IF(LEN($A511)=2,"WOJ. ",IF(LEN($A511)=4,IF(VALUE(RIGHT($A511,2))&gt;60,"","Powiat "),IF(VALUE(RIGHT($A511,1))=1,"m. ",IF(VALUE(RIGHT($A511,1))=2,"gm. w. ",IF(VALUE(RIGHT($A511,1))=8,"dz. ","gm. m.-w. ")))))&amp;IF(LEN($A511)=2,TRIM(UPPER(VLOOKUP($A511,GUS_tabl_1!$A$7:$B$22,2,FALSE))),IF(ISERROR(FIND("..",TRIM(VLOOKUP(IF(AND(LEN($A511)=4,VALUE(RIGHT($A511,2))&gt;60),$A511&amp;"01 1",$A511),IF(AND(LEN($A511)=4,VALUE(RIGHT($A511,2))&lt;60),GUS_tabl_2!$A$8:$B$464,GUS_tabl_21!$A$5:$B$4886),2,FALSE)))),TRIM(VLOOKUP(IF(AND(LEN($A511)=4,VALUE(RIGHT($A511,2))&gt;60),$A511&amp;"01 1",$A511),IF(AND(LEN($A511)=4,VALUE(RIGHT($A511,2))&lt;60),GUS_tabl_2!$A$8:$B$464,GUS_tabl_21!$A$5:$B$4886),2,FALSE)),LEFT(TRIM(VLOOKUP(IF(AND(LEN($A511)=4,VALUE(RIGHT($A511,2))&gt;60),$A511&amp;"01 1",$A511),IF(AND(LEN($A511)=4,VALUE(RIGHT($A511,2))&lt;60),GUS_tabl_2!$A$8:$B$464,GUS_tabl_21!$A$5:$B$4886),2,FALSE)),SUM(FIND("..",TRIM(VLOOKUP(IF(AND(LEN($A511)=4,VALUE(RIGHT($A511,2))&gt;60),$A511&amp;"01 1",$A511),IF(AND(LEN($A511)=4,VALUE(RIGHT($A511,2))&lt;60),GUS_tabl_2!$A$8:$B$464,GUS_tabl_21!$A$5:$B$4886),2,FALSE))),-1)))))</f>
        <v>Powiat łęczyński</v>
      </c>
      <c r="D511" s="140">
        <f>IF(OR($A511="",ISERROR(VALUE(LEFT($A511,6)))),"",IF(LEN($A511)=2,SUMIF($A512:$A$2965,$A511&amp;"??",$D512:$D$2965),IF(AND(LEN($A511)=4,VALUE(RIGHT($A511,2))&lt;=60),SUMIF($A512:$A$2965,$A511&amp;"????",$D512:$D$2965),VLOOKUP(IF(LEN($A511)=4,$A511&amp;"01 1",$A511),GUS_tabl_21!$A$5:$F$4886,6,FALSE))))</f>
        <v>57331</v>
      </c>
      <c r="E511" s="29"/>
    </row>
    <row r="512" spans="1:5" ht="12" customHeight="1">
      <c r="A512" s="155" t="str">
        <f>"061001 2"</f>
        <v>061001 2</v>
      </c>
      <c r="B512" s="153" t="s">
        <v>57</v>
      </c>
      <c r="C512" s="156" t="str">
        <f>IF(OR($A512="",ISERROR(VALUE(LEFT($A512,6)))),"",IF(LEN($A512)=2,"WOJ. ",IF(LEN($A512)=4,IF(VALUE(RIGHT($A512,2))&gt;60,"","Powiat "),IF(VALUE(RIGHT($A512,1))=1,"m. ",IF(VALUE(RIGHT($A512,1))=2,"gm. w. ",IF(VALUE(RIGHT($A512,1))=8,"dz. ","gm. m.-w. ")))))&amp;IF(LEN($A512)=2,TRIM(UPPER(VLOOKUP($A512,GUS_tabl_1!$A$7:$B$22,2,FALSE))),IF(ISERROR(FIND("..",TRIM(VLOOKUP(IF(AND(LEN($A512)=4,VALUE(RIGHT($A512,2))&gt;60),$A512&amp;"01 1",$A512),IF(AND(LEN($A512)=4,VALUE(RIGHT($A512,2))&lt;60),GUS_tabl_2!$A$8:$B$464,GUS_tabl_21!$A$5:$B$4886),2,FALSE)))),TRIM(VLOOKUP(IF(AND(LEN($A512)=4,VALUE(RIGHT($A512,2))&gt;60),$A512&amp;"01 1",$A512),IF(AND(LEN($A512)=4,VALUE(RIGHT($A512,2))&lt;60),GUS_tabl_2!$A$8:$B$464,GUS_tabl_21!$A$5:$B$4886),2,FALSE)),LEFT(TRIM(VLOOKUP(IF(AND(LEN($A512)=4,VALUE(RIGHT($A512,2))&gt;60),$A512&amp;"01 1",$A512),IF(AND(LEN($A512)=4,VALUE(RIGHT($A512,2))&lt;60),GUS_tabl_2!$A$8:$B$464,GUS_tabl_21!$A$5:$B$4886),2,FALSE)),SUM(FIND("..",TRIM(VLOOKUP(IF(AND(LEN($A512)=4,VALUE(RIGHT($A512,2))&gt;60),$A512&amp;"01 1",$A512),IF(AND(LEN($A512)=4,VALUE(RIGHT($A512,2))&lt;60),GUS_tabl_2!$A$8:$B$464,GUS_tabl_21!$A$5:$B$4886),2,FALSE))),-1)))))</f>
        <v>gm. w. Cyców</v>
      </c>
      <c r="D512" s="141">
        <f>IF(OR($A512="",ISERROR(VALUE(LEFT($A512,6)))),"",IF(LEN($A512)=2,SUMIF($A513:$A$2965,$A512&amp;"??",$D513:$D$2965),IF(AND(LEN($A512)=4,VALUE(RIGHT($A512,2))&lt;=60),SUMIF($A513:$A$2965,$A512&amp;"????",$D513:$D$2965),VLOOKUP(IF(LEN($A512)=4,$A512&amp;"01 1",$A512),GUS_tabl_21!$A$5:$F$4886,6,FALSE))))</f>
        <v>7912</v>
      </c>
      <c r="E512" s="29"/>
    </row>
    <row r="513" spans="1:5" ht="12" customHeight="1">
      <c r="A513" s="155" t="str">
        <f>"061002 2"</f>
        <v>061002 2</v>
      </c>
      <c r="B513" s="153" t="s">
        <v>57</v>
      </c>
      <c r="C513" s="156" t="str">
        <f>IF(OR($A513="",ISERROR(VALUE(LEFT($A513,6)))),"",IF(LEN($A513)=2,"WOJ. ",IF(LEN($A513)=4,IF(VALUE(RIGHT($A513,2))&gt;60,"","Powiat "),IF(VALUE(RIGHT($A513,1))=1,"m. ",IF(VALUE(RIGHT($A513,1))=2,"gm. w. ",IF(VALUE(RIGHT($A513,1))=8,"dz. ","gm. m.-w. ")))))&amp;IF(LEN($A513)=2,TRIM(UPPER(VLOOKUP($A513,GUS_tabl_1!$A$7:$B$22,2,FALSE))),IF(ISERROR(FIND("..",TRIM(VLOOKUP(IF(AND(LEN($A513)=4,VALUE(RIGHT($A513,2))&gt;60),$A513&amp;"01 1",$A513),IF(AND(LEN($A513)=4,VALUE(RIGHT($A513,2))&lt;60),GUS_tabl_2!$A$8:$B$464,GUS_tabl_21!$A$5:$B$4886),2,FALSE)))),TRIM(VLOOKUP(IF(AND(LEN($A513)=4,VALUE(RIGHT($A513,2))&gt;60),$A513&amp;"01 1",$A513),IF(AND(LEN($A513)=4,VALUE(RIGHT($A513,2))&lt;60),GUS_tabl_2!$A$8:$B$464,GUS_tabl_21!$A$5:$B$4886),2,FALSE)),LEFT(TRIM(VLOOKUP(IF(AND(LEN($A513)=4,VALUE(RIGHT($A513,2))&gt;60),$A513&amp;"01 1",$A513),IF(AND(LEN($A513)=4,VALUE(RIGHT($A513,2))&lt;60),GUS_tabl_2!$A$8:$B$464,GUS_tabl_21!$A$5:$B$4886),2,FALSE)),SUM(FIND("..",TRIM(VLOOKUP(IF(AND(LEN($A513)=4,VALUE(RIGHT($A513,2))&gt;60),$A513&amp;"01 1",$A513),IF(AND(LEN($A513)=4,VALUE(RIGHT($A513,2))&lt;60),GUS_tabl_2!$A$8:$B$464,GUS_tabl_21!$A$5:$B$4886),2,FALSE))),-1)))))</f>
        <v>gm. w. Ludwin</v>
      </c>
      <c r="D513" s="141">
        <f>IF(OR($A513="",ISERROR(VALUE(LEFT($A513,6)))),"",IF(LEN($A513)=2,SUMIF($A514:$A$2965,$A513&amp;"??",$D514:$D$2965),IF(AND(LEN($A513)=4,VALUE(RIGHT($A513,2))&lt;=60),SUMIF($A514:$A$2965,$A513&amp;"????",$D514:$D$2965),VLOOKUP(IF(LEN($A513)=4,$A513&amp;"01 1",$A513),GUS_tabl_21!$A$5:$F$4886,6,FALSE))))</f>
        <v>5641</v>
      </c>
      <c r="E513" s="29"/>
    </row>
    <row r="514" spans="1:5" ht="12" customHeight="1">
      <c r="A514" s="155" t="str">
        <f>"061003 3"</f>
        <v>061003 3</v>
      </c>
      <c r="B514" s="153" t="s">
        <v>57</v>
      </c>
      <c r="C514" s="156" t="str">
        <f>IF(OR($A514="",ISERROR(VALUE(LEFT($A514,6)))),"",IF(LEN($A514)=2,"WOJ. ",IF(LEN($A514)=4,IF(VALUE(RIGHT($A514,2))&gt;60,"","Powiat "),IF(VALUE(RIGHT($A514,1))=1,"m. ",IF(VALUE(RIGHT($A514,1))=2,"gm. w. ",IF(VALUE(RIGHT($A514,1))=8,"dz. ","gm. m.-w. ")))))&amp;IF(LEN($A514)=2,TRIM(UPPER(VLOOKUP($A514,GUS_tabl_1!$A$7:$B$22,2,FALSE))),IF(ISERROR(FIND("..",TRIM(VLOOKUP(IF(AND(LEN($A514)=4,VALUE(RIGHT($A514,2))&gt;60),$A514&amp;"01 1",$A514),IF(AND(LEN($A514)=4,VALUE(RIGHT($A514,2))&lt;60),GUS_tabl_2!$A$8:$B$464,GUS_tabl_21!$A$5:$B$4886),2,FALSE)))),TRIM(VLOOKUP(IF(AND(LEN($A514)=4,VALUE(RIGHT($A514,2))&gt;60),$A514&amp;"01 1",$A514),IF(AND(LEN($A514)=4,VALUE(RIGHT($A514,2))&lt;60),GUS_tabl_2!$A$8:$B$464,GUS_tabl_21!$A$5:$B$4886),2,FALSE)),LEFT(TRIM(VLOOKUP(IF(AND(LEN($A514)=4,VALUE(RIGHT($A514,2))&gt;60),$A514&amp;"01 1",$A514),IF(AND(LEN($A514)=4,VALUE(RIGHT($A514,2))&lt;60),GUS_tabl_2!$A$8:$B$464,GUS_tabl_21!$A$5:$B$4886),2,FALSE)),SUM(FIND("..",TRIM(VLOOKUP(IF(AND(LEN($A514)=4,VALUE(RIGHT($A514,2))&gt;60),$A514&amp;"01 1",$A514),IF(AND(LEN($A514)=4,VALUE(RIGHT($A514,2))&lt;60),GUS_tabl_2!$A$8:$B$464,GUS_tabl_21!$A$5:$B$4886),2,FALSE))),-1)))))</f>
        <v>gm. m.-w. Łęczna</v>
      </c>
      <c r="D514" s="141">
        <f>IF(OR($A514="",ISERROR(VALUE(LEFT($A514,6)))),"",IF(LEN($A514)=2,SUMIF($A515:$A$2965,$A514&amp;"??",$D515:$D$2965),IF(AND(LEN($A514)=4,VALUE(RIGHT($A514,2))&lt;=60),SUMIF($A515:$A$2965,$A514&amp;"????",$D515:$D$2965),VLOOKUP(IF(LEN($A514)=4,$A514&amp;"01 1",$A514),GUS_tabl_21!$A$5:$F$4886,6,FALSE))))</f>
        <v>23244</v>
      </c>
      <c r="E514" s="29"/>
    </row>
    <row r="515" spans="1:5" ht="12" customHeight="1">
      <c r="A515" s="155" t="str">
        <f>"061004 2"</f>
        <v>061004 2</v>
      </c>
      <c r="B515" s="153" t="s">
        <v>57</v>
      </c>
      <c r="C515" s="156" t="str">
        <f>IF(OR($A515="",ISERROR(VALUE(LEFT($A515,6)))),"",IF(LEN($A515)=2,"WOJ. ",IF(LEN($A515)=4,IF(VALUE(RIGHT($A515,2))&gt;60,"","Powiat "),IF(VALUE(RIGHT($A515,1))=1,"m. ",IF(VALUE(RIGHT($A515,1))=2,"gm. w. ",IF(VALUE(RIGHT($A515,1))=8,"dz. ","gm. m.-w. ")))))&amp;IF(LEN($A515)=2,TRIM(UPPER(VLOOKUP($A515,GUS_tabl_1!$A$7:$B$22,2,FALSE))),IF(ISERROR(FIND("..",TRIM(VLOOKUP(IF(AND(LEN($A515)=4,VALUE(RIGHT($A515,2))&gt;60),$A515&amp;"01 1",$A515),IF(AND(LEN($A515)=4,VALUE(RIGHT($A515,2))&lt;60),GUS_tabl_2!$A$8:$B$464,GUS_tabl_21!$A$5:$B$4886),2,FALSE)))),TRIM(VLOOKUP(IF(AND(LEN($A515)=4,VALUE(RIGHT($A515,2))&gt;60),$A515&amp;"01 1",$A515),IF(AND(LEN($A515)=4,VALUE(RIGHT($A515,2))&lt;60),GUS_tabl_2!$A$8:$B$464,GUS_tabl_21!$A$5:$B$4886),2,FALSE)),LEFT(TRIM(VLOOKUP(IF(AND(LEN($A515)=4,VALUE(RIGHT($A515,2))&gt;60),$A515&amp;"01 1",$A515),IF(AND(LEN($A515)=4,VALUE(RIGHT($A515,2))&lt;60),GUS_tabl_2!$A$8:$B$464,GUS_tabl_21!$A$5:$B$4886),2,FALSE)),SUM(FIND("..",TRIM(VLOOKUP(IF(AND(LEN($A515)=4,VALUE(RIGHT($A515,2))&gt;60),$A515&amp;"01 1",$A515),IF(AND(LEN($A515)=4,VALUE(RIGHT($A515,2))&lt;60),GUS_tabl_2!$A$8:$B$464,GUS_tabl_21!$A$5:$B$4886),2,FALSE))),-1)))))</f>
        <v>gm. w. Milejów</v>
      </c>
      <c r="D515" s="141">
        <f>IF(OR($A515="",ISERROR(VALUE(LEFT($A515,6)))),"",IF(LEN($A515)=2,SUMIF($A516:$A$2965,$A515&amp;"??",$D516:$D$2965),IF(AND(LEN($A515)=4,VALUE(RIGHT($A515,2))&lt;=60),SUMIF($A516:$A$2965,$A515&amp;"????",$D516:$D$2965),VLOOKUP(IF(LEN($A515)=4,$A515&amp;"01 1",$A515),GUS_tabl_21!$A$5:$F$4886,6,FALSE))))</f>
        <v>9085</v>
      </c>
      <c r="E515" s="29"/>
    </row>
    <row r="516" spans="1:5" ht="12" customHeight="1">
      <c r="A516" s="155" t="str">
        <f>"061005 2"</f>
        <v>061005 2</v>
      </c>
      <c r="B516" s="153" t="s">
        <v>57</v>
      </c>
      <c r="C516" s="156" t="str">
        <f>IF(OR($A516="",ISERROR(VALUE(LEFT($A516,6)))),"",IF(LEN($A516)=2,"WOJ. ",IF(LEN($A516)=4,IF(VALUE(RIGHT($A516,2))&gt;60,"","Powiat "),IF(VALUE(RIGHT($A516,1))=1,"m. ",IF(VALUE(RIGHT($A516,1))=2,"gm. w. ",IF(VALUE(RIGHT($A516,1))=8,"dz. ","gm. m.-w. ")))))&amp;IF(LEN($A516)=2,TRIM(UPPER(VLOOKUP($A516,GUS_tabl_1!$A$7:$B$22,2,FALSE))),IF(ISERROR(FIND("..",TRIM(VLOOKUP(IF(AND(LEN($A516)=4,VALUE(RIGHT($A516,2))&gt;60),$A516&amp;"01 1",$A516),IF(AND(LEN($A516)=4,VALUE(RIGHT($A516,2))&lt;60),GUS_tabl_2!$A$8:$B$464,GUS_tabl_21!$A$5:$B$4886),2,FALSE)))),TRIM(VLOOKUP(IF(AND(LEN($A516)=4,VALUE(RIGHT($A516,2))&gt;60),$A516&amp;"01 1",$A516),IF(AND(LEN($A516)=4,VALUE(RIGHT($A516,2))&lt;60),GUS_tabl_2!$A$8:$B$464,GUS_tabl_21!$A$5:$B$4886),2,FALSE)),LEFT(TRIM(VLOOKUP(IF(AND(LEN($A516)=4,VALUE(RIGHT($A516,2))&gt;60),$A516&amp;"01 1",$A516),IF(AND(LEN($A516)=4,VALUE(RIGHT($A516,2))&lt;60),GUS_tabl_2!$A$8:$B$464,GUS_tabl_21!$A$5:$B$4886),2,FALSE)),SUM(FIND("..",TRIM(VLOOKUP(IF(AND(LEN($A516)=4,VALUE(RIGHT($A516,2))&gt;60),$A516&amp;"01 1",$A516),IF(AND(LEN($A516)=4,VALUE(RIGHT($A516,2))&lt;60),GUS_tabl_2!$A$8:$B$464,GUS_tabl_21!$A$5:$B$4886),2,FALSE))),-1)))))</f>
        <v>gm. w. Puchaczów</v>
      </c>
      <c r="D516" s="141">
        <f>IF(OR($A516="",ISERROR(VALUE(LEFT($A516,6)))),"",IF(LEN($A516)=2,SUMIF($A517:$A$2965,$A516&amp;"??",$D517:$D$2965),IF(AND(LEN($A516)=4,VALUE(RIGHT($A516,2))&lt;=60),SUMIF($A517:$A$2965,$A516&amp;"????",$D517:$D$2965),VLOOKUP(IF(LEN($A516)=4,$A516&amp;"01 1",$A516),GUS_tabl_21!$A$5:$F$4886,6,FALSE))))</f>
        <v>5693</v>
      </c>
      <c r="E516" s="29"/>
    </row>
    <row r="517" spans="1:5" ht="12" customHeight="1">
      <c r="A517" s="155" t="str">
        <f>"061006 2"</f>
        <v>061006 2</v>
      </c>
      <c r="B517" s="153" t="s">
        <v>57</v>
      </c>
      <c r="C517" s="156" t="str">
        <f>IF(OR($A517="",ISERROR(VALUE(LEFT($A517,6)))),"",IF(LEN($A517)=2,"WOJ. ",IF(LEN($A517)=4,IF(VALUE(RIGHT($A517,2))&gt;60,"","Powiat "),IF(VALUE(RIGHT($A517,1))=1,"m. ",IF(VALUE(RIGHT($A517,1))=2,"gm. w. ",IF(VALUE(RIGHT($A517,1))=8,"dz. ","gm. m.-w. ")))))&amp;IF(LEN($A517)=2,TRIM(UPPER(VLOOKUP($A517,GUS_tabl_1!$A$7:$B$22,2,FALSE))),IF(ISERROR(FIND("..",TRIM(VLOOKUP(IF(AND(LEN($A517)=4,VALUE(RIGHT($A517,2))&gt;60),$A517&amp;"01 1",$A517),IF(AND(LEN($A517)=4,VALUE(RIGHT($A517,2))&lt;60),GUS_tabl_2!$A$8:$B$464,GUS_tabl_21!$A$5:$B$4886),2,FALSE)))),TRIM(VLOOKUP(IF(AND(LEN($A517)=4,VALUE(RIGHT($A517,2))&gt;60),$A517&amp;"01 1",$A517),IF(AND(LEN($A517)=4,VALUE(RIGHT($A517,2))&lt;60),GUS_tabl_2!$A$8:$B$464,GUS_tabl_21!$A$5:$B$4886),2,FALSE)),LEFT(TRIM(VLOOKUP(IF(AND(LEN($A517)=4,VALUE(RIGHT($A517,2))&gt;60),$A517&amp;"01 1",$A517),IF(AND(LEN($A517)=4,VALUE(RIGHT($A517,2))&lt;60),GUS_tabl_2!$A$8:$B$464,GUS_tabl_21!$A$5:$B$4886),2,FALSE)),SUM(FIND("..",TRIM(VLOOKUP(IF(AND(LEN($A517)=4,VALUE(RIGHT($A517,2))&gt;60),$A517&amp;"01 1",$A517),IF(AND(LEN($A517)=4,VALUE(RIGHT($A517,2))&lt;60),GUS_tabl_2!$A$8:$B$464,GUS_tabl_21!$A$5:$B$4886),2,FALSE))),-1)))))</f>
        <v>gm. w. Spiczyn</v>
      </c>
      <c r="D517" s="141">
        <f>IF(OR($A517="",ISERROR(VALUE(LEFT($A517,6)))),"",IF(LEN($A517)=2,SUMIF($A518:$A$2965,$A517&amp;"??",$D518:$D$2965),IF(AND(LEN($A517)=4,VALUE(RIGHT($A517,2))&lt;=60),SUMIF($A518:$A$2965,$A517&amp;"????",$D518:$D$2965),VLOOKUP(IF(LEN($A517)=4,$A517&amp;"01 1",$A517),GUS_tabl_21!$A$5:$F$4886,6,FALSE))))</f>
        <v>5756</v>
      </c>
      <c r="E517" s="29"/>
    </row>
    <row r="518" spans="1:5" ht="12" customHeight="1">
      <c r="A518" s="152" t="str">
        <f>"0611"</f>
        <v>0611</v>
      </c>
      <c r="B518" s="153" t="s">
        <v>57</v>
      </c>
      <c r="C518" s="154" t="str">
        <f>IF(OR($A518="",ISERROR(VALUE(LEFT($A518,6)))),"",IF(LEN($A518)=2,"WOJ. ",IF(LEN($A518)=4,IF(VALUE(RIGHT($A518,2))&gt;60,"","Powiat "),IF(VALUE(RIGHT($A518,1))=1,"m. ",IF(VALUE(RIGHT($A518,1))=2,"gm. w. ",IF(VALUE(RIGHT($A518,1))=8,"dz. ","gm. m.-w. ")))))&amp;IF(LEN($A518)=2,TRIM(UPPER(VLOOKUP($A518,GUS_tabl_1!$A$7:$B$22,2,FALSE))),IF(ISERROR(FIND("..",TRIM(VLOOKUP(IF(AND(LEN($A518)=4,VALUE(RIGHT($A518,2))&gt;60),$A518&amp;"01 1",$A518),IF(AND(LEN($A518)=4,VALUE(RIGHT($A518,2))&lt;60),GUS_tabl_2!$A$8:$B$464,GUS_tabl_21!$A$5:$B$4886),2,FALSE)))),TRIM(VLOOKUP(IF(AND(LEN($A518)=4,VALUE(RIGHT($A518,2))&gt;60),$A518&amp;"01 1",$A518),IF(AND(LEN($A518)=4,VALUE(RIGHT($A518,2))&lt;60),GUS_tabl_2!$A$8:$B$464,GUS_tabl_21!$A$5:$B$4886),2,FALSE)),LEFT(TRIM(VLOOKUP(IF(AND(LEN($A518)=4,VALUE(RIGHT($A518,2))&gt;60),$A518&amp;"01 1",$A518),IF(AND(LEN($A518)=4,VALUE(RIGHT($A518,2))&lt;60),GUS_tabl_2!$A$8:$B$464,GUS_tabl_21!$A$5:$B$4886),2,FALSE)),SUM(FIND("..",TRIM(VLOOKUP(IF(AND(LEN($A518)=4,VALUE(RIGHT($A518,2))&gt;60),$A518&amp;"01 1",$A518),IF(AND(LEN($A518)=4,VALUE(RIGHT($A518,2))&lt;60),GUS_tabl_2!$A$8:$B$464,GUS_tabl_21!$A$5:$B$4886),2,FALSE))),-1)))))</f>
        <v>Powiat łukowski</v>
      </c>
      <c r="D518" s="140">
        <f>IF(OR($A518="",ISERROR(VALUE(LEFT($A518,6)))),"",IF(LEN($A518)=2,SUMIF($A519:$A$2965,$A518&amp;"??",$D519:$D$2965),IF(AND(LEN($A518)=4,VALUE(RIGHT($A518,2))&lt;=60),SUMIF($A519:$A$2965,$A518&amp;"????",$D519:$D$2965),VLOOKUP(IF(LEN($A518)=4,$A518&amp;"01 1",$A518),GUS_tabl_21!$A$5:$F$4886,6,FALSE))))</f>
        <v>106816</v>
      </c>
      <c r="E518" s="29"/>
    </row>
    <row r="519" spans="1:5" ht="12" customHeight="1">
      <c r="A519" s="155" t="str">
        <f>"061101 1"</f>
        <v>061101 1</v>
      </c>
      <c r="B519" s="153" t="s">
        <v>57</v>
      </c>
      <c r="C519" s="156" t="str">
        <f>IF(OR($A519="",ISERROR(VALUE(LEFT($A519,6)))),"",IF(LEN($A519)=2,"WOJ. ",IF(LEN($A519)=4,IF(VALUE(RIGHT($A519,2))&gt;60,"","Powiat "),IF(VALUE(RIGHT($A519,1))=1,"m. ",IF(VALUE(RIGHT($A519,1))=2,"gm. w. ",IF(VALUE(RIGHT($A519,1))=8,"dz. ","gm. m.-w. ")))))&amp;IF(LEN($A519)=2,TRIM(UPPER(VLOOKUP($A519,GUS_tabl_1!$A$7:$B$22,2,FALSE))),IF(ISERROR(FIND("..",TRIM(VLOOKUP(IF(AND(LEN($A519)=4,VALUE(RIGHT($A519,2))&gt;60),$A519&amp;"01 1",$A519),IF(AND(LEN($A519)=4,VALUE(RIGHT($A519,2))&lt;60),GUS_tabl_2!$A$8:$B$464,GUS_tabl_21!$A$5:$B$4886),2,FALSE)))),TRIM(VLOOKUP(IF(AND(LEN($A519)=4,VALUE(RIGHT($A519,2))&gt;60),$A519&amp;"01 1",$A519),IF(AND(LEN($A519)=4,VALUE(RIGHT($A519,2))&lt;60),GUS_tabl_2!$A$8:$B$464,GUS_tabl_21!$A$5:$B$4886),2,FALSE)),LEFT(TRIM(VLOOKUP(IF(AND(LEN($A519)=4,VALUE(RIGHT($A519,2))&gt;60),$A519&amp;"01 1",$A519),IF(AND(LEN($A519)=4,VALUE(RIGHT($A519,2))&lt;60),GUS_tabl_2!$A$8:$B$464,GUS_tabl_21!$A$5:$B$4886),2,FALSE)),SUM(FIND("..",TRIM(VLOOKUP(IF(AND(LEN($A519)=4,VALUE(RIGHT($A519,2))&gt;60),$A519&amp;"01 1",$A519),IF(AND(LEN($A519)=4,VALUE(RIGHT($A519,2))&lt;60),GUS_tabl_2!$A$8:$B$464,GUS_tabl_21!$A$5:$B$4886),2,FALSE))),-1)))))</f>
        <v>m. Łuków</v>
      </c>
      <c r="D519" s="141">
        <f>IF(OR($A519="",ISERROR(VALUE(LEFT($A519,6)))),"",IF(LEN($A519)=2,SUMIF($A520:$A$2965,$A519&amp;"??",$D520:$D$2965),IF(AND(LEN($A519)=4,VALUE(RIGHT($A519,2))&lt;=60),SUMIF($A520:$A$2965,$A519&amp;"????",$D520:$D$2965),VLOOKUP(IF(LEN($A519)=4,$A519&amp;"01 1",$A519),GUS_tabl_21!$A$5:$F$4886,6,FALSE))))</f>
        <v>29728</v>
      </c>
      <c r="E519" s="29"/>
    </row>
    <row r="520" spans="1:5" ht="12" customHeight="1">
      <c r="A520" s="155" t="str">
        <f>"061102 1"</f>
        <v>061102 1</v>
      </c>
      <c r="B520" s="153" t="s">
        <v>57</v>
      </c>
      <c r="C520" s="156" t="str">
        <f>IF(OR($A520="",ISERROR(VALUE(LEFT($A520,6)))),"",IF(LEN($A520)=2,"WOJ. ",IF(LEN($A520)=4,IF(VALUE(RIGHT($A520,2))&gt;60,"","Powiat "),IF(VALUE(RIGHT($A520,1))=1,"m. ",IF(VALUE(RIGHT($A520,1))=2,"gm. w. ",IF(VALUE(RIGHT($A520,1))=8,"dz. ","gm. m.-w. ")))))&amp;IF(LEN($A520)=2,TRIM(UPPER(VLOOKUP($A520,GUS_tabl_1!$A$7:$B$22,2,FALSE))),IF(ISERROR(FIND("..",TRIM(VLOOKUP(IF(AND(LEN($A520)=4,VALUE(RIGHT($A520,2))&gt;60),$A520&amp;"01 1",$A520),IF(AND(LEN($A520)=4,VALUE(RIGHT($A520,2))&lt;60),GUS_tabl_2!$A$8:$B$464,GUS_tabl_21!$A$5:$B$4886),2,FALSE)))),TRIM(VLOOKUP(IF(AND(LEN($A520)=4,VALUE(RIGHT($A520,2))&gt;60),$A520&amp;"01 1",$A520),IF(AND(LEN($A520)=4,VALUE(RIGHT($A520,2))&lt;60),GUS_tabl_2!$A$8:$B$464,GUS_tabl_21!$A$5:$B$4886),2,FALSE)),LEFT(TRIM(VLOOKUP(IF(AND(LEN($A520)=4,VALUE(RIGHT($A520,2))&gt;60),$A520&amp;"01 1",$A520),IF(AND(LEN($A520)=4,VALUE(RIGHT($A520,2))&lt;60),GUS_tabl_2!$A$8:$B$464,GUS_tabl_21!$A$5:$B$4886),2,FALSE)),SUM(FIND("..",TRIM(VLOOKUP(IF(AND(LEN($A520)=4,VALUE(RIGHT($A520,2))&gt;60),$A520&amp;"01 1",$A520),IF(AND(LEN($A520)=4,VALUE(RIGHT($A520,2))&lt;60),GUS_tabl_2!$A$8:$B$464,GUS_tabl_21!$A$5:$B$4886),2,FALSE))),-1)))))</f>
        <v>m. Stoczek Łukowski</v>
      </c>
      <c r="D520" s="141">
        <f>IF(OR($A520="",ISERROR(VALUE(LEFT($A520,6)))),"",IF(LEN($A520)=2,SUMIF($A521:$A$2965,$A520&amp;"??",$D521:$D$2965),IF(AND(LEN($A520)=4,VALUE(RIGHT($A520,2))&lt;=60),SUMIF($A521:$A$2965,$A520&amp;"????",$D521:$D$2965),VLOOKUP(IF(LEN($A520)=4,$A520&amp;"01 1",$A520),GUS_tabl_21!$A$5:$F$4886,6,FALSE))))</f>
        <v>2500</v>
      </c>
      <c r="E520" s="29"/>
    </row>
    <row r="521" spans="1:5" ht="12" customHeight="1">
      <c r="A521" s="155" t="str">
        <f>"061103 2"</f>
        <v>061103 2</v>
      </c>
      <c r="B521" s="153" t="s">
        <v>57</v>
      </c>
      <c r="C521" s="156" t="str">
        <f>IF(OR($A521="",ISERROR(VALUE(LEFT($A521,6)))),"",IF(LEN($A521)=2,"WOJ. ",IF(LEN($A521)=4,IF(VALUE(RIGHT($A521,2))&gt;60,"","Powiat "),IF(VALUE(RIGHT($A521,1))=1,"m. ",IF(VALUE(RIGHT($A521,1))=2,"gm. w. ",IF(VALUE(RIGHT($A521,1))=8,"dz. ","gm. m.-w. ")))))&amp;IF(LEN($A521)=2,TRIM(UPPER(VLOOKUP($A521,GUS_tabl_1!$A$7:$B$22,2,FALSE))),IF(ISERROR(FIND("..",TRIM(VLOOKUP(IF(AND(LEN($A521)=4,VALUE(RIGHT($A521,2))&gt;60),$A521&amp;"01 1",$A521),IF(AND(LEN($A521)=4,VALUE(RIGHT($A521,2))&lt;60),GUS_tabl_2!$A$8:$B$464,GUS_tabl_21!$A$5:$B$4886),2,FALSE)))),TRIM(VLOOKUP(IF(AND(LEN($A521)=4,VALUE(RIGHT($A521,2))&gt;60),$A521&amp;"01 1",$A521),IF(AND(LEN($A521)=4,VALUE(RIGHT($A521,2))&lt;60),GUS_tabl_2!$A$8:$B$464,GUS_tabl_21!$A$5:$B$4886),2,FALSE)),LEFT(TRIM(VLOOKUP(IF(AND(LEN($A521)=4,VALUE(RIGHT($A521,2))&gt;60),$A521&amp;"01 1",$A521),IF(AND(LEN($A521)=4,VALUE(RIGHT($A521,2))&lt;60),GUS_tabl_2!$A$8:$B$464,GUS_tabl_21!$A$5:$B$4886),2,FALSE)),SUM(FIND("..",TRIM(VLOOKUP(IF(AND(LEN($A521)=4,VALUE(RIGHT($A521,2))&gt;60),$A521&amp;"01 1",$A521),IF(AND(LEN($A521)=4,VALUE(RIGHT($A521,2))&lt;60),GUS_tabl_2!$A$8:$B$464,GUS_tabl_21!$A$5:$B$4886),2,FALSE))),-1)))))</f>
        <v>gm. w. Adamów</v>
      </c>
      <c r="D521" s="141">
        <f>IF(OR($A521="",ISERROR(VALUE(LEFT($A521,6)))),"",IF(LEN($A521)=2,SUMIF($A522:$A$2965,$A521&amp;"??",$D522:$D$2965),IF(AND(LEN($A521)=4,VALUE(RIGHT($A521,2))&lt;=60),SUMIF($A522:$A$2965,$A521&amp;"????",$D522:$D$2965),VLOOKUP(IF(LEN($A521)=4,$A521&amp;"01 1",$A521),GUS_tabl_21!$A$5:$F$4886,6,FALSE))))</f>
        <v>5594</v>
      </c>
      <c r="E521" s="29"/>
    </row>
    <row r="522" spans="1:5" ht="12" customHeight="1">
      <c r="A522" s="155" t="str">
        <f>"061104 2"</f>
        <v>061104 2</v>
      </c>
      <c r="B522" s="153" t="s">
        <v>57</v>
      </c>
      <c r="C522" s="156" t="str">
        <f>IF(OR($A522="",ISERROR(VALUE(LEFT($A522,6)))),"",IF(LEN($A522)=2,"WOJ. ",IF(LEN($A522)=4,IF(VALUE(RIGHT($A522,2))&gt;60,"","Powiat "),IF(VALUE(RIGHT($A522,1))=1,"m. ",IF(VALUE(RIGHT($A522,1))=2,"gm. w. ",IF(VALUE(RIGHT($A522,1))=8,"dz. ","gm. m.-w. ")))))&amp;IF(LEN($A522)=2,TRIM(UPPER(VLOOKUP($A522,GUS_tabl_1!$A$7:$B$22,2,FALSE))),IF(ISERROR(FIND("..",TRIM(VLOOKUP(IF(AND(LEN($A522)=4,VALUE(RIGHT($A522,2))&gt;60),$A522&amp;"01 1",$A522),IF(AND(LEN($A522)=4,VALUE(RIGHT($A522,2))&lt;60),GUS_tabl_2!$A$8:$B$464,GUS_tabl_21!$A$5:$B$4886),2,FALSE)))),TRIM(VLOOKUP(IF(AND(LEN($A522)=4,VALUE(RIGHT($A522,2))&gt;60),$A522&amp;"01 1",$A522),IF(AND(LEN($A522)=4,VALUE(RIGHT($A522,2))&lt;60),GUS_tabl_2!$A$8:$B$464,GUS_tabl_21!$A$5:$B$4886),2,FALSE)),LEFT(TRIM(VLOOKUP(IF(AND(LEN($A522)=4,VALUE(RIGHT($A522,2))&gt;60),$A522&amp;"01 1",$A522),IF(AND(LEN($A522)=4,VALUE(RIGHT($A522,2))&lt;60),GUS_tabl_2!$A$8:$B$464,GUS_tabl_21!$A$5:$B$4886),2,FALSE)),SUM(FIND("..",TRIM(VLOOKUP(IF(AND(LEN($A522)=4,VALUE(RIGHT($A522,2))&gt;60),$A522&amp;"01 1",$A522),IF(AND(LEN($A522)=4,VALUE(RIGHT($A522,2))&lt;60),GUS_tabl_2!$A$8:$B$464,GUS_tabl_21!$A$5:$B$4886),2,FALSE))),-1)))))</f>
        <v>gm. w. Krzywda</v>
      </c>
      <c r="D522" s="141">
        <f>IF(OR($A522="",ISERROR(VALUE(LEFT($A522,6)))),"",IF(LEN($A522)=2,SUMIF($A523:$A$2965,$A522&amp;"??",$D523:$D$2965),IF(AND(LEN($A522)=4,VALUE(RIGHT($A522,2))&lt;=60),SUMIF($A523:$A$2965,$A522&amp;"????",$D523:$D$2965),VLOOKUP(IF(LEN($A522)=4,$A522&amp;"01 1",$A522),GUS_tabl_21!$A$5:$F$4886,6,FALSE))))</f>
        <v>10451</v>
      </c>
      <c r="E522" s="29"/>
    </row>
    <row r="523" spans="1:5" ht="12" customHeight="1">
      <c r="A523" s="155" t="str">
        <f>"061105 2"</f>
        <v>061105 2</v>
      </c>
      <c r="B523" s="153" t="s">
        <v>57</v>
      </c>
      <c r="C523" s="156" t="str">
        <f>IF(OR($A523="",ISERROR(VALUE(LEFT($A523,6)))),"",IF(LEN($A523)=2,"WOJ. ",IF(LEN($A523)=4,IF(VALUE(RIGHT($A523,2))&gt;60,"","Powiat "),IF(VALUE(RIGHT($A523,1))=1,"m. ",IF(VALUE(RIGHT($A523,1))=2,"gm. w. ",IF(VALUE(RIGHT($A523,1))=8,"dz. ","gm. m.-w. ")))))&amp;IF(LEN($A523)=2,TRIM(UPPER(VLOOKUP($A523,GUS_tabl_1!$A$7:$B$22,2,FALSE))),IF(ISERROR(FIND("..",TRIM(VLOOKUP(IF(AND(LEN($A523)=4,VALUE(RIGHT($A523,2))&gt;60),$A523&amp;"01 1",$A523),IF(AND(LEN($A523)=4,VALUE(RIGHT($A523,2))&lt;60),GUS_tabl_2!$A$8:$B$464,GUS_tabl_21!$A$5:$B$4886),2,FALSE)))),TRIM(VLOOKUP(IF(AND(LEN($A523)=4,VALUE(RIGHT($A523,2))&gt;60),$A523&amp;"01 1",$A523),IF(AND(LEN($A523)=4,VALUE(RIGHT($A523,2))&lt;60),GUS_tabl_2!$A$8:$B$464,GUS_tabl_21!$A$5:$B$4886),2,FALSE)),LEFT(TRIM(VLOOKUP(IF(AND(LEN($A523)=4,VALUE(RIGHT($A523,2))&gt;60),$A523&amp;"01 1",$A523),IF(AND(LEN($A523)=4,VALUE(RIGHT($A523,2))&lt;60),GUS_tabl_2!$A$8:$B$464,GUS_tabl_21!$A$5:$B$4886),2,FALSE)),SUM(FIND("..",TRIM(VLOOKUP(IF(AND(LEN($A523)=4,VALUE(RIGHT($A523,2))&gt;60),$A523&amp;"01 1",$A523),IF(AND(LEN($A523)=4,VALUE(RIGHT($A523,2))&lt;60),GUS_tabl_2!$A$8:$B$464,GUS_tabl_21!$A$5:$B$4886),2,FALSE))),-1)))))</f>
        <v>gm. w. Łuków</v>
      </c>
      <c r="D523" s="141">
        <f>IF(OR($A523="",ISERROR(VALUE(LEFT($A523,6)))),"",IF(LEN($A523)=2,SUMIF($A524:$A$2965,$A523&amp;"??",$D524:$D$2965),IF(AND(LEN($A523)=4,VALUE(RIGHT($A523,2))&lt;=60),SUMIF($A524:$A$2965,$A523&amp;"????",$D524:$D$2965),VLOOKUP(IF(LEN($A523)=4,$A523&amp;"01 1",$A523),GUS_tabl_21!$A$5:$F$4886,6,FALSE))))</f>
        <v>18230</v>
      </c>
      <c r="E523" s="29"/>
    </row>
    <row r="524" spans="1:5" ht="12" customHeight="1">
      <c r="A524" s="155" t="str">
        <f>"061106 2"</f>
        <v>061106 2</v>
      </c>
      <c r="B524" s="153" t="s">
        <v>57</v>
      </c>
      <c r="C524" s="156" t="str">
        <f>IF(OR($A524="",ISERROR(VALUE(LEFT($A524,6)))),"",IF(LEN($A524)=2,"WOJ. ",IF(LEN($A524)=4,IF(VALUE(RIGHT($A524,2))&gt;60,"","Powiat "),IF(VALUE(RIGHT($A524,1))=1,"m. ",IF(VALUE(RIGHT($A524,1))=2,"gm. w. ",IF(VALUE(RIGHT($A524,1))=8,"dz. ","gm. m.-w. ")))))&amp;IF(LEN($A524)=2,TRIM(UPPER(VLOOKUP($A524,GUS_tabl_1!$A$7:$B$22,2,FALSE))),IF(ISERROR(FIND("..",TRIM(VLOOKUP(IF(AND(LEN($A524)=4,VALUE(RIGHT($A524,2))&gt;60),$A524&amp;"01 1",$A524),IF(AND(LEN($A524)=4,VALUE(RIGHT($A524,2))&lt;60),GUS_tabl_2!$A$8:$B$464,GUS_tabl_21!$A$5:$B$4886),2,FALSE)))),TRIM(VLOOKUP(IF(AND(LEN($A524)=4,VALUE(RIGHT($A524,2))&gt;60),$A524&amp;"01 1",$A524),IF(AND(LEN($A524)=4,VALUE(RIGHT($A524,2))&lt;60),GUS_tabl_2!$A$8:$B$464,GUS_tabl_21!$A$5:$B$4886),2,FALSE)),LEFT(TRIM(VLOOKUP(IF(AND(LEN($A524)=4,VALUE(RIGHT($A524,2))&gt;60),$A524&amp;"01 1",$A524),IF(AND(LEN($A524)=4,VALUE(RIGHT($A524,2))&lt;60),GUS_tabl_2!$A$8:$B$464,GUS_tabl_21!$A$5:$B$4886),2,FALSE)),SUM(FIND("..",TRIM(VLOOKUP(IF(AND(LEN($A524)=4,VALUE(RIGHT($A524,2))&gt;60),$A524&amp;"01 1",$A524),IF(AND(LEN($A524)=4,VALUE(RIGHT($A524,2))&lt;60),GUS_tabl_2!$A$8:$B$464,GUS_tabl_21!$A$5:$B$4886),2,FALSE))),-1)))))</f>
        <v>gm. w. Serokomla</v>
      </c>
      <c r="D524" s="141">
        <f>IF(OR($A524="",ISERROR(VALUE(LEFT($A524,6)))),"",IF(LEN($A524)=2,SUMIF($A525:$A$2965,$A524&amp;"??",$D525:$D$2965),IF(AND(LEN($A524)=4,VALUE(RIGHT($A524,2))&lt;=60),SUMIF($A525:$A$2965,$A524&amp;"????",$D525:$D$2965),VLOOKUP(IF(LEN($A524)=4,$A524&amp;"01 1",$A524),GUS_tabl_21!$A$5:$F$4886,6,FALSE))))</f>
        <v>3940</v>
      </c>
      <c r="E524" s="29"/>
    </row>
    <row r="525" spans="1:5" ht="12" customHeight="1">
      <c r="A525" s="155" t="str">
        <f>"061107 2"</f>
        <v>061107 2</v>
      </c>
      <c r="B525" s="153" t="s">
        <v>57</v>
      </c>
      <c r="C525" s="156" t="str">
        <f>IF(OR($A525="",ISERROR(VALUE(LEFT($A525,6)))),"",IF(LEN($A525)=2,"WOJ. ",IF(LEN($A525)=4,IF(VALUE(RIGHT($A525,2))&gt;60,"","Powiat "),IF(VALUE(RIGHT($A525,1))=1,"m. ",IF(VALUE(RIGHT($A525,1))=2,"gm. w. ",IF(VALUE(RIGHT($A525,1))=8,"dz. ","gm. m.-w. ")))))&amp;IF(LEN($A525)=2,TRIM(UPPER(VLOOKUP($A525,GUS_tabl_1!$A$7:$B$22,2,FALSE))),IF(ISERROR(FIND("..",TRIM(VLOOKUP(IF(AND(LEN($A525)=4,VALUE(RIGHT($A525,2))&gt;60),$A525&amp;"01 1",$A525),IF(AND(LEN($A525)=4,VALUE(RIGHT($A525,2))&lt;60),GUS_tabl_2!$A$8:$B$464,GUS_tabl_21!$A$5:$B$4886),2,FALSE)))),TRIM(VLOOKUP(IF(AND(LEN($A525)=4,VALUE(RIGHT($A525,2))&gt;60),$A525&amp;"01 1",$A525),IF(AND(LEN($A525)=4,VALUE(RIGHT($A525,2))&lt;60),GUS_tabl_2!$A$8:$B$464,GUS_tabl_21!$A$5:$B$4886),2,FALSE)),LEFT(TRIM(VLOOKUP(IF(AND(LEN($A525)=4,VALUE(RIGHT($A525,2))&gt;60),$A525&amp;"01 1",$A525),IF(AND(LEN($A525)=4,VALUE(RIGHT($A525,2))&lt;60),GUS_tabl_2!$A$8:$B$464,GUS_tabl_21!$A$5:$B$4886),2,FALSE)),SUM(FIND("..",TRIM(VLOOKUP(IF(AND(LEN($A525)=4,VALUE(RIGHT($A525,2))&gt;60),$A525&amp;"01 1",$A525),IF(AND(LEN($A525)=4,VALUE(RIGHT($A525,2))&lt;60),GUS_tabl_2!$A$8:$B$464,GUS_tabl_21!$A$5:$B$4886),2,FALSE))),-1)))))</f>
        <v>gm. w. Stanin</v>
      </c>
      <c r="D525" s="141">
        <f>IF(OR($A525="",ISERROR(VALUE(LEFT($A525,6)))),"",IF(LEN($A525)=2,SUMIF($A526:$A$2965,$A525&amp;"??",$D526:$D$2965),IF(AND(LEN($A525)=4,VALUE(RIGHT($A525,2))&lt;=60),SUMIF($A526:$A$2965,$A525&amp;"????",$D526:$D$2965),VLOOKUP(IF(LEN($A525)=4,$A525&amp;"01 1",$A525),GUS_tabl_21!$A$5:$F$4886,6,FALSE))))</f>
        <v>9729</v>
      </c>
      <c r="E525" s="29"/>
    </row>
    <row r="526" spans="1:5" ht="12" customHeight="1">
      <c r="A526" s="155" t="str">
        <f>"061108 2"</f>
        <v>061108 2</v>
      </c>
      <c r="B526" s="153" t="s">
        <v>57</v>
      </c>
      <c r="C526" s="156" t="str">
        <f>IF(OR($A526="",ISERROR(VALUE(LEFT($A526,6)))),"",IF(LEN($A526)=2,"WOJ. ",IF(LEN($A526)=4,IF(VALUE(RIGHT($A526,2))&gt;60,"","Powiat "),IF(VALUE(RIGHT($A526,1))=1,"m. ",IF(VALUE(RIGHT($A526,1))=2,"gm. w. ",IF(VALUE(RIGHT($A526,1))=8,"dz. ","gm. m.-w. ")))))&amp;IF(LEN($A526)=2,TRIM(UPPER(VLOOKUP($A526,GUS_tabl_1!$A$7:$B$22,2,FALSE))),IF(ISERROR(FIND("..",TRIM(VLOOKUP(IF(AND(LEN($A526)=4,VALUE(RIGHT($A526,2))&gt;60),$A526&amp;"01 1",$A526),IF(AND(LEN($A526)=4,VALUE(RIGHT($A526,2))&lt;60),GUS_tabl_2!$A$8:$B$464,GUS_tabl_21!$A$5:$B$4886),2,FALSE)))),TRIM(VLOOKUP(IF(AND(LEN($A526)=4,VALUE(RIGHT($A526,2))&gt;60),$A526&amp;"01 1",$A526),IF(AND(LEN($A526)=4,VALUE(RIGHT($A526,2))&lt;60),GUS_tabl_2!$A$8:$B$464,GUS_tabl_21!$A$5:$B$4886),2,FALSE)),LEFT(TRIM(VLOOKUP(IF(AND(LEN($A526)=4,VALUE(RIGHT($A526,2))&gt;60),$A526&amp;"01 1",$A526),IF(AND(LEN($A526)=4,VALUE(RIGHT($A526,2))&lt;60),GUS_tabl_2!$A$8:$B$464,GUS_tabl_21!$A$5:$B$4886),2,FALSE)),SUM(FIND("..",TRIM(VLOOKUP(IF(AND(LEN($A526)=4,VALUE(RIGHT($A526,2))&gt;60),$A526&amp;"01 1",$A526),IF(AND(LEN($A526)=4,VALUE(RIGHT($A526,2))&lt;60),GUS_tabl_2!$A$8:$B$464,GUS_tabl_21!$A$5:$B$4886),2,FALSE))),-1)))))</f>
        <v>gm. w. Stoczek Łukowski</v>
      </c>
      <c r="D526" s="141">
        <f>IF(OR($A526="",ISERROR(VALUE(LEFT($A526,6)))),"",IF(LEN($A526)=2,SUMIF($A527:$A$2965,$A526&amp;"??",$D527:$D$2965),IF(AND(LEN($A526)=4,VALUE(RIGHT($A526,2))&lt;=60),SUMIF($A527:$A$2965,$A526&amp;"????",$D527:$D$2965),VLOOKUP(IF(LEN($A526)=4,$A526&amp;"01 1",$A526),GUS_tabl_21!$A$5:$F$4886,6,FALSE))))</f>
        <v>7793</v>
      </c>
      <c r="E526" s="29"/>
    </row>
    <row r="527" spans="1:5" ht="12" customHeight="1">
      <c r="A527" s="155" t="str">
        <f>"061109 2"</f>
        <v>061109 2</v>
      </c>
      <c r="B527" s="153" t="s">
        <v>57</v>
      </c>
      <c r="C527" s="156" t="str">
        <f>IF(OR($A527="",ISERROR(VALUE(LEFT($A527,6)))),"",IF(LEN($A527)=2,"WOJ. ",IF(LEN($A527)=4,IF(VALUE(RIGHT($A527,2))&gt;60,"","Powiat "),IF(VALUE(RIGHT($A527,1))=1,"m. ",IF(VALUE(RIGHT($A527,1))=2,"gm. w. ",IF(VALUE(RIGHT($A527,1))=8,"dz. ","gm. m.-w. ")))))&amp;IF(LEN($A527)=2,TRIM(UPPER(VLOOKUP($A527,GUS_tabl_1!$A$7:$B$22,2,FALSE))),IF(ISERROR(FIND("..",TRIM(VLOOKUP(IF(AND(LEN($A527)=4,VALUE(RIGHT($A527,2))&gt;60),$A527&amp;"01 1",$A527),IF(AND(LEN($A527)=4,VALUE(RIGHT($A527,2))&lt;60),GUS_tabl_2!$A$8:$B$464,GUS_tabl_21!$A$5:$B$4886),2,FALSE)))),TRIM(VLOOKUP(IF(AND(LEN($A527)=4,VALUE(RIGHT($A527,2))&gt;60),$A527&amp;"01 1",$A527),IF(AND(LEN($A527)=4,VALUE(RIGHT($A527,2))&lt;60),GUS_tabl_2!$A$8:$B$464,GUS_tabl_21!$A$5:$B$4886),2,FALSE)),LEFT(TRIM(VLOOKUP(IF(AND(LEN($A527)=4,VALUE(RIGHT($A527,2))&gt;60),$A527&amp;"01 1",$A527),IF(AND(LEN($A527)=4,VALUE(RIGHT($A527,2))&lt;60),GUS_tabl_2!$A$8:$B$464,GUS_tabl_21!$A$5:$B$4886),2,FALSE)),SUM(FIND("..",TRIM(VLOOKUP(IF(AND(LEN($A527)=4,VALUE(RIGHT($A527,2))&gt;60),$A527&amp;"01 1",$A527),IF(AND(LEN($A527)=4,VALUE(RIGHT($A527,2))&lt;60),GUS_tabl_2!$A$8:$B$464,GUS_tabl_21!$A$5:$B$4886),2,FALSE))),-1)))))</f>
        <v>gm. w. Trzebieszów</v>
      </c>
      <c r="D527" s="141">
        <f>IF(OR($A527="",ISERROR(VALUE(LEFT($A527,6)))),"",IF(LEN($A527)=2,SUMIF($A528:$A$2965,$A527&amp;"??",$D528:$D$2965),IF(AND(LEN($A527)=4,VALUE(RIGHT($A527,2))&lt;=60),SUMIF($A528:$A$2965,$A527&amp;"????",$D528:$D$2965),VLOOKUP(IF(LEN($A527)=4,$A527&amp;"01 1",$A527),GUS_tabl_21!$A$5:$F$4886,6,FALSE))))</f>
        <v>7352</v>
      </c>
      <c r="E527" s="29"/>
    </row>
    <row r="528" spans="1:5" ht="12" customHeight="1">
      <c r="A528" s="155" t="str">
        <f>"061110 2"</f>
        <v>061110 2</v>
      </c>
      <c r="B528" s="153" t="s">
        <v>57</v>
      </c>
      <c r="C528" s="156" t="str">
        <f>IF(OR($A528="",ISERROR(VALUE(LEFT($A528,6)))),"",IF(LEN($A528)=2,"WOJ. ",IF(LEN($A528)=4,IF(VALUE(RIGHT($A528,2))&gt;60,"","Powiat "),IF(VALUE(RIGHT($A528,1))=1,"m. ",IF(VALUE(RIGHT($A528,1))=2,"gm. w. ",IF(VALUE(RIGHT($A528,1))=8,"dz. ","gm. m.-w. ")))))&amp;IF(LEN($A528)=2,TRIM(UPPER(VLOOKUP($A528,GUS_tabl_1!$A$7:$B$22,2,FALSE))),IF(ISERROR(FIND("..",TRIM(VLOOKUP(IF(AND(LEN($A528)=4,VALUE(RIGHT($A528,2))&gt;60),$A528&amp;"01 1",$A528),IF(AND(LEN($A528)=4,VALUE(RIGHT($A528,2))&lt;60),GUS_tabl_2!$A$8:$B$464,GUS_tabl_21!$A$5:$B$4886),2,FALSE)))),TRIM(VLOOKUP(IF(AND(LEN($A528)=4,VALUE(RIGHT($A528,2))&gt;60),$A528&amp;"01 1",$A528),IF(AND(LEN($A528)=4,VALUE(RIGHT($A528,2))&lt;60),GUS_tabl_2!$A$8:$B$464,GUS_tabl_21!$A$5:$B$4886),2,FALSE)),LEFT(TRIM(VLOOKUP(IF(AND(LEN($A528)=4,VALUE(RIGHT($A528,2))&gt;60),$A528&amp;"01 1",$A528),IF(AND(LEN($A528)=4,VALUE(RIGHT($A528,2))&lt;60),GUS_tabl_2!$A$8:$B$464,GUS_tabl_21!$A$5:$B$4886),2,FALSE)),SUM(FIND("..",TRIM(VLOOKUP(IF(AND(LEN($A528)=4,VALUE(RIGHT($A528,2))&gt;60),$A528&amp;"01 1",$A528),IF(AND(LEN($A528)=4,VALUE(RIGHT($A528,2))&lt;60),GUS_tabl_2!$A$8:$B$464,GUS_tabl_21!$A$5:$B$4886),2,FALSE))),-1)))))</f>
        <v>gm. w. Wojcieszków</v>
      </c>
      <c r="D528" s="141">
        <f>IF(OR($A528="",ISERROR(VALUE(LEFT($A528,6)))),"",IF(LEN($A528)=2,SUMIF($A529:$A$2965,$A528&amp;"??",$D529:$D$2965),IF(AND(LEN($A528)=4,VALUE(RIGHT($A528,2))&lt;=60),SUMIF($A529:$A$2965,$A528&amp;"????",$D529:$D$2965),VLOOKUP(IF(LEN($A528)=4,$A528&amp;"01 1",$A528),GUS_tabl_21!$A$5:$F$4886,6,FALSE))))</f>
        <v>6850</v>
      </c>
      <c r="E528" s="29"/>
    </row>
    <row r="529" spans="1:5" ht="12" customHeight="1">
      <c r="A529" s="155" t="str">
        <f>"061111 2"</f>
        <v>061111 2</v>
      </c>
      <c r="B529" s="153" t="s">
        <v>57</v>
      </c>
      <c r="C529" s="156" t="str">
        <f>IF(OR($A529="",ISERROR(VALUE(LEFT($A529,6)))),"",IF(LEN($A529)=2,"WOJ. ",IF(LEN($A529)=4,IF(VALUE(RIGHT($A529,2))&gt;60,"","Powiat "),IF(VALUE(RIGHT($A529,1))=1,"m. ",IF(VALUE(RIGHT($A529,1))=2,"gm. w. ",IF(VALUE(RIGHT($A529,1))=8,"dz. ","gm. m.-w. ")))))&amp;IF(LEN($A529)=2,TRIM(UPPER(VLOOKUP($A529,GUS_tabl_1!$A$7:$B$22,2,FALSE))),IF(ISERROR(FIND("..",TRIM(VLOOKUP(IF(AND(LEN($A529)=4,VALUE(RIGHT($A529,2))&gt;60),$A529&amp;"01 1",$A529),IF(AND(LEN($A529)=4,VALUE(RIGHT($A529,2))&lt;60),GUS_tabl_2!$A$8:$B$464,GUS_tabl_21!$A$5:$B$4886),2,FALSE)))),TRIM(VLOOKUP(IF(AND(LEN($A529)=4,VALUE(RIGHT($A529,2))&gt;60),$A529&amp;"01 1",$A529),IF(AND(LEN($A529)=4,VALUE(RIGHT($A529,2))&lt;60),GUS_tabl_2!$A$8:$B$464,GUS_tabl_21!$A$5:$B$4886),2,FALSE)),LEFT(TRIM(VLOOKUP(IF(AND(LEN($A529)=4,VALUE(RIGHT($A529,2))&gt;60),$A529&amp;"01 1",$A529),IF(AND(LEN($A529)=4,VALUE(RIGHT($A529,2))&lt;60),GUS_tabl_2!$A$8:$B$464,GUS_tabl_21!$A$5:$B$4886),2,FALSE)),SUM(FIND("..",TRIM(VLOOKUP(IF(AND(LEN($A529)=4,VALUE(RIGHT($A529,2))&gt;60),$A529&amp;"01 1",$A529),IF(AND(LEN($A529)=4,VALUE(RIGHT($A529,2))&lt;60),GUS_tabl_2!$A$8:$B$464,GUS_tabl_21!$A$5:$B$4886),2,FALSE))),-1)))))</f>
        <v>gm. w. Wola Mysłowska</v>
      </c>
      <c r="D529" s="141">
        <f>IF(OR($A529="",ISERROR(VALUE(LEFT($A529,6)))),"",IF(LEN($A529)=2,SUMIF($A530:$A$2965,$A529&amp;"??",$D530:$D$2965),IF(AND(LEN($A529)=4,VALUE(RIGHT($A529,2))&lt;=60),SUMIF($A530:$A$2965,$A529&amp;"????",$D530:$D$2965),VLOOKUP(IF(LEN($A529)=4,$A529&amp;"01 1",$A529),GUS_tabl_21!$A$5:$F$4886,6,FALSE))))</f>
        <v>4649</v>
      </c>
      <c r="E529" s="29"/>
    </row>
    <row r="530" spans="1:5" ht="12" customHeight="1">
      <c r="A530" s="152" t="str">
        <f>"0612"</f>
        <v>0612</v>
      </c>
      <c r="B530" s="153" t="s">
        <v>57</v>
      </c>
      <c r="C530" s="154" t="str">
        <f>IF(OR($A530="",ISERROR(VALUE(LEFT($A530,6)))),"",IF(LEN($A530)=2,"WOJ. ",IF(LEN($A530)=4,IF(VALUE(RIGHT($A530,2))&gt;60,"","Powiat "),IF(VALUE(RIGHT($A530,1))=1,"m. ",IF(VALUE(RIGHT($A530,1))=2,"gm. w. ",IF(VALUE(RIGHT($A530,1))=8,"dz. ","gm. m.-w. ")))))&amp;IF(LEN($A530)=2,TRIM(UPPER(VLOOKUP($A530,GUS_tabl_1!$A$7:$B$22,2,FALSE))),IF(ISERROR(FIND("..",TRIM(VLOOKUP(IF(AND(LEN($A530)=4,VALUE(RIGHT($A530,2))&gt;60),$A530&amp;"01 1",$A530),IF(AND(LEN($A530)=4,VALUE(RIGHT($A530,2))&lt;60),GUS_tabl_2!$A$8:$B$464,GUS_tabl_21!$A$5:$B$4886),2,FALSE)))),TRIM(VLOOKUP(IF(AND(LEN($A530)=4,VALUE(RIGHT($A530,2))&gt;60),$A530&amp;"01 1",$A530),IF(AND(LEN($A530)=4,VALUE(RIGHT($A530,2))&lt;60),GUS_tabl_2!$A$8:$B$464,GUS_tabl_21!$A$5:$B$4886),2,FALSE)),LEFT(TRIM(VLOOKUP(IF(AND(LEN($A530)=4,VALUE(RIGHT($A530,2))&gt;60),$A530&amp;"01 1",$A530),IF(AND(LEN($A530)=4,VALUE(RIGHT($A530,2))&lt;60),GUS_tabl_2!$A$8:$B$464,GUS_tabl_21!$A$5:$B$4886),2,FALSE)),SUM(FIND("..",TRIM(VLOOKUP(IF(AND(LEN($A530)=4,VALUE(RIGHT($A530,2))&gt;60),$A530&amp;"01 1",$A530),IF(AND(LEN($A530)=4,VALUE(RIGHT($A530,2))&lt;60),GUS_tabl_2!$A$8:$B$464,GUS_tabl_21!$A$5:$B$4886),2,FALSE))),-1)))))</f>
        <v>Powiat opolski</v>
      </c>
      <c r="D530" s="140">
        <f>IF(OR($A530="",ISERROR(VALUE(LEFT($A530,6)))),"",IF(LEN($A530)=2,SUMIF($A531:$A$2965,$A530&amp;"??",$D531:$D$2965),IF(AND(LEN($A530)=4,VALUE(RIGHT($A530,2))&lt;=60),SUMIF($A531:$A$2965,$A530&amp;"????",$D531:$D$2965),VLOOKUP(IF(LEN($A530)=4,$A530&amp;"01 1",$A530),GUS_tabl_21!$A$5:$F$4886,6,FALSE))))</f>
        <v>59208</v>
      </c>
      <c r="E530" s="29"/>
    </row>
    <row r="531" spans="1:5" ht="12" customHeight="1">
      <c r="A531" s="155" t="str">
        <f>"061201 2"</f>
        <v>061201 2</v>
      </c>
      <c r="B531" s="153" t="s">
        <v>57</v>
      </c>
      <c r="C531" s="156" t="str">
        <f>IF(OR($A531="",ISERROR(VALUE(LEFT($A531,6)))),"",IF(LEN($A531)=2,"WOJ. ",IF(LEN($A531)=4,IF(VALUE(RIGHT($A531,2))&gt;60,"","Powiat "),IF(VALUE(RIGHT($A531,1))=1,"m. ",IF(VALUE(RIGHT($A531,1))=2,"gm. w. ",IF(VALUE(RIGHT($A531,1))=8,"dz. ","gm. m.-w. ")))))&amp;IF(LEN($A531)=2,TRIM(UPPER(VLOOKUP($A531,GUS_tabl_1!$A$7:$B$22,2,FALSE))),IF(ISERROR(FIND("..",TRIM(VLOOKUP(IF(AND(LEN($A531)=4,VALUE(RIGHT($A531,2))&gt;60),$A531&amp;"01 1",$A531),IF(AND(LEN($A531)=4,VALUE(RIGHT($A531,2))&lt;60),GUS_tabl_2!$A$8:$B$464,GUS_tabl_21!$A$5:$B$4886),2,FALSE)))),TRIM(VLOOKUP(IF(AND(LEN($A531)=4,VALUE(RIGHT($A531,2))&gt;60),$A531&amp;"01 1",$A531),IF(AND(LEN($A531)=4,VALUE(RIGHT($A531,2))&lt;60),GUS_tabl_2!$A$8:$B$464,GUS_tabl_21!$A$5:$B$4886),2,FALSE)),LEFT(TRIM(VLOOKUP(IF(AND(LEN($A531)=4,VALUE(RIGHT($A531,2))&gt;60),$A531&amp;"01 1",$A531),IF(AND(LEN($A531)=4,VALUE(RIGHT($A531,2))&lt;60),GUS_tabl_2!$A$8:$B$464,GUS_tabl_21!$A$5:$B$4886),2,FALSE)),SUM(FIND("..",TRIM(VLOOKUP(IF(AND(LEN($A531)=4,VALUE(RIGHT($A531,2))&gt;60),$A531&amp;"01 1",$A531),IF(AND(LEN($A531)=4,VALUE(RIGHT($A531,2))&lt;60),GUS_tabl_2!$A$8:$B$464,GUS_tabl_21!$A$5:$B$4886),2,FALSE))),-1)))))</f>
        <v>gm. w. Chodel</v>
      </c>
      <c r="D531" s="141">
        <f>IF(OR($A531="",ISERROR(VALUE(LEFT($A531,6)))),"",IF(LEN($A531)=2,SUMIF($A532:$A$2965,$A531&amp;"??",$D532:$D$2965),IF(AND(LEN($A531)=4,VALUE(RIGHT($A531,2))&lt;=60),SUMIF($A532:$A$2965,$A531&amp;"????",$D532:$D$2965),VLOOKUP(IF(LEN($A531)=4,$A531&amp;"01 1",$A531),GUS_tabl_21!$A$5:$F$4886,6,FALSE))))</f>
        <v>6565</v>
      </c>
      <c r="E531" s="29"/>
    </row>
    <row r="532" spans="1:5" ht="12" customHeight="1">
      <c r="A532" s="155" t="str">
        <f>"061202 3"</f>
        <v>061202 3</v>
      </c>
      <c r="B532" s="153" t="s">
        <v>57</v>
      </c>
      <c r="C532" s="156" t="str">
        <f>IF(OR($A532="",ISERROR(VALUE(LEFT($A532,6)))),"",IF(LEN($A532)=2,"WOJ. ",IF(LEN($A532)=4,IF(VALUE(RIGHT($A532,2))&gt;60,"","Powiat "),IF(VALUE(RIGHT($A532,1))=1,"m. ",IF(VALUE(RIGHT($A532,1))=2,"gm. w. ",IF(VALUE(RIGHT($A532,1))=8,"dz. ","gm. m.-w. ")))))&amp;IF(LEN($A532)=2,TRIM(UPPER(VLOOKUP($A532,GUS_tabl_1!$A$7:$B$22,2,FALSE))),IF(ISERROR(FIND("..",TRIM(VLOOKUP(IF(AND(LEN($A532)=4,VALUE(RIGHT($A532,2))&gt;60),$A532&amp;"01 1",$A532),IF(AND(LEN($A532)=4,VALUE(RIGHT($A532,2))&lt;60),GUS_tabl_2!$A$8:$B$464,GUS_tabl_21!$A$5:$B$4886),2,FALSE)))),TRIM(VLOOKUP(IF(AND(LEN($A532)=4,VALUE(RIGHT($A532,2))&gt;60),$A532&amp;"01 1",$A532),IF(AND(LEN($A532)=4,VALUE(RIGHT($A532,2))&lt;60),GUS_tabl_2!$A$8:$B$464,GUS_tabl_21!$A$5:$B$4886),2,FALSE)),LEFT(TRIM(VLOOKUP(IF(AND(LEN($A532)=4,VALUE(RIGHT($A532,2))&gt;60),$A532&amp;"01 1",$A532),IF(AND(LEN($A532)=4,VALUE(RIGHT($A532,2))&lt;60),GUS_tabl_2!$A$8:$B$464,GUS_tabl_21!$A$5:$B$4886),2,FALSE)),SUM(FIND("..",TRIM(VLOOKUP(IF(AND(LEN($A532)=4,VALUE(RIGHT($A532,2))&gt;60),$A532&amp;"01 1",$A532),IF(AND(LEN($A532)=4,VALUE(RIGHT($A532,2))&lt;60),GUS_tabl_2!$A$8:$B$464,GUS_tabl_21!$A$5:$B$4886),2,FALSE))),-1)))))</f>
        <v>gm. m.-w. Józefów nad Wisłą</v>
      </c>
      <c r="D532" s="141">
        <f>IF(OR($A532="",ISERROR(VALUE(LEFT($A532,6)))),"",IF(LEN($A532)=2,SUMIF($A533:$A$2965,$A532&amp;"??",$D533:$D$2965),IF(AND(LEN($A532)=4,VALUE(RIGHT($A532,2))&lt;=60),SUMIF($A533:$A$2965,$A532&amp;"????",$D533:$D$2965),VLOOKUP(IF(LEN($A532)=4,$A532&amp;"01 1",$A532),GUS_tabl_21!$A$5:$F$4886,6,FALSE))))</f>
        <v>6515</v>
      </c>
      <c r="E532" s="29"/>
    </row>
    <row r="533" spans="1:5" ht="12" customHeight="1">
      <c r="A533" s="155" t="str">
        <f>"061203 2"</f>
        <v>061203 2</v>
      </c>
      <c r="B533" s="153" t="s">
        <v>57</v>
      </c>
      <c r="C533" s="156" t="str">
        <f>IF(OR($A533="",ISERROR(VALUE(LEFT($A533,6)))),"",IF(LEN($A533)=2,"WOJ. ",IF(LEN($A533)=4,IF(VALUE(RIGHT($A533,2))&gt;60,"","Powiat "),IF(VALUE(RIGHT($A533,1))=1,"m. ",IF(VALUE(RIGHT($A533,1))=2,"gm. w. ",IF(VALUE(RIGHT($A533,1))=8,"dz. ","gm. m.-w. ")))))&amp;IF(LEN($A533)=2,TRIM(UPPER(VLOOKUP($A533,GUS_tabl_1!$A$7:$B$22,2,FALSE))),IF(ISERROR(FIND("..",TRIM(VLOOKUP(IF(AND(LEN($A533)=4,VALUE(RIGHT($A533,2))&gt;60),$A533&amp;"01 1",$A533),IF(AND(LEN($A533)=4,VALUE(RIGHT($A533,2))&lt;60),GUS_tabl_2!$A$8:$B$464,GUS_tabl_21!$A$5:$B$4886),2,FALSE)))),TRIM(VLOOKUP(IF(AND(LEN($A533)=4,VALUE(RIGHT($A533,2))&gt;60),$A533&amp;"01 1",$A533),IF(AND(LEN($A533)=4,VALUE(RIGHT($A533,2))&lt;60),GUS_tabl_2!$A$8:$B$464,GUS_tabl_21!$A$5:$B$4886),2,FALSE)),LEFT(TRIM(VLOOKUP(IF(AND(LEN($A533)=4,VALUE(RIGHT($A533,2))&gt;60),$A533&amp;"01 1",$A533),IF(AND(LEN($A533)=4,VALUE(RIGHT($A533,2))&lt;60),GUS_tabl_2!$A$8:$B$464,GUS_tabl_21!$A$5:$B$4886),2,FALSE)),SUM(FIND("..",TRIM(VLOOKUP(IF(AND(LEN($A533)=4,VALUE(RIGHT($A533,2))&gt;60),$A533&amp;"01 1",$A533),IF(AND(LEN($A533)=4,VALUE(RIGHT($A533,2))&lt;60),GUS_tabl_2!$A$8:$B$464,GUS_tabl_21!$A$5:$B$4886),2,FALSE))),-1)))))</f>
        <v>gm. w. Karczmiska</v>
      </c>
      <c r="D533" s="141">
        <f>IF(OR($A533="",ISERROR(VALUE(LEFT($A533,6)))),"",IF(LEN($A533)=2,SUMIF($A534:$A$2965,$A533&amp;"??",$D534:$D$2965),IF(AND(LEN($A533)=4,VALUE(RIGHT($A533,2))&lt;=60),SUMIF($A534:$A$2965,$A533&amp;"????",$D534:$D$2965),VLOOKUP(IF(LEN($A533)=4,$A533&amp;"01 1",$A533),GUS_tabl_21!$A$5:$F$4886,6,FALSE))))</f>
        <v>5570</v>
      </c>
      <c r="E533" s="29"/>
    </row>
    <row r="534" spans="1:5" ht="12" customHeight="1">
      <c r="A534" s="155" t="str">
        <f>"061204 2"</f>
        <v>061204 2</v>
      </c>
      <c r="B534" s="153" t="s">
        <v>57</v>
      </c>
      <c r="C534" s="156" t="str">
        <f>IF(OR($A534="",ISERROR(VALUE(LEFT($A534,6)))),"",IF(LEN($A534)=2,"WOJ. ",IF(LEN($A534)=4,IF(VALUE(RIGHT($A534,2))&gt;60,"","Powiat "),IF(VALUE(RIGHT($A534,1))=1,"m. ",IF(VALUE(RIGHT($A534,1))=2,"gm. w. ",IF(VALUE(RIGHT($A534,1))=8,"dz. ","gm. m.-w. ")))))&amp;IF(LEN($A534)=2,TRIM(UPPER(VLOOKUP($A534,GUS_tabl_1!$A$7:$B$22,2,FALSE))),IF(ISERROR(FIND("..",TRIM(VLOOKUP(IF(AND(LEN($A534)=4,VALUE(RIGHT($A534,2))&gt;60),$A534&amp;"01 1",$A534),IF(AND(LEN($A534)=4,VALUE(RIGHT($A534,2))&lt;60),GUS_tabl_2!$A$8:$B$464,GUS_tabl_21!$A$5:$B$4886),2,FALSE)))),TRIM(VLOOKUP(IF(AND(LEN($A534)=4,VALUE(RIGHT($A534,2))&gt;60),$A534&amp;"01 1",$A534),IF(AND(LEN($A534)=4,VALUE(RIGHT($A534,2))&lt;60),GUS_tabl_2!$A$8:$B$464,GUS_tabl_21!$A$5:$B$4886),2,FALSE)),LEFT(TRIM(VLOOKUP(IF(AND(LEN($A534)=4,VALUE(RIGHT($A534,2))&gt;60),$A534&amp;"01 1",$A534),IF(AND(LEN($A534)=4,VALUE(RIGHT($A534,2))&lt;60),GUS_tabl_2!$A$8:$B$464,GUS_tabl_21!$A$5:$B$4886),2,FALSE)),SUM(FIND("..",TRIM(VLOOKUP(IF(AND(LEN($A534)=4,VALUE(RIGHT($A534,2))&gt;60),$A534&amp;"01 1",$A534),IF(AND(LEN($A534)=4,VALUE(RIGHT($A534,2))&lt;60),GUS_tabl_2!$A$8:$B$464,GUS_tabl_21!$A$5:$B$4886),2,FALSE))),-1)))))</f>
        <v>gm. w. Łaziska</v>
      </c>
      <c r="D534" s="141">
        <f>IF(OR($A534="",ISERROR(VALUE(LEFT($A534,6)))),"",IF(LEN($A534)=2,SUMIF($A535:$A$2965,$A534&amp;"??",$D535:$D$2965),IF(AND(LEN($A534)=4,VALUE(RIGHT($A534,2))&lt;=60),SUMIF($A535:$A$2965,$A534&amp;"????",$D535:$D$2965),VLOOKUP(IF(LEN($A534)=4,$A534&amp;"01 1",$A534),GUS_tabl_21!$A$5:$F$4886,6,FALSE))))</f>
        <v>4896</v>
      </c>
      <c r="E534" s="29"/>
    </row>
    <row r="535" spans="1:5" ht="12" customHeight="1">
      <c r="A535" s="155" t="str">
        <f>"061205 3"</f>
        <v>061205 3</v>
      </c>
      <c r="B535" s="153" t="s">
        <v>57</v>
      </c>
      <c r="C535" s="156" t="str">
        <f>IF(OR($A535="",ISERROR(VALUE(LEFT($A535,6)))),"",IF(LEN($A535)=2,"WOJ. ",IF(LEN($A535)=4,IF(VALUE(RIGHT($A535,2))&gt;60,"","Powiat "),IF(VALUE(RIGHT($A535,1))=1,"m. ",IF(VALUE(RIGHT($A535,1))=2,"gm. w. ",IF(VALUE(RIGHT($A535,1))=8,"dz. ","gm. m.-w. ")))))&amp;IF(LEN($A535)=2,TRIM(UPPER(VLOOKUP($A535,GUS_tabl_1!$A$7:$B$22,2,FALSE))),IF(ISERROR(FIND("..",TRIM(VLOOKUP(IF(AND(LEN($A535)=4,VALUE(RIGHT($A535,2))&gt;60),$A535&amp;"01 1",$A535),IF(AND(LEN($A535)=4,VALUE(RIGHT($A535,2))&lt;60),GUS_tabl_2!$A$8:$B$464,GUS_tabl_21!$A$5:$B$4886),2,FALSE)))),TRIM(VLOOKUP(IF(AND(LEN($A535)=4,VALUE(RIGHT($A535,2))&gt;60),$A535&amp;"01 1",$A535),IF(AND(LEN($A535)=4,VALUE(RIGHT($A535,2))&lt;60),GUS_tabl_2!$A$8:$B$464,GUS_tabl_21!$A$5:$B$4886),2,FALSE)),LEFT(TRIM(VLOOKUP(IF(AND(LEN($A535)=4,VALUE(RIGHT($A535,2))&gt;60),$A535&amp;"01 1",$A535),IF(AND(LEN($A535)=4,VALUE(RIGHT($A535,2))&lt;60),GUS_tabl_2!$A$8:$B$464,GUS_tabl_21!$A$5:$B$4886),2,FALSE)),SUM(FIND("..",TRIM(VLOOKUP(IF(AND(LEN($A535)=4,VALUE(RIGHT($A535,2))&gt;60),$A535&amp;"01 1",$A535),IF(AND(LEN($A535)=4,VALUE(RIGHT($A535,2))&lt;60),GUS_tabl_2!$A$8:$B$464,GUS_tabl_21!$A$5:$B$4886),2,FALSE))),-1)))))</f>
        <v>gm. m.-w. Opole Lubelskie</v>
      </c>
      <c r="D535" s="141">
        <f>IF(OR($A535="",ISERROR(VALUE(LEFT($A535,6)))),"",IF(LEN($A535)=2,SUMIF($A536:$A$2965,$A535&amp;"??",$D536:$D$2965),IF(AND(LEN($A535)=4,VALUE(RIGHT($A535,2))&lt;=60),SUMIF($A536:$A$2965,$A535&amp;"????",$D536:$D$2965),VLOOKUP(IF(LEN($A535)=4,$A535&amp;"01 1",$A535),GUS_tabl_21!$A$5:$F$4886,6,FALSE))))</f>
        <v>17108</v>
      </c>
      <c r="E535" s="29"/>
    </row>
    <row r="536" spans="1:5" ht="12" customHeight="1">
      <c r="A536" s="155" t="str">
        <f>"061206 3"</f>
        <v>061206 3</v>
      </c>
      <c r="B536" s="153" t="s">
        <v>57</v>
      </c>
      <c r="C536" s="156" t="str">
        <f>IF(OR($A536="",ISERROR(VALUE(LEFT($A536,6)))),"",IF(LEN($A536)=2,"WOJ. ",IF(LEN($A536)=4,IF(VALUE(RIGHT($A536,2))&gt;60,"","Powiat "),IF(VALUE(RIGHT($A536,1))=1,"m. ",IF(VALUE(RIGHT($A536,1))=2,"gm. w. ",IF(VALUE(RIGHT($A536,1))=8,"dz. ","gm. m.-w. ")))))&amp;IF(LEN($A536)=2,TRIM(UPPER(VLOOKUP($A536,GUS_tabl_1!$A$7:$B$22,2,FALSE))),IF(ISERROR(FIND("..",TRIM(VLOOKUP(IF(AND(LEN($A536)=4,VALUE(RIGHT($A536,2))&gt;60),$A536&amp;"01 1",$A536),IF(AND(LEN($A536)=4,VALUE(RIGHT($A536,2))&lt;60),GUS_tabl_2!$A$8:$B$464,GUS_tabl_21!$A$5:$B$4886),2,FALSE)))),TRIM(VLOOKUP(IF(AND(LEN($A536)=4,VALUE(RIGHT($A536,2))&gt;60),$A536&amp;"01 1",$A536),IF(AND(LEN($A536)=4,VALUE(RIGHT($A536,2))&lt;60),GUS_tabl_2!$A$8:$B$464,GUS_tabl_21!$A$5:$B$4886),2,FALSE)),LEFT(TRIM(VLOOKUP(IF(AND(LEN($A536)=4,VALUE(RIGHT($A536,2))&gt;60),$A536&amp;"01 1",$A536),IF(AND(LEN($A536)=4,VALUE(RIGHT($A536,2))&lt;60),GUS_tabl_2!$A$8:$B$464,GUS_tabl_21!$A$5:$B$4886),2,FALSE)),SUM(FIND("..",TRIM(VLOOKUP(IF(AND(LEN($A536)=4,VALUE(RIGHT($A536,2))&gt;60),$A536&amp;"01 1",$A536),IF(AND(LEN($A536)=4,VALUE(RIGHT($A536,2))&lt;60),GUS_tabl_2!$A$8:$B$464,GUS_tabl_21!$A$5:$B$4886),2,FALSE))),-1)))))</f>
        <v>gm. m.-w. Poniatowa</v>
      </c>
      <c r="D536" s="141">
        <f>IF(OR($A536="",ISERROR(VALUE(LEFT($A536,6)))),"",IF(LEN($A536)=2,SUMIF($A537:$A$2965,$A536&amp;"??",$D537:$D$2965),IF(AND(LEN($A536)=4,VALUE(RIGHT($A536,2))&lt;=60),SUMIF($A537:$A$2965,$A536&amp;"????",$D537:$D$2965),VLOOKUP(IF(LEN($A536)=4,$A536&amp;"01 1",$A536),GUS_tabl_21!$A$5:$F$4886,6,FALSE))))</f>
        <v>14149</v>
      </c>
      <c r="E536" s="29"/>
    </row>
    <row r="537" spans="1:5" ht="12" customHeight="1">
      <c r="A537" s="155" t="str">
        <f>"061207 2"</f>
        <v>061207 2</v>
      </c>
      <c r="B537" s="153" t="s">
        <v>57</v>
      </c>
      <c r="C537" s="156" t="str">
        <f>IF(OR($A537="",ISERROR(VALUE(LEFT($A537,6)))),"",IF(LEN($A537)=2,"WOJ. ",IF(LEN($A537)=4,IF(VALUE(RIGHT($A537,2))&gt;60,"","Powiat "),IF(VALUE(RIGHT($A537,1))=1,"m. ",IF(VALUE(RIGHT($A537,1))=2,"gm. w. ",IF(VALUE(RIGHT($A537,1))=8,"dz. ","gm. m.-w. ")))))&amp;IF(LEN($A537)=2,TRIM(UPPER(VLOOKUP($A537,GUS_tabl_1!$A$7:$B$22,2,FALSE))),IF(ISERROR(FIND("..",TRIM(VLOOKUP(IF(AND(LEN($A537)=4,VALUE(RIGHT($A537,2))&gt;60),$A537&amp;"01 1",$A537),IF(AND(LEN($A537)=4,VALUE(RIGHT($A537,2))&lt;60),GUS_tabl_2!$A$8:$B$464,GUS_tabl_21!$A$5:$B$4886),2,FALSE)))),TRIM(VLOOKUP(IF(AND(LEN($A537)=4,VALUE(RIGHT($A537,2))&gt;60),$A537&amp;"01 1",$A537),IF(AND(LEN($A537)=4,VALUE(RIGHT($A537,2))&lt;60),GUS_tabl_2!$A$8:$B$464,GUS_tabl_21!$A$5:$B$4886),2,FALSE)),LEFT(TRIM(VLOOKUP(IF(AND(LEN($A537)=4,VALUE(RIGHT($A537,2))&gt;60),$A537&amp;"01 1",$A537),IF(AND(LEN($A537)=4,VALUE(RIGHT($A537,2))&lt;60),GUS_tabl_2!$A$8:$B$464,GUS_tabl_21!$A$5:$B$4886),2,FALSE)),SUM(FIND("..",TRIM(VLOOKUP(IF(AND(LEN($A537)=4,VALUE(RIGHT($A537,2))&gt;60),$A537&amp;"01 1",$A537),IF(AND(LEN($A537)=4,VALUE(RIGHT($A537,2))&lt;60),GUS_tabl_2!$A$8:$B$464,GUS_tabl_21!$A$5:$B$4886),2,FALSE))),-1)))))</f>
        <v>gm. w. Wilków</v>
      </c>
      <c r="D537" s="141">
        <f>IF(OR($A537="",ISERROR(VALUE(LEFT($A537,6)))),"",IF(LEN($A537)=2,SUMIF($A538:$A$2965,$A537&amp;"??",$D538:$D$2965),IF(AND(LEN($A537)=4,VALUE(RIGHT($A537,2))&lt;=60),SUMIF($A538:$A$2965,$A537&amp;"????",$D538:$D$2965),VLOOKUP(IF(LEN($A537)=4,$A537&amp;"01 1",$A537),GUS_tabl_21!$A$5:$F$4886,6,FALSE))))</f>
        <v>4405</v>
      </c>
      <c r="E537" s="29"/>
    </row>
    <row r="538" spans="1:5" ht="12" customHeight="1">
      <c r="A538" s="152" t="str">
        <f>"0613"</f>
        <v>0613</v>
      </c>
      <c r="B538" s="153" t="s">
        <v>57</v>
      </c>
      <c r="C538" s="154" t="str">
        <f>IF(OR($A538="",ISERROR(VALUE(LEFT($A538,6)))),"",IF(LEN($A538)=2,"WOJ. ",IF(LEN($A538)=4,IF(VALUE(RIGHT($A538,2))&gt;60,"","Powiat "),IF(VALUE(RIGHT($A538,1))=1,"m. ",IF(VALUE(RIGHT($A538,1))=2,"gm. w. ",IF(VALUE(RIGHT($A538,1))=8,"dz. ","gm. m.-w. ")))))&amp;IF(LEN($A538)=2,TRIM(UPPER(VLOOKUP($A538,GUS_tabl_1!$A$7:$B$22,2,FALSE))),IF(ISERROR(FIND("..",TRIM(VLOOKUP(IF(AND(LEN($A538)=4,VALUE(RIGHT($A538,2))&gt;60),$A538&amp;"01 1",$A538),IF(AND(LEN($A538)=4,VALUE(RIGHT($A538,2))&lt;60),GUS_tabl_2!$A$8:$B$464,GUS_tabl_21!$A$5:$B$4886),2,FALSE)))),TRIM(VLOOKUP(IF(AND(LEN($A538)=4,VALUE(RIGHT($A538,2))&gt;60),$A538&amp;"01 1",$A538),IF(AND(LEN($A538)=4,VALUE(RIGHT($A538,2))&lt;60),GUS_tabl_2!$A$8:$B$464,GUS_tabl_21!$A$5:$B$4886),2,FALSE)),LEFT(TRIM(VLOOKUP(IF(AND(LEN($A538)=4,VALUE(RIGHT($A538,2))&gt;60),$A538&amp;"01 1",$A538),IF(AND(LEN($A538)=4,VALUE(RIGHT($A538,2))&lt;60),GUS_tabl_2!$A$8:$B$464,GUS_tabl_21!$A$5:$B$4886),2,FALSE)),SUM(FIND("..",TRIM(VLOOKUP(IF(AND(LEN($A538)=4,VALUE(RIGHT($A538,2))&gt;60),$A538&amp;"01 1",$A538),IF(AND(LEN($A538)=4,VALUE(RIGHT($A538,2))&lt;60),GUS_tabl_2!$A$8:$B$464,GUS_tabl_21!$A$5:$B$4886),2,FALSE))),-1)))))</f>
        <v>Powiat parczewski</v>
      </c>
      <c r="D538" s="140">
        <f>IF(OR($A538="",ISERROR(VALUE(LEFT($A538,6)))),"",IF(LEN($A538)=2,SUMIF($A539:$A$2965,$A538&amp;"??",$D539:$D$2965),IF(AND(LEN($A538)=4,VALUE(RIGHT($A538,2))&lt;=60),SUMIF($A539:$A$2965,$A538&amp;"????",$D539:$D$2965),VLOOKUP(IF(LEN($A538)=4,$A538&amp;"01 1",$A538),GUS_tabl_21!$A$5:$F$4886,6,FALSE))))</f>
        <v>34711</v>
      </c>
      <c r="E538" s="29"/>
    </row>
    <row r="539" spans="1:5" ht="12" customHeight="1">
      <c r="A539" s="155" t="str">
        <f>"061301 2"</f>
        <v>061301 2</v>
      </c>
      <c r="B539" s="153" t="s">
        <v>57</v>
      </c>
      <c r="C539" s="156" t="str">
        <f>IF(OR($A539="",ISERROR(VALUE(LEFT($A539,6)))),"",IF(LEN($A539)=2,"WOJ. ",IF(LEN($A539)=4,IF(VALUE(RIGHT($A539,2))&gt;60,"","Powiat "),IF(VALUE(RIGHT($A539,1))=1,"m. ",IF(VALUE(RIGHT($A539,1))=2,"gm. w. ",IF(VALUE(RIGHT($A539,1))=8,"dz. ","gm. m.-w. ")))))&amp;IF(LEN($A539)=2,TRIM(UPPER(VLOOKUP($A539,GUS_tabl_1!$A$7:$B$22,2,FALSE))),IF(ISERROR(FIND("..",TRIM(VLOOKUP(IF(AND(LEN($A539)=4,VALUE(RIGHT($A539,2))&gt;60),$A539&amp;"01 1",$A539),IF(AND(LEN($A539)=4,VALUE(RIGHT($A539,2))&lt;60),GUS_tabl_2!$A$8:$B$464,GUS_tabl_21!$A$5:$B$4886),2,FALSE)))),TRIM(VLOOKUP(IF(AND(LEN($A539)=4,VALUE(RIGHT($A539,2))&gt;60),$A539&amp;"01 1",$A539),IF(AND(LEN($A539)=4,VALUE(RIGHT($A539,2))&lt;60),GUS_tabl_2!$A$8:$B$464,GUS_tabl_21!$A$5:$B$4886),2,FALSE)),LEFT(TRIM(VLOOKUP(IF(AND(LEN($A539)=4,VALUE(RIGHT($A539,2))&gt;60),$A539&amp;"01 1",$A539),IF(AND(LEN($A539)=4,VALUE(RIGHT($A539,2))&lt;60),GUS_tabl_2!$A$8:$B$464,GUS_tabl_21!$A$5:$B$4886),2,FALSE)),SUM(FIND("..",TRIM(VLOOKUP(IF(AND(LEN($A539)=4,VALUE(RIGHT($A539,2))&gt;60),$A539&amp;"01 1",$A539),IF(AND(LEN($A539)=4,VALUE(RIGHT($A539,2))&lt;60),GUS_tabl_2!$A$8:$B$464,GUS_tabl_21!$A$5:$B$4886),2,FALSE))),-1)))))</f>
        <v>gm. w. Dębowa Kłoda</v>
      </c>
      <c r="D539" s="141">
        <f>IF(OR($A539="",ISERROR(VALUE(LEFT($A539,6)))),"",IF(LEN($A539)=2,SUMIF($A540:$A$2965,$A539&amp;"??",$D540:$D$2965),IF(AND(LEN($A539)=4,VALUE(RIGHT($A539,2))&lt;=60),SUMIF($A540:$A$2965,$A539&amp;"????",$D540:$D$2965),VLOOKUP(IF(LEN($A539)=4,$A539&amp;"01 1",$A539),GUS_tabl_21!$A$5:$F$4886,6,FALSE))))</f>
        <v>3920</v>
      </c>
      <c r="E539" s="29"/>
    </row>
    <row r="540" spans="1:5" ht="12" customHeight="1">
      <c r="A540" s="155" t="str">
        <f>"061302 2"</f>
        <v>061302 2</v>
      </c>
      <c r="B540" s="153" t="s">
        <v>57</v>
      </c>
      <c r="C540" s="156" t="str">
        <f>IF(OR($A540="",ISERROR(VALUE(LEFT($A540,6)))),"",IF(LEN($A540)=2,"WOJ. ",IF(LEN($A540)=4,IF(VALUE(RIGHT($A540,2))&gt;60,"","Powiat "),IF(VALUE(RIGHT($A540,1))=1,"m. ",IF(VALUE(RIGHT($A540,1))=2,"gm. w. ",IF(VALUE(RIGHT($A540,1))=8,"dz. ","gm. m.-w. ")))))&amp;IF(LEN($A540)=2,TRIM(UPPER(VLOOKUP($A540,GUS_tabl_1!$A$7:$B$22,2,FALSE))),IF(ISERROR(FIND("..",TRIM(VLOOKUP(IF(AND(LEN($A540)=4,VALUE(RIGHT($A540,2))&gt;60),$A540&amp;"01 1",$A540),IF(AND(LEN($A540)=4,VALUE(RIGHT($A540,2))&lt;60),GUS_tabl_2!$A$8:$B$464,GUS_tabl_21!$A$5:$B$4886),2,FALSE)))),TRIM(VLOOKUP(IF(AND(LEN($A540)=4,VALUE(RIGHT($A540,2))&gt;60),$A540&amp;"01 1",$A540),IF(AND(LEN($A540)=4,VALUE(RIGHT($A540,2))&lt;60),GUS_tabl_2!$A$8:$B$464,GUS_tabl_21!$A$5:$B$4886),2,FALSE)),LEFT(TRIM(VLOOKUP(IF(AND(LEN($A540)=4,VALUE(RIGHT($A540,2))&gt;60),$A540&amp;"01 1",$A540),IF(AND(LEN($A540)=4,VALUE(RIGHT($A540,2))&lt;60),GUS_tabl_2!$A$8:$B$464,GUS_tabl_21!$A$5:$B$4886),2,FALSE)),SUM(FIND("..",TRIM(VLOOKUP(IF(AND(LEN($A540)=4,VALUE(RIGHT($A540,2))&gt;60),$A540&amp;"01 1",$A540),IF(AND(LEN($A540)=4,VALUE(RIGHT($A540,2))&lt;60),GUS_tabl_2!$A$8:$B$464,GUS_tabl_21!$A$5:$B$4886),2,FALSE))),-1)))))</f>
        <v>gm. w. Jabłoń</v>
      </c>
      <c r="D540" s="141">
        <f>IF(OR($A540="",ISERROR(VALUE(LEFT($A540,6)))),"",IF(LEN($A540)=2,SUMIF($A541:$A$2965,$A540&amp;"??",$D541:$D$2965),IF(AND(LEN($A540)=4,VALUE(RIGHT($A540,2))&lt;=60),SUMIF($A541:$A$2965,$A540&amp;"????",$D541:$D$2965),VLOOKUP(IF(LEN($A540)=4,$A540&amp;"01 1",$A540),GUS_tabl_21!$A$5:$F$4886,6,FALSE))))</f>
        <v>3874</v>
      </c>
      <c r="E540" s="29"/>
    </row>
    <row r="541" spans="1:5" ht="12" customHeight="1">
      <c r="A541" s="155" t="str">
        <f>"061303 2"</f>
        <v>061303 2</v>
      </c>
      <c r="B541" s="153" t="s">
        <v>57</v>
      </c>
      <c r="C541" s="156" t="str">
        <f>IF(OR($A541="",ISERROR(VALUE(LEFT($A541,6)))),"",IF(LEN($A541)=2,"WOJ. ",IF(LEN($A541)=4,IF(VALUE(RIGHT($A541,2))&gt;60,"","Powiat "),IF(VALUE(RIGHT($A541,1))=1,"m. ",IF(VALUE(RIGHT($A541,1))=2,"gm. w. ",IF(VALUE(RIGHT($A541,1))=8,"dz. ","gm. m.-w. ")))))&amp;IF(LEN($A541)=2,TRIM(UPPER(VLOOKUP($A541,GUS_tabl_1!$A$7:$B$22,2,FALSE))),IF(ISERROR(FIND("..",TRIM(VLOOKUP(IF(AND(LEN($A541)=4,VALUE(RIGHT($A541,2))&gt;60),$A541&amp;"01 1",$A541),IF(AND(LEN($A541)=4,VALUE(RIGHT($A541,2))&lt;60),GUS_tabl_2!$A$8:$B$464,GUS_tabl_21!$A$5:$B$4886),2,FALSE)))),TRIM(VLOOKUP(IF(AND(LEN($A541)=4,VALUE(RIGHT($A541,2))&gt;60),$A541&amp;"01 1",$A541),IF(AND(LEN($A541)=4,VALUE(RIGHT($A541,2))&lt;60),GUS_tabl_2!$A$8:$B$464,GUS_tabl_21!$A$5:$B$4886),2,FALSE)),LEFT(TRIM(VLOOKUP(IF(AND(LEN($A541)=4,VALUE(RIGHT($A541,2))&gt;60),$A541&amp;"01 1",$A541),IF(AND(LEN($A541)=4,VALUE(RIGHT($A541,2))&lt;60),GUS_tabl_2!$A$8:$B$464,GUS_tabl_21!$A$5:$B$4886),2,FALSE)),SUM(FIND("..",TRIM(VLOOKUP(IF(AND(LEN($A541)=4,VALUE(RIGHT($A541,2))&gt;60),$A541&amp;"01 1",$A541),IF(AND(LEN($A541)=4,VALUE(RIGHT($A541,2))&lt;60),GUS_tabl_2!$A$8:$B$464,GUS_tabl_21!$A$5:$B$4886),2,FALSE))),-1)))))</f>
        <v>gm. w. Milanów</v>
      </c>
      <c r="D541" s="141">
        <f>IF(OR($A541="",ISERROR(VALUE(LEFT($A541,6)))),"",IF(LEN($A541)=2,SUMIF($A542:$A$2965,$A541&amp;"??",$D542:$D$2965),IF(AND(LEN($A541)=4,VALUE(RIGHT($A541,2))&lt;=60),SUMIF($A542:$A$2965,$A541&amp;"????",$D542:$D$2965),VLOOKUP(IF(LEN($A541)=4,$A541&amp;"01 1",$A541),GUS_tabl_21!$A$5:$F$4886,6,FALSE))))</f>
        <v>3762</v>
      </c>
      <c r="E541" s="29"/>
    </row>
    <row r="542" spans="1:5" ht="12" customHeight="1">
      <c r="A542" s="155" t="str">
        <f>"061304 3"</f>
        <v>061304 3</v>
      </c>
      <c r="B542" s="153" t="s">
        <v>57</v>
      </c>
      <c r="C542" s="156" t="str">
        <f>IF(OR($A542="",ISERROR(VALUE(LEFT($A542,6)))),"",IF(LEN($A542)=2,"WOJ. ",IF(LEN($A542)=4,IF(VALUE(RIGHT($A542,2))&gt;60,"","Powiat "),IF(VALUE(RIGHT($A542,1))=1,"m. ",IF(VALUE(RIGHT($A542,1))=2,"gm. w. ",IF(VALUE(RIGHT($A542,1))=8,"dz. ","gm. m.-w. ")))))&amp;IF(LEN($A542)=2,TRIM(UPPER(VLOOKUP($A542,GUS_tabl_1!$A$7:$B$22,2,FALSE))),IF(ISERROR(FIND("..",TRIM(VLOOKUP(IF(AND(LEN($A542)=4,VALUE(RIGHT($A542,2))&gt;60),$A542&amp;"01 1",$A542),IF(AND(LEN($A542)=4,VALUE(RIGHT($A542,2))&lt;60),GUS_tabl_2!$A$8:$B$464,GUS_tabl_21!$A$5:$B$4886),2,FALSE)))),TRIM(VLOOKUP(IF(AND(LEN($A542)=4,VALUE(RIGHT($A542,2))&gt;60),$A542&amp;"01 1",$A542),IF(AND(LEN($A542)=4,VALUE(RIGHT($A542,2))&lt;60),GUS_tabl_2!$A$8:$B$464,GUS_tabl_21!$A$5:$B$4886),2,FALSE)),LEFT(TRIM(VLOOKUP(IF(AND(LEN($A542)=4,VALUE(RIGHT($A542,2))&gt;60),$A542&amp;"01 1",$A542),IF(AND(LEN($A542)=4,VALUE(RIGHT($A542,2))&lt;60),GUS_tabl_2!$A$8:$B$464,GUS_tabl_21!$A$5:$B$4886),2,FALSE)),SUM(FIND("..",TRIM(VLOOKUP(IF(AND(LEN($A542)=4,VALUE(RIGHT($A542,2))&gt;60),$A542&amp;"01 1",$A542),IF(AND(LEN($A542)=4,VALUE(RIGHT($A542,2))&lt;60),GUS_tabl_2!$A$8:$B$464,GUS_tabl_21!$A$5:$B$4886),2,FALSE))),-1)))))</f>
        <v>gm. m.-w. Parczew</v>
      </c>
      <c r="D542" s="141">
        <f>IF(OR($A542="",ISERROR(VALUE(LEFT($A542,6)))),"",IF(LEN($A542)=2,SUMIF($A543:$A$2965,$A542&amp;"??",$D543:$D$2965),IF(AND(LEN($A542)=4,VALUE(RIGHT($A542,2))&lt;=60),SUMIF($A543:$A$2965,$A542&amp;"????",$D543:$D$2965),VLOOKUP(IF(LEN($A542)=4,$A542&amp;"01 1",$A542),GUS_tabl_21!$A$5:$F$4886,6,FALSE))))</f>
        <v>14445</v>
      </c>
      <c r="E542" s="29"/>
    </row>
    <row r="543" spans="1:5" ht="12" customHeight="1">
      <c r="A543" s="155" t="str">
        <f>"061305 2"</f>
        <v>061305 2</v>
      </c>
      <c r="B543" s="153" t="s">
        <v>57</v>
      </c>
      <c r="C543" s="156" t="str">
        <f>IF(OR($A543="",ISERROR(VALUE(LEFT($A543,6)))),"",IF(LEN($A543)=2,"WOJ. ",IF(LEN($A543)=4,IF(VALUE(RIGHT($A543,2))&gt;60,"","Powiat "),IF(VALUE(RIGHT($A543,1))=1,"m. ",IF(VALUE(RIGHT($A543,1))=2,"gm. w. ",IF(VALUE(RIGHT($A543,1))=8,"dz. ","gm. m.-w. ")))))&amp;IF(LEN($A543)=2,TRIM(UPPER(VLOOKUP($A543,GUS_tabl_1!$A$7:$B$22,2,FALSE))),IF(ISERROR(FIND("..",TRIM(VLOOKUP(IF(AND(LEN($A543)=4,VALUE(RIGHT($A543,2))&gt;60),$A543&amp;"01 1",$A543),IF(AND(LEN($A543)=4,VALUE(RIGHT($A543,2))&lt;60),GUS_tabl_2!$A$8:$B$464,GUS_tabl_21!$A$5:$B$4886),2,FALSE)))),TRIM(VLOOKUP(IF(AND(LEN($A543)=4,VALUE(RIGHT($A543,2))&gt;60),$A543&amp;"01 1",$A543),IF(AND(LEN($A543)=4,VALUE(RIGHT($A543,2))&lt;60),GUS_tabl_2!$A$8:$B$464,GUS_tabl_21!$A$5:$B$4886),2,FALSE)),LEFT(TRIM(VLOOKUP(IF(AND(LEN($A543)=4,VALUE(RIGHT($A543,2))&gt;60),$A543&amp;"01 1",$A543),IF(AND(LEN($A543)=4,VALUE(RIGHT($A543,2))&lt;60),GUS_tabl_2!$A$8:$B$464,GUS_tabl_21!$A$5:$B$4886),2,FALSE)),SUM(FIND("..",TRIM(VLOOKUP(IF(AND(LEN($A543)=4,VALUE(RIGHT($A543,2))&gt;60),$A543&amp;"01 1",$A543),IF(AND(LEN($A543)=4,VALUE(RIGHT($A543,2))&lt;60),GUS_tabl_2!$A$8:$B$464,GUS_tabl_21!$A$5:$B$4886),2,FALSE))),-1)))))</f>
        <v>gm. w. Podedwórze</v>
      </c>
      <c r="D543" s="141">
        <f>IF(OR($A543="",ISERROR(VALUE(LEFT($A543,6)))),"",IF(LEN($A543)=2,SUMIF($A544:$A$2965,$A543&amp;"??",$D544:$D$2965),IF(AND(LEN($A543)=4,VALUE(RIGHT($A543,2))&lt;=60),SUMIF($A544:$A$2965,$A543&amp;"????",$D544:$D$2965),VLOOKUP(IF(LEN($A543)=4,$A543&amp;"01 1",$A543),GUS_tabl_21!$A$5:$F$4886,6,FALSE))))</f>
        <v>1615</v>
      </c>
      <c r="E543" s="29"/>
    </row>
    <row r="544" spans="1:5" ht="12" customHeight="1">
      <c r="A544" s="155" t="str">
        <f>"061306 2"</f>
        <v>061306 2</v>
      </c>
      <c r="B544" s="153" t="s">
        <v>57</v>
      </c>
      <c r="C544" s="156" t="str">
        <f>IF(OR($A544="",ISERROR(VALUE(LEFT($A544,6)))),"",IF(LEN($A544)=2,"WOJ. ",IF(LEN($A544)=4,IF(VALUE(RIGHT($A544,2))&gt;60,"","Powiat "),IF(VALUE(RIGHT($A544,1))=1,"m. ",IF(VALUE(RIGHT($A544,1))=2,"gm. w. ",IF(VALUE(RIGHT($A544,1))=8,"dz. ","gm. m.-w. ")))))&amp;IF(LEN($A544)=2,TRIM(UPPER(VLOOKUP($A544,GUS_tabl_1!$A$7:$B$22,2,FALSE))),IF(ISERROR(FIND("..",TRIM(VLOOKUP(IF(AND(LEN($A544)=4,VALUE(RIGHT($A544,2))&gt;60),$A544&amp;"01 1",$A544),IF(AND(LEN($A544)=4,VALUE(RIGHT($A544,2))&lt;60),GUS_tabl_2!$A$8:$B$464,GUS_tabl_21!$A$5:$B$4886),2,FALSE)))),TRIM(VLOOKUP(IF(AND(LEN($A544)=4,VALUE(RIGHT($A544,2))&gt;60),$A544&amp;"01 1",$A544),IF(AND(LEN($A544)=4,VALUE(RIGHT($A544,2))&lt;60),GUS_tabl_2!$A$8:$B$464,GUS_tabl_21!$A$5:$B$4886),2,FALSE)),LEFT(TRIM(VLOOKUP(IF(AND(LEN($A544)=4,VALUE(RIGHT($A544,2))&gt;60),$A544&amp;"01 1",$A544),IF(AND(LEN($A544)=4,VALUE(RIGHT($A544,2))&lt;60),GUS_tabl_2!$A$8:$B$464,GUS_tabl_21!$A$5:$B$4886),2,FALSE)),SUM(FIND("..",TRIM(VLOOKUP(IF(AND(LEN($A544)=4,VALUE(RIGHT($A544,2))&gt;60),$A544&amp;"01 1",$A544),IF(AND(LEN($A544)=4,VALUE(RIGHT($A544,2))&lt;60),GUS_tabl_2!$A$8:$B$464,GUS_tabl_21!$A$5:$B$4886),2,FALSE))),-1)))))</f>
        <v>gm. w. Siemień</v>
      </c>
      <c r="D544" s="141">
        <f>IF(OR($A544="",ISERROR(VALUE(LEFT($A544,6)))),"",IF(LEN($A544)=2,SUMIF($A545:$A$2965,$A544&amp;"??",$D545:$D$2965),IF(AND(LEN($A544)=4,VALUE(RIGHT($A544,2))&lt;=60),SUMIF($A545:$A$2965,$A544&amp;"????",$D545:$D$2965),VLOOKUP(IF(LEN($A544)=4,$A544&amp;"01 1",$A544),GUS_tabl_21!$A$5:$F$4886,6,FALSE))))</f>
        <v>4516</v>
      </c>
      <c r="E544" s="29"/>
    </row>
    <row r="545" spans="1:5" ht="12" customHeight="1">
      <c r="A545" s="155" t="str">
        <f>"061307 2"</f>
        <v>061307 2</v>
      </c>
      <c r="B545" s="153" t="s">
        <v>57</v>
      </c>
      <c r="C545" s="156" t="str">
        <f>IF(OR($A545="",ISERROR(VALUE(LEFT($A545,6)))),"",IF(LEN($A545)=2,"WOJ. ",IF(LEN($A545)=4,IF(VALUE(RIGHT($A545,2))&gt;60,"","Powiat "),IF(VALUE(RIGHT($A545,1))=1,"m. ",IF(VALUE(RIGHT($A545,1))=2,"gm. w. ",IF(VALUE(RIGHT($A545,1))=8,"dz. ","gm. m.-w. ")))))&amp;IF(LEN($A545)=2,TRIM(UPPER(VLOOKUP($A545,GUS_tabl_1!$A$7:$B$22,2,FALSE))),IF(ISERROR(FIND("..",TRIM(VLOOKUP(IF(AND(LEN($A545)=4,VALUE(RIGHT($A545,2))&gt;60),$A545&amp;"01 1",$A545),IF(AND(LEN($A545)=4,VALUE(RIGHT($A545,2))&lt;60),GUS_tabl_2!$A$8:$B$464,GUS_tabl_21!$A$5:$B$4886),2,FALSE)))),TRIM(VLOOKUP(IF(AND(LEN($A545)=4,VALUE(RIGHT($A545,2))&gt;60),$A545&amp;"01 1",$A545),IF(AND(LEN($A545)=4,VALUE(RIGHT($A545,2))&lt;60),GUS_tabl_2!$A$8:$B$464,GUS_tabl_21!$A$5:$B$4886),2,FALSE)),LEFT(TRIM(VLOOKUP(IF(AND(LEN($A545)=4,VALUE(RIGHT($A545,2))&gt;60),$A545&amp;"01 1",$A545),IF(AND(LEN($A545)=4,VALUE(RIGHT($A545,2))&lt;60),GUS_tabl_2!$A$8:$B$464,GUS_tabl_21!$A$5:$B$4886),2,FALSE)),SUM(FIND("..",TRIM(VLOOKUP(IF(AND(LEN($A545)=4,VALUE(RIGHT($A545,2))&gt;60),$A545&amp;"01 1",$A545),IF(AND(LEN($A545)=4,VALUE(RIGHT($A545,2))&lt;60),GUS_tabl_2!$A$8:$B$464,GUS_tabl_21!$A$5:$B$4886),2,FALSE))),-1)))))</f>
        <v>gm. w. Sosnowica</v>
      </c>
      <c r="D545" s="141">
        <f>IF(OR($A545="",ISERROR(VALUE(LEFT($A545,6)))),"",IF(LEN($A545)=2,SUMIF($A546:$A$2965,$A545&amp;"??",$D546:$D$2965),IF(AND(LEN($A545)=4,VALUE(RIGHT($A545,2))&lt;=60),SUMIF($A546:$A$2965,$A545&amp;"????",$D546:$D$2965),VLOOKUP(IF(LEN($A545)=4,$A545&amp;"01 1",$A545),GUS_tabl_21!$A$5:$F$4886,6,FALSE))))</f>
        <v>2579</v>
      </c>
      <c r="E545" s="29"/>
    </row>
    <row r="546" spans="1:5" ht="12" customHeight="1">
      <c r="A546" s="152" t="str">
        <f>"0614"</f>
        <v>0614</v>
      </c>
      <c r="B546" s="153" t="s">
        <v>57</v>
      </c>
      <c r="C546" s="154" t="str">
        <f>IF(OR($A546="",ISERROR(VALUE(LEFT($A546,6)))),"",IF(LEN($A546)=2,"WOJ. ",IF(LEN($A546)=4,IF(VALUE(RIGHT($A546,2))&gt;60,"","Powiat "),IF(VALUE(RIGHT($A546,1))=1,"m. ",IF(VALUE(RIGHT($A546,1))=2,"gm. w. ",IF(VALUE(RIGHT($A546,1))=8,"dz. ","gm. m.-w. ")))))&amp;IF(LEN($A546)=2,TRIM(UPPER(VLOOKUP($A546,GUS_tabl_1!$A$7:$B$22,2,FALSE))),IF(ISERROR(FIND("..",TRIM(VLOOKUP(IF(AND(LEN($A546)=4,VALUE(RIGHT($A546,2))&gt;60),$A546&amp;"01 1",$A546),IF(AND(LEN($A546)=4,VALUE(RIGHT($A546,2))&lt;60),GUS_tabl_2!$A$8:$B$464,GUS_tabl_21!$A$5:$B$4886),2,FALSE)))),TRIM(VLOOKUP(IF(AND(LEN($A546)=4,VALUE(RIGHT($A546,2))&gt;60),$A546&amp;"01 1",$A546),IF(AND(LEN($A546)=4,VALUE(RIGHT($A546,2))&lt;60),GUS_tabl_2!$A$8:$B$464,GUS_tabl_21!$A$5:$B$4886),2,FALSE)),LEFT(TRIM(VLOOKUP(IF(AND(LEN($A546)=4,VALUE(RIGHT($A546,2))&gt;60),$A546&amp;"01 1",$A546),IF(AND(LEN($A546)=4,VALUE(RIGHT($A546,2))&lt;60),GUS_tabl_2!$A$8:$B$464,GUS_tabl_21!$A$5:$B$4886),2,FALSE)),SUM(FIND("..",TRIM(VLOOKUP(IF(AND(LEN($A546)=4,VALUE(RIGHT($A546,2))&gt;60),$A546&amp;"01 1",$A546),IF(AND(LEN($A546)=4,VALUE(RIGHT($A546,2))&lt;60),GUS_tabl_2!$A$8:$B$464,GUS_tabl_21!$A$5:$B$4886),2,FALSE))),-1)))))</f>
        <v>Powiat puławski</v>
      </c>
      <c r="D546" s="140">
        <f>IF(OR($A546="",ISERROR(VALUE(LEFT($A546,6)))),"",IF(LEN($A546)=2,SUMIF($A547:$A$2965,$A546&amp;"??",$D547:$D$2965),IF(AND(LEN($A546)=4,VALUE(RIGHT($A546,2))&lt;=60),SUMIF($A547:$A$2965,$A546&amp;"????",$D547:$D$2965),VLOOKUP(IF(LEN($A546)=4,$A546&amp;"01 1",$A546),GUS_tabl_21!$A$5:$F$4886,6,FALSE))))</f>
        <v>113173</v>
      </c>
      <c r="E546" s="29"/>
    </row>
    <row r="547" spans="1:5" ht="12" customHeight="1">
      <c r="A547" s="155" t="str">
        <f>"061401 1"</f>
        <v>061401 1</v>
      </c>
      <c r="B547" s="153" t="s">
        <v>57</v>
      </c>
      <c r="C547" s="156" t="str">
        <f>IF(OR($A547="",ISERROR(VALUE(LEFT($A547,6)))),"",IF(LEN($A547)=2,"WOJ. ",IF(LEN($A547)=4,IF(VALUE(RIGHT($A547,2))&gt;60,"","Powiat "),IF(VALUE(RIGHT($A547,1))=1,"m. ",IF(VALUE(RIGHT($A547,1))=2,"gm. w. ",IF(VALUE(RIGHT($A547,1))=8,"dz. ","gm. m.-w. ")))))&amp;IF(LEN($A547)=2,TRIM(UPPER(VLOOKUP($A547,GUS_tabl_1!$A$7:$B$22,2,FALSE))),IF(ISERROR(FIND("..",TRIM(VLOOKUP(IF(AND(LEN($A547)=4,VALUE(RIGHT($A547,2))&gt;60),$A547&amp;"01 1",$A547),IF(AND(LEN($A547)=4,VALUE(RIGHT($A547,2))&lt;60),GUS_tabl_2!$A$8:$B$464,GUS_tabl_21!$A$5:$B$4886),2,FALSE)))),TRIM(VLOOKUP(IF(AND(LEN($A547)=4,VALUE(RIGHT($A547,2))&gt;60),$A547&amp;"01 1",$A547),IF(AND(LEN($A547)=4,VALUE(RIGHT($A547,2))&lt;60),GUS_tabl_2!$A$8:$B$464,GUS_tabl_21!$A$5:$B$4886),2,FALSE)),LEFT(TRIM(VLOOKUP(IF(AND(LEN($A547)=4,VALUE(RIGHT($A547,2))&gt;60),$A547&amp;"01 1",$A547),IF(AND(LEN($A547)=4,VALUE(RIGHT($A547,2))&lt;60),GUS_tabl_2!$A$8:$B$464,GUS_tabl_21!$A$5:$B$4886),2,FALSE)),SUM(FIND("..",TRIM(VLOOKUP(IF(AND(LEN($A547)=4,VALUE(RIGHT($A547,2))&gt;60),$A547&amp;"01 1",$A547),IF(AND(LEN($A547)=4,VALUE(RIGHT($A547,2))&lt;60),GUS_tabl_2!$A$8:$B$464,GUS_tabl_21!$A$5:$B$4886),2,FALSE))),-1)))))</f>
        <v>m. Puławy</v>
      </c>
      <c r="D547" s="141">
        <f>IF(OR($A547="",ISERROR(VALUE(LEFT($A547,6)))),"",IF(LEN($A547)=2,SUMIF($A548:$A$2965,$A547&amp;"??",$D548:$D$2965),IF(AND(LEN($A547)=4,VALUE(RIGHT($A547,2))&lt;=60),SUMIF($A548:$A$2965,$A547&amp;"????",$D548:$D$2965),VLOOKUP(IF(LEN($A547)=4,$A547&amp;"01 1",$A547),GUS_tabl_21!$A$5:$F$4886,6,FALSE))))</f>
        <v>47417</v>
      </c>
      <c r="E547" s="29"/>
    </row>
    <row r="548" spans="1:5" ht="12" customHeight="1">
      <c r="A548" s="155" t="str">
        <f>"061402 2"</f>
        <v>061402 2</v>
      </c>
      <c r="B548" s="153" t="s">
        <v>57</v>
      </c>
      <c r="C548" s="156" t="str">
        <f>IF(OR($A548="",ISERROR(VALUE(LEFT($A548,6)))),"",IF(LEN($A548)=2,"WOJ. ",IF(LEN($A548)=4,IF(VALUE(RIGHT($A548,2))&gt;60,"","Powiat "),IF(VALUE(RIGHT($A548,1))=1,"m. ",IF(VALUE(RIGHT($A548,1))=2,"gm. w. ",IF(VALUE(RIGHT($A548,1))=8,"dz. ","gm. m.-w. ")))))&amp;IF(LEN($A548)=2,TRIM(UPPER(VLOOKUP($A548,GUS_tabl_1!$A$7:$B$22,2,FALSE))),IF(ISERROR(FIND("..",TRIM(VLOOKUP(IF(AND(LEN($A548)=4,VALUE(RIGHT($A548,2))&gt;60),$A548&amp;"01 1",$A548),IF(AND(LEN($A548)=4,VALUE(RIGHT($A548,2))&lt;60),GUS_tabl_2!$A$8:$B$464,GUS_tabl_21!$A$5:$B$4886),2,FALSE)))),TRIM(VLOOKUP(IF(AND(LEN($A548)=4,VALUE(RIGHT($A548,2))&gt;60),$A548&amp;"01 1",$A548),IF(AND(LEN($A548)=4,VALUE(RIGHT($A548,2))&lt;60),GUS_tabl_2!$A$8:$B$464,GUS_tabl_21!$A$5:$B$4886),2,FALSE)),LEFT(TRIM(VLOOKUP(IF(AND(LEN($A548)=4,VALUE(RIGHT($A548,2))&gt;60),$A548&amp;"01 1",$A548),IF(AND(LEN($A548)=4,VALUE(RIGHT($A548,2))&lt;60),GUS_tabl_2!$A$8:$B$464,GUS_tabl_21!$A$5:$B$4886),2,FALSE)),SUM(FIND("..",TRIM(VLOOKUP(IF(AND(LEN($A548)=4,VALUE(RIGHT($A548,2))&gt;60),$A548&amp;"01 1",$A548),IF(AND(LEN($A548)=4,VALUE(RIGHT($A548,2))&lt;60),GUS_tabl_2!$A$8:$B$464,GUS_tabl_21!$A$5:$B$4886),2,FALSE))),-1)))))</f>
        <v>gm. w. Baranów</v>
      </c>
      <c r="D548" s="141">
        <f>IF(OR($A548="",ISERROR(VALUE(LEFT($A548,6)))),"",IF(LEN($A548)=2,SUMIF($A549:$A$2965,$A548&amp;"??",$D549:$D$2965),IF(AND(LEN($A548)=4,VALUE(RIGHT($A548,2))&lt;=60),SUMIF($A549:$A$2965,$A548&amp;"????",$D549:$D$2965),VLOOKUP(IF(LEN($A548)=4,$A548&amp;"01 1",$A548),GUS_tabl_21!$A$5:$F$4886,6,FALSE))))</f>
        <v>3886</v>
      </c>
      <c r="E548" s="29"/>
    </row>
    <row r="549" spans="1:5" ht="12" customHeight="1">
      <c r="A549" s="155" t="str">
        <f>"061403 2"</f>
        <v>061403 2</v>
      </c>
      <c r="B549" s="153" t="s">
        <v>57</v>
      </c>
      <c r="C549" s="156" t="str">
        <f>IF(OR($A549="",ISERROR(VALUE(LEFT($A549,6)))),"",IF(LEN($A549)=2,"WOJ. ",IF(LEN($A549)=4,IF(VALUE(RIGHT($A549,2))&gt;60,"","Powiat "),IF(VALUE(RIGHT($A549,1))=1,"m. ",IF(VALUE(RIGHT($A549,1))=2,"gm. w. ",IF(VALUE(RIGHT($A549,1))=8,"dz. ","gm. m.-w. ")))))&amp;IF(LEN($A549)=2,TRIM(UPPER(VLOOKUP($A549,GUS_tabl_1!$A$7:$B$22,2,FALSE))),IF(ISERROR(FIND("..",TRIM(VLOOKUP(IF(AND(LEN($A549)=4,VALUE(RIGHT($A549,2))&gt;60),$A549&amp;"01 1",$A549),IF(AND(LEN($A549)=4,VALUE(RIGHT($A549,2))&lt;60),GUS_tabl_2!$A$8:$B$464,GUS_tabl_21!$A$5:$B$4886),2,FALSE)))),TRIM(VLOOKUP(IF(AND(LEN($A549)=4,VALUE(RIGHT($A549,2))&gt;60),$A549&amp;"01 1",$A549),IF(AND(LEN($A549)=4,VALUE(RIGHT($A549,2))&lt;60),GUS_tabl_2!$A$8:$B$464,GUS_tabl_21!$A$5:$B$4886),2,FALSE)),LEFT(TRIM(VLOOKUP(IF(AND(LEN($A549)=4,VALUE(RIGHT($A549,2))&gt;60),$A549&amp;"01 1",$A549),IF(AND(LEN($A549)=4,VALUE(RIGHT($A549,2))&lt;60),GUS_tabl_2!$A$8:$B$464,GUS_tabl_21!$A$5:$B$4886),2,FALSE)),SUM(FIND("..",TRIM(VLOOKUP(IF(AND(LEN($A549)=4,VALUE(RIGHT($A549,2))&gt;60),$A549&amp;"01 1",$A549),IF(AND(LEN($A549)=4,VALUE(RIGHT($A549,2))&lt;60),GUS_tabl_2!$A$8:$B$464,GUS_tabl_21!$A$5:$B$4886),2,FALSE))),-1)))))</f>
        <v>gm. w. Janowiec</v>
      </c>
      <c r="D549" s="141">
        <f>IF(OR($A549="",ISERROR(VALUE(LEFT($A549,6)))),"",IF(LEN($A549)=2,SUMIF($A550:$A$2965,$A549&amp;"??",$D550:$D$2965),IF(AND(LEN($A549)=4,VALUE(RIGHT($A549,2))&lt;=60),SUMIF($A550:$A$2965,$A549&amp;"????",$D550:$D$2965),VLOOKUP(IF(LEN($A549)=4,$A549&amp;"01 1",$A549),GUS_tabl_21!$A$5:$F$4886,6,FALSE))))</f>
        <v>3668</v>
      </c>
      <c r="E549" s="29"/>
    </row>
    <row r="550" spans="1:5" ht="12" customHeight="1">
      <c r="A550" s="155" t="str">
        <f>"061404 3"</f>
        <v>061404 3</v>
      </c>
      <c r="B550" s="153" t="s">
        <v>57</v>
      </c>
      <c r="C550" s="156" t="str">
        <f>IF(OR($A550="",ISERROR(VALUE(LEFT($A550,6)))),"",IF(LEN($A550)=2,"WOJ. ",IF(LEN($A550)=4,IF(VALUE(RIGHT($A550,2))&gt;60,"","Powiat "),IF(VALUE(RIGHT($A550,1))=1,"m. ",IF(VALUE(RIGHT($A550,1))=2,"gm. w. ",IF(VALUE(RIGHT($A550,1))=8,"dz. ","gm. m.-w. ")))))&amp;IF(LEN($A550)=2,TRIM(UPPER(VLOOKUP($A550,GUS_tabl_1!$A$7:$B$22,2,FALSE))),IF(ISERROR(FIND("..",TRIM(VLOOKUP(IF(AND(LEN($A550)=4,VALUE(RIGHT($A550,2))&gt;60),$A550&amp;"01 1",$A550),IF(AND(LEN($A550)=4,VALUE(RIGHT($A550,2))&lt;60),GUS_tabl_2!$A$8:$B$464,GUS_tabl_21!$A$5:$B$4886),2,FALSE)))),TRIM(VLOOKUP(IF(AND(LEN($A550)=4,VALUE(RIGHT($A550,2))&gt;60),$A550&amp;"01 1",$A550),IF(AND(LEN($A550)=4,VALUE(RIGHT($A550,2))&lt;60),GUS_tabl_2!$A$8:$B$464,GUS_tabl_21!$A$5:$B$4886),2,FALSE)),LEFT(TRIM(VLOOKUP(IF(AND(LEN($A550)=4,VALUE(RIGHT($A550,2))&gt;60),$A550&amp;"01 1",$A550),IF(AND(LEN($A550)=4,VALUE(RIGHT($A550,2))&lt;60),GUS_tabl_2!$A$8:$B$464,GUS_tabl_21!$A$5:$B$4886),2,FALSE)),SUM(FIND("..",TRIM(VLOOKUP(IF(AND(LEN($A550)=4,VALUE(RIGHT($A550,2))&gt;60),$A550&amp;"01 1",$A550),IF(AND(LEN($A550)=4,VALUE(RIGHT($A550,2))&lt;60),GUS_tabl_2!$A$8:$B$464,GUS_tabl_21!$A$5:$B$4886),2,FALSE))),-1)))))</f>
        <v>gm. m.-w. Kazimierz Dolny</v>
      </c>
      <c r="D550" s="141">
        <f>IF(OR($A550="",ISERROR(VALUE(LEFT($A550,6)))),"",IF(LEN($A550)=2,SUMIF($A551:$A$2965,$A550&amp;"??",$D551:$D$2965),IF(AND(LEN($A550)=4,VALUE(RIGHT($A550,2))&lt;=60),SUMIF($A551:$A$2965,$A550&amp;"????",$D551:$D$2965),VLOOKUP(IF(LEN($A550)=4,$A550&amp;"01 1",$A550),GUS_tabl_21!$A$5:$F$4886,6,FALSE))))</f>
        <v>6639</v>
      </c>
      <c r="E550" s="29"/>
    </row>
    <row r="551" spans="1:5" ht="12" customHeight="1">
      <c r="A551" s="155" t="str">
        <f>"061405 2"</f>
        <v>061405 2</v>
      </c>
      <c r="B551" s="153" t="s">
        <v>57</v>
      </c>
      <c r="C551" s="156" t="str">
        <f>IF(OR($A551="",ISERROR(VALUE(LEFT($A551,6)))),"",IF(LEN($A551)=2,"WOJ. ",IF(LEN($A551)=4,IF(VALUE(RIGHT($A551,2))&gt;60,"","Powiat "),IF(VALUE(RIGHT($A551,1))=1,"m. ",IF(VALUE(RIGHT($A551,1))=2,"gm. w. ",IF(VALUE(RIGHT($A551,1))=8,"dz. ","gm. m.-w. ")))))&amp;IF(LEN($A551)=2,TRIM(UPPER(VLOOKUP($A551,GUS_tabl_1!$A$7:$B$22,2,FALSE))),IF(ISERROR(FIND("..",TRIM(VLOOKUP(IF(AND(LEN($A551)=4,VALUE(RIGHT($A551,2))&gt;60),$A551&amp;"01 1",$A551),IF(AND(LEN($A551)=4,VALUE(RIGHT($A551,2))&lt;60),GUS_tabl_2!$A$8:$B$464,GUS_tabl_21!$A$5:$B$4886),2,FALSE)))),TRIM(VLOOKUP(IF(AND(LEN($A551)=4,VALUE(RIGHT($A551,2))&gt;60),$A551&amp;"01 1",$A551),IF(AND(LEN($A551)=4,VALUE(RIGHT($A551,2))&lt;60),GUS_tabl_2!$A$8:$B$464,GUS_tabl_21!$A$5:$B$4886),2,FALSE)),LEFT(TRIM(VLOOKUP(IF(AND(LEN($A551)=4,VALUE(RIGHT($A551,2))&gt;60),$A551&amp;"01 1",$A551),IF(AND(LEN($A551)=4,VALUE(RIGHT($A551,2))&lt;60),GUS_tabl_2!$A$8:$B$464,GUS_tabl_21!$A$5:$B$4886),2,FALSE)),SUM(FIND("..",TRIM(VLOOKUP(IF(AND(LEN($A551)=4,VALUE(RIGHT($A551,2))&gt;60),$A551&amp;"01 1",$A551),IF(AND(LEN($A551)=4,VALUE(RIGHT($A551,2))&lt;60),GUS_tabl_2!$A$8:$B$464,GUS_tabl_21!$A$5:$B$4886),2,FALSE))),-1)))))</f>
        <v>gm. w. Końskowola</v>
      </c>
      <c r="D551" s="141">
        <f>IF(OR($A551="",ISERROR(VALUE(LEFT($A551,6)))),"",IF(LEN($A551)=2,SUMIF($A552:$A$2965,$A551&amp;"??",$D552:$D$2965),IF(AND(LEN($A551)=4,VALUE(RIGHT($A551,2))&lt;=60),SUMIF($A552:$A$2965,$A551&amp;"????",$D552:$D$2965),VLOOKUP(IF(LEN($A551)=4,$A551&amp;"01 1",$A551),GUS_tabl_21!$A$5:$F$4886,6,FALSE))))</f>
        <v>8813</v>
      </c>
      <c r="E551" s="29"/>
    </row>
    <row r="552" spans="1:5" ht="12" customHeight="1">
      <c r="A552" s="155" t="str">
        <f>"061406 2"</f>
        <v>061406 2</v>
      </c>
      <c r="B552" s="153" t="s">
        <v>57</v>
      </c>
      <c r="C552" s="156" t="str">
        <f>IF(OR($A552="",ISERROR(VALUE(LEFT($A552,6)))),"",IF(LEN($A552)=2,"WOJ. ",IF(LEN($A552)=4,IF(VALUE(RIGHT($A552,2))&gt;60,"","Powiat "),IF(VALUE(RIGHT($A552,1))=1,"m. ",IF(VALUE(RIGHT($A552,1))=2,"gm. w. ",IF(VALUE(RIGHT($A552,1))=8,"dz. ","gm. m.-w. ")))))&amp;IF(LEN($A552)=2,TRIM(UPPER(VLOOKUP($A552,GUS_tabl_1!$A$7:$B$22,2,FALSE))),IF(ISERROR(FIND("..",TRIM(VLOOKUP(IF(AND(LEN($A552)=4,VALUE(RIGHT($A552,2))&gt;60),$A552&amp;"01 1",$A552),IF(AND(LEN($A552)=4,VALUE(RIGHT($A552,2))&lt;60),GUS_tabl_2!$A$8:$B$464,GUS_tabl_21!$A$5:$B$4886),2,FALSE)))),TRIM(VLOOKUP(IF(AND(LEN($A552)=4,VALUE(RIGHT($A552,2))&gt;60),$A552&amp;"01 1",$A552),IF(AND(LEN($A552)=4,VALUE(RIGHT($A552,2))&lt;60),GUS_tabl_2!$A$8:$B$464,GUS_tabl_21!$A$5:$B$4886),2,FALSE)),LEFT(TRIM(VLOOKUP(IF(AND(LEN($A552)=4,VALUE(RIGHT($A552,2))&gt;60),$A552&amp;"01 1",$A552),IF(AND(LEN($A552)=4,VALUE(RIGHT($A552,2))&lt;60),GUS_tabl_2!$A$8:$B$464,GUS_tabl_21!$A$5:$B$4886),2,FALSE)),SUM(FIND("..",TRIM(VLOOKUP(IF(AND(LEN($A552)=4,VALUE(RIGHT($A552,2))&gt;60),$A552&amp;"01 1",$A552),IF(AND(LEN($A552)=4,VALUE(RIGHT($A552,2))&lt;60),GUS_tabl_2!$A$8:$B$464,GUS_tabl_21!$A$5:$B$4886),2,FALSE))),-1)))))</f>
        <v>gm. w. Kurów</v>
      </c>
      <c r="D552" s="141">
        <f>IF(OR($A552="",ISERROR(VALUE(LEFT($A552,6)))),"",IF(LEN($A552)=2,SUMIF($A553:$A$2965,$A552&amp;"??",$D553:$D$2965),IF(AND(LEN($A552)=4,VALUE(RIGHT($A552,2))&lt;=60),SUMIF($A553:$A$2965,$A552&amp;"????",$D553:$D$2965),VLOOKUP(IF(LEN($A552)=4,$A552&amp;"01 1",$A552),GUS_tabl_21!$A$5:$F$4886,6,FALSE))))</f>
        <v>7649</v>
      </c>
      <c r="E552" s="29"/>
    </row>
    <row r="553" spans="1:5" ht="12" customHeight="1">
      <c r="A553" s="155" t="str">
        <f>"061407 2"</f>
        <v>061407 2</v>
      </c>
      <c r="B553" s="153" t="s">
        <v>57</v>
      </c>
      <c r="C553" s="156" t="str">
        <f>IF(OR($A553="",ISERROR(VALUE(LEFT($A553,6)))),"",IF(LEN($A553)=2,"WOJ. ",IF(LEN($A553)=4,IF(VALUE(RIGHT($A553,2))&gt;60,"","Powiat "),IF(VALUE(RIGHT($A553,1))=1,"m. ",IF(VALUE(RIGHT($A553,1))=2,"gm. w. ",IF(VALUE(RIGHT($A553,1))=8,"dz. ","gm. m.-w. ")))))&amp;IF(LEN($A553)=2,TRIM(UPPER(VLOOKUP($A553,GUS_tabl_1!$A$7:$B$22,2,FALSE))),IF(ISERROR(FIND("..",TRIM(VLOOKUP(IF(AND(LEN($A553)=4,VALUE(RIGHT($A553,2))&gt;60),$A553&amp;"01 1",$A553),IF(AND(LEN($A553)=4,VALUE(RIGHT($A553,2))&lt;60),GUS_tabl_2!$A$8:$B$464,GUS_tabl_21!$A$5:$B$4886),2,FALSE)))),TRIM(VLOOKUP(IF(AND(LEN($A553)=4,VALUE(RIGHT($A553,2))&gt;60),$A553&amp;"01 1",$A553),IF(AND(LEN($A553)=4,VALUE(RIGHT($A553,2))&lt;60),GUS_tabl_2!$A$8:$B$464,GUS_tabl_21!$A$5:$B$4886),2,FALSE)),LEFT(TRIM(VLOOKUP(IF(AND(LEN($A553)=4,VALUE(RIGHT($A553,2))&gt;60),$A553&amp;"01 1",$A553),IF(AND(LEN($A553)=4,VALUE(RIGHT($A553,2))&lt;60),GUS_tabl_2!$A$8:$B$464,GUS_tabl_21!$A$5:$B$4886),2,FALSE)),SUM(FIND("..",TRIM(VLOOKUP(IF(AND(LEN($A553)=4,VALUE(RIGHT($A553,2))&gt;60),$A553&amp;"01 1",$A553),IF(AND(LEN($A553)=4,VALUE(RIGHT($A553,2))&lt;60),GUS_tabl_2!$A$8:$B$464,GUS_tabl_21!$A$5:$B$4886),2,FALSE))),-1)))))</f>
        <v>gm. w. Markuszów</v>
      </c>
      <c r="D553" s="141">
        <f>IF(OR($A553="",ISERROR(VALUE(LEFT($A553,6)))),"",IF(LEN($A553)=2,SUMIF($A554:$A$2965,$A553&amp;"??",$D554:$D$2965),IF(AND(LEN($A553)=4,VALUE(RIGHT($A553,2))&lt;=60),SUMIF($A554:$A$2965,$A553&amp;"????",$D554:$D$2965),VLOOKUP(IF(LEN($A553)=4,$A553&amp;"01 1",$A553),GUS_tabl_21!$A$5:$F$4886,6,FALSE))))</f>
        <v>2965</v>
      </c>
      <c r="E553" s="29"/>
    </row>
    <row r="554" spans="1:5" ht="12" customHeight="1">
      <c r="A554" s="155" t="str">
        <f>"061408 3"</f>
        <v>061408 3</v>
      </c>
      <c r="B554" s="153" t="s">
        <v>57</v>
      </c>
      <c r="C554" s="156" t="str">
        <f>IF(OR($A554="",ISERROR(VALUE(LEFT($A554,6)))),"",IF(LEN($A554)=2,"WOJ. ",IF(LEN($A554)=4,IF(VALUE(RIGHT($A554,2))&gt;60,"","Powiat "),IF(VALUE(RIGHT($A554,1))=1,"m. ",IF(VALUE(RIGHT($A554,1))=2,"gm. w. ",IF(VALUE(RIGHT($A554,1))=8,"dz. ","gm. m.-w. ")))))&amp;IF(LEN($A554)=2,TRIM(UPPER(VLOOKUP($A554,GUS_tabl_1!$A$7:$B$22,2,FALSE))),IF(ISERROR(FIND("..",TRIM(VLOOKUP(IF(AND(LEN($A554)=4,VALUE(RIGHT($A554,2))&gt;60),$A554&amp;"01 1",$A554),IF(AND(LEN($A554)=4,VALUE(RIGHT($A554,2))&lt;60),GUS_tabl_2!$A$8:$B$464,GUS_tabl_21!$A$5:$B$4886),2,FALSE)))),TRIM(VLOOKUP(IF(AND(LEN($A554)=4,VALUE(RIGHT($A554,2))&gt;60),$A554&amp;"01 1",$A554),IF(AND(LEN($A554)=4,VALUE(RIGHT($A554,2))&lt;60),GUS_tabl_2!$A$8:$B$464,GUS_tabl_21!$A$5:$B$4886),2,FALSE)),LEFT(TRIM(VLOOKUP(IF(AND(LEN($A554)=4,VALUE(RIGHT($A554,2))&gt;60),$A554&amp;"01 1",$A554),IF(AND(LEN($A554)=4,VALUE(RIGHT($A554,2))&lt;60),GUS_tabl_2!$A$8:$B$464,GUS_tabl_21!$A$5:$B$4886),2,FALSE)),SUM(FIND("..",TRIM(VLOOKUP(IF(AND(LEN($A554)=4,VALUE(RIGHT($A554,2))&gt;60),$A554&amp;"01 1",$A554),IF(AND(LEN($A554)=4,VALUE(RIGHT($A554,2))&lt;60),GUS_tabl_2!$A$8:$B$464,GUS_tabl_21!$A$5:$B$4886),2,FALSE))),-1)))))</f>
        <v>gm. m.-w. Nałęczów</v>
      </c>
      <c r="D554" s="141">
        <f>IF(OR($A554="",ISERROR(VALUE(LEFT($A554,6)))),"",IF(LEN($A554)=2,SUMIF($A555:$A$2965,$A554&amp;"??",$D555:$D$2965),IF(AND(LEN($A554)=4,VALUE(RIGHT($A554,2))&lt;=60),SUMIF($A555:$A$2965,$A554&amp;"????",$D555:$D$2965),VLOOKUP(IF(LEN($A554)=4,$A554&amp;"01 1",$A554),GUS_tabl_21!$A$5:$F$4886,6,FALSE))))</f>
        <v>8962</v>
      </c>
      <c r="E554" s="29"/>
    </row>
    <row r="555" spans="1:5" ht="12" customHeight="1">
      <c r="A555" s="155" t="str">
        <f>"061409 2"</f>
        <v>061409 2</v>
      </c>
      <c r="B555" s="153" t="s">
        <v>57</v>
      </c>
      <c r="C555" s="156" t="str">
        <f>IF(OR($A555="",ISERROR(VALUE(LEFT($A555,6)))),"",IF(LEN($A555)=2,"WOJ. ",IF(LEN($A555)=4,IF(VALUE(RIGHT($A555,2))&gt;60,"","Powiat "),IF(VALUE(RIGHT($A555,1))=1,"m. ",IF(VALUE(RIGHT($A555,1))=2,"gm. w. ",IF(VALUE(RIGHT($A555,1))=8,"dz. ","gm. m.-w. ")))))&amp;IF(LEN($A555)=2,TRIM(UPPER(VLOOKUP($A555,GUS_tabl_1!$A$7:$B$22,2,FALSE))),IF(ISERROR(FIND("..",TRIM(VLOOKUP(IF(AND(LEN($A555)=4,VALUE(RIGHT($A555,2))&gt;60),$A555&amp;"01 1",$A555),IF(AND(LEN($A555)=4,VALUE(RIGHT($A555,2))&lt;60),GUS_tabl_2!$A$8:$B$464,GUS_tabl_21!$A$5:$B$4886),2,FALSE)))),TRIM(VLOOKUP(IF(AND(LEN($A555)=4,VALUE(RIGHT($A555,2))&gt;60),$A555&amp;"01 1",$A555),IF(AND(LEN($A555)=4,VALUE(RIGHT($A555,2))&lt;60),GUS_tabl_2!$A$8:$B$464,GUS_tabl_21!$A$5:$B$4886),2,FALSE)),LEFT(TRIM(VLOOKUP(IF(AND(LEN($A555)=4,VALUE(RIGHT($A555,2))&gt;60),$A555&amp;"01 1",$A555),IF(AND(LEN($A555)=4,VALUE(RIGHT($A555,2))&lt;60),GUS_tabl_2!$A$8:$B$464,GUS_tabl_21!$A$5:$B$4886),2,FALSE)),SUM(FIND("..",TRIM(VLOOKUP(IF(AND(LEN($A555)=4,VALUE(RIGHT($A555,2))&gt;60),$A555&amp;"01 1",$A555),IF(AND(LEN($A555)=4,VALUE(RIGHT($A555,2))&lt;60),GUS_tabl_2!$A$8:$B$464,GUS_tabl_21!$A$5:$B$4886),2,FALSE))),-1)))))</f>
        <v>gm. w. Puławy</v>
      </c>
      <c r="D555" s="141">
        <f>IF(OR($A555="",ISERROR(VALUE(LEFT($A555,6)))),"",IF(LEN($A555)=2,SUMIF($A556:$A$2965,$A555&amp;"??",$D556:$D$2965),IF(AND(LEN($A555)=4,VALUE(RIGHT($A555,2))&lt;=60),SUMIF($A556:$A$2965,$A555&amp;"????",$D556:$D$2965),VLOOKUP(IF(LEN($A555)=4,$A555&amp;"01 1",$A555),GUS_tabl_21!$A$5:$F$4886,6,FALSE))))</f>
        <v>12126</v>
      </c>
      <c r="E555" s="29"/>
    </row>
    <row r="556" spans="1:5" ht="12" customHeight="1">
      <c r="A556" s="155" t="str">
        <f>"061410 2"</f>
        <v>061410 2</v>
      </c>
      <c r="B556" s="153" t="s">
        <v>57</v>
      </c>
      <c r="C556" s="156" t="str">
        <f>IF(OR($A556="",ISERROR(VALUE(LEFT($A556,6)))),"",IF(LEN($A556)=2,"WOJ. ",IF(LEN($A556)=4,IF(VALUE(RIGHT($A556,2))&gt;60,"","Powiat "),IF(VALUE(RIGHT($A556,1))=1,"m. ",IF(VALUE(RIGHT($A556,1))=2,"gm. w. ",IF(VALUE(RIGHT($A556,1))=8,"dz. ","gm. m.-w. ")))))&amp;IF(LEN($A556)=2,TRIM(UPPER(VLOOKUP($A556,GUS_tabl_1!$A$7:$B$22,2,FALSE))),IF(ISERROR(FIND("..",TRIM(VLOOKUP(IF(AND(LEN($A556)=4,VALUE(RIGHT($A556,2))&gt;60),$A556&amp;"01 1",$A556),IF(AND(LEN($A556)=4,VALUE(RIGHT($A556,2))&lt;60),GUS_tabl_2!$A$8:$B$464,GUS_tabl_21!$A$5:$B$4886),2,FALSE)))),TRIM(VLOOKUP(IF(AND(LEN($A556)=4,VALUE(RIGHT($A556,2))&gt;60),$A556&amp;"01 1",$A556),IF(AND(LEN($A556)=4,VALUE(RIGHT($A556,2))&lt;60),GUS_tabl_2!$A$8:$B$464,GUS_tabl_21!$A$5:$B$4886),2,FALSE)),LEFT(TRIM(VLOOKUP(IF(AND(LEN($A556)=4,VALUE(RIGHT($A556,2))&gt;60),$A556&amp;"01 1",$A556),IF(AND(LEN($A556)=4,VALUE(RIGHT($A556,2))&lt;60),GUS_tabl_2!$A$8:$B$464,GUS_tabl_21!$A$5:$B$4886),2,FALSE)),SUM(FIND("..",TRIM(VLOOKUP(IF(AND(LEN($A556)=4,VALUE(RIGHT($A556,2))&gt;60),$A556&amp;"01 1",$A556),IF(AND(LEN($A556)=4,VALUE(RIGHT($A556,2))&lt;60),GUS_tabl_2!$A$8:$B$464,GUS_tabl_21!$A$5:$B$4886),2,FALSE))),-1)))))</f>
        <v>gm. w. Wąwolnica</v>
      </c>
      <c r="D556" s="141">
        <f>IF(OR($A556="",ISERROR(VALUE(LEFT($A556,6)))),"",IF(LEN($A556)=2,SUMIF($A557:$A$2965,$A556&amp;"??",$D557:$D$2965),IF(AND(LEN($A556)=4,VALUE(RIGHT($A556,2))&lt;=60),SUMIF($A557:$A$2965,$A556&amp;"????",$D557:$D$2965),VLOOKUP(IF(LEN($A556)=4,$A556&amp;"01 1",$A556),GUS_tabl_21!$A$5:$F$4886,6,FALSE))))</f>
        <v>4621</v>
      </c>
      <c r="E556" s="29"/>
    </row>
    <row r="557" spans="1:5" ht="12" customHeight="1">
      <c r="A557" s="155" t="str">
        <f>"061411 2"</f>
        <v>061411 2</v>
      </c>
      <c r="B557" s="153" t="s">
        <v>57</v>
      </c>
      <c r="C557" s="156" t="str">
        <f>IF(OR($A557="",ISERROR(VALUE(LEFT($A557,6)))),"",IF(LEN($A557)=2,"WOJ. ",IF(LEN($A557)=4,IF(VALUE(RIGHT($A557,2))&gt;60,"","Powiat "),IF(VALUE(RIGHT($A557,1))=1,"m. ",IF(VALUE(RIGHT($A557,1))=2,"gm. w. ",IF(VALUE(RIGHT($A557,1))=8,"dz. ","gm. m.-w. ")))))&amp;IF(LEN($A557)=2,TRIM(UPPER(VLOOKUP($A557,GUS_tabl_1!$A$7:$B$22,2,FALSE))),IF(ISERROR(FIND("..",TRIM(VLOOKUP(IF(AND(LEN($A557)=4,VALUE(RIGHT($A557,2))&gt;60),$A557&amp;"01 1",$A557),IF(AND(LEN($A557)=4,VALUE(RIGHT($A557,2))&lt;60),GUS_tabl_2!$A$8:$B$464,GUS_tabl_21!$A$5:$B$4886),2,FALSE)))),TRIM(VLOOKUP(IF(AND(LEN($A557)=4,VALUE(RIGHT($A557,2))&gt;60),$A557&amp;"01 1",$A557),IF(AND(LEN($A557)=4,VALUE(RIGHT($A557,2))&lt;60),GUS_tabl_2!$A$8:$B$464,GUS_tabl_21!$A$5:$B$4886),2,FALSE)),LEFT(TRIM(VLOOKUP(IF(AND(LEN($A557)=4,VALUE(RIGHT($A557,2))&gt;60),$A557&amp;"01 1",$A557),IF(AND(LEN($A557)=4,VALUE(RIGHT($A557,2))&lt;60),GUS_tabl_2!$A$8:$B$464,GUS_tabl_21!$A$5:$B$4886),2,FALSE)),SUM(FIND("..",TRIM(VLOOKUP(IF(AND(LEN($A557)=4,VALUE(RIGHT($A557,2))&gt;60),$A557&amp;"01 1",$A557),IF(AND(LEN($A557)=4,VALUE(RIGHT($A557,2))&lt;60),GUS_tabl_2!$A$8:$B$464,GUS_tabl_21!$A$5:$B$4886),2,FALSE))),-1)))))</f>
        <v>gm. w. Żyrzyn</v>
      </c>
      <c r="D557" s="141">
        <f>IF(OR($A557="",ISERROR(VALUE(LEFT($A557,6)))),"",IF(LEN($A557)=2,SUMIF($A558:$A$2965,$A557&amp;"??",$D558:$D$2965),IF(AND(LEN($A557)=4,VALUE(RIGHT($A557,2))&lt;=60),SUMIF($A558:$A$2965,$A557&amp;"????",$D558:$D$2965),VLOOKUP(IF(LEN($A557)=4,$A557&amp;"01 1",$A557),GUS_tabl_21!$A$5:$F$4886,6,FALSE))))</f>
        <v>6427</v>
      </c>
      <c r="E557" s="29"/>
    </row>
    <row r="558" spans="1:5" ht="12" customHeight="1">
      <c r="A558" s="152" t="str">
        <f>"0615"</f>
        <v>0615</v>
      </c>
      <c r="B558" s="153" t="s">
        <v>57</v>
      </c>
      <c r="C558" s="154" t="str">
        <f>IF(OR($A558="",ISERROR(VALUE(LEFT($A558,6)))),"",IF(LEN($A558)=2,"WOJ. ",IF(LEN($A558)=4,IF(VALUE(RIGHT($A558,2))&gt;60,"","Powiat "),IF(VALUE(RIGHT($A558,1))=1,"m. ",IF(VALUE(RIGHT($A558,1))=2,"gm. w. ",IF(VALUE(RIGHT($A558,1))=8,"dz. ","gm. m.-w. ")))))&amp;IF(LEN($A558)=2,TRIM(UPPER(VLOOKUP($A558,GUS_tabl_1!$A$7:$B$22,2,FALSE))),IF(ISERROR(FIND("..",TRIM(VLOOKUP(IF(AND(LEN($A558)=4,VALUE(RIGHT($A558,2))&gt;60),$A558&amp;"01 1",$A558),IF(AND(LEN($A558)=4,VALUE(RIGHT($A558,2))&lt;60),GUS_tabl_2!$A$8:$B$464,GUS_tabl_21!$A$5:$B$4886),2,FALSE)))),TRIM(VLOOKUP(IF(AND(LEN($A558)=4,VALUE(RIGHT($A558,2))&gt;60),$A558&amp;"01 1",$A558),IF(AND(LEN($A558)=4,VALUE(RIGHT($A558,2))&lt;60),GUS_tabl_2!$A$8:$B$464,GUS_tabl_21!$A$5:$B$4886),2,FALSE)),LEFT(TRIM(VLOOKUP(IF(AND(LEN($A558)=4,VALUE(RIGHT($A558,2))&gt;60),$A558&amp;"01 1",$A558),IF(AND(LEN($A558)=4,VALUE(RIGHT($A558,2))&lt;60),GUS_tabl_2!$A$8:$B$464,GUS_tabl_21!$A$5:$B$4886),2,FALSE)),SUM(FIND("..",TRIM(VLOOKUP(IF(AND(LEN($A558)=4,VALUE(RIGHT($A558,2))&gt;60),$A558&amp;"01 1",$A558),IF(AND(LEN($A558)=4,VALUE(RIGHT($A558,2))&lt;60),GUS_tabl_2!$A$8:$B$464,GUS_tabl_21!$A$5:$B$4886),2,FALSE))),-1)))))</f>
        <v>Powiat radzyński</v>
      </c>
      <c r="D558" s="140">
        <f>IF(OR($A558="",ISERROR(VALUE(LEFT($A558,6)))),"",IF(LEN($A558)=2,SUMIF($A559:$A$2965,$A558&amp;"??",$D559:$D$2965),IF(AND(LEN($A558)=4,VALUE(RIGHT($A558,2))&lt;=60),SUMIF($A559:$A$2965,$A558&amp;"????",$D559:$D$2965),VLOOKUP(IF(LEN($A558)=4,$A558&amp;"01 1",$A558),GUS_tabl_21!$A$5:$F$4886,6,FALSE))))</f>
        <v>58858</v>
      </c>
      <c r="E558" s="29"/>
    </row>
    <row r="559" spans="1:5" ht="12" customHeight="1">
      <c r="A559" s="155" t="str">
        <f>"061501 1"</f>
        <v>061501 1</v>
      </c>
      <c r="B559" s="153" t="s">
        <v>57</v>
      </c>
      <c r="C559" s="156" t="str">
        <f>IF(OR($A559="",ISERROR(VALUE(LEFT($A559,6)))),"",IF(LEN($A559)=2,"WOJ. ",IF(LEN($A559)=4,IF(VALUE(RIGHT($A559,2))&gt;60,"","Powiat "),IF(VALUE(RIGHT($A559,1))=1,"m. ",IF(VALUE(RIGHT($A559,1))=2,"gm. w. ",IF(VALUE(RIGHT($A559,1))=8,"dz. ","gm. m.-w. ")))))&amp;IF(LEN($A559)=2,TRIM(UPPER(VLOOKUP($A559,GUS_tabl_1!$A$7:$B$22,2,FALSE))),IF(ISERROR(FIND("..",TRIM(VLOOKUP(IF(AND(LEN($A559)=4,VALUE(RIGHT($A559,2))&gt;60),$A559&amp;"01 1",$A559),IF(AND(LEN($A559)=4,VALUE(RIGHT($A559,2))&lt;60),GUS_tabl_2!$A$8:$B$464,GUS_tabl_21!$A$5:$B$4886),2,FALSE)))),TRIM(VLOOKUP(IF(AND(LEN($A559)=4,VALUE(RIGHT($A559,2))&gt;60),$A559&amp;"01 1",$A559),IF(AND(LEN($A559)=4,VALUE(RIGHT($A559,2))&lt;60),GUS_tabl_2!$A$8:$B$464,GUS_tabl_21!$A$5:$B$4886),2,FALSE)),LEFT(TRIM(VLOOKUP(IF(AND(LEN($A559)=4,VALUE(RIGHT($A559,2))&gt;60),$A559&amp;"01 1",$A559),IF(AND(LEN($A559)=4,VALUE(RIGHT($A559,2))&lt;60),GUS_tabl_2!$A$8:$B$464,GUS_tabl_21!$A$5:$B$4886),2,FALSE)),SUM(FIND("..",TRIM(VLOOKUP(IF(AND(LEN($A559)=4,VALUE(RIGHT($A559,2))&gt;60),$A559&amp;"01 1",$A559),IF(AND(LEN($A559)=4,VALUE(RIGHT($A559,2))&lt;60),GUS_tabl_2!$A$8:$B$464,GUS_tabl_21!$A$5:$B$4886),2,FALSE))),-1)))))</f>
        <v>m. Radzyń Podlaski</v>
      </c>
      <c r="D559" s="141">
        <f>IF(OR($A559="",ISERROR(VALUE(LEFT($A559,6)))),"",IF(LEN($A559)=2,SUMIF($A560:$A$2965,$A559&amp;"??",$D560:$D$2965),IF(AND(LEN($A559)=4,VALUE(RIGHT($A559,2))&lt;=60),SUMIF($A560:$A$2965,$A559&amp;"????",$D560:$D$2965),VLOOKUP(IF(LEN($A559)=4,$A559&amp;"01 1",$A559),GUS_tabl_21!$A$5:$F$4886,6,FALSE))))</f>
        <v>15656</v>
      </c>
      <c r="E559" s="29"/>
    </row>
    <row r="560" spans="1:5" ht="12" customHeight="1">
      <c r="A560" s="155" t="str">
        <f>"061502 2"</f>
        <v>061502 2</v>
      </c>
      <c r="B560" s="153" t="s">
        <v>57</v>
      </c>
      <c r="C560" s="156" t="str">
        <f>IF(OR($A560="",ISERROR(VALUE(LEFT($A560,6)))),"",IF(LEN($A560)=2,"WOJ. ",IF(LEN($A560)=4,IF(VALUE(RIGHT($A560,2))&gt;60,"","Powiat "),IF(VALUE(RIGHT($A560,1))=1,"m. ",IF(VALUE(RIGHT($A560,1))=2,"gm. w. ",IF(VALUE(RIGHT($A560,1))=8,"dz. ","gm. m.-w. ")))))&amp;IF(LEN($A560)=2,TRIM(UPPER(VLOOKUP($A560,GUS_tabl_1!$A$7:$B$22,2,FALSE))),IF(ISERROR(FIND("..",TRIM(VLOOKUP(IF(AND(LEN($A560)=4,VALUE(RIGHT($A560,2))&gt;60),$A560&amp;"01 1",$A560),IF(AND(LEN($A560)=4,VALUE(RIGHT($A560,2))&lt;60),GUS_tabl_2!$A$8:$B$464,GUS_tabl_21!$A$5:$B$4886),2,FALSE)))),TRIM(VLOOKUP(IF(AND(LEN($A560)=4,VALUE(RIGHT($A560,2))&gt;60),$A560&amp;"01 1",$A560),IF(AND(LEN($A560)=4,VALUE(RIGHT($A560,2))&lt;60),GUS_tabl_2!$A$8:$B$464,GUS_tabl_21!$A$5:$B$4886),2,FALSE)),LEFT(TRIM(VLOOKUP(IF(AND(LEN($A560)=4,VALUE(RIGHT($A560,2))&gt;60),$A560&amp;"01 1",$A560),IF(AND(LEN($A560)=4,VALUE(RIGHT($A560,2))&lt;60),GUS_tabl_2!$A$8:$B$464,GUS_tabl_21!$A$5:$B$4886),2,FALSE)),SUM(FIND("..",TRIM(VLOOKUP(IF(AND(LEN($A560)=4,VALUE(RIGHT($A560,2))&gt;60),$A560&amp;"01 1",$A560),IF(AND(LEN($A560)=4,VALUE(RIGHT($A560,2))&lt;60),GUS_tabl_2!$A$8:$B$464,GUS_tabl_21!$A$5:$B$4886),2,FALSE))),-1)))))</f>
        <v>gm. w. Borki</v>
      </c>
      <c r="D560" s="141">
        <f>IF(OR($A560="",ISERROR(VALUE(LEFT($A560,6)))),"",IF(LEN($A560)=2,SUMIF($A561:$A$2965,$A560&amp;"??",$D561:$D$2965),IF(AND(LEN($A560)=4,VALUE(RIGHT($A560,2))&lt;=60),SUMIF($A561:$A$2965,$A560&amp;"????",$D561:$D$2965),VLOOKUP(IF(LEN($A560)=4,$A560&amp;"01 1",$A560),GUS_tabl_21!$A$5:$F$4886,6,FALSE))))</f>
        <v>6003</v>
      </c>
      <c r="E560" s="29"/>
    </row>
    <row r="561" spans="1:5" ht="12" customHeight="1">
      <c r="A561" s="155" t="str">
        <f>"061503 2"</f>
        <v>061503 2</v>
      </c>
      <c r="B561" s="153" t="s">
        <v>57</v>
      </c>
      <c r="C561" s="156" t="str">
        <f>IF(OR($A561="",ISERROR(VALUE(LEFT($A561,6)))),"",IF(LEN($A561)=2,"WOJ. ",IF(LEN($A561)=4,IF(VALUE(RIGHT($A561,2))&gt;60,"","Powiat "),IF(VALUE(RIGHT($A561,1))=1,"m. ",IF(VALUE(RIGHT($A561,1))=2,"gm. w. ",IF(VALUE(RIGHT($A561,1))=8,"dz. ","gm. m.-w. ")))))&amp;IF(LEN($A561)=2,TRIM(UPPER(VLOOKUP($A561,GUS_tabl_1!$A$7:$B$22,2,FALSE))),IF(ISERROR(FIND("..",TRIM(VLOOKUP(IF(AND(LEN($A561)=4,VALUE(RIGHT($A561,2))&gt;60),$A561&amp;"01 1",$A561),IF(AND(LEN($A561)=4,VALUE(RIGHT($A561,2))&lt;60),GUS_tabl_2!$A$8:$B$464,GUS_tabl_21!$A$5:$B$4886),2,FALSE)))),TRIM(VLOOKUP(IF(AND(LEN($A561)=4,VALUE(RIGHT($A561,2))&gt;60),$A561&amp;"01 1",$A561),IF(AND(LEN($A561)=4,VALUE(RIGHT($A561,2))&lt;60),GUS_tabl_2!$A$8:$B$464,GUS_tabl_21!$A$5:$B$4886),2,FALSE)),LEFT(TRIM(VLOOKUP(IF(AND(LEN($A561)=4,VALUE(RIGHT($A561,2))&gt;60),$A561&amp;"01 1",$A561),IF(AND(LEN($A561)=4,VALUE(RIGHT($A561,2))&lt;60),GUS_tabl_2!$A$8:$B$464,GUS_tabl_21!$A$5:$B$4886),2,FALSE)),SUM(FIND("..",TRIM(VLOOKUP(IF(AND(LEN($A561)=4,VALUE(RIGHT($A561,2))&gt;60),$A561&amp;"01 1",$A561),IF(AND(LEN($A561)=4,VALUE(RIGHT($A561,2))&lt;60),GUS_tabl_2!$A$8:$B$464,GUS_tabl_21!$A$5:$B$4886),2,FALSE))),-1)))))</f>
        <v>gm. w. Czemierniki</v>
      </c>
      <c r="D561" s="141">
        <f>IF(OR($A561="",ISERROR(VALUE(LEFT($A561,6)))),"",IF(LEN($A561)=2,SUMIF($A562:$A$2965,$A561&amp;"??",$D562:$D$2965),IF(AND(LEN($A561)=4,VALUE(RIGHT($A561,2))&lt;=60),SUMIF($A562:$A$2965,$A561&amp;"????",$D562:$D$2965),VLOOKUP(IF(LEN($A561)=4,$A561&amp;"01 1",$A561),GUS_tabl_21!$A$5:$F$4886,6,FALSE))))</f>
        <v>4310</v>
      </c>
      <c r="E561" s="29"/>
    </row>
    <row r="562" spans="1:5" ht="12" customHeight="1">
      <c r="A562" s="155" t="str">
        <f>"061504 2"</f>
        <v>061504 2</v>
      </c>
      <c r="B562" s="153" t="s">
        <v>57</v>
      </c>
      <c r="C562" s="156" t="str">
        <f>IF(OR($A562="",ISERROR(VALUE(LEFT($A562,6)))),"",IF(LEN($A562)=2,"WOJ. ",IF(LEN($A562)=4,IF(VALUE(RIGHT($A562,2))&gt;60,"","Powiat "),IF(VALUE(RIGHT($A562,1))=1,"m. ",IF(VALUE(RIGHT($A562,1))=2,"gm. w. ",IF(VALUE(RIGHT($A562,1))=8,"dz. ","gm. m.-w. ")))))&amp;IF(LEN($A562)=2,TRIM(UPPER(VLOOKUP($A562,GUS_tabl_1!$A$7:$B$22,2,FALSE))),IF(ISERROR(FIND("..",TRIM(VLOOKUP(IF(AND(LEN($A562)=4,VALUE(RIGHT($A562,2))&gt;60),$A562&amp;"01 1",$A562),IF(AND(LEN($A562)=4,VALUE(RIGHT($A562,2))&lt;60),GUS_tabl_2!$A$8:$B$464,GUS_tabl_21!$A$5:$B$4886),2,FALSE)))),TRIM(VLOOKUP(IF(AND(LEN($A562)=4,VALUE(RIGHT($A562,2))&gt;60),$A562&amp;"01 1",$A562),IF(AND(LEN($A562)=4,VALUE(RIGHT($A562,2))&lt;60),GUS_tabl_2!$A$8:$B$464,GUS_tabl_21!$A$5:$B$4886),2,FALSE)),LEFT(TRIM(VLOOKUP(IF(AND(LEN($A562)=4,VALUE(RIGHT($A562,2))&gt;60),$A562&amp;"01 1",$A562),IF(AND(LEN($A562)=4,VALUE(RIGHT($A562,2))&lt;60),GUS_tabl_2!$A$8:$B$464,GUS_tabl_21!$A$5:$B$4886),2,FALSE)),SUM(FIND("..",TRIM(VLOOKUP(IF(AND(LEN($A562)=4,VALUE(RIGHT($A562,2))&gt;60),$A562&amp;"01 1",$A562),IF(AND(LEN($A562)=4,VALUE(RIGHT($A562,2))&lt;60),GUS_tabl_2!$A$8:$B$464,GUS_tabl_21!$A$5:$B$4886),2,FALSE))),-1)))))</f>
        <v>gm. w. Kąkolewnica</v>
      </c>
      <c r="D562" s="141">
        <f>IF(OR($A562="",ISERROR(VALUE(LEFT($A562,6)))),"",IF(LEN($A562)=2,SUMIF($A563:$A$2965,$A562&amp;"??",$D563:$D$2965),IF(AND(LEN($A562)=4,VALUE(RIGHT($A562,2))&lt;=60),SUMIF($A563:$A$2965,$A562&amp;"????",$D563:$D$2965),VLOOKUP(IF(LEN($A562)=4,$A562&amp;"01 1",$A562),GUS_tabl_21!$A$5:$F$4886,6,FALSE))))</f>
        <v>8024</v>
      </c>
      <c r="E562" s="29"/>
    </row>
    <row r="563" spans="1:5" ht="12" customHeight="1">
      <c r="A563" s="155" t="str">
        <f>"061505 2"</f>
        <v>061505 2</v>
      </c>
      <c r="B563" s="153" t="s">
        <v>57</v>
      </c>
      <c r="C563" s="156" t="str">
        <f>IF(OR($A563="",ISERROR(VALUE(LEFT($A563,6)))),"",IF(LEN($A563)=2,"WOJ. ",IF(LEN($A563)=4,IF(VALUE(RIGHT($A563,2))&gt;60,"","Powiat "),IF(VALUE(RIGHT($A563,1))=1,"m. ",IF(VALUE(RIGHT($A563,1))=2,"gm. w. ",IF(VALUE(RIGHT($A563,1))=8,"dz. ","gm. m.-w. ")))))&amp;IF(LEN($A563)=2,TRIM(UPPER(VLOOKUP($A563,GUS_tabl_1!$A$7:$B$22,2,FALSE))),IF(ISERROR(FIND("..",TRIM(VLOOKUP(IF(AND(LEN($A563)=4,VALUE(RIGHT($A563,2))&gt;60),$A563&amp;"01 1",$A563),IF(AND(LEN($A563)=4,VALUE(RIGHT($A563,2))&lt;60),GUS_tabl_2!$A$8:$B$464,GUS_tabl_21!$A$5:$B$4886),2,FALSE)))),TRIM(VLOOKUP(IF(AND(LEN($A563)=4,VALUE(RIGHT($A563,2))&gt;60),$A563&amp;"01 1",$A563),IF(AND(LEN($A563)=4,VALUE(RIGHT($A563,2))&lt;60),GUS_tabl_2!$A$8:$B$464,GUS_tabl_21!$A$5:$B$4886),2,FALSE)),LEFT(TRIM(VLOOKUP(IF(AND(LEN($A563)=4,VALUE(RIGHT($A563,2))&gt;60),$A563&amp;"01 1",$A563),IF(AND(LEN($A563)=4,VALUE(RIGHT($A563,2))&lt;60),GUS_tabl_2!$A$8:$B$464,GUS_tabl_21!$A$5:$B$4886),2,FALSE)),SUM(FIND("..",TRIM(VLOOKUP(IF(AND(LEN($A563)=4,VALUE(RIGHT($A563,2))&gt;60),$A563&amp;"01 1",$A563),IF(AND(LEN($A563)=4,VALUE(RIGHT($A563,2))&lt;60),GUS_tabl_2!$A$8:$B$464,GUS_tabl_21!$A$5:$B$4886),2,FALSE))),-1)))))</f>
        <v>gm. w. Komarówka Podlaska</v>
      </c>
      <c r="D563" s="141">
        <f>IF(OR($A563="",ISERROR(VALUE(LEFT($A563,6)))),"",IF(LEN($A563)=2,SUMIF($A564:$A$2965,$A563&amp;"??",$D564:$D$2965),IF(AND(LEN($A563)=4,VALUE(RIGHT($A563,2))&lt;=60),SUMIF($A564:$A$2965,$A563&amp;"????",$D564:$D$2965),VLOOKUP(IF(LEN($A563)=4,$A563&amp;"01 1",$A563),GUS_tabl_21!$A$5:$F$4886,6,FALSE))))</f>
        <v>4185</v>
      </c>
      <c r="E563" s="29"/>
    </row>
    <row r="564" spans="1:5" ht="12" customHeight="1">
      <c r="A564" s="155" t="str">
        <f>"061506 2"</f>
        <v>061506 2</v>
      </c>
      <c r="B564" s="153" t="s">
        <v>57</v>
      </c>
      <c r="C564" s="156" t="str">
        <f>IF(OR($A564="",ISERROR(VALUE(LEFT($A564,6)))),"",IF(LEN($A564)=2,"WOJ. ",IF(LEN($A564)=4,IF(VALUE(RIGHT($A564,2))&gt;60,"","Powiat "),IF(VALUE(RIGHT($A564,1))=1,"m. ",IF(VALUE(RIGHT($A564,1))=2,"gm. w. ",IF(VALUE(RIGHT($A564,1))=8,"dz. ","gm. m.-w. ")))))&amp;IF(LEN($A564)=2,TRIM(UPPER(VLOOKUP($A564,GUS_tabl_1!$A$7:$B$22,2,FALSE))),IF(ISERROR(FIND("..",TRIM(VLOOKUP(IF(AND(LEN($A564)=4,VALUE(RIGHT($A564,2))&gt;60),$A564&amp;"01 1",$A564),IF(AND(LEN($A564)=4,VALUE(RIGHT($A564,2))&lt;60),GUS_tabl_2!$A$8:$B$464,GUS_tabl_21!$A$5:$B$4886),2,FALSE)))),TRIM(VLOOKUP(IF(AND(LEN($A564)=4,VALUE(RIGHT($A564,2))&gt;60),$A564&amp;"01 1",$A564),IF(AND(LEN($A564)=4,VALUE(RIGHT($A564,2))&lt;60),GUS_tabl_2!$A$8:$B$464,GUS_tabl_21!$A$5:$B$4886),2,FALSE)),LEFT(TRIM(VLOOKUP(IF(AND(LEN($A564)=4,VALUE(RIGHT($A564,2))&gt;60),$A564&amp;"01 1",$A564),IF(AND(LEN($A564)=4,VALUE(RIGHT($A564,2))&lt;60),GUS_tabl_2!$A$8:$B$464,GUS_tabl_21!$A$5:$B$4886),2,FALSE)),SUM(FIND("..",TRIM(VLOOKUP(IF(AND(LEN($A564)=4,VALUE(RIGHT($A564,2))&gt;60),$A564&amp;"01 1",$A564),IF(AND(LEN($A564)=4,VALUE(RIGHT($A564,2))&lt;60),GUS_tabl_2!$A$8:$B$464,GUS_tabl_21!$A$5:$B$4886),2,FALSE))),-1)))))</f>
        <v>gm. w. Radzyń Podlaski</v>
      </c>
      <c r="D564" s="141">
        <f>IF(OR($A564="",ISERROR(VALUE(LEFT($A564,6)))),"",IF(LEN($A564)=2,SUMIF($A565:$A$2965,$A564&amp;"??",$D565:$D$2965),IF(AND(LEN($A564)=4,VALUE(RIGHT($A564,2))&lt;=60),SUMIF($A565:$A$2965,$A564&amp;"????",$D565:$D$2965),VLOOKUP(IF(LEN($A564)=4,$A564&amp;"01 1",$A564),GUS_tabl_21!$A$5:$F$4886,6,FALSE))))</f>
        <v>8072</v>
      </c>
      <c r="E564" s="29"/>
    </row>
    <row r="565" spans="1:5" ht="12" customHeight="1">
      <c r="A565" s="155" t="str">
        <f>"061507 2"</f>
        <v>061507 2</v>
      </c>
      <c r="B565" s="153" t="s">
        <v>57</v>
      </c>
      <c r="C565" s="156" t="str">
        <f>IF(OR($A565="",ISERROR(VALUE(LEFT($A565,6)))),"",IF(LEN($A565)=2,"WOJ. ",IF(LEN($A565)=4,IF(VALUE(RIGHT($A565,2))&gt;60,"","Powiat "),IF(VALUE(RIGHT($A565,1))=1,"m. ",IF(VALUE(RIGHT($A565,1))=2,"gm. w. ",IF(VALUE(RIGHT($A565,1))=8,"dz. ","gm. m.-w. ")))))&amp;IF(LEN($A565)=2,TRIM(UPPER(VLOOKUP($A565,GUS_tabl_1!$A$7:$B$22,2,FALSE))),IF(ISERROR(FIND("..",TRIM(VLOOKUP(IF(AND(LEN($A565)=4,VALUE(RIGHT($A565,2))&gt;60),$A565&amp;"01 1",$A565),IF(AND(LEN($A565)=4,VALUE(RIGHT($A565,2))&lt;60),GUS_tabl_2!$A$8:$B$464,GUS_tabl_21!$A$5:$B$4886),2,FALSE)))),TRIM(VLOOKUP(IF(AND(LEN($A565)=4,VALUE(RIGHT($A565,2))&gt;60),$A565&amp;"01 1",$A565),IF(AND(LEN($A565)=4,VALUE(RIGHT($A565,2))&lt;60),GUS_tabl_2!$A$8:$B$464,GUS_tabl_21!$A$5:$B$4886),2,FALSE)),LEFT(TRIM(VLOOKUP(IF(AND(LEN($A565)=4,VALUE(RIGHT($A565,2))&gt;60),$A565&amp;"01 1",$A565),IF(AND(LEN($A565)=4,VALUE(RIGHT($A565,2))&lt;60),GUS_tabl_2!$A$8:$B$464,GUS_tabl_21!$A$5:$B$4886),2,FALSE)),SUM(FIND("..",TRIM(VLOOKUP(IF(AND(LEN($A565)=4,VALUE(RIGHT($A565,2))&gt;60),$A565&amp;"01 1",$A565),IF(AND(LEN($A565)=4,VALUE(RIGHT($A565,2))&lt;60),GUS_tabl_2!$A$8:$B$464,GUS_tabl_21!$A$5:$B$4886),2,FALSE))),-1)))))</f>
        <v>gm. w. Ulan-Majorat</v>
      </c>
      <c r="D565" s="141">
        <f>IF(OR($A565="",ISERROR(VALUE(LEFT($A565,6)))),"",IF(LEN($A565)=2,SUMIF($A566:$A$2965,$A565&amp;"??",$D566:$D$2965),IF(AND(LEN($A565)=4,VALUE(RIGHT($A565,2))&lt;=60),SUMIF($A566:$A$2965,$A565&amp;"????",$D566:$D$2965),VLOOKUP(IF(LEN($A565)=4,$A565&amp;"01 1",$A565),GUS_tabl_21!$A$5:$F$4886,6,FALSE))))</f>
        <v>6000</v>
      </c>
      <c r="E565" s="29"/>
    </row>
    <row r="566" spans="1:5" ht="12" customHeight="1">
      <c r="A566" s="155" t="str">
        <f>"061508 2"</f>
        <v>061508 2</v>
      </c>
      <c r="B566" s="153" t="s">
        <v>57</v>
      </c>
      <c r="C566" s="156" t="str">
        <f>IF(OR($A566="",ISERROR(VALUE(LEFT($A566,6)))),"",IF(LEN($A566)=2,"WOJ. ",IF(LEN($A566)=4,IF(VALUE(RIGHT($A566,2))&gt;60,"","Powiat "),IF(VALUE(RIGHT($A566,1))=1,"m. ",IF(VALUE(RIGHT($A566,1))=2,"gm. w. ",IF(VALUE(RIGHT($A566,1))=8,"dz. ","gm. m.-w. ")))))&amp;IF(LEN($A566)=2,TRIM(UPPER(VLOOKUP($A566,GUS_tabl_1!$A$7:$B$22,2,FALSE))),IF(ISERROR(FIND("..",TRIM(VLOOKUP(IF(AND(LEN($A566)=4,VALUE(RIGHT($A566,2))&gt;60),$A566&amp;"01 1",$A566),IF(AND(LEN($A566)=4,VALUE(RIGHT($A566,2))&lt;60),GUS_tabl_2!$A$8:$B$464,GUS_tabl_21!$A$5:$B$4886),2,FALSE)))),TRIM(VLOOKUP(IF(AND(LEN($A566)=4,VALUE(RIGHT($A566,2))&gt;60),$A566&amp;"01 1",$A566),IF(AND(LEN($A566)=4,VALUE(RIGHT($A566,2))&lt;60),GUS_tabl_2!$A$8:$B$464,GUS_tabl_21!$A$5:$B$4886),2,FALSE)),LEFT(TRIM(VLOOKUP(IF(AND(LEN($A566)=4,VALUE(RIGHT($A566,2))&gt;60),$A566&amp;"01 1",$A566),IF(AND(LEN($A566)=4,VALUE(RIGHT($A566,2))&lt;60),GUS_tabl_2!$A$8:$B$464,GUS_tabl_21!$A$5:$B$4886),2,FALSE)),SUM(FIND("..",TRIM(VLOOKUP(IF(AND(LEN($A566)=4,VALUE(RIGHT($A566,2))&gt;60),$A566&amp;"01 1",$A566),IF(AND(LEN($A566)=4,VALUE(RIGHT($A566,2))&lt;60),GUS_tabl_2!$A$8:$B$464,GUS_tabl_21!$A$5:$B$4886),2,FALSE))),-1)))))</f>
        <v>gm. w. Wohyń</v>
      </c>
      <c r="D566" s="141">
        <f>IF(OR($A566="",ISERROR(VALUE(LEFT($A566,6)))),"",IF(LEN($A566)=2,SUMIF($A567:$A$2965,$A566&amp;"??",$D567:$D$2965),IF(AND(LEN($A566)=4,VALUE(RIGHT($A566,2))&lt;=60),SUMIF($A567:$A$2965,$A566&amp;"????",$D567:$D$2965),VLOOKUP(IF(LEN($A566)=4,$A566&amp;"01 1",$A566),GUS_tabl_21!$A$5:$F$4886,6,FALSE))))</f>
        <v>6608</v>
      </c>
      <c r="E566" s="29"/>
    </row>
    <row r="567" spans="1:5" ht="12" customHeight="1">
      <c r="A567" s="152" t="str">
        <f>"0616"</f>
        <v>0616</v>
      </c>
      <c r="B567" s="153" t="s">
        <v>57</v>
      </c>
      <c r="C567" s="154" t="str">
        <f>IF(OR($A567="",ISERROR(VALUE(LEFT($A567,6)))),"",IF(LEN($A567)=2,"WOJ. ",IF(LEN($A567)=4,IF(VALUE(RIGHT($A567,2))&gt;60,"","Powiat "),IF(VALUE(RIGHT($A567,1))=1,"m. ",IF(VALUE(RIGHT($A567,1))=2,"gm. w. ",IF(VALUE(RIGHT($A567,1))=8,"dz. ","gm. m.-w. ")))))&amp;IF(LEN($A567)=2,TRIM(UPPER(VLOOKUP($A567,GUS_tabl_1!$A$7:$B$22,2,FALSE))),IF(ISERROR(FIND("..",TRIM(VLOOKUP(IF(AND(LEN($A567)=4,VALUE(RIGHT($A567,2))&gt;60),$A567&amp;"01 1",$A567),IF(AND(LEN($A567)=4,VALUE(RIGHT($A567,2))&lt;60),GUS_tabl_2!$A$8:$B$464,GUS_tabl_21!$A$5:$B$4886),2,FALSE)))),TRIM(VLOOKUP(IF(AND(LEN($A567)=4,VALUE(RIGHT($A567,2))&gt;60),$A567&amp;"01 1",$A567),IF(AND(LEN($A567)=4,VALUE(RIGHT($A567,2))&lt;60),GUS_tabl_2!$A$8:$B$464,GUS_tabl_21!$A$5:$B$4886),2,FALSE)),LEFT(TRIM(VLOOKUP(IF(AND(LEN($A567)=4,VALUE(RIGHT($A567,2))&gt;60),$A567&amp;"01 1",$A567),IF(AND(LEN($A567)=4,VALUE(RIGHT($A567,2))&lt;60),GUS_tabl_2!$A$8:$B$464,GUS_tabl_21!$A$5:$B$4886),2,FALSE)),SUM(FIND("..",TRIM(VLOOKUP(IF(AND(LEN($A567)=4,VALUE(RIGHT($A567,2))&gt;60),$A567&amp;"01 1",$A567),IF(AND(LEN($A567)=4,VALUE(RIGHT($A567,2))&lt;60),GUS_tabl_2!$A$8:$B$464,GUS_tabl_21!$A$5:$B$4886),2,FALSE))),-1)))))</f>
        <v>Powiat rycki</v>
      </c>
      <c r="D567" s="140">
        <f>IF(OR($A567="",ISERROR(VALUE(LEFT($A567,6)))),"",IF(LEN($A567)=2,SUMIF($A568:$A$2965,$A567&amp;"??",$D568:$D$2965),IF(AND(LEN($A567)=4,VALUE(RIGHT($A567,2))&lt;=60),SUMIF($A568:$A$2965,$A567&amp;"????",$D568:$D$2965),VLOOKUP(IF(LEN($A567)=4,$A567&amp;"01 1",$A567),GUS_tabl_21!$A$5:$F$4886,6,FALSE))))</f>
        <v>55988</v>
      </c>
      <c r="E567" s="29"/>
    </row>
    <row r="568" spans="1:5" ht="12" customHeight="1">
      <c r="A568" s="155" t="str">
        <f>"061601 1"</f>
        <v>061601 1</v>
      </c>
      <c r="B568" s="153" t="s">
        <v>57</v>
      </c>
      <c r="C568" s="156" t="str">
        <f>IF(OR($A568="",ISERROR(VALUE(LEFT($A568,6)))),"",IF(LEN($A568)=2,"WOJ. ",IF(LEN($A568)=4,IF(VALUE(RIGHT($A568,2))&gt;60,"","Powiat "),IF(VALUE(RIGHT($A568,1))=1,"m. ",IF(VALUE(RIGHT($A568,1))=2,"gm. w. ",IF(VALUE(RIGHT($A568,1))=8,"dz. ","gm. m.-w. ")))))&amp;IF(LEN($A568)=2,TRIM(UPPER(VLOOKUP($A568,GUS_tabl_1!$A$7:$B$22,2,FALSE))),IF(ISERROR(FIND("..",TRIM(VLOOKUP(IF(AND(LEN($A568)=4,VALUE(RIGHT($A568,2))&gt;60),$A568&amp;"01 1",$A568),IF(AND(LEN($A568)=4,VALUE(RIGHT($A568,2))&lt;60),GUS_tabl_2!$A$8:$B$464,GUS_tabl_21!$A$5:$B$4886),2,FALSE)))),TRIM(VLOOKUP(IF(AND(LEN($A568)=4,VALUE(RIGHT($A568,2))&gt;60),$A568&amp;"01 1",$A568),IF(AND(LEN($A568)=4,VALUE(RIGHT($A568,2))&lt;60),GUS_tabl_2!$A$8:$B$464,GUS_tabl_21!$A$5:$B$4886),2,FALSE)),LEFT(TRIM(VLOOKUP(IF(AND(LEN($A568)=4,VALUE(RIGHT($A568,2))&gt;60),$A568&amp;"01 1",$A568),IF(AND(LEN($A568)=4,VALUE(RIGHT($A568,2))&lt;60),GUS_tabl_2!$A$8:$B$464,GUS_tabl_21!$A$5:$B$4886),2,FALSE)),SUM(FIND("..",TRIM(VLOOKUP(IF(AND(LEN($A568)=4,VALUE(RIGHT($A568,2))&gt;60),$A568&amp;"01 1",$A568),IF(AND(LEN($A568)=4,VALUE(RIGHT($A568,2))&lt;60),GUS_tabl_2!$A$8:$B$464,GUS_tabl_21!$A$5:$B$4886),2,FALSE))),-1)))))</f>
        <v>m. Dęblin</v>
      </c>
      <c r="D568" s="141">
        <f>IF(OR($A568="",ISERROR(VALUE(LEFT($A568,6)))),"",IF(LEN($A568)=2,SUMIF($A569:$A$2965,$A568&amp;"??",$D569:$D$2965),IF(AND(LEN($A568)=4,VALUE(RIGHT($A568,2))&lt;=60),SUMIF($A569:$A$2965,$A568&amp;"????",$D569:$D$2965),VLOOKUP(IF(LEN($A568)=4,$A568&amp;"01 1",$A568),GUS_tabl_21!$A$5:$F$4886,6,FALSE))))</f>
        <v>16058</v>
      </c>
      <c r="E568" s="29"/>
    </row>
    <row r="569" spans="1:5" ht="12" customHeight="1">
      <c r="A569" s="155" t="str">
        <f>"061602 2"</f>
        <v>061602 2</v>
      </c>
      <c r="B569" s="153" t="s">
        <v>57</v>
      </c>
      <c r="C569" s="156" t="str">
        <f>IF(OR($A569="",ISERROR(VALUE(LEFT($A569,6)))),"",IF(LEN($A569)=2,"WOJ. ",IF(LEN($A569)=4,IF(VALUE(RIGHT($A569,2))&gt;60,"","Powiat "),IF(VALUE(RIGHT($A569,1))=1,"m. ",IF(VALUE(RIGHT($A569,1))=2,"gm. w. ",IF(VALUE(RIGHT($A569,1))=8,"dz. ","gm. m.-w. ")))))&amp;IF(LEN($A569)=2,TRIM(UPPER(VLOOKUP($A569,GUS_tabl_1!$A$7:$B$22,2,FALSE))),IF(ISERROR(FIND("..",TRIM(VLOOKUP(IF(AND(LEN($A569)=4,VALUE(RIGHT($A569,2))&gt;60),$A569&amp;"01 1",$A569),IF(AND(LEN($A569)=4,VALUE(RIGHT($A569,2))&lt;60),GUS_tabl_2!$A$8:$B$464,GUS_tabl_21!$A$5:$B$4886),2,FALSE)))),TRIM(VLOOKUP(IF(AND(LEN($A569)=4,VALUE(RIGHT($A569,2))&gt;60),$A569&amp;"01 1",$A569),IF(AND(LEN($A569)=4,VALUE(RIGHT($A569,2))&lt;60),GUS_tabl_2!$A$8:$B$464,GUS_tabl_21!$A$5:$B$4886),2,FALSE)),LEFT(TRIM(VLOOKUP(IF(AND(LEN($A569)=4,VALUE(RIGHT($A569,2))&gt;60),$A569&amp;"01 1",$A569),IF(AND(LEN($A569)=4,VALUE(RIGHT($A569,2))&lt;60),GUS_tabl_2!$A$8:$B$464,GUS_tabl_21!$A$5:$B$4886),2,FALSE)),SUM(FIND("..",TRIM(VLOOKUP(IF(AND(LEN($A569)=4,VALUE(RIGHT($A569,2))&gt;60),$A569&amp;"01 1",$A569),IF(AND(LEN($A569)=4,VALUE(RIGHT($A569,2))&lt;60),GUS_tabl_2!$A$8:$B$464,GUS_tabl_21!$A$5:$B$4886),2,FALSE))),-1)))))</f>
        <v>gm. w. Kłoczew</v>
      </c>
      <c r="D569" s="141">
        <f>IF(OR($A569="",ISERROR(VALUE(LEFT($A569,6)))),"",IF(LEN($A569)=2,SUMIF($A570:$A$2965,$A569&amp;"??",$D570:$D$2965),IF(AND(LEN($A569)=4,VALUE(RIGHT($A569,2))&lt;=60),SUMIF($A570:$A$2965,$A569&amp;"????",$D570:$D$2965),VLOOKUP(IF(LEN($A569)=4,$A569&amp;"01 1",$A569),GUS_tabl_21!$A$5:$F$4886,6,FALSE))))</f>
        <v>7142</v>
      </c>
      <c r="E569" s="29"/>
    </row>
    <row r="570" spans="1:5" ht="12" customHeight="1">
      <c r="A570" s="155" t="str">
        <f>"061603 2"</f>
        <v>061603 2</v>
      </c>
      <c r="B570" s="153" t="s">
        <v>57</v>
      </c>
      <c r="C570" s="156" t="str">
        <f>IF(OR($A570="",ISERROR(VALUE(LEFT($A570,6)))),"",IF(LEN($A570)=2,"WOJ. ",IF(LEN($A570)=4,IF(VALUE(RIGHT($A570,2))&gt;60,"","Powiat "),IF(VALUE(RIGHT($A570,1))=1,"m. ",IF(VALUE(RIGHT($A570,1))=2,"gm. w. ",IF(VALUE(RIGHT($A570,1))=8,"dz. ","gm. m.-w. ")))))&amp;IF(LEN($A570)=2,TRIM(UPPER(VLOOKUP($A570,GUS_tabl_1!$A$7:$B$22,2,FALSE))),IF(ISERROR(FIND("..",TRIM(VLOOKUP(IF(AND(LEN($A570)=4,VALUE(RIGHT($A570,2))&gt;60),$A570&amp;"01 1",$A570),IF(AND(LEN($A570)=4,VALUE(RIGHT($A570,2))&lt;60),GUS_tabl_2!$A$8:$B$464,GUS_tabl_21!$A$5:$B$4886),2,FALSE)))),TRIM(VLOOKUP(IF(AND(LEN($A570)=4,VALUE(RIGHT($A570,2))&gt;60),$A570&amp;"01 1",$A570),IF(AND(LEN($A570)=4,VALUE(RIGHT($A570,2))&lt;60),GUS_tabl_2!$A$8:$B$464,GUS_tabl_21!$A$5:$B$4886),2,FALSE)),LEFT(TRIM(VLOOKUP(IF(AND(LEN($A570)=4,VALUE(RIGHT($A570,2))&gt;60),$A570&amp;"01 1",$A570),IF(AND(LEN($A570)=4,VALUE(RIGHT($A570,2))&lt;60),GUS_tabl_2!$A$8:$B$464,GUS_tabl_21!$A$5:$B$4886),2,FALSE)),SUM(FIND("..",TRIM(VLOOKUP(IF(AND(LEN($A570)=4,VALUE(RIGHT($A570,2))&gt;60),$A570&amp;"01 1",$A570),IF(AND(LEN($A570)=4,VALUE(RIGHT($A570,2))&lt;60),GUS_tabl_2!$A$8:$B$464,GUS_tabl_21!$A$5:$B$4886),2,FALSE))),-1)))))</f>
        <v>gm. w. Nowodwór</v>
      </c>
      <c r="D570" s="141">
        <f>IF(OR($A570="",ISERROR(VALUE(LEFT($A570,6)))),"",IF(LEN($A570)=2,SUMIF($A571:$A$2965,$A570&amp;"??",$D571:$D$2965),IF(AND(LEN($A570)=4,VALUE(RIGHT($A570,2))&lt;=60),SUMIF($A571:$A$2965,$A570&amp;"????",$D571:$D$2965),VLOOKUP(IF(LEN($A570)=4,$A570&amp;"01 1",$A570),GUS_tabl_21!$A$5:$F$4886,6,FALSE))))</f>
        <v>4072</v>
      </c>
      <c r="E570" s="29"/>
    </row>
    <row r="571" spans="1:5" ht="12" customHeight="1">
      <c r="A571" s="155" t="str">
        <f>"061604 3"</f>
        <v>061604 3</v>
      </c>
      <c r="B571" s="153" t="s">
        <v>57</v>
      </c>
      <c r="C571" s="156" t="str">
        <f>IF(OR($A571="",ISERROR(VALUE(LEFT($A571,6)))),"",IF(LEN($A571)=2,"WOJ. ",IF(LEN($A571)=4,IF(VALUE(RIGHT($A571,2))&gt;60,"","Powiat "),IF(VALUE(RIGHT($A571,1))=1,"m. ",IF(VALUE(RIGHT($A571,1))=2,"gm. w. ",IF(VALUE(RIGHT($A571,1))=8,"dz. ","gm. m.-w. ")))))&amp;IF(LEN($A571)=2,TRIM(UPPER(VLOOKUP($A571,GUS_tabl_1!$A$7:$B$22,2,FALSE))),IF(ISERROR(FIND("..",TRIM(VLOOKUP(IF(AND(LEN($A571)=4,VALUE(RIGHT($A571,2))&gt;60),$A571&amp;"01 1",$A571),IF(AND(LEN($A571)=4,VALUE(RIGHT($A571,2))&lt;60),GUS_tabl_2!$A$8:$B$464,GUS_tabl_21!$A$5:$B$4886),2,FALSE)))),TRIM(VLOOKUP(IF(AND(LEN($A571)=4,VALUE(RIGHT($A571,2))&gt;60),$A571&amp;"01 1",$A571),IF(AND(LEN($A571)=4,VALUE(RIGHT($A571,2))&lt;60),GUS_tabl_2!$A$8:$B$464,GUS_tabl_21!$A$5:$B$4886),2,FALSE)),LEFT(TRIM(VLOOKUP(IF(AND(LEN($A571)=4,VALUE(RIGHT($A571,2))&gt;60),$A571&amp;"01 1",$A571),IF(AND(LEN($A571)=4,VALUE(RIGHT($A571,2))&lt;60),GUS_tabl_2!$A$8:$B$464,GUS_tabl_21!$A$5:$B$4886),2,FALSE)),SUM(FIND("..",TRIM(VLOOKUP(IF(AND(LEN($A571)=4,VALUE(RIGHT($A571,2))&gt;60),$A571&amp;"01 1",$A571),IF(AND(LEN($A571)=4,VALUE(RIGHT($A571,2))&lt;60),GUS_tabl_2!$A$8:$B$464,GUS_tabl_21!$A$5:$B$4886),2,FALSE))),-1)))))</f>
        <v>gm. m.-w. Ryki</v>
      </c>
      <c r="D571" s="141">
        <f>IF(OR($A571="",ISERROR(VALUE(LEFT($A571,6)))),"",IF(LEN($A571)=2,SUMIF($A572:$A$2965,$A571&amp;"??",$D572:$D$2965),IF(AND(LEN($A571)=4,VALUE(RIGHT($A571,2))&lt;=60),SUMIF($A572:$A$2965,$A571&amp;"????",$D572:$D$2965),VLOOKUP(IF(LEN($A571)=4,$A571&amp;"01 1",$A571),GUS_tabl_21!$A$5:$F$4886,6,FALSE))))</f>
        <v>20386</v>
      </c>
      <c r="E571" s="29"/>
    </row>
    <row r="572" spans="1:5" ht="12" customHeight="1">
      <c r="A572" s="155" t="str">
        <f>"061605 2"</f>
        <v>061605 2</v>
      </c>
      <c r="B572" s="153" t="s">
        <v>57</v>
      </c>
      <c r="C572" s="156" t="str">
        <f>IF(OR($A572="",ISERROR(VALUE(LEFT($A572,6)))),"",IF(LEN($A572)=2,"WOJ. ",IF(LEN($A572)=4,IF(VALUE(RIGHT($A572,2))&gt;60,"","Powiat "),IF(VALUE(RIGHT($A572,1))=1,"m. ",IF(VALUE(RIGHT($A572,1))=2,"gm. w. ",IF(VALUE(RIGHT($A572,1))=8,"dz. ","gm. m.-w. ")))))&amp;IF(LEN($A572)=2,TRIM(UPPER(VLOOKUP($A572,GUS_tabl_1!$A$7:$B$22,2,FALSE))),IF(ISERROR(FIND("..",TRIM(VLOOKUP(IF(AND(LEN($A572)=4,VALUE(RIGHT($A572,2))&gt;60),$A572&amp;"01 1",$A572),IF(AND(LEN($A572)=4,VALUE(RIGHT($A572,2))&lt;60),GUS_tabl_2!$A$8:$B$464,GUS_tabl_21!$A$5:$B$4886),2,FALSE)))),TRIM(VLOOKUP(IF(AND(LEN($A572)=4,VALUE(RIGHT($A572,2))&gt;60),$A572&amp;"01 1",$A572),IF(AND(LEN($A572)=4,VALUE(RIGHT($A572,2))&lt;60),GUS_tabl_2!$A$8:$B$464,GUS_tabl_21!$A$5:$B$4886),2,FALSE)),LEFT(TRIM(VLOOKUP(IF(AND(LEN($A572)=4,VALUE(RIGHT($A572,2))&gt;60),$A572&amp;"01 1",$A572),IF(AND(LEN($A572)=4,VALUE(RIGHT($A572,2))&lt;60),GUS_tabl_2!$A$8:$B$464,GUS_tabl_21!$A$5:$B$4886),2,FALSE)),SUM(FIND("..",TRIM(VLOOKUP(IF(AND(LEN($A572)=4,VALUE(RIGHT($A572,2))&gt;60),$A572&amp;"01 1",$A572),IF(AND(LEN($A572)=4,VALUE(RIGHT($A572,2))&lt;60),GUS_tabl_2!$A$8:$B$464,GUS_tabl_21!$A$5:$B$4886),2,FALSE))),-1)))))</f>
        <v>gm. w. Stężyca</v>
      </c>
      <c r="D572" s="141">
        <f>IF(OR($A572="",ISERROR(VALUE(LEFT($A572,6)))),"",IF(LEN($A572)=2,SUMIF($A573:$A$2965,$A572&amp;"??",$D573:$D$2965),IF(AND(LEN($A572)=4,VALUE(RIGHT($A572,2))&lt;=60),SUMIF($A573:$A$2965,$A572&amp;"????",$D573:$D$2965),VLOOKUP(IF(LEN($A572)=4,$A572&amp;"01 1",$A572),GUS_tabl_21!$A$5:$F$4886,6,FALSE))))</f>
        <v>5140</v>
      </c>
      <c r="E572" s="29"/>
    </row>
    <row r="573" spans="1:5" ht="12" customHeight="1">
      <c r="A573" s="155" t="str">
        <f>"061606 2"</f>
        <v>061606 2</v>
      </c>
      <c r="B573" s="153" t="s">
        <v>57</v>
      </c>
      <c r="C573" s="156" t="str">
        <f>IF(OR($A573="",ISERROR(VALUE(LEFT($A573,6)))),"",IF(LEN($A573)=2,"WOJ. ",IF(LEN($A573)=4,IF(VALUE(RIGHT($A573,2))&gt;60,"","Powiat "),IF(VALUE(RIGHT($A573,1))=1,"m. ",IF(VALUE(RIGHT($A573,1))=2,"gm. w. ",IF(VALUE(RIGHT($A573,1))=8,"dz. ","gm. m.-w. ")))))&amp;IF(LEN($A573)=2,TRIM(UPPER(VLOOKUP($A573,GUS_tabl_1!$A$7:$B$22,2,FALSE))),IF(ISERROR(FIND("..",TRIM(VLOOKUP(IF(AND(LEN($A573)=4,VALUE(RIGHT($A573,2))&gt;60),$A573&amp;"01 1",$A573),IF(AND(LEN($A573)=4,VALUE(RIGHT($A573,2))&lt;60),GUS_tabl_2!$A$8:$B$464,GUS_tabl_21!$A$5:$B$4886),2,FALSE)))),TRIM(VLOOKUP(IF(AND(LEN($A573)=4,VALUE(RIGHT($A573,2))&gt;60),$A573&amp;"01 1",$A573),IF(AND(LEN($A573)=4,VALUE(RIGHT($A573,2))&lt;60),GUS_tabl_2!$A$8:$B$464,GUS_tabl_21!$A$5:$B$4886),2,FALSE)),LEFT(TRIM(VLOOKUP(IF(AND(LEN($A573)=4,VALUE(RIGHT($A573,2))&gt;60),$A573&amp;"01 1",$A573),IF(AND(LEN($A573)=4,VALUE(RIGHT($A573,2))&lt;60),GUS_tabl_2!$A$8:$B$464,GUS_tabl_21!$A$5:$B$4886),2,FALSE)),SUM(FIND("..",TRIM(VLOOKUP(IF(AND(LEN($A573)=4,VALUE(RIGHT($A573,2))&gt;60),$A573&amp;"01 1",$A573),IF(AND(LEN($A573)=4,VALUE(RIGHT($A573,2))&lt;60),GUS_tabl_2!$A$8:$B$464,GUS_tabl_21!$A$5:$B$4886),2,FALSE))),-1)))))</f>
        <v>gm. w. Ułęż</v>
      </c>
      <c r="D573" s="141">
        <f>IF(OR($A573="",ISERROR(VALUE(LEFT($A573,6)))),"",IF(LEN($A573)=2,SUMIF($A574:$A$2965,$A573&amp;"??",$D574:$D$2965),IF(AND(LEN($A573)=4,VALUE(RIGHT($A573,2))&lt;=60),SUMIF($A574:$A$2965,$A573&amp;"????",$D574:$D$2965),VLOOKUP(IF(LEN($A573)=4,$A573&amp;"01 1",$A573),GUS_tabl_21!$A$5:$F$4886,6,FALSE))))</f>
        <v>3190</v>
      </c>
      <c r="E573" s="29"/>
    </row>
    <row r="574" spans="1:5" ht="12" customHeight="1">
      <c r="A574" s="152" t="str">
        <f>"0617"</f>
        <v>0617</v>
      </c>
      <c r="B574" s="153" t="s">
        <v>57</v>
      </c>
      <c r="C574" s="154" t="str">
        <f>IF(OR($A574="",ISERROR(VALUE(LEFT($A574,6)))),"",IF(LEN($A574)=2,"WOJ. ",IF(LEN($A574)=4,IF(VALUE(RIGHT($A574,2))&gt;60,"","Powiat "),IF(VALUE(RIGHT($A574,1))=1,"m. ",IF(VALUE(RIGHT($A574,1))=2,"gm. w. ",IF(VALUE(RIGHT($A574,1))=8,"dz. ","gm. m.-w. ")))))&amp;IF(LEN($A574)=2,TRIM(UPPER(VLOOKUP($A574,GUS_tabl_1!$A$7:$B$22,2,FALSE))),IF(ISERROR(FIND("..",TRIM(VLOOKUP(IF(AND(LEN($A574)=4,VALUE(RIGHT($A574,2))&gt;60),$A574&amp;"01 1",$A574),IF(AND(LEN($A574)=4,VALUE(RIGHT($A574,2))&lt;60),GUS_tabl_2!$A$8:$B$464,GUS_tabl_21!$A$5:$B$4886),2,FALSE)))),TRIM(VLOOKUP(IF(AND(LEN($A574)=4,VALUE(RIGHT($A574,2))&gt;60),$A574&amp;"01 1",$A574),IF(AND(LEN($A574)=4,VALUE(RIGHT($A574,2))&lt;60),GUS_tabl_2!$A$8:$B$464,GUS_tabl_21!$A$5:$B$4886),2,FALSE)),LEFT(TRIM(VLOOKUP(IF(AND(LEN($A574)=4,VALUE(RIGHT($A574,2))&gt;60),$A574&amp;"01 1",$A574),IF(AND(LEN($A574)=4,VALUE(RIGHT($A574,2))&lt;60),GUS_tabl_2!$A$8:$B$464,GUS_tabl_21!$A$5:$B$4886),2,FALSE)),SUM(FIND("..",TRIM(VLOOKUP(IF(AND(LEN($A574)=4,VALUE(RIGHT($A574,2))&gt;60),$A574&amp;"01 1",$A574),IF(AND(LEN($A574)=4,VALUE(RIGHT($A574,2))&lt;60),GUS_tabl_2!$A$8:$B$464,GUS_tabl_21!$A$5:$B$4886),2,FALSE))),-1)))))</f>
        <v>Powiat świdnicki</v>
      </c>
      <c r="D574" s="140">
        <f>IF(OR($A574="",ISERROR(VALUE(LEFT($A574,6)))),"",IF(LEN($A574)=2,SUMIF($A575:$A$2965,$A574&amp;"??",$D575:$D$2965),IF(AND(LEN($A574)=4,VALUE(RIGHT($A574,2))&lt;=60),SUMIF($A575:$A$2965,$A574&amp;"????",$D575:$D$2965),VLOOKUP(IF(LEN($A574)=4,$A574&amp;"01 1",$A574),GUS_tabl_21!$A$5:$F$4886,6,FALSE))))</f>
        <v>71840</v>
      </c>
      <c r="E574" s="29"/>
    </row>
    <row r="575" spans="1:5" ht="12" customHeight="1">
      <c r="A575" s="155" t="str">
        <f>"061701 1"</f>
        <v>061701 1</v>
      </c>
      <c r="B575" s="153" t="s">
        <v>57</v>
      </c>
      <c r="C575" s="156" t="str">
        <f>IF(OR($A575="",ISERROR(VALUE(LEFT($A575,6)))),"",IF(LEN($A575)=2,"WOJ. ",IF(LEN($A575)=4,IF(VALUE(RIGHT($A575,2))&gt;60,"","Powiat "),IF(VALUE(RIGHT($A575,1))=1,"m. ",IF(VALUE(RIGHT($A575,1))=2,"gm. w. ",IF(VALUE(RIGHT($A575,1))=8,"dz. ","gm. m.-w. ")))))&amp;IF(LEN($A575)=2,TRIM(UPPER(VLOOKUP($A575,GUS_tabl_1!$A$7:$B$22,2,FALSE))),IF(ISERROR(FIND("..",TRIM(VLOOKUP(IF(AND(LEN($A575)=4,VALUE(RIGHT($A575,2))&gt;60),$A575&amp;"01 1",$A575),IF(AND(LEN($A575)=4,VALUE(RIGHT($A575,2))&lt;60),GUS_tabl_2!$A$8:$B$464,GUS_tabl_21!$A$5:$B$4886),2,FALSE)))),TRIM(VLOOKUP(IF(AND(LEN($A575)=4,VALUE(RIGHT($A575,2))&gt;60),$A575&amp;"01 1",$A575),IF(AND(LEN($A575)=4,VALUE(RIGHT($A575,2))&lt;60),GUS_tabl_2!$A$8:$B$464,GUS_tabl_21!$A$5:$B$4886),2,FALSE)),LEFT(TRIM(VLOOKUP(IF(AND(LEN($A575)=4,VALUE(RIGHT($A575,2))&gt;60),$A575&amp;"01 1",$A575),IF(AND(LEN($A575)=4,VALUE(RIGHT($A575,2))&lt;60),GUS_tabl_2!$A$8:$B$464,GUS_tabl_21!$A$5:$B$4886),2,FALSE)),SUM(FIND("..",TRIM(VLOOKUP(IF(AND(LEN($A575)=4,VALUE(RIGHT($A575,2))&gt;60),$A575&amp;"01 1",$A575),IF(AND(LEN($A575)=4,VALUE(RIGHT($A575,2))&lt;60),GUS_tabl_2!$A$8:$B$464,GUS_tabl_21!$A$5:$B$4886),2,FALSE))),-1)))))</f>
        <v>m. Świdnik (a)</v>
      </c>
      <c r="D575" s="141">
        <f>IF(OR($A575="",ISERROR(VALUE(LEFT($A575,6)))),"",IF(LEN($A575)=2,SUMIF($A576:$A$2965,$A575&amp;"??",$D576:$D$2965),IF(AND(LEN($A575)=4,VALUE(RIGHT($A575,2))&lt;=60),SUMIF($A576:$A$2965,$A575&amp;"????",$D576:$D$2965),VLOOKUP(IF(LEN($A575)=4,$A575&amp;"01 1",$A575),GUS_tabl_21!$A$5:$F$4886,6,FALSE))))</f>
        <v>39136</v>
      </c>
      <c r="E575" s="29"/>
    </row>
    <row r="576" spans="1:5" ht="12" customHeight="1">
      <c r="A576" s="155" t="str">
        <f>"061702 2"</f>
        <v>061702 2</v>
      </c>
      <c r="B576" s="153" t="s">
        <v>57</v>
      </c>
      <c r="C576" s="156" t="str">
        <f>IF(OR($A576="",ISERROR(VALUE(LEFT($A576,6)))),"",IF(LEN($A576)=2,"WOJ. ",IF(LEN($A576)=4,IF(VALUE(RIGHT($A576,2))&gt;60,"","Powiat "),IF(VALUE(RIGHT($A576,1))=1,"m. ",IF(VALUE(RIGHT($A576,1))=2,"gm. w. ",IF(VALUE(RIGHT($A576,1))=8,"dz. ","gm. m.-w. ")))))&amp;IF(LEN($A576)=2,TRIM(UPPER(VLOOKUP($A576,GUS_tabl_1!$A$7:$B$22,2,FALSE))),IF(ISERROR(FIND("..",TRIM(VLOOKUP(IF(AND(LEN($A576)=4,VALUE(RIGHT($A576,2))&gt;60),$A576&amp;"01 1",$A576),IF(AND(LEN($A576)=4,VALUE(RIGHT($A576,2))&lt;60),GUS_tabl_2!$A$8:$B$464,GUS_tabl_21!$A$5:$B$4886),2,FALSE)))),TRIM(VLOOKUP(IF(AND(LEN($A576)=4,VALUE(RIGHT($A576,2))&gt;60),$A576&amp;"01 1",$A576),IF(AND(LEN($A576)=4,VALUE(RIGHT($A576,2))&lt;60),GUS_tabl_2!$A$8:$B$464,GUS_tabl_21!$A$5:$B$4886),2,FALSE)),LEFT(TRIM(VLOOKUP(IF(AND(LEN($A576)=4,VALUE(RIGHT($A576,2))&gt;60),$A576&amp;"01 1",$A576),IF(AND(LEN($A576)=4,VALUE(RIGHT($A576,2))&lt;60),GUS_tabl_2!$A$8:$B$464,GUS_tabl_21!$A$5:$B$4886),2,FALSE)),SUM(FIND("..",TRIM(VLOOKUP(IF(AND(LEN($A576)=4,VALUE(RIGHT($A576,2))&gt;60),$A576&amp;"01 1",$A576),IF(AND(LEN($A576)=4,VALUE(RIGHT($A576,2))&lt;60),GUS_tabl_2!$A$8:$B$464,GUS_tabl_21!$A$5:$B$4886),2,FALSE))),-1)))))</f>
        <v>gm. w. Mełgiew</v>
      </c>
      <c r="D576" s="141">
        <f>IF(OR($A576="",ISERROR(VALUE(LEFT($A576,6)))),"",IF(LEN($A576)=2,SUMIF($A577:$A$2965,$A576&amp;"??",$D577:$D$2965),IF(AND(LEN($A576)=4,VALUE(RIGHT($A576,2))&lt;=60),SUMIF($A577:$A$2965,$A576&amp;"????",$D577:$D$2965),VLOOKUP(IF(LEN($A576)=4,$A576&amp;"01 1",$A576),GUS_tabl_21!$A$5:$F$4886,6,FALSE))))</f>
        <v>9928</v>
      </c>
      <c r="E576" s="29"/>
    </row>
    <row r="577" spans="1:5" ht="12" customHeight="1">
      <c r="A577" s="155" t="str">
        <f>"061703 3"</f>
        <v>061703 3</v>
      </c>
      <c r="B577" s="153" t="s">
        <v>57</v>
      </c>
      <c r="C577" s="156" t="str">
        <f>IF(OR($A577="",ISERROR(VALUE(LEFT($A577,6)))),"",IF(LEN($A577)=2,"WOJ. ",IF(LEN($A577)=4,IF(VALUE(RIGHT($A577,2))&gt;60,"","Powiat "),IF(VALUE(RIGHT($A577,1))=1,"m. ",IF(VALUE(RIGHT($A577,1))=2,"gm. w. ",IF(VALUE(RIGHT($A577,1))=8,"dz. ","gm. m.-w. ")))))&amp;IF(LEN($A577)=2,TRIM(UPPER(VLOOKUP($A577,GUS_tabl_1!$A$7:$B$22,2,FALSE))),IF(ISERROR(FIND("..",TRIM(VLOOKUP(IF(AND(LEN($A577)=4,VALUE(RIGHT($A577,2))&gt;60),$A577&amp;"01 1",$A577),IF(AND(LEN($A577)=4,VALUE(RIGHT($A577,2))&lt;60),GUS_tabl_2!$A$8:$B$464,GUS_tabl_21!$A$5:$B$4886),2,FALSE)))),TRIM(VLOOKUP(IF(AND(LEN($A577)=4,VALUE(RIGHT($A577,2))&gt;60),$A577&amp;"01 1",$A577),IF(AND(LEN($A577)=4,VALUE(RIGHT($A577,2))&lt;60),GUS_tabl_2!$A$8:$B$464,GUS_tabl_21!$A$5:$B$4886),2,FALSE)),LEFT(TRIM(VLOOKUP(IF(AND(LEN($A577)=4,VALUE(RIGHT($A577,2))&gt;60),$A577&amp;"01 1",$A577),IF(AND(LEN($A577)=4,VALUE(RIGHT($A577,2))&lt;60),GUS_tabl_2!$A$8:$B$464,GUS_tabl_21!$A$5:$B$4886),2,FALSE)),SUM(FIND("..",TRIM(VLOOKUP(IF(AND(LEN($A577)=4,VALUE(RIGHT($A577,2))&gt;60),$A577&amp;"01 1",$A577),IF(AND(LEN($A577)=4,VALUE(RIGHT($A577,2))&lt;60),GUS_tabl_2!$A$8:$B$464,GUS_tabl_21!$A$5:$B$4886),2,FALSE))),-1)))))</f>
        <v>gm. m.-w. Piaski</v>
      </c>
      <c r="D577" s="141">
        <f>IF(OR($A577="",ISERROR(VALUE(LEFT($A577,6)))),"",IF(LEN($A577)=2,SUMIF($A578:$A$2965,$A577&amp;"??",$D578:$D$2965),IF(AND(LEN($A577)=4,VALUE(RIGHT($A577,2))&lt;=60),SUMIF($A578:$A$2965,$A577&amp;"????",$D578:$D$2965),VLOOKUP(IF(LEN($A577)=4,$A577&amp;"01 1",$A577),GUS_tabl_21!$A$5:$F$4886,6,FALSE))))</f>
        <v>10530</v>
      </c>
      <c r="E577" s="29"/>
    </row>
    <row r="578" spans="1:5" ht="12" customHeight="1">
      <c r="A578" s="155" t="str">
        <f>"061704 2"</f>
        <v>061704 2</v>
      </c>
      <c r="B578" s="153" t="s">
        <v>57</v>
      </c>
      <c r="C578" s="156" t="str">
        <f>IF(OR($A578="",ISERROR(VALUE(LEFT($A578,6)))),"",IF(LEN($A578)=2,"WOJ. ",IF(LEN($A578)=4,IF(VALUE(RIGHT($A578,2))&gt;60,"","Powiat "),IF(VALUE(RIGHT($A578,1))=1,"m. ",IF(VALUE(RIGHT($A578,1))=2,"gm. w. ",IF(VALUE(RIGHT($A578,1))=8,"dz. ","gm. m.-w. ")))))&amp;IF(LEN($A578)=2,TRIM(UPPER(VLOOKUP($A578,GUS_tabl_1!$A$7:$B$22,2,FALSE))),IF(ISERROR(FIND("..",TRIM(VLOOKUP(IF(AND(LEN($A578)=4,VALUE(RIGHT($A578,2))&gt;60),$A578&amp;"01 1",$A578),IF(AND(LEN($A578)=4,VALUE(RIGHT($A578,2))&lt;60),GUS_tabl_2!$A$8:$B$464,GUS_tabl_21!$A$5:$B$4886),2,FALSE)))),TRIM(VLOOKUP(IF(AND(LEN($A578)=4,VALUE(RIGHT($A578,2))&gt;60),$A578&amp;"01 1",$A578),IF(AND(LEN($A578)=4,VALUE(RIGHT($A578,2))&lt;60),GUS_tabl_2!$A$8:$B$464,GUS_tabl_21!$A$5:$B$4886),2,FALSE)),LEFT(TRIM(VLOOKUP(IF(AND(LEN($A578)=4,VALUE(RIGHT($A578,2))&gt;60),$A578&amp;"01 1",$A578),IF(AND(LEN($A578)=4,VALUE(RIGHT($A578,2))&lt;60),GUS_tabl_2!$A$8:$B$464,GUS_tabl_21!$A$5:$B$4886),2,FALSE)),SUM(FIND("..",TRIM(VLOOKUP(IF(AND(LEN($A578)=4,VALUE(RIGHT($A578,2))&gt;60),$A578&amp;"01 1",$A578),IF(AND(LEN($A578)=4,VALUE(RIGHT($A578,2))&lt;60),GUS_tabl_2!$A$8:$B$464,GUS_tabl_21!$A$5:$B$4886),2,FALSE))),-1)))))</f>
        <v>gm. w. Rybczewice</v>
      </c>
      <c r="D578" s="141">
        <f>IF(OR($A578="",ISERROR(VALUE(LEFT($A578,6)))),"",IF(LEN($A578)=2,SUMIF($A579:$A$2965,$A578&amp;"??",$D579:$D$2965),IF(AND(LEN($A578)=4,VALUE(RIGHT($A578,2))&lt;=60),SUMIF($A579:$A$2965,$A578&amp;"????",$D579:$D$2965),VLOOKUP(IF(LEN($A578)=4,$A578&amp;"01 1",$A578),GUS_tabl_21!$A$5:$F$4886,6,FALSE))))</f>
        <v>3362</v>
      </c>
      <c r="E578" s="29"/>
    </row>
    <row r="579" spans="1:5" ht="12" customHeight="1">
      <c r="A579" s="155" t="str">
        <f>"061705 2"</f>
        <v>061705 2</v>
      </c>
      <c r="B579" s="153" t="s">
        <v>57</v>
      </c>
      <c r="C579" s="156" t="str">
        <f>IF(OR($A579="",ISERROR(VALUE(LEFT($A579,6)))),"",IF(LEN($A579)=2,"WOJ. ",IF(LEN($A579)=4,IF(VALUE(RIGHT($A579,2))&gt;60,"","Powiat "),IF(VALUE(RIGHT($A579,1))=1,"m. ",IF(VALUE(RIGHT($A579,1))=2,"gm. w. ",IF(VALUE(RIGHT($A579,1))=8,"dz. ","gm. m.-w. ")))))&amp;IF(LEN($A579)=2,TRIM(UPPER(VLOOKUP($A579,GUS_tabl_1!$A$7:$B$22,2,FALSE))),IF(ISERROR(FIND("..",TRIM(VLOOKUP(IF(AND(LEN($A579)=4,VALUE(RIGHT($A579,2))&gt;60),$A579&amp;"01 1",$A579),IF(AND(LEN($A579)=4,VALUE(RIGHT($A579,2))&lt;60),GUS_tabl_2!$A$8:$B$464,GUS_tabl_21!$A$5:$B$4886),2,FALSE)))),TRIM(VLOOKUP(IF(AND(LEN($A579)=4,VALUE(RIGHT($A579,2))&gt;60),$A579&amp;"01 1",$A579),IF(AND(LEN($A579)=4,VALUE(RIGHT($A579,2))&lt;60),GUS_tabl_2!$A$8:$B$464,GUS_tabl_21!$A$5:$B$4886),2,FALSE)),LEFT(TRIM(VLOOKUP(IF(AND(LEN($A579)=4,VALUE(RIGHT($A579,2))&gt;60),$A579&amp;"01 1",$A579),IF(AND(LEN($A579)=4,VALUE(RIGHT($A579,2))&lt;60),GUS_tabl_2!$A$8:$B$464,GUS_tabl_21!$A$5:$B$4886),2,FALSE)),SUM(FIND("..",TRIM(VLOOKUP(IF(AND(LEN($A579)=4,VALUE(RIGHT($A579,2))&gt;60),$A579&amp;"01 1",$A579),IF(AND(LEN($A579)=4,VALUE(RIGHT($A579,2))&lt;60),GUS_tabl_2!$A$8:$B$464,GUS_tabl_21!$A$5:$B$4886),2,FALSE))),-1)))))</f>
        <v>gm. w. Trawniki</v>
      </c>
      <c r="D579" s="141">
        <f>IF(OR($A579="",ISERROR(VALUE(LEFT($A579,6)))),"",IF(LEN($A579)=2,SUMIF($A580:$A$2965,$A579&amp;"??",$D580:$D$2965),IF(AND(LEN($A579)=4,VALUE(RIGHT($A579,2))&lt;=60),SUMIF($A580:$A$2965,$A579&amp;"????",$D580:$D$2965),VLOOKUP(IF(LEN($A579)=4,$A579&amp;"01 1",$A579),GUS_tabl_21!$A$5:$F$4886,6,FALSE))))</f>
        <v>8884</v>
      </c>
      <c r="E579" s="29"/>
    </row>
    <row r="580" spans="1:5" ht="12" customHeight="1">
      <c r="A580" s="152" t="str">
        <f>"0618"</f>
        <v>0618</v>
      </c>
      <c r="B580" s="153" t="s">
        <v>57</v>
      </c>
      <c r="C580" s="154" t="str">
        <f>IF(OR($A580="",ISERROR(VALUE(LEFT($A580,6)))),"",IF(LEN($A580)=2,"WOJ. ",IF(LEN($A580)=4,IF(VALUE(RIGHT($A580,2))&gt;60,"","Powiat "),IF(VALUE(RIGHT($A580,1))=1,"m. ",IF(VALUE(RIGHT($A580,1))=2,"gm. w. ",IF(VALUE(RIGHT($A580,1))=8,"dz. ","gm. m.-w. ")))))&amp;IF(LEN($A580)=2,TRIM(UPPER(VLOOKUP($A580,GUS_tabl_1!$A$7:$B$22,2,FALSE))),IF(ISERROR(FIND("..",TRIM(VLOOKUP(IF(AND(LEN($A580)=4,VALUE(RIGHT($A580,2))&gt;60),$A580&amp;"01 1",$A580),IF(AND(LEN($A580)=4,VALUE(RIGHT($A580,2))&lt;60),GUS_tabl_2!$A$8:$B$464,GUS_tabl_21!$A$5:$B$4886),2,FALSE)))),TRIM(VLOOKUP(IF(AND(LEN($A580)=4,VALUE(RIGHT($A580,2))&gt;60),$A580&amp;"01 1",$A580),IF(AND(LEN($A580)=4,VALUE(RIGHT($A580,2))&lt;60),GUS_tabl_2!$A$8:$B$464,GUS_tabl_21!$A$5:$B$4886),2,FALSE)),LEFT(TRIM(VLOOKUP(IF(AND(LEN($A580)=4,VALUE(RIGHT($A580,2))&gt;60),$A580&amp;"01 1",$A580),IF(AND(LEN($A580)=4,VALUE(RIGHT($A580,2))&lt;60),GUS_tabl_2!$A$8:$B$464,GUS_tabl_21!$A$5:$B$4886),2,FALSE)),SUM(FIND("..",TRIM(VLOOKUP(IF(AND(LEN($A580)=4,VALUE(RIGHT($A580,2))&gt;60),$A580&amp;"01 1",$A580),IF(AND(LEN($A580)=4,VALUE(RIGHT($A580,2))&lt;60),GUS_tabl_2!$A$8:$B$464,GUS_tabl_21!$A$5:$B$4886),2,FALSE))),-1)))))</f>
        <v>Powiat tomaszowski</v>
      </c>
      <c r="D580" s="140">
        <f>IF(OR($A580="",ISERROR(VALUE(LEFT($A580,6)))),"",IF(LEN($A580)=2,SUMIF($A581:$A$2965,$A580&amp;"??",$D581:$D$2965),IF(AND(LEN($A580)=4,VALUE(RIGHT($A580,2))&lt;=60),SUMIF($A581:$A$2965,$A580&amp;"????",$D581:$D$2965),VLOOKUP(IF(LEN($A580)=4,$A580&amp;"01 1",$A580),GUS_tabl_21!$A$5:$F$4886,6,FALSE))))</f>
        <v>82762</v>
      </c>
      <c r="E580" s="29"/>
    </row>
    <row r="581" spans="1:5" ht="12" customHeight="1">
      <c r="A581" s="155" t="str">
        <f>"061801 1"</f>
        <v>061801 1</v>
      </c>
      <c r="B581" s="153" t="s">
        <v>57</v>
      </c>
      <c r="C581" s="156" t="str">
        <f>IF(OR($A581="",ISERROR(VALUE(LEFT($A581,6)))),"",IF(LEN($A581)=2,"WOJ. ",IF(LEN($A581)=4,IF(VALUE(RIGHT($A581,2))&gt;60,"","Powiat "),IF(VALUE(RIGHT($A581,1))=1,"m. ",IF(VALUE(RIGHT($A581,1))=2,"gm. w. ",IF(VALUE(RIGHT($A581,1))=8,"dz. ","gm. m.-w. ")))))&amp;IF(LEN($A581)=2,TRIM(UPPER(VLOOKUP($A581,GUS_tabl_1!$A$7:$B$22,2,FALSE))),IF(ISERROR(FIND("..",TRIM(VLOOKUP(IF(AND(LEN($A581)=4,VALUE(RIGHT($A581,2))&gt;60),$A581&amp;"01 1",$A581),IF(AND(LEN($A581)=4,VALUE(RIGHT($A581,2))&lt;60),GUS_tabl_2!$A$8:$B$464,GUS_tabl_21!$A$5:$B$4886),2,FALSE)))),TRIM(VLOOKUP(IF(AND(LEN($A581)=4,VALUE(RIGHT($A581,2))&gt;60),$A581&amp;"01 1",$A581),IF(AND(LEN($A581)=4,VALUE(RIGHT($A581,2))&lt;60),GUS_tabl_2!$A$8:$B$464,GUS_tabl_21!$A$5:$B$4886),2,FALSE)),LEFT(TRIM(VLOOKUP(IF(AND(LEN($A581)=4,VALUE(RIGHT($A581,2))&gt;60),$A581&amp;"01 1",$A581),IF(AND(LEN($A581)=4,VALUE(RIGHT($A581,2))&lt;60),GUS_tabl_2!$A$8:$B$464,GUS_tabl_21!$A$5:$B$4886),2,FALSE)),SUM(FIND("..",TRIM(VLOOKUP(IF(AND(LEN($A581)=4,VALUE(RIGHT($A581,2))&gt;60),$A581&amp;"01 1",$A581),IF(AND(LEN($A581)=4,VALUE(RIGHT($A581,2))&lt;60),GUS_tabl_2!$A$8:$B$464,GUS_tabl_21!$A$5:$B$4886),2,FALSE))),-1)))))</f>
        <v>m. Tomaszów Lubelski</v>
      </c>
      <c r="D581" s="141">
        <f>IF(OR($A581="",ISERROR(VALUE(LEFT($A581,6)))),"",IF(LEN($A581)=2,SUMIF($A582:$A$2965,$A581&amp;"??",$D582:$D$2965),IF(AND(LEN($A581)=4,VALUE(RIGHT($A581,2))&lt;=60),SUMIF($A582:$A$2965,$A581&amp;"????",$D582:$D$2965),VLOOKUP(IF(LEN($A581)=4,$A581&amp;"01 1",$A581),GUS_tabl_21!$A$5:$F$4886,6,FALSE))))</f>
        <v>19035</v>
      </c>
      <c r="E581" s="29"/>
    </row>
    <row r="582" spans="1:5" ht="12" customHeight="1">
      <c r="A582" s="155" t="str">
        <f>"061802 2"</f>
        <v>061802 2</v>
      </c>
      <c r="B582" s="153" t="s">
        <v>57</v>
      </c>
      <c r="C582" s="156" t="str">
        <f>IF(OR($A582="",ISERROR(VALUE(LEFT($A582,6)))),"",IF(LEN($A582)=2,"WOJ. ",IF(LEN($A582)=4,IF(VALUE(RIGHT($A582,2))&gt;60,"","Powiat "),IF(VALUE(RIGHT($A582,1))=1,"m. ",IF(VALUE(RIGHT($A582,1))=2,"gm. w. ",IF(VALUE(RIGHT($A582,1))=8,"dz. ","gm. m.-w. ")))))&amp;IF(LEN($A582)=2,TRIM(UPPER(VLOOKUP($A582,GUS_tabl_1!$A$7:$B$22,2,FALSE))),IF(ISERROR(FIND("..",TRIM(VLOOKUP(IF(AND(LEN($A582)=4,VALUE(RIGHT($A582,2))&gt;60),$A582&amp;"01 1",$A582),IF(AND(LEN($A582)=4,VALUE(RIGHT($A582,2))&lt;60),GUS_tabl_2!$A$8:$B$464,GUS_tabl_21!$A$5:$B$4886),2,FALSE)))),TRIM(VLOOKUP(IF(AND(LEN($A582)=4,VALUE(RIGHT($A582,2))&gt;60),$A582&amp;"01 1",$A582),IF(AND(LEN($A582)=4,VALUE(RIGHT($A582,2))&lt;60),GUS_tabl_2!$A$8:$B$464,GUS_tabl_21!$A$5:$B$4886),2,FALSE)),LEFT(TRIM(VLOOKUP(IF(AND(LEN($A582)=4,VALUE(RIGHT($A582,2))&gt;60),$A582&amp;"01 1",$A582),IF(AND(LEN($A582)=4,VALUE(RIGHT($A582,2))&lt;60),GUS_tabl_2!$A$8:$B$464,GUS_tabl_21!$A$5:$B$4886),2,FALSE)),SUM(FIND("..",TRIM(VLOOKUP(IF(AND(LEN($A582)=4,VALUE(RIGHT($A582,2))&gt;60),$A582&amp;"01 1",$A582),IF(AND(LEN($A582)=4,VALUE(RIGHT($A582,2))&lt;60),GUS_tabl_2!$A$8:$B$464,GUS_tabl_21!$A$5:$B$4886),2,FALSE))),-1)))))</f>
        <v>gm. w. Bełżec</v>
      </c>
      <c r="D582" s="141">
        <f>IF(OR($A582="",ISERROR(VALUE(LEFT($A582,6)))),"",IF(LEN($A582)=2,SUMIF($A583:$A$2965,$A582&amp;"??",$D583:$D$2965),IF(AND(LEN($A582)=4,VALUE(RIGHT($A582,2))&lt;=60),SUMIF($A583:$A$2965,$A582&amp;"????",$D583:$D$2965),VLOOKUP(IF(LEN($A582)=4,$A582&amp;"01 1",$A582),GUS_tabl_21!$A$5:$F$4886,6,FALSE))))</f>
        <v>3315</v>
      </c>
      <c r="E582" s="29"/>
    </row>
    <row r="583" spans="1:5" ht="12" customHeight="1">
      <c r="A583" s="155" t="str">
        <f>"061803 2"</f>
        <v>061803 2</v>
      </c>
      <c r="B583" s="153" t="s">
        <v>57</v>
      </c>
      <c r="C583" s="156" t="str">
        <f>IF(OR($A583="",ISERROR(VALUE(LEFT($A583,6)))),"",IF(LEN($A583)=2,"WOJ. ",IF(LEN($A583)=4,IF(VALUE(RIGHT($A583,2))&gt;60,"","Powiat "),IF(VALUE(RIGHT($A583,1))=1,"m. ",IF(VALUE(RIGHT($A583,1))=2,"gm. w. ",IF(VALUE(RIGHT($A583,1))=8,"dz. ","gm. m.-w. ")))))&amp;IF(LEN($A583)=2,TRIM(UPPER(VLOOKUP($A583,GUS_tabl_1!$A$7:$B$22,2,FALSE))),IF(ISERROR(FIND("..",TRIM(VLOOKUP(IF(AND(LEN($A583)=4,VALUE(RIGHT($A583,2))&gt;60),$A583&amp;"01 1",$A583),IF(AND(LEN($A583)=4,VALUE(RIGHT($A583,2))&lt;60),GUS_tabl_2!$A$8:$B$464,GUS_tabl_21!$A$5:$B$4886),2,FALSE)))),TRIM(VLOOKUP(IF(AND(LEN($A583)=4,VALUE(RIGHT($A583,2))&gt;60),$A583&amp;"01 1",$A583),IF(AND(LEN($A583)=4,VALUE(RIGHT($A583,2))&lt;60),GUS_tabl_2!$A$8:$B$464,GUS_tabl_21!$A$5:$B$4886),2,FALSE)),LEFT(TRIM(VLOOKUP(IF(AND(LEN($A583)=4,VALUE(RIGHT($A583,2))&gt;60),$A583&amp;"01 1",$A583),IF(AND(LEN($A583)=4,VALUE(RIGHT($A583,2))&lt;60),GUS_tabl_2!$A$8:$B$464,GUS_tabl_21!$A$5:$B$4886),2,FALSE)),SUM(FIND("..",TRIM(VLOOKUP(IF(AND(LEN($A583)=4,VALUE(RIGHT($A583,2))&gt;60),$A583&amp;"01 1",$A583),IF(AND(LEN($A583)=4,VALUE(RIGHT($A583,2))&lt;60),GUS_tabl_2!$A$8:$B$464,GUS_tabl_21!$A$5:$B$4886),2,FALSE))),-1)))))</f>
        <v>gm. w. Jarczów</v>
      </c>
      <c r="D583" s="141">
        <f>IF(OR($A583="",ISERROR(VALUE(LEFT($A583,6)))),"",IF(LEN($A583)=2,SUMIF($A584:$A$2965,$A583&amp;"??",$D584:$D$2965),IF(AND(LEN($A583)=4,VALUE(RIGHT($A583,2))&lt;=60),SUMIF($A584:$A$2965,$A583&amp;"????",$D584:$D$2965),VLOOKUP(IF(LEN($A583)=4,$A583&amp;"01 1",$A583),GUS_tabl_21!$A$5:$F$4886,6,FALSE))))</f>
        <v>3371</v>
      </c>
      <c r="E583" s="29"/>
    </row>
    <row r="584" spans="1:5" ht="12" customHeight="1">
      <c r="A584" s="155" t="str">
        <f>"061804 2"</f>
        <v>061804 2</v>
      </c>
      <c r="B584" s="153" t="s">
        <v>57</v>
      </c>
      <c r="C584" s="156" t="str">
        <f>IF(OR($A584="",ISERROR(VALUE(LEFT($A584,6)))),"",IF(LEN($A584)=2,"WOJ. ",IF(LEN($A584)=4,IF(VALUE(RIGHT($A584,2))&gt;60,"","Powiat "),IF(VALUE(RIGHT($A584,1))=1,"m. ",IF(VALUE(RIGHT($A584,1))=2,"gm. w. ",IF(VALUE(RIGHT($A584,1))=8,"dz. ","gm. m.-w. ")))))&amp;IF(LEN($A584)=2,TRIM(UPPER(VLOOKUP($A584,GUS_tabl_1!$A$7:$B$22,2,FALSE))),IF(ISERROR(FIND("..",TRIM(VLOOKUP(IF(AND(LEN($A584)=4,VALUE(RIGHT($A584,2))&gt;60),$A584&amp;"01 1",$A584),IF(AND(LEN($A584)=4,VALUE(RIGHT($A584,2))&lt;60),GUS_tabl_2!$A$8:$B$464,GUS_tabl_21!$A$5:$B$4886),2,FALSE)))),TRIM(VLOOKUP(IF(AND(LEN($A584)=4,VALUE(RIGHT($A584,2))&gt;60),$A584&amp;"01 1",$A584),IF(AND(LEN($A584)=4,VALUE(RIGHT($A584,2))&lt;60),GUS_tabl_2!$A$8:$B$464,GUS_tabl_21!$A$5:$B$4886),2,FALSE)),LEFT(TRIM(VLOOKUP(IF(AND(LEN($A584)=4,VALUE(RIGHT($A584,2))&gt;60),$A584&amp;"01 1",$A584),IF(AND(LEN($A584)=4,VALUE(RIGHT($A584,2))&lt;60),GUS_tabl_2!$A$8:$B$464,GUS_tabl_21!$A$5:$B$4886),2,FALSE)),SUM(FIND("..",TRIM(VLOOKUP(IF(AND(LEN($A584)=4,VALUE(RIGHT($A584,2))&gt;60),$A584&amp;"01 1",$A584),IF(AND(LEN($A584)=4,VALUE(RIGHT($A584,2))&lt;60),GUS_tabl_2!$A$8:$B$464,GUS_tabl_21!$A$5:$B$4886),2,FALSE))),-1)))))</f>
        <v>gm. w. Krynice</v>
      </c>
      <c r="D584" s="141">
        <f>IF(OR($A584="",ISERROR(VALUE(LEFT($A584,6)))),"",IF(LEN($A584)=2,SUMIF($A585:$A$2965,$A584&amp;"??",$D585:$D$2965),IF(AND(LEN($A584)=4,VALUE(RIGHT($A584,2))&lt;=60),SUMIF($A585:$A$2965,$A584&amp;"????",$D585:$D$2965),VLOOKUP(IF(LEN($A584)=4,$A584&amp;"01 1",$A584),GUS_tabl_21!$A$5:$F$4886,6,FALSE))))</f>
        <v>3217</v>
      </c>
      <c r="E584" s="29"/>
    </row>
    <row r="585" spans="1:5" ht="12" customHeight="1">
      <c r="A585" s="155" t="str">
        <f>"061805 3"</f>
        <v>061805 3</v>
      </c>
      <c r="B585" s="153" t="s">
        <v>57</v>
      </c>
      <c r="C585" s="159" t="str">
        <f>IF(OR($A585="",ISERROR(VALUE(LEFT($A585,6)))),"",IF(LEN($A585)=2,"WOJ. ",IF(LEN($A585)=4,IF(VALUE(RIGHT($A585,2))&gt;60,"","Powiat "),IF(VALUE(RIGHT($A585,1))=1,"m. ",IF(VALUE(RIGHT($A585,1))=2,"gm. w. ",IF(VALUE(RIGHT($A585,1))=8,"dz. ","gm. m.-w. ")))))&amp;IF(LEN($A585)=2,TRIM(UPPER(VLOOKUP($A585,GUS_tabl_1!$A$7:$B$22,2,FALSE))),IF(ISERROR(FIND("..",TRIM(VLOOKUP(IF(AND(LEN($A585)=4,VALUE(RIGHT($A585,2))&gt;60),$A585&amp;"01 1",$A585),IF(AND(LEN($A585)=4,VALUE(RIGHT($A585,2))&lt;60),GUS_tabl_2!$A$8:$B$464,GUS_tabl_21!$A$5:$B$4886),2,FALSE)))),TRIM(VLOOKUP(IF(AND(LEN($A585)=4,VALUE(RIGHT($A585,2))&gt;60),$A585&amp;"01 1",$A585),IF(AND(LEN($A585)=4,VALUE(RIGHT($A585,2))&lt;60),GUS_tabl_2!$A$8:$B$464,GUS_tabl_21!$A$5:$B$4886),2,FALSE)),LEFT(TRIM(VLOOKUP(IF(AND(LEN($A585)=4,VALUE(RIGHT($A585,2))&gt;60),$A585&amp;"01 1",$A585),IF(AND(LEN($A585)=4,VALUE(RIGHT($A585,2))&lt;60),GUS_tabl_2!$A$8:$B$464,GUS_tabl_21!$A$5:$B$4886),2,FALSE)),SUM(FIND("..",TRIM(VLOOKUP(IF(AND(LEN($A585)=4,VALUE(RIGHT($A585,2))&gt;60),$A585&amp;"01 1",$A585),IF(AND(LEN($A585)=4,VALUE(RIGHT($A585,2))&lt;60),GUS_tabl_2!$A$8:$B$464,GUS_tabl_21!$A$5:$B$4886),2,FALSE))),-1)))))</f>
        <v>gm. m.-w. Lubycza Królewska</v>
      </c>
      <c r="D585" s="141">
        <f>IF(OR($A585="",ISERROR(VALUE(LEFT($A585,6)))),"",IF(LEN($A585)=2,SUMIF($A586:$A$2965,$A585&amp;"??",$D586:$D$2965),IF(AND(LEN($A585)=4,VALUE(RIGHT($A585,2))&lt;=60),SUMIF($A586:$A$2965,$A585&amp;"????",$D586:$D$2965),VLOOKUP(IF(LEN($A585)=4,$A585&amp;"01 1",$A585),GUS_tabl_21!$A$5:$F$4886,6,FALSE))))</f>
        <v>6169</v>
      </c>
      <c r="E585" s="29"/>
    </row>
    <row r="586" spans="1:5" ht="12" customHeight="1">
      <c r="A586" s="155" t="str">
        <f>"061806 3"</f>
        <v>061806 3</v>
      </c>
      <c r="B586" s="153" t="s">
        <v>57</v>
      </c>
      <c r="C586" s="156" t="str">
        <f>IF(OR($A586="",ISERROR(VALUE(LEFT($A586,6)))),"",IF(LEN($A586)=2,"WOJ. ",IF(LEN($A586)=4,IF(VALUE(RIGHT($A586,2))&gt;60,"","Powiat "),IF(VALUE(RIGHT($A586,1))=1,"m. ",IF(VALUE(RIGHT($A586,1))=2,"gm. w. ",IF(VALUE(RIGHT($A586,1))=8,"dz. ","gm. m.-w. ")))))&amp;IF(LEN($A586)=2,TRIM(UPPER(VLOOKUP($A586,GUS_tabl_1!$A$7:$B$22,2,FALSE))),IF(ISERROR(FIND("..",TRIM(VLOOKUP(IF(AND(LEN($A586)=4,VALUE(RIGHT($A586,2))&gt;60),$A586&amp;"01 1",$A586),IF(AND(LEN($A586)=4,VALUE(RIGHT($A586,2))&lt;60),GUS_tabl_2!$A$8:$B$464,GUS_tabl_21!$A$5:$B$4886),2,FALSE)))),TRIM(VLOOKUP(IF(AND(LEN($A586)=4,VALUE(RIGHT($A586,2))&gt;60),$A586&amp;"01 1",$A586),IF(AND(LEN($A586)=4,VALUE(RIGHT($A586,2))&lt;60),GUS_tabl_2!$A$8:$B$464,GUS_tabl_21!$A$5:$B$4886),2,FALSE)),LEFT(TRIM(VLOOKUP(IF(AND(LEN($A586)=4,VALUE(RIGHT($A586,2))&gt;60),$A586&amp;"01 1",$A586),IF(AND(LEN($A586)=4,VALUE(RIGHT($A586,2))&lt;60),GUS_tabl_2!$A$8:$B$464,GUS_tabl_21!$A$5:$B$4886),2,FALSE)),SUM(FIND("..",TRIM(VLOOKUP(IF(AND(LEN($A586)=4,VALUE(RIGHT($A586,2))&gt;60),$A586&amp;"01 1",$A586),IF(AND(LEN($A586)=4,VALUE(RIGHT($A586,2))&lt;60),GUS_tabl_2!$A$8:$B$464,GUS_tabl_21!$A$5:$B$4886),2,FALSE))),-1)))))</f>
        <v>gm. m.-w. Łaszczów</v>
      </c>
      <c r="D586" s="141">
        <f>IF(OR($A586="",ISERROR(VALUE(LEFT($A586,6)))),"",IF(LEN($A586)=2,SUMIF($A587:$A$2965,$A586&amp;"??",$D587:$D$2965),IF(AND(LEN($A586)=4,VALUE(RIGHT($A586,2))&lt;=60),SUMIF($A587:$A$2965,$A586&amp;"????",$D587:$D$2965),VLOOKUP(IF(LEN($A586)=4,$A586&amp;"01 1",$A586),GUS_tabl_21!$A$5:$F$4886,6,FALSE))))</f>
        <v>5973</v>
      </c>
      <c r="E586" s="29"/>
    </row>
    <row r="587" spans="1:5" ht="12" customHeight="1">
      <c r="A587" s="155" t="str">
        <f>"061807 2"</f>
        <v>061807 2</v>
      </c>
      <c r="B587" s="153" t="s">
        <v>57</v>
      </c>
      <c r="C587" s="156" t="str">
        <f>IF(OR($A587="",ISERROR(VALUE(LEFT($A587,6)))),"",IF(LEN($A587)=2,"WOJ. ",IF(LEN($A587)=4,IF(VALUE(RIGHT($A587,2))&gt;60,"","Powiat "),IF(VALUE(RIGHT($A587,1))=1,"m. ",IF(VALUE(RIGHT($A587,1))=2,"gm. w. ",IF(VALUE(RIGHT($A587,1))=8,"dz. ","gm. m.-w. ")))))&amp;IF(LEN($A587)=2,TRIM(UPPER(VLOOKUP($A587,GUS_tabl_1!$A$7:$B$22,2,FALSE))),IF(ISERROR(FIND("..",TRIM(VLOOKUP(IF(AND(LEN($A587)=4,VALUE(RIGHT($A587,2))&gt;60),$A587&amp;"01 1",$A587),IF(AND(LEN($A587)=4,VALUE(RIGHT($A587,2))&lt;60),GUS_tabl_2!$A$8:$B$464,GUS_tabl_21!$A$5:$B$4886),2,FALSE)))),TRIM(VLOOKUP(IF(AND(LEN($A587)=4,VALUE(RIGHT($A587,2))&gt;60),$A587&amp;"01 1",$A587),IF(AND(LEN($A587)=4,VALUE(RIGHT($A587,2))&lt;60),GUS_tabl_2!$A$8:$B$464,GUS_tabl_21!$A$5:$B$4886),2,FALSE)),LEFT(TRIM(VLOOKUP(IF(AND(LEN($A587)=4,VALUE(RIGHT($A587,2))&gt;60),$A587&amp;"01 1",$A587),IF(AND(LEN($A587)=4,VALUE(RIGHT($A587,2))&lt;60),GUS_tabl_2!$A$8:$B$464,GUS_tabl_21!$A$5:$B$4886),2,FALSE)),SUM(FIND("..",TRIM(VLOOKUP(IF(AND(LEN($A587)=4,VALUE(RIGHT($A587,2))&gt;60),$A587&amp;"01 1",$A587),IF(AND(LEN($A587)=4,VALUE(RIGHT($A587,2))&lt;60),GUS_tabl_2!$A$8:$B$464,GUS_tabl_21!$A$5:$B$4886),2,FALSE))),-1)))))</f>
        <v>gm. w. Rachanie</v>
      </c>
      <c r="D587" s="141">
        <f>IF(OR($A587="",ISERROR(VALUE(LEFT($A587,6)))),"",IF(LEN($A587)=2,SUMIF($A588:$A$2965,$A587&amp;"??",$D588:$D$2965),IF(AND(LEN($A587)=4,VALUE(RIGHT($A587,2))&lt;=60),SUMIF($A588:$A$2965,$A587&amp;"????",$D588:$D$2965),VLOOKUP(IF(LEN($A587)=4,$A587&amp;"01 1",$A587),GUS_tabl_21!$A$5:$F$4886,6,FALSE))))</f>
        <v>5068</v>
      </c>
      <c r="E587" s="29"/>
    </row>
    <row r="588" spans="1:5" ht="12" customHeight="1">
      <c r="A588" s="155" t="str">
        <f>"061808 2"</f>
        <v>061808 2</v>
      </c>
      <c r="B588" s="153" t="s">
        <v>57</v>
      </c>
      <c r="C588" s="156" t="str">
        <f>IF(OR($A588="",ISERROR(VALUE(LEFT($A588,6)))),"",IF(LEN($A588)=2,"WOJ. ",IF(LEN($A588)=4,IF(VALUE(RIGHT($A588,2))&gt;60,"","Powiat "),IF(VALUE(RIGHT($A588,1))=1,"m. ",IF(VALUE(RIGHT($A588,1))=2,"gm. w. ",IF(VALUE(RIGHT($A588,1))=8,"dz. ","gm. m.-w. ")))))&amp;IF(LEN($A588)=2,TRIM(UPPER(VLOOKUP($A588,GUS_tabl_1!$A$7:$B$22,2,FALSE))),IF(ISERROR(FIND("..",TRIM(VLOOKUP(IF(AND(LEN($A588)=4,VALUE(RIGHT($A588,2))&gt;60),$A588&amp;"01 1",$A588),IF(AND(LEN($A588)=4,VALUE(RIGHT($A588,2))&lt;60),GUS_tabl_2!$A$8:$B$464,GUS_tabl_21!$A$5:$B$4886),2,FALSE)))),TRIM(VLOOKUP(IF(AND(LEN($A588)=4,VALUE(RIGHT($A588,2))&gt;60),$A588&amp;"01 1",$A588),IF(AND(LEN($A588)=4,VALUE(RIGHT($A588,2))&lt;60),GUS_tabl_2!$A$8:$B$464,GUS_tabl_21!$A$5:$B$4886),2,FALSE)),LEFT(TRIM(VLOOKUP(IF(AND(LEN($A588)=4,VALUE(RIGHT($A588,2))&gt;60),$A588&amp;"01 1",$A588),IF(AND(LEN($A588)=4,VALUE(RIGHT($A588,2))&lt;60),GUS_tabl_2!$A$8:$B$464,GUS_tabl_21!$A$5:$B$4886),2,FALSE)),SUM(FIND("..",TRIM(VLOOKUP(IF(AND(LEN($A588)=4,VALUE(RIGHT($A588,2))&gt;60),$A588&amp;"01 1",$A588),IF(AND(LEN($A588)=4,VALUE(RIGHT($A588,2))&lt;60),GUS_tabl_2!$A$8:$B$464,GUS_tabl_21!$A$5:$B$4886),2,FALSE))),-1)))))</f>
        <v>gm. w. Susiec</v>
      </c>
      <c r="D588" s="141">
        <f>IF(OR($A588="",ISERROR(VALUE(LEFT($A588,6)))),"",IF(LEN($A588)=2,SUMIF($A589:$A$2965,$A588&amp;"??",$D589:$D$2965),IF(AND(LEN($A588)=4,VALUE(RIGHT($A588,2))&lt;=60),SUMIF($A589:$A$2965,$A588&amp;"????",$D589:$D$2965),VLOOKUP(IF(LEN($A588)=4,$A588&amp;"01 1",$A588),GUS_tabl_21!$A$5:$F$4886,6,FALSE))))</f>
        <v>7432</v>
      </c>
      <c r="E588" s="29"/>
    </row>
    <row r="589" spans="1:5" ht="12" customHeight="1">
      <c r="A589" s="155" t="str">
        <f>"061809 2"</f>
        <v>061809 2</v>
      </c>
      <c r="B589" s="153" t="s">
        <v>57</v>
      </c>
      <c r="C589" s="156" t="str">
        <f>IF(OR($A589="",ISERROR(VALUE(LEFT($A589,6)))),"",IF(LEN($A589)=2,"WOJ. ",IF(LEN($A589)=4,IF(VALUE(RIGHT($A589,2))&gt;60,"","Powiat "),IF(VALUE(RIGHT($A589,1))=1,"m. ",IF(VALUE(RIGHT($A589,1))=2,"gm. w. ",IF(VALUE(RIGHT($A589,1))=8,"dz. ","gm. m.-w. ")))))&amp;IF(LEN($A589)=2,TRIM(UPPER(VLOOKUP($A589,GUS_tabl_1!$A$7:$B$22,2,FALSE))),IF(ISERROR(FIND("..",TRIM(VLOOKUP(IF(AND(LEN($A589)=4,VALUE(RIGHT($A589,2))&gt;60),$A589&amp;"01 1",$A589),IF(AND(LEN($A589)=4,VALUE(RIGHT($A589,2))&lt;60),GUS_tabl_2!$A$8:$B$464,GUS_tabl_21!$A$5:$B$4886),2,FALSE)))),TRIM(VLOOKUP(IF(AND(LEN($A589)=4,VALUE(RIGHT($A589,2))&gt;60),$A589&amp;"01 1",$A589),IF(AND(LEN($A589)=4,VALUE(RIGHT($A589,2))&lt;60),GUS_tabl_2!$A$8:$B$464,GUS_tabl_21!$A$5:$B$4886),2,FALSE)),LEFT(TRIM(VLOOKUP(IF(AND(LEN($A589)=4,VALUE(RIGHT($A589,2))&gt;60),$A589&amp;"01 1",$A589),IF(AND(LEN($A589)=4,VALUE(RIGHT($A589,2))&lt;60),GUS_tabl_2!$A$8:$B$464,GUS_tabl_21!$A$5:$B$4886),2,FALSE)),SUM(FIND("..",TRIM(VLOOKUP(IF(AND(LEN($A589)=4,VALUE(RIGHT($A589,2))&gt;60),$A589&amp;"01 1",$A589),IF(AND(LEN($A589)=4,VALUE(RIGHT($A589,2))&lt;60),GUS_tabl_2!$A$8:$B$464,GUS_tabl_21!$A$5:$B$4886),2,FALSE))),-1)))))</f>
        <v>gm. w. Tarnawatka</v>
      </c>
      <c r="D589" s="141">
        <f>IF(OR($A589="",ISERROR(VALUE(LEFT($A589,6)))),"",IF(LEN($A589)=2,SUMIF($A590:$A$2965,$A589&amp;"??",$D590:$D$2965),IF(AND(LEN($A589)=4,VALUE(RIGHT($A589,2))&lt;=60),SUMIF($A590:$A$2965,$A589&amp;"????",$D590:$D$2965),VLOOKUP(IF(LEN($A589)=4,$A589&amp;"01 1",$A589),GUS_tabl_21!$A$5:$F$4886,6,FALSE))))</f>
        <v>3894</v>
      </c>
      <c r="E589" s="29"/>
    </row>
    <row r="590" spans="1:5" ht="12" customHeight="1">
      <c r="A590" s="155" t="str">
        <f>"061810 2"</f>
        <v>061810 2</v>
      </c>
      <c r="B590" s="153" t="s">
        <v>57</v>
      </c>
      <c r="C590" s="156" t="str">
        <f>IF(OR($A590="",ISERROR(VALUE(LEFT($A590,6)))),"",IF(LEN($A590)=2,"WOJ. ",IF(LEN($A590)=4,IF(VALUE(RIGHT($A590,2))&gt;60,"","Powiat "),IF(VALUE(RIGHT($A590,1))=1,"m. ",IF(VALUE(RIGHT($A590,1))=2,"gm. w. ",IF(VALUE(RIGHT($A590,1))=8,"dz. ","gm. m.-w. ")))))&amp;IF(LEN($A590)=2,TRIM(UPPER(VLOOKUP($A590,GUS_tabl_1!$A$7:$B$22,2,FALSE))),IF(ISERROR(FIND("..",TRIM(VLOOKUP(IF(AND(LEN($A590)=4,VALUE(RIGHT($A590,2))&gt;60),$A590&amp;"01 1",$A590),IF(AND(LEN($A590)=4,VALUE(RIGHT($A590,2))&lt;60),GUS_tabl_2!$A$8:$B$464,GUS_tabl_21!$A$5:$B$4886),2,FALSE)))),TRIM(VLOOKUP(IF(AND(LEN($A590)=4,VALUE(RIGHT($A590,2))&gt;60),$A590&amp;"01 1",$A590),IF(AND(LEN($A590)=4,VALUE(RIGHT($A590,2))&lt;60),GUS_tabl_2!$A$8:$B$464,GUS_tabl_21!$A$5:$B$4886),2,FALSE)),LEFT(TRIM(VLOOKUP(IF(AND(LEN($A590)=4,VALUE(RIGHT($A590,2))&gt;60),$A590&amp;"01 1",$A590),IF(AND(LEN($A590)=4,VALUE(RIGHT($A590,2))&lt;60),GUS_tabl_2!$A$8:$B$464,GUS_tabl_21!$A$5:$B$4886),2,FALSE)),SUM(FIND("..",TRIM(VLOOKUP(IF(AND(LEN($A590)=4,VALUE(RIGHT($A590,2))&gt;60),$A590&amp;"01 1",$A590),IF(AND(LEN($A590)=4,VALUE(RIGHT($A590,2))&lt;60),GUS_tabl_2!$A$8:$B$464,GUS_tabl_21!$A$5:$B$4886),2,FALSE))),-1)))))</f>
        <v>gm. w. Telatyn</v>
      </c>
      <c r="D590" s="141">
        <f>IF(OR($A590="",ISERROR(VALUE(LEFT($A590,6)))),"",IF(LEN($A590)=2,SUMIF($A591:$A$2965,$A590&amp;"??",$D591:$D$2965),IF(AND(LEN($A590)=4,VALUE(RIGHT($A590,2))&lt;=60),SUMIF($A591:$A$2965,$A590&amp;"????",$D591:$D$2965),VLOOKUP(IF(LEN($A590)=4,$A590&amp;"01 1",$A590),GUS_tabl_21!$A$5:$F$4886,6,FALSE))))</f>
        <v>3901</v>
      </c>
      <c r="E590" s="29"/>
    </row>
    <row r="591" spans="1:5" ht="12" customHeight="1">
      <c r="A591" s="155" t="str">
        <f>"061811 2"</f>
        <v>061811 2</v>
      </c>
      <c r="B591" s="153" t="s">
        <v>57</v>
      </c>
      <c r="C591" s="156" t="str">
        <f>IF(OR($A591="",ISERROR(VALUE(LEFT($A591,6)))),"",IF(LEN($A591)=2,"WOJ. ",IF(LEN($A591)=4,IF(VALUE(RIGHT($A591,2))&gt;60,"","Powiat "),IF(VALUE(RIGHT($A591,1))=1,"m. ",IF(VALUE(RIGHT($A591,1))=2,"gm. w. ",IF(VALUE(RIGHT($A591,1))=8,"dz. ","gm. m.-w. ")))))&amp;IF(LEN($A591)=2,TRIM(UPPER(VLOOKUP($A591,GUS_tabl_1!$A$7:$B$22,2,FALSE))),IF(ISERROR(FIND("..",TRIM(VLOOKUP(IF(AND(LEN($A591)=4,VALUE(RIGHT($A591,2))&gt;60),$A591&amp;"01 1",$A591),IF(AND(LEN($A591)=4,VALUE(RIGHT($A591,2))&lt;60),GUS_tabl_2!$A$8:$B$464,GUS_tabl_21!$A$5:$B$4886),2,FALSE)))),TRIM(VLOOKUP(IF(AND(LEN($A591)=4,VALUE(RIGHT($A591,2))&gt;60),$A591&amp;"01 1",$A591),IF(AND(LEN($A591)=4,VALUE(RIGHT($A591,2))&lt;60),GUS_tabl_2!$A$8:$B$464,GUS_tabl_21!$A$5:$B$4886),2,FALSE)),LEFT(TRIM(VLOOKUP(IF(AND(LEN($A591)=4,VALUE(RIGHT($A591,2))&gt;60),$A591&amp;"01 1",$A591),IF(AND(LEN($A591)=4,VALUE(RIGHT($A591,2))&lt;60),GUS_tabl_2!$A$8:$B$464,GUS_tabl_21!$A$5:$B$4886),2,FALSE)),SUM(FIND("..",TRIM(VLOOKUP(IF(AND(LEN($A591)=4,VALUE(RIGHT($A591,2))&gt;60),$A591&amp;"01 1",$A591),IF(AND(LEN($A591)=4,VALUE(RIGHT($A591,2))&lt;60),GUS_tabl_2!$A$8:$B$464,GUS_tabl_21!$A$5:$B$4886),2,FALSE))),-1)))))</f>
        <v>gm. w. Tomaszów Lubelski</v>
      </c>
      <c r="D591" s="141">
        <f>IF(OR($A591="",ISERROR(VALUE(LEFT($A591,6)))),"",IF(LEN($A591)=2,SUMIF($A592:$A$2965,$A591&amp;"??",$D592:$D$2965),IF(AND(LEN($A591)=4,VALUE(RIGHT($A591,2))&lt;=60),SUMIF($A592:$A$2965,$A591&amp;"????",$D592:$D$2965),VLOOKUP(IF(LEN($A591)=4,$A591&amp;"01 1",$A591),GUS_tabl_21!$A$5:$F$4886,6,FALSE))))</f>
        <v>11358</v>
      </c>
      <c r="E591" s="29"/>
    </row>
    <row r="592" spans="1:5" ht="12" customHeight="1">
      <c r="A592" s="155" t="str">
        <f>"061812 3"</f>
        <v>061812 3</v>
      </c>
      <c r="B592" s="153" t="s">
        <v>57</v>
      </c>
      <c r="C592" s="156" t="str">
        <f>IF(OR($A592="",ISERROR(VALUE(LEFT($A592,6)))),"",IF(LEN($A592)=2,"WOJ. ",IF(LEN($A592)=4,IF(VALUE(RIGHT($A592,2))&gt;60,"","Powiat "),IF(VALUE(RIGHT($A592,1))=1,"m. ",IF(VALUE(RIGHT($A592,1))=2,"gm. w. ",IF(VALUE(RIGHT($A592,1))=8,"dz. ","gm. m.-w. ")))))&amp;IF(LEN($A592)=2,TRIM(UPPER(VLOOKUP($A592,GUS_tabl_1!$A$7:$B$22,2,FALSE))),IF(ISERROR(FIND("..",TRIM(VLOOKUP(IF(AND(LEN($A592)=4,VALUE(RIGHT($A592,2))&gt;60),$A592&amp;"01 1",$A592),IF(AND(LEN($A592)=4,VALUE(RIGHT($A592,2))&lt;60),GUS_tabl_2!$A$8:$B$464,GUS_tabl_21!$A$5:$B$4886),2,FALSE)))),TRIM(VLOOKUP(IF(AND(LEN($A592)=4,VALUE(RIGHT($A592,2))&gt;60),$A592&amp;"01 1",$A592),IF(AND(LEN($A592)=4,VALUE(RIGHT($A592,2))&lt;60),GUS_tabl_2!$A$8:$B$464,GUS_tabl_21!$A$5:$B$4886),2,FALSE)),LEFT(TRIM(VLOOKUP(IF(AND(LEN($A592)=4,VALUE(RIGHT($A592,2))&gt;60),$A592&amp;"01 1",$A592),IF(AND(LEN($A592)=4,VALUE(RIGHT($A592,2))&lt;60),GUS_tabl_2!$A$8:$B$464,GUS_tabl_21!$A$5:$B$4886),2,FALSE)),SUM(FIND("..",TRIM(VLOOKUP(IF(AND(LEN($A592)=4,VALUE(RIGHT($A592,2))&gt;60),$A592&amp;"01 1",$A592),IF(AND(LEN($A592)=4,VALUE(RIGHT($A592,2))&lt;60),GUS_tabl_2!$A$8:$B$464,GUS_tabl_21!$A$5:$B$4886),2,FALSE))),-1)))))</f>
        <v>gm. m.-w. Tyszowce</v>
      </c>
      <c r="D592" s="141">
        <f>IF(OR($A592="",ISERROR(VALUE(LEFT($A592,6)))),"",IF(LEN($A592)=2,SUMIF($A593:$A$2965,$A592&amp;"??",$D593:$D$2965),IF(AND(LEN($A592)=4,VALUE(RIGHT($A592,2))&lt;=60),SUMIF($A593:$A$2965,$A592&amp;"????",$D593:$D$2965),VLOOKUP(IF(LEN($A592)=4,$A592&amp;"01 1",$A592),GUS_tabl_21!$A$5:$F$4886,6,FALSE))))</f>
        <v>5509</v>
      </c>
      <c r="E592" s="29"/>
    </row>
    <row r="593" spans="1:5" ht="12" customHeight="1">
      <c r="A593" s="155" t="str">
        <f>"061813 2"</f>
        <v>061813 2</v>
      </c>
      <c r="B593" s="153" t="s">
        <v>57</v>
      </c>
      <c r="C593" s="156" t="str">
        <f>IF(OR($A593="",ISERROR(VALUE(LEFT($A593,6)))),"",IF(LEN($A593)=2,"WOJ. ",IF(LEN($A593)=4,IF(VALUE(RIGHT($A593,2))&gt;60,"","Powiat "),IF(VALUE(RIGHT($A593,1))=1,"m. ",IF(VALUE(RIGHT($A593,1))=2,"gm. w. ",IF(VALUE(RIGHT($A593,1))=8,"dz. ","gm. m.-w. ")))))&amp;IF(LEN($A593)=2,TRIM(UPPER(VLOOKUP($A593,GUS_tabl_1!$A$7:$B$22,2,FALSE))),IF(ISERROR(FIND("..",TRIM(VLOOKUP(IF(AND(LEN($A593)=4,VALUE(RIGHT($A593,2))&gt;60),$A593&amp;"01 1",$A593),IF(AND(LEN($A593)=4,VALUE(RIGHT($A593,2))&lt;60),GUS_tabl_2!$A$8:$B$464,GUS_tabl_21!$A$5:$B$4886),2,FALSE)))),TRIM(VLOOKUP(IF(AND(LEN($A593)=4,VALUE(RIGHT($A593,2))&gt;60),$A593&amp;"01 1",$A593),IF(AND(LEN($A593)=4,VALUE(RIGHT($A593,2))&lt;60),GUS_tabl_2!$A$8:$B$464,GUS_tabl_21!$A$5:$B$4886),2,FALSE)),LEFT(TRIM(VLOOKUP(IF(AND(LEN($A593)=4,VALUE(RIGHT($A593,2))&gt;60),$A593&amp;"01 1",$A593),IF(AND(LEN($A593)=4,VALUE(RIGHT($A593,2))&lt;60),GUS_tabl_2!$A$8:$B$464,GUS_tabl_21!$A$5:$B$4886),2,FALSE)),SUM(FIND("..",TRIM(VLOOKUP(IF(AND(LEN($A593)=4,VALUE(RIGHT($A593,2))&gt;60),$A593&amp;"01 1",$A593),IF(AND(LEN($A593)=4,VALUE(RIGHT($A593,2))&lt;60),GUS_tabl_2!$A$8:$B$464,GUS_tabl_21!$A$5:$B$4886),2,FALSE))),-1)))))</f>
        <v>gm. w. Ulhówek</v>
      </c>
      <c r="D593" s="141">
        <f>IF(OR($A593="",ISERROR(VALUE(LEFT($A593,6)))),"",IF(LEN($A593)=2,SUMIF($A594:$A$2965,$A593&amp;"??",$D594:$D$2965),IF(AND(LEN($A593)=4,VALUE(RIGHT($A593,2))&lt;=60),SUMIF($A594:$A$2965,$A593&amp;"????",$D594:$D$2965),VLOOKUP(IF(LEN($A593)=4,$A593&amp;"01 1",$A593),GUS_tabl_21!$A$5:$F$4886,6,FALSE))))</f>
        <v>4520</v>
      </c>
      <c r="E593" s="29"/>
    </row>
    <row r="594" spans="1:5" ht="12" customHeight="1">
      <c r="A594" s="152" t="str">
        <f>"0619"</f>
        <v>0619</v>
      </c>
      <c r="B594" s="153" t="s">
        <v>57</v>
      </c>
      <c r="C594" s="154" t="str">
        <f>IF(OR($A594="",ISERROR(VALUE(LEFT($A594,6)))),"",IF(LEN($A594)=2,"WOJ. ",IF(LEN($A594)=4,IF(VALUE(RIGHT($A594,2))&gt;60,"","Powiat "),IF(VALUE(RIGHT($A594,1))=1,"m. ",IF(VALUE(RIGHT($A594,1))=2,"gm. w. ",IF(VALUE(RIGHT($A594,1))=8,"dz. ","gm. m.-w. ")))))&amp;IF(LEN($A594)=2,TRIM(UPPER(VLOOKUP($A594,GUS_tabl_1!$A$7:$B$22,2,FALSE))),IF(ISERROR(FIND("..",TRIM(VLOOKUP(IF(AND(LEN($A594)=4,VALUE(RIGHT($A594,2))&gt;60),$A594&amp;"01 1",$A594),IF(AND(LEN($A594)=4,VALUE(RIGHT($A594,2))&lt;60),GUS_tabl_2!$A$8:$B$464,GUS_tabl_21!$A$5:$B$4886),2,FALSE)))),TRIM(VLOOKUP(IF(AND(LEN($A594)=4,VALUE(RIGHT($A594,2))&gt;60),$A594&amp;"01 1",$A594),IF(AND(LEN($A594)=4,VALUE(RIGHT($A594,2))&lt;60),GUS_tabl_2!$A$8:$B$464,GUS_tabl_21!$A$5:$B$4886),2,FALSE)),LEFT(TRIM(VLOOKUP(IF(AND(LEN($A594)=4,VALUE(RIGHT($A594,2))&gt;60),$A594&amp;"01 1",$A594),IF(AND(LEN($A594)=4,VALUE(RIGHT($A594,2))&lt;60),GUS_tabl_2!$A$8:$B$464,GUS_tabl_21!$A$5:$B$4886),2,FALSE)),SUM(FIND("..",TRIM(VLOOKUP(IF(AND(LEN($A594)=4,VALUE(RIGHT($A594,2))&gt;60),$A594&amp;"01 1",$A594),IF(AND(LEN($A594)=4,VALUE(RIGHT($A594,2))&lt;60),GUS_tabl_2!$A$8:$B$464,GUS_tabl_21!$A$5:$B$4886),2,FALSE))),-1)))))</f>
        <v>Powiat włodawski</v>
      </c>
      <c r="D594" s="140">
        <f>IF(OR($A594="",ISERROR(VALUE(LEFT($A594,6)))),"",IF(LEN($A594)=2,SUMIF($A595:$A$2965,$A594&amp;"??",$D595:$D$2965),IF(AND(LEN($A594)=4,VALUE(RIGHT($A594,2))&lt;=60),SUMIF($A595:$A$2965,$A594&amp;"????",$D595:$D$2965),VLOOKUP(IF(LEN($A594)=4,$A594&amp;"01 1",$A594),GUS_tabl_21!$A$5:$F$4886,6,FALSE))))</f>
        <v>38353</v>
      </c>
      <c r="E594" s="29"/>
    </row>
    <row r="595" spans="1:5" ht="12" customHeight="1">
      <c r="A595" s="155" t="str">
        <f>"061901 1"</f>
        <v>061901 1</v>
      </c>
      <c r="B595" s="153" t="s">
        <v>57</v>
      </c>
      <c r="C595" s="156" t="str">
        <f>IF(OR($A595="",ISERROR(VALUE(LEFT($A595,6)))),"",IF(LEN($A595)=2,"WOJ. ",IF(LEN($A595)=4,IF(VALUE(RIGHT($A595,2))&gt;60,"","Powiat "),IF(VALUE(RIGHT($A595,1))=1,"m. ",IF(VALUE(RIGHT($A595,1))=2,"gm. w. ",IF(VALUE(RIGHT($A595,1))=8,"dz. ","gm. m.-w. ")))))&amp;IF(LEN($A595)=2,TRIM(UPPER(VLOOKUP($A595,GUS_tabl_1!$A$7:$B$22,2,FALSE))),IF(ISERROR(FIND("..",TRIM(VLOOKUP(IF(AND(LEN($A595)=4,VALUE(RIGHT($A595,2))&gt;60),$A595&amp;"01 1",$A595),IF(AND(LEN($A595)=4,VALUE(RIGHT($A595,2))&lt;60),GUS_tabl_2!$A$8:$B$464,GUS_tabl_21!$A$5:$B$4886),2,FALSE)))),TRIM(VLOOKUP(IF(AND(LEN($A595)=4,VALUE(RIGHT($A595,2))&gt;60),$A595&amp;"01 1",$A595),IF(AND(LEN($A595)=4,VALUE(RIGHT($A595,2))&lt;60),GUS_tabl_2!$A$8:$B$464,GUS_tabl_21!$A$5:$B$4886),2,FALSE)),LEFT(TRIM(VLOOKUP(IF(AND(LEN($A595)=4,VALUE(RIGHT($A595,2))&gt;60),$A595&amp;"01 1",$A595),IF(AND(LEN($A595)=4,VALUE(RIGHT($A595,2))&lt;60),GUS_tabl_2!$A$8:$B$464,GUS_tabl_21!$A$5:$B$4886),2,FALSE)),SUM(FIND("..",TRIM(VLOOKUP(IF(AND(LEN($A595)=4,VALUE(RIGHT($A595,2))&gt;60),$A595&amp;"01 1",$A595),IF(AND(LEN($A595)=4,VALUE(RIGHT($A595,2))&lt;60),GUS_tabl_2!$A$8:$B$464,GUS_tabl_21!$A$5:$B$4886),2,FALSE))),-1)))))</f>
        <v>m. Włodawa</v>
      </c>
      <c r="D595" s="141">
        <f>IF(OR($A595="",ISERROR(VALUE(LEFT($A595,6)))),"",IF(LEN($A595)=2,SUMIF($A596:$A$2965,$A595&amp;"??",$D596:$D$2965),IF(AND(LEN($A595)=4,VALUE(RIGHT($A595,2))&lt;=60),SUMIF($A596:$A$2965,$A595&amp;"????",$D596:$D$2965),VLOOKUP(IF(LEN($A595)=4,$A595&amp;"01 1",$A595),GUS_tabl_21!$A$5:$F$4886,6,FALSE))))</f>
        <v>13066</v>
      </c>
      <c r="E595" s="29"/>
    </row>
    <row r="596" spans="1:5" ht="12" customHeight="1">
      <c r="A596" s="155" t="str">
        <f>"061902 2"</f>
        <v>061902 2</v>
      </c>
      <c r="B596" s="153" t="s">
        <v>57</v>
      </c>
      <c r="C596" s="156" t="str">
        <f>IF(OR($A596="",ISERROR(VALUE(LEFT($A596,6)))),"",IF(LEN($A596)=2,"WOJ. ",IF(LEN($A596)=4,IF(VALUE(RIGHT($A596,2))&gt;60,"","Powiat "),IF(VALUE(RIGHT($A596,1))=1,"m. ",IF(VALUE(RIGHT($A596,1))=2,"gm. w. ",IF(VALUE(RIGHT($A596,1))=8,"dz. ","gm. m.-w. ")))))&amp;IF(LEN($A596)=2,TRIM(UPPER(VLOOKUP($A596,GUS_tabl_1!$A$7:$B$22,2,FALSE))),IF(ISERROR(FIND("..",TRIM(VLOOKUP(IF(AND(LEN($A596)=4,VALUE(RIGHT($A596,2))&gt;60),$A596&amp;"01 1",$A596),IF(AND(LEN($A596)=4,VALUE(RIGHT($A596,2))&lt;60),GUS_tabl_2!$A$8:$B$464,GUS_tabl_21!$A$5:$B$4886),2,FALSE)))),TRIM(VLOOKUP(IF(AND(LEN($A596)=4,VALUE(RIGHT($A596,2))&gt;60),$A596&amp;"01 1",$A596),IF(AND(LEN($A596)=4,VALUE(RIGHT($A596,2))&lt;60),GUS_tabl_2!$A$8:$B$464,GUS_tabl_21!$A$5:$B$4886),2,FALSE)),LEFT(TRIM(VLOOKUP(IF(AND(LEN($A596)=4,VALUE(RIGHT($A596,2))&gt;60),$A596&amp;"01 1",$A596),IF(AND(LEN($A596)=4,VALUE(RIGHT($A596,2))&lt;60),GUS_tabl_2!$A$8:$B$464,GUS_tabl_21!$A$5:$B$4886),2,FALSE)),SUM(FIND("..",TRIM(VLOOKUP(IF(AND(LEN($A596)=4,VALUE(RIGHT($A596,2))&gt;60),$A596&amp;"01 1",$A596),IF(AND(LEN($A596)=4,VALUE(RIGHT($A596,2))&lt;60),GUS_tabl_2!$A$8:$B$464,GUS_tabl_21!$A$5:$B$4886),2,FALSE))),-1)))))</f>
        <v>gm. w. Hanna</v>
      </c>
      <c r="D596" s="141">
        <f>IF(OR($A596="",ISERROR(VALUE(LEFT($A596,6)))),"",IF(LEN($A596)=2,SUMIF($A597:$A$2965,$A596&amp;"??",$D597:$D$2965),IF(AND(LEN($A596)=4,VALUE(RIGHT($A596,2))&lt;=60),SUMIF($A597:$A$2965,$A596&amp;"????",$D597:$D$2965),VLOOKUP(IF(LEN($A596)=4,$A596&amp;"01 1",$A596),GUS_tabl_21!$A$5:$F$4886,6,FALSE))))</f>
        <v>2844</v>
      </c>
      <c r="E596" s="29"/>
    </row>
    <row r="597" spans="1:5" ht="12" customHeight="1">
      <c r="A597" s="155" t="str">
        <f>"061903 2"</f>
        <v>061903 2</v>
      </c>
      <c r="B597" s="153" t="s">
        <v>57</v>
      </c>
      <c r="C597" s="156" t="str">
        <f>IF(OR($A597="",ISERROR(VALUE(LEFT($A597,6)))),"",IF(LEN($A597)=2,"WOJ. ",IF(LEN($A597)=4,IF(VALUE(RIGHT($A597,2))&gt;60,"","Powiat "),IF(VALUE(RIGHT($A597,1))=1,"m. ",IF(VALUE(RIGHT($A597,1))=2,"gm. w. ",IF(VALUE(RIGHT($A597,1))=8,"dz. ","gm. m.-w. ")))))&amp;IF(LEN($A597)=2,TRIM(UPPER(VLOOKUP($A597,GUS_tabl_1!$A$7:$B$22,2,FALSE))),IF(ISERROR(FIND("..",TRIM(VLOOKUP(IF(AND(LEN($A597)=4,VALUE(RIGHT($A597,2))&gt;60),$A597&amp;"01 1",$A597),IF(AND(LEN($A597)=4,VALUE(RIGHT($A597,2))&lt;60),GUS_tabl_2!$A$8:$B$464,GUS_tabl_21!$A$5:$B$4886),2,FALSE)))),TRIM(VLOOKUP(IF(AND(LEN($A597)=4,VALUE(RIGHT($A597,2))&gt;60),$A597&amp;"01 1",$A597),IF(AND(LEN($A597)=4,VALUE(RIGHT($A597,2))&lt;60),GUS_tabl_2!$A$8:$B$464,GUS_tabl_21!$A$5:$B$4886),2,FALSE)),LEFT(TRIM(VLOOKUP(IF(AND(LEN($A597)=4,VALUE(RIGHT($A597,2))&gt;60),$A597&amp;"01 1",$A597),IF(AND(LEN($A597)=4,VALUE(RIGHT($A597,2))&lt;60),GUS_tabl_2!$A$8:$B$464,GUS_tabl_21!$A$5:$B$4886),2,FALSE)),SUM(FIND("..",TRIM(VLOOKUP(IF(AND(LEN($A597)=4,VALUE(RIGHT($A597,2))&gt;60),$A597&amp;"01 1",$A597),IF(AND(LEN($A597)=4,VALUE(RIGHT($A597,2))&lt;60),GUS_tabl_2!$A$8:$B$464,GUS_tabl_21!$A$5:$B$4886),2,FALSE))),-1)))))</f>
        <v>gm. w. Hańsk</v>
      </c>
      <c r="D597" s="141">
        <f>IF(OR($A597="",ISERROR(VALUE(LEFT($A597,6)))),"",IF(LEN($A597)=2,SUMIF($A598:$A$2965,$A597&amp;"??",$D598:$D$2965),IF(AND(LEN($A597)=4,VALUE(RIGHT($A597,2))&lt;=60),SUMIF($A598:$A$2965,$A597&amp;"????",$D598:$D$2965),VLOOKUP(IF(LEN($A597)=4,$A597&amp;"01 1",$A597),GUS_tabl_21!$A$5:$F$4886,6,FALSE))))</f>
        <v>3697</v>
      </c>
      <c r="E597" s="29"/>
    </row>
    <row r="598" spans="1:5" ht="12" customHeight="1">
      <c r="A598" s="155" t="str">
        <f>"061904 2"</f>
        <v>061904 2</v>
      </c>
      <c r="B598" s="153" t="s">
        <v>57</v>
      </c>
      <c r="C598" s="156" t="str">
        <f>IF(OR($A598="",ISERROR(VALUE(LEFT($A598,6)))),"",IF(LEN($A598)=2,"WOJ. ",IF(LEN($A598)=4,IF(VALUE(RIGHT($A598,2))&gt;60,"","Powiat "),IF(VALUE(RIGHT($A598,1))=1,"m. ",IF(VALUE(RIGHT($A598,1))=2,"gm. w. ",IF(VALUE(RIGHT($A598,1))=8,"dz. ","gm. m.-w. ")))))&amp;IF(LEN($A598)=2,TRIM(UPPER(VLOOKUP($A598,GUS_tabl_1!$A$7:$B$22,2,FALSE))),IF(ISERROR(FIND("..",TRIM(VLOOKUP(IF(AND(LEN($A598)=4,VALUE(RIGHT($A598,2))&gt;60),$A598&amp;"01 1",$A598),IF(AND(LEN($A598)=4,VALUE(RIGHT($A598,2))&lt;60),GUS_tabl_2!$A$8:$B$464,GUS_tabl_21!$A$5:$B$4886),2,FALSE)))),TRIM(VLOOKUP(IF(AND(LEN($A598)=4,VALUE(RIGHT($A598,2))&gt;60),$A598&amp;"01 1",$A598),IF(AND(LEN($A598)=4,VALUE(RIGHT($A598,2))&lt;60),GUS_tabl_2!$A$8:$B$464,GUS_tabl_21!$A$5:$B$4886),2,FALSE)),LEFT(TRIM(VLOOKUP(IF(AND(LEN($A598)=4,VALUE(RIGHT($A598,2))&gt;60),$A598&amp;"01 1",$A598),IF(AND(LEN($A598)=4,VALUE(RIGHT($A598,2))&lt;60),GUS_tabl_2!$A$8:$B$464,GUS_tabl_21!$A$5:$B$4886),2,FALSE)),SUM(FIND("..",TRIM(VLOOKUP(IF(AND(LEN($A598)=4,VALUE(RIGHT($A598,2))&gt;60),$A598&amp;"01 1",$A598),IF(AND(LEN($A598)=4,VALUE(RIGHT($A598,2))&lt;60),GUS_tabl_2!$A$8:$B$464,GUS_tabl_21!$A$5:$B$4886),2,FALSE))),-1)))))</f>
        <v>gm. w. Stary Brus</v>
      </c>
      <c r="D598" s="141">
        <f>IF(OR($A598="",ISERROR(VALUE(LEFT($A598,6)))),"",IF(LEN($A598)=2,SUMIF($A599:$A$2965,$A598&amp;"??",$D599:$D$2965),IF(AND(LEN($A598)=4,VALUE(RIGHT($A598,2))&lt;=60),SUMIF($A599:$A$2965,$A598&amp;"????",$D599:$D$2965),VLOOKUP(IF(LEN($A598)=4,$A598&amp;"01 1",$A598),GUS_tabl_21!$A$5:$F$4886,6,FALSE))))</f>
        <v>2097</v>
      </c>
      <c r="E598" s="29"/>
    </row>
    <row r="599" spans="1:5" ht="12" customHeight="1">
      <c r="A599" s="155" t="str">
        <f>"061905 2"</f>
        <v>061905 2</v>
      </c>
      <c r="B599" s="153" t="s">
        <v>57</v>
      </c>
      <c r="C599" s="156" t="str">
        <f>IF(OR($A599="",ISERROR(VALUE(LEFT($A599,6)))),"",IF(LEN($A599)=2,"WOJ. ",IF(LEN($A599)=4,IF(VALUE(RIGHT($A599,2))&gt;60,"","Powiat "),IF(VALUE(RIGHT($A599,1))=1,"m. ",IF(VALUE(RIGHT($A599,1))=2,"gm. w. ",IF(VALUE(RIGHT($A599,1))=8,"dz. ","gm. m.-w. ")))))&amp;IF(LEN($A599)=2,TRIM(UPPER(VLOOKUP($A599,GUS_tabl_1!$A$7:$B$22,2,FALSE))),IF(ISERROR(FIND("..",TRIM(VLOOKUP(IF(AND(LEN($A599)=4,VALUE(RIGHT($A599,2))&gt;60),$A599&amp;"01 1",$A599),IF(AND(LEN($A599)=4,VALUE(RIGHT($A599,2))&lt;60),GUS_tabl_2!$A$8:$B$464,GUS_tabl_21!$A$5:$B$4886),2,FALSE)))),TRIM(VLOOKUP(IF(AND(LEN($A599)=4,VALUE(RIGHT($A599,2))&gt;60),$A599&amp;"01 1",$A599),IF(AND(LEN($A599)=4,VALUE(RIGHT($A599,2))&lt;60),GUS_tabl_2!$A$8:$B$464,GUS_tabl_21!$A$5:$B$4886),2,FALSE)),LEFT(TRIM(VLOOKUP(IF(AND(LEN($A599)=4,VALUE(RIGHT($A599,2))&gt;60),$A599&amp;"01 1",$A599),IF(AND(LEN($A599)=4,VALUE(RIGHT($A599,2))&lt;60),GUS_tabl_2!$A$8:$B$464,GUS_tabl_21!$A$5:$B$4886),2,FALSE)),SUM(FIND("..",TRIM(VLOOKUP(IF(AND(LEN($A599)=4,VALUE(RIGHT($A599,2))&gt;60),$A599&amp;"01 1",$A599),IF(AND(LEN($A599)=4,VALUE(RIGHT($A599,2))&lt;60),GUS_tabl_2!$A$8:$B$464,GUS_tabl_21!$A$5:$B$4886),2,FALSE))),-1)))))</f>
        <v>gm. w. Urszulin</v>
      </c>
      <c r="D599" s="141">
        <f>IF(OR($A599="",ISERROR(VALUE(LEFT($A599,6)))),"",IF(LEN($A599)=2,SUMIF($A600:$A$2965,$A599&amp;"??",$D600:$D$2965),IF(AND(LEN($A599)=4,VALUE(RIGHT($A599,2))&lt;=60),SUMIF($A600:$A$2965,$A599&amp;"????",$D600:$D$2965),VLOOKUP(IF(LEN($A599)=4,$A599&amp;"01 1",$A599),GUS_tabl_21!$A$5:$F$4886,6,FALSE))))</f>
        <v>4146</v>
      </c>
      <c r="E599" s="29"/>
    </row>
    <row r="600" spans="1:5" ht="12" customHeight="1">
      <c r="A600" s="155" t="str">
        <f>"061906 2"</f>
        <v>061906 2</v>
      </c>
      <c r="B600" s="153" t="s">
        <v>57</v>
      </c>
      <c r="C600" s="156" t="str">
        <f>IF(OR($A600="",ISERROR(VALUE(LEFT($A600,6)))),"",IF(LEN($A600)=2,"WOJ. ",IF(LEN($A600)=4,IF(VALUE(RIGHT($A600,2))&gt;60,"","Powiat "),IF(VALUE(RIGHT($A600,1))=1,"m. ",IF(VALUE(RIGHT($A600,1))=2,"gm. w. ",IF(VALUE(RIGHT($A600,1))=8,"dz. ","gm. m.-w. ")))))&amp;IF(LEN($A600)=2,TRIM(UPPER(VLOOKUP($A600,GUS_tabl_1!$A$7:$B$22,2,FALSE))),IF(ISERROR(FIND("..",TRIM(VLOOKUP(IF(AND(LEN($A600)=4,VALUE(RIGHT($A600,2))&gt;60),$A600&amp;"01 1",$A600),IF(AND(LEN($A600)=4,VALUE(RIGHT($A600,2))&lt;60),GUS_tabl_2!$A$8:$B$464,GUS_tabl_21!$A$5:$B$4886),2,FALSE)))),TRIM(VLOOKUP(IF(AND(LEN($A600)=4,VALUE(RIGHT($A600,2))&gt;60),$A600&amp;"01 1",$A600),IF(AND(LEN($A600)=4,VALUE(RIGHT($A600,2))&lt;60),GUS_tabl_2!$A$8:$B$464,GUS_tabl_21!$A$5:$B$4886),2,FALSE)),LEFT(TRIM(VLOOKUP(IF(AND(LEN($A600)=4,VALUE(RIGHT($A600,2))&gt;60),$A600&amp;"01 1",$A600),IF(AND(LEN($A600)=4,VALUE(RIGHT($A600,2))&lt;60),GUS_tabl_2!$A$8:$B$464,GUS_tabl_21!$A$5:$B$4886),2,FALSE)),SUM(FIND("..",TRIM(VLOOKUP(IF(AND(LEN($A600)=4,VALUE(RIGHT($A600,2))&gt;60),$A600&amp;"01 1",$A600),IF(AND(LEN($A600)=4,VALUE(RIGHT($A600,2))&lt;60),GUS_tabl_2!$A$8:$B$464,GUS_tabl_21!$A$5:$B$4886),2,FALSE))),-1)))))</f>
        <v>gm. w. Włodawa</v>
      </c>
      <c r="D600" s="141">
        <f>IF(OR($A600="",ISERROR(VALUE(LEFT($A600,6)))),"",IF(LEN($A600)=2,SUMIF($A601:$A$2965,$A600&amp;"??",$D601:$D$2965),IF(AND(LEN($A600)=4,VALUE(RIGHT($A600,2))&lt;=60),SUMIF($A601:$A$2965,$A600&amp;"????",$D601:$D$2965),VLOOKUP(IF(LEN($A600)=4,$A600&amp;"01 1",$A600),GUS_tabl_21!$A$5:$F$4886,6,FALSE))))</f>
        <v>6089</v>
      </c>
      <c r="E600" s="29"/>
    </row>
    <row r="601" spans="1:5" ht="12" customHeight="1">
      <c r="A601" s="155" t="str">
        <f>"061907 2"</f>
        <v>061907 2</v>
      </c>
      <c r="B601" s="153" t="s">
        <v>57</v>
      </c>
      <c r="C601" s="156" t="str">
        <f>IF(OR($A601="",ISERROR(VALUE(LEFT($A601,6)))),"",IF(LEN($A601)=2,"WOJ. ",IF(LEN($A601)=4,IF(VALUE(RIGHT($A601,2))&gt;60,"","Powiat "),IF(VALUE(RIGHT($A601,1))=1,"m. ",IF(VALUE(RIGHT($A601,1))=2,"gm. w. ",IF(VALUE(RIGHT($A601,1))=8,"dz. ","gm. m.-w. ")))))&amp;IF(LEN($A601)=2,TRIM(UPPER(VLOOKUP($A601,GUS_tabl_1!$A$7:$B$22,2,FALSE))),IF(ISERROR(FIND("..",TRIM(VLOOKUP(IF(AND(LEN($A601)=4,VALUE(RIGHT($A601,2))&gt;60),$A601&amp;"01 1",$A601),IF(AND(LEN($A601)=4,VALUE(RIGHT($A601,2))&lt;60),GUS_tabl_2!$A$8:$B$464,GUS_tabl_21!$A$5:$B$4886),2,FALSE)))),TRIM(VLOOKUP(IF(AND(LEN($A601)=4,VALUE(RIGHT($A601,2))&gt;60),$A601&amp;"01 1",$A601),IF(AND(LEN($A601)=4,VALUE(RIGHT($A601,2))&lt;60),GUS_tabl_2!$A$8:$B$464,GUS_tabl_21!$A$5:$B$4886),2,FALSE)),LEFT(TRIM(VLOOKUP(IF(AND(LEN($A601)=4,VALUE(RIGHT($A601,2))&gt;60),$A601&amp;"01 1",$A601),IF(AND(LEN($A601)=4,VALUE(RIGHT($A601,2))&lt;60),GUS_tabl_2!$A$8:$B$464,GUS_tabl_21!$A$5:$B$4886),2,FALSE)),SUM(FIND("..",TRIM(VLOOKUP(IF(AND(LEN($A601)=4,VALUE(RIGHT($A601,2))&gt;60),$A601&amp;"01 1",$A601),IF(AND(LEN($A601)=4,VALUE(RIGHT($A601,2))&lt;60),GUS_tabl_2!$A$8:$B$464,GUS_tabl_21!$A$5:$B$4886),2,FALSE))),-1)))))</f>
        <v>gm. w. Wola Uhruska</v>
      </c>
      <c r="D601" s="141">
        <f>IF(OR($A601="",ISERROR(VALUE(LEFT($A601,6)))),"",IF(LEN($A601)=2,SUMIF($A602:$A$2965,$A601&amp;"??",$D602:$D$2965),IF(AND(LEN($A601)=4,VALUE(RIGHT($A601,2))&lt;=60),SUMIF($A602:$A$2965,$A601&amp;"????",$D602:$D$2965),VLOOKUP(IF(LEN($A601)=4,$A601&amp;"01 1",$A601),GUS_tabl_21!$A$5:$F$4886,6,FALSE))))</f>
        <v>3848</v>
      </c>
      <c r="E601" s="29"/>
    </row>
    <row r="602" spans="1:5" ht="12" customHeight="1">
      <c r="A602" s="155" t="str">
        <f>"061908 2"</f>
        <v>061908 2</v>
      </c>
      <c r="B602" s="153" t="s">
        <v>57</v>
      </c>
      <c r="C602" s="156" t="str">
        <f>IF(OR($A602="",ISERROR(VALUE(LEFT($A602,6)))),"",IF(LEN($A602)=2,"WOJ. ",IF(LEN($A602)=4,IF(VALUE(RIGHT($A602,2))&gt;60,"","Powiat "),IF(VALUE(RIGHT($A602,1))=1,"m. ",IF(VALUE(RIGHT($A602,1))=2,"gm. w. ",IF(VALUE(RIGHT($A602,1))=8,"dz. ","gm. m.-w. ")))))&amp;IF(LEN($A602)=2,TRIM(UPPER(VLOOKUP($A602,GUS_tabl_1!$A$7:$B$22,2,FALSE))),IF(ISERROR(FIND("..",TRIM(VLOOKUP(IF(AND(LEN($A602)=4,VALUE(RIGHT($A602,2))&gt;60),$A602&amp;"01 1",$A602),IF(AND(LEN($A602)=4,VALUE(RIGHT($A602,2))&lt;60),GUS_tabl_2!$A$8:$B$464,GUS_tabl_21!$A$5:$B$4886),2,FALSE)))),TRIM(VLOOKUP(IF(AND(LEN($A602)=4,VALUE(RIGHT($A602,2))&gt;60),$A602&amp;"01 1",$A602),IF(AND(LEN($A602)=4,VALUE(RIGHT($A602,2))&lt;60),GUS_tabl_2!$A$8:$B$464,GUS_tabl_21!$A$5:$B$4886),2,FALSE)),LEFT(TRIM(VLOOKUP(IF(AND(LEN($A602)=4,VALUE(RIGHT($A602,2))&gt;60),$A602&amp;"01 1",$A602),IF(AND(LEN($A602)=4,VALUE(RIGHT($A602,2))&lt;60),GUS_tabl_2!$A$8:$B$464,GUS_tabl_21!$A$5:$B$4886),2,FALSE)),SUM(FIND("..",TRIM(VLOOKUP(IF(AND(LEN($A602)=4,VALUE(RIGHT($A602,2))&gt;60),$A602&amp;"01 1",$A602),IF(AND(LEN($A602)=4,VALUE(RIGHT($A602,2))&lt;60),GUS_tabl_2!$A$8:$B$464,GUS_tabl_21!$A$5:$B$4886),2,FALSE))),-1)))))</f>
        <v>gm. w. Wyryki</v>
      </c>
      <c r="D602" s="141">
        <f>IF(OR($A602="",ISERROR(VALUE(LEFT($A602,6)))),"",IF(LEN($A602)=2,SUMIF($A603:$A$2965,$A602&amp;"??",$D603:$D$2965),IF(AND(LEN($A602)=4,VALUE(RIGHT($A602,2))&lt;=60),SUMIF($A603:$A$2965,$A602&amp;"????",$D603:$D$2965),VLOOKUP(IF(LEN($A602)=4,$A602&amp;"01 1",$A602),GUS_tabl_21!$A$5:$F$4886,6,FALSE))))</f>
        <v>2566</v>
      </c>
      <c r="E602" s="29"/>
    </row>
    <row r="603" spans="1:5" ht="12" customHeight="1">
      <c r="A603" s="152" t="str">
        <f>"0620"</f>
        <v>0620</v>
      </c>
      <c r="B603" s="153" t="s">
        <v>57</v>
      </c>
      <c r="C603" s="154" t="str">
        <f>IF(OR($A603="",ISERROR(VALUE(LEFT($A603,6)))),"",IF(LEN($A603)=2,"WOJ. ",IF(LEN($A603)=4,IF(VALUE(RIGHT($A603,2))&gt;60,"","Powiat "),IF(VALUE(RIGHT($A603,1))=1,"m. ",IF(VALUE(RIGHT($A603,1))=2,"gm. w. ",IF(VALUE(RIGHT($A603,1))=8,"dz. ","gm. m.-w. ")))))&amp;IF(LEN($A603)=2,TRIM(UPPER(VLOOKUP($A603,GUS_tabl_1!$A$7:$B$22,2,FALSE))),IF(ISERROR(FIND("..",TRIM(VLOOKUP(IF(AND(LEN($A603)=4,VALUE(RIGHT($A603,2))&gt;60),$A603&amp;"01 1",$A603),IF(AND(LEN($A603)=4,VALUE(RIGHT($A603,2))&lt;60),GUS_tabl_2!$A$8:$B$464,GUS_tabl_21!$A$5:$B$4886),2,FALSE)))),TRIM(VLOOKUP(IF(AND(LEN($A603)=4,VALUE(RIGHT($A603,2))&gt;60),$A603&amp;"01 1",$A603),IF(AND(LEN($A603)=4,VALUE(RIGHT($A603,2))&lt;60),GUS_tabl_2!$A$8:$B$464,GUS_tabl_21!$A$5:$B$4886),2,FALSE)),LEFT(TRIM(VLOOKUP(IF(AND(LEN($A603)=4,VALUE(RIGHT($A603,2))&gt;60),$A603&amp;"01 1",$A603),IF(AND(LEN($A603)=4,VALUE(RIGHT($A603,2))&lt;60),GUS_tabl_2!$A$8:$B$464,GUS_tabl_21!$A$5:$B$4886),2,FALSE)),SUM(FIND("..",TRIM(VLOOKUP(IF(AND(LEN($A603)=4,VALUE(RIGHT($A603,2))&gt;60),$A603&amp;"01 1",$A603),IF(AND(LEN($A603)=4,VALUE(RIGHT($A603,2))&lt;60),GUS_tabl_2!$A$8:$B$464,GUS_tabl_21!$A$5:$B$4886),2,FALSE))),-1)))))</f>
        <v>Powiat zamojski</v>
      </c>
      <c r="D603" s="140">
        <f>IF(OR($A603="",ISERROR(VALUE(LEFT($A603,6)))),"",IF(LEN($A603)=2,SUMIF($A604:$A$2965,$A603&amp;"??",$D604:$D$2965),IF(AND(LEN($A603)=4,VALUE(RIGHT($A603,2))&lt;=60),SUMIF($A604:$A$2965,$A603&amp;"????",$D604:$D$2965),VLOOKUP(IF(LEN($A603)=4,$A603&amp;"01 1",$A603),GUS_tabl_21!$A$5:$F$4886,6,FALSE))))</f>
        <v>106122</v>
      </c>
      <c r="E603" s="29"/>
    </row>
    <row r="604" spans="1:5" ht="12" customHeight="1">
      <c r="A604" s="155" t="str">
        <f>"062001 2"</f>
        <v>062001 2</v>
      </c>
      <c r="B604" s="153" t="s">
        <v>57</v>
      </c>
      <c r="C604" s="156" t="str">
        <f>IF(OR($A604="",ISERROR(VALUE(LEFT($A604,6)))),"",IF(LEN($A604)=2,"WOJ. ",IF(LEN($A604)=4,IF(VALUE(RIGHT($A604,2))&gt;60,"","Powiat "),IF(VALUE(RIGHT($A604,1))=1,"m. ",IF(VALUE(RIGHT($A604,1))=2,"gm. w. ",IF(VALUE(RIGHT($A604,1))=8,"dz. ","gm. m.-w. ")))))&amp;IF(LEN($A604)=2,TRIM(UPPER(VLOOKUP($A604,GUS_tabl_1!$A$7:$B$22,2,FALSE))),IF(ISERROR(FIND("..",TRIM(VLOOKUP(IF(AND(LEN($A604)=4,VALUE(RIGHT($A604,2))&gt;60),$A604&amp;"01 1",$A604),IF(AND(LEN($A604)=4,VALUE(RIGHT($A604,2))&lt;60),GUS_tabl_2!$A$8:$B$464,GUS_tabl_21!$A$5:$B$4886),2,FALSE)))),TRIM(VLOOKUP(IF(AND(LEN($A604)=4,VALUE(RIGHT($A604,2))&gt;60),$A604&amp;"01 1",$A604),IF(AND(LEN($A604)=4,VALUE(RIGHT($A604,2))&lt;60),GUS_tabl_2!$A$8:$B$464,GUS_tabl_21!$A$5:$B$4886),2,FALSE)),LEFT(TRIM(VLOOKUP(IF(AND(LEN($A604)=4,VALUE(RIGHT($A604,2))&gt;60),$A604&amp;"01 1",$A604),IF(AND(LEN($A604)=4,VALUE(RIGHT($A604,2))&lt;60),GUS_tabl_2!$A$8:$B$464,GUS_tabl_21!$A$5:$B$4886),2,FALSE)),SUM(FIND("..",TRIM(VLOOKUP(IF(AND(LEN($A604)=4,VALUE(RIGHT($A604,2))&gt;60),$A604&amp;"01 1",$A604),IF(AND(LEN($A604)=4,VALUE(RIGHT($A604,2))&lt;60),GUS_tabl_2!$A$8:$B$464,GUS_tabl_21!$A$5:$B$4886),2,FALSE))),-1)))))</f>
        <v>gm. w. Adamów</v>
      </c>
      <c r="D604" s="141">
        <f>IF(OR($A604="",ISERROR(VALUE(LEFT($A604,6)))),"",IF(LEN($A604)=2,SUMIF($A605:$A$2965,$A604&amp;"??",$D605:$D$2965),IF(AND(LEN($A604)=4,VALUE(RIGHT($A604,2))&lt;=60),SUMIF($A605:$A$2965,$A604&amp;"????",$D605:$D$2965),VLOOKUP(IF(LEN($A604)=4,$A604&amp;"01 1",$A604),GUS_tabl_21!$A$5:$F$4886,6,FALSE))))</f>
        <v>4646</v>
      </c>
      <c r="E604" s="29"/>
    </row>
    <row r="605" spans="1:5" ht="12" customHeight="1">
      <c r="A605" s="155" t="str">
        <f>"062002 2"</f>
        <v>062002 2</v>
      </c>
      <c r="B605" s="153" t="s">
        <v>57</v>
      </c>
      <c r="C605" s="156" t="str">
        <f>IF(OR($A605="",ISERROR(VALUE(LEFT($A605,6)))),"",IF(LEN($A605)=2,"WOJ. ",IF(LEN($A605)=4,IF(VALUE(RIGHT($A605,2))&gt;60,"","Powiat "),IF(VALUE(RIGHT($A605,1))=1,"m. ",IF(VALUE(RIGHT($A605,1))=2,"gm. w. ",IF(VALUE(RIGHT($A605,1))=8,"dz. ","gm. m.-w. ")))))&amp;IF(LEN($A605)=2,TRIM(UPPER(VLOOKUP($A605,GUS_tabl_1!$A$7:$B$22,2,FALSE))),IF(ISERROR(FIND("..",TRIM(VLOOKUP(IF(AND(LEN($A605)=4,VALUE(RIGHT($A605,2))&gt;60),$A605&amp;"01 1",$A605),IF(AND(LEN($A605)=4,VALUE(RIGHT($A605,2))&lt;60),GUS_tabl_2!$A$8:$B$464,GUS_tabl_21!$A$5:$B$4886),2,FALSE)))),TRIM(VLOOKUP(IF(AND(LEN($A605)=4,VALUE(RIGHT($A605,2))&gt;60),$A605&amp;"01 1",$A605),IF(AND(LEN($A605)=4,VALUE(RIGHT($A605,2))&lt;60),GUS_tabl_2!$A$8:$B$464,GUS_tabl_21!$A$5:$B$4886),2,FALSE)),LEFT(TRIM(VLOOKUP(IF(AND(LEN($A605)=4,VALUE(RIGHT($A605,2))&gt;60),$A605&amp;"01 1",$A605),IF(AND(LEN($A605)=4,VALUE(RIGHT($A605,2))&lt;60),GUS_tabl_2!$A$8:$B$464,GUS_tabl_21!$A$5:$B$4886),2,FALSE)),SUM(FIND("..",TRIM(VLOOKUP(IF(AND(LEN($A605)=4,VALUE(RIGHT($A605,2))&gt;60),$A605&amp;"01 1",$A605),IF(AND(LEN($A605)=4,VALUE(RIGHT($A605,2))&lt;60),GUS_tabl_2!$A$8:$B$464,GUS_tabl_21!$A$5:$B$4886),2,FALSE))),-1)))))</f>
        <v>gm. w. Grabowiec</v>
      </c>
      <c r="D605" s="141">
        <f>IF(OR($A605="",ISERROR(VALUE(LEFT($A605,6)))),"",IF(LEN($A605)=2,SUMIF($A606:$A$2965,$A605&amp;"??",$D606:$D$2965),IF(AND(LEN($A605)=4,VALUE(RIGHT($A605,2))&lt;=60),SUMIF($A606:$A$2965,$A605&amp;"????",$D606:$D$2965),VLOOKUP(IF(LEN($A605)=4,$A605&amp;"01 1",$A605),GUS_tabl_21!$A$5:$F$4886,6,FALSE))))</f>
        <v>3949</v>
      </c>
      <c r="E605" s="29"/>
    </row>
    <row r="606" spans="1:5" ht="12" customHeight="1">
      <c r="A606" s="155" t="str">
        <f>"062003 2"</f>
        <v>062003 2</v>
      </c>
      <c r="B606" s="153" t="s">
        <v>57</v>
      </c>
      <c r="C606" s="156" t="str">
        <f>IF(OR($A606="",ISERROR(VALUE(LEFT($A606,6)))),"",IF(LEN($A606)=2,"WOJ. ",IF(LEN($A606)=4,IF(VALUE(RIGHT($A606,2))&gt;60,"","Powiat "),IF(VALUE(RIGHT($A606,1))=1,"m. ",IF(VALUE(RIGHT($A606,1))=2,"gm. w. ",IF(VALUE(RIGHT($A606,1))=8,"dz. ","gm. m.-w. ")))))&amp;IF(LEN($A606)=2,TRIM(UPPER(VLOOKUP($A606,GUS_tabl_1!$A$7:$B$22,2,FALSE))),IF(ISERROR(FIND("..",TRIM(VLOOKUP(IF(AND(LEN($A606)=4,VALUE(RIGHT($A606,2))&gt;60),$A606&amp;"01 1",$A606),IF(AND(LEN($A606)=4,VALUE(RIGHT($A606,2))&lt;60),GUS_tabl_2!$A$8:$B$464,GUS_tabl_21!$A$5:$B$4886),2,FALSE)))),TRIM(VLOOKUP(IF(AND(LEN($A606)=4,VALUE(RIGHT($A606,2))&gt;60),$A606&amp;"01 1",$A606),IF(AND(LEN($A606)=4,VALUE(RIGHT($A606,2))&lt;60),GUS_tabl_2!$A$8:$B$464,GUS_tabl_21!$A$5:$B$4886),2,FALSE)),LEFT(TRIM(VLOOKUP(IF(AND(LEN($A606)=4,VALUE(RIGHT($A606,2))&gt;60),$A606&amp;"01 1",$A606),IF(AND(LEN($A606)=4,VALUE(RIGHT($A606,2))&lt;60),GUS_tabl_2!$A$8:$B$464,GUS_tabl_21!$A$5:$B$4886),2,FALSE)),SUM(FIND("..",TRIM(VLOOKUP(IF(AND(LEN($A606)=4,VALUE(RIGHT($A606,2))&gt;60),$A606&amp;"01 1",$A606),IF(AND(LEN($A606)=4,VALUE(RIGHT($A606,2))&lt;60),GUS_tabl_2!$A$8:$B$464,GUS_tabl_21!$A$5:$B$4886),2,FALSE))),-1)))))</f>
        <v>gm. w. Komarów-Osada</v>
      </c>
      <c r="D606" s="141">
        <f>IF(OR($A606="",ISERROR(VALUE(LEFT($A606,6)))),"",IF(LEN($A606)=2,SUMIF($A607:$A$2965,$A606&amp;"??",$D607:$D$2965),IF(AND(LEN($A606)=4,VALUE(RIGHT($A606,2))&lt;=60),SUMIF($A607:$A$2965,$A606&amp;"????",$D607:$D$2965),VLOOKUP(IF(LEN($A606)=4,$A606&amp;"01 1",$A606),GUS_tabl_21!$A$5:$F$4886,6,FALSE))))</f>
        <v>4939</v>
      </c>
      <c r="E606" s="29"/>
    </row>
    <row r="607" spans="1:5" ht="12" customHeight="1">
      <c r="A607" s="155" t="str">
        <f>"062004 3"</f>
        <v>062004 3</v>
      </c>
      <c r="B607" s="153" t="s">
        <v>57</v>
      </c>
      <c r="C607" s="156" t="str">
        <f>IF(OR($A607="",ISERROR(VALUE(LEFT($A607,6)))),"",IF(LEN($A607)=2,"WOJ. ",IF(LEN($A607)=4,IF(VALUE(RIGHT($A607,2))&gt;60,"","Powiat "),IF(VALUE(RIGHT($A607,1))=1,"m. ",IF(VALUE(RIGHT($A607,1))=2,"gm. w. ",IF(VALUE(RIGHT($A607,1))=8,"dz. ","gm. m.-w. ")))))&amp;IF(LEN($A607)=2,TRIM(UPPER(VLOOKUP($A607,GUS_tabl_1!$A$7:$B$22,2,FALSE))),IF(ISERROR(FIND("..",TRIM(VLOOKUP(IF(AND(LEN($A607)=4,VALUE(RIGHT($A607,2))&gt;60),$A607&amp;"01 1",$A607),IF(AND(LEN($A607)=4,VALUE(RIGHT($A607,2))&lt;60),GUS_tabl_2!$A$8:$B$464,GUS_tabl_21!$A$5:$B$4886),2,FALSE)))),TRIM(VLOOKUP(IF(AND(LEN($A607)=4,VALUE(RIGHT($A607,2))&gt;60),$A607&amp;"01 1",$A607),IF(AND(LEN($A607)=4,VALUE(RIGHT($A607,2))&lt;60),GUS_tabl_2!$A$8:$B$464,GUS_tabl_21!$A$5:$B$4886),2,FALSE)),LEFT(TRIM(VLOOKUP(IF(AND(LEN($A607)=4,VALUE(RIGHT($A607,2))&gt;60),$A607&amp;"01 1",$A607),IF(AND(LEN($A607)=4,VALUE(RIGHT($A607,2))&lt;60),GUS_tabl_2!$A$8:$B$464,GUS_tabl_21!$A$5:$B$4886),2,FALSE)),SUM(FIND("..",TRIM(VLOOKUP(IF(AND(LEN($A607)=4,VALUE(RIGHT($A607,2))&gt;60),$A607&amp;"01 1",$A607),IF(AND(LEN($A607)=4,VALUE(RIGHT($A607,2))&lt;60),GUS_tabl_2!$A$8:$B$464,GUS_tabl_21!$A$5:$B$4886),2,FALSE))),-1)))))</f>
        <v>gm. m.-w. Krasnobród</v>
      </c>
      <c r="D607" s="141">
        <f>IF(OR($A607="",ISERROR(VALUE(LEFT($A607,6)))),"",IF(LEN($A607)=2,SUMIF($A608:$A$2965,$A607&amp;"??",$D608:$D$2965),IF(AND(LEN($A607)=4,VALUE(RIGHT($A607,2))&lt;=60),SUMIF($A608:$A$2965,$A607&amp;"????",$D608:$D$2965),VLOOKUP(IF(LEN($A607)=4,$A607&amp;"01 1",$A607),GUS_tabl_21!$A$5:$F$4886,6,FALSE))))</f>
        <v>7097</v>
      </c>
      <c r="E607" s="29"/>
    </row>
    <row r="608" spans="1:5" ht="12" customHeight="1">
      <c r="A608" s="155" t="str">
        <f>"062005 2"</f>
        <v>062005 2</v>
      </c>
      <c r="B608" s="153" t="s">
        <v>57</v>
      </c>
      <c r="C608" s="156" t="str">
        <f>IF(OR($A608="",ISERROR(VALUE(LEFT($A608,6)))),"",IF(LEN($A608)=2,"WOJ. ",IF(LEN($A608)=4,IF(VALUE(RIGHT($A608,2))&gt;60,"","Powiat "),IF(VALUE(RIGHT($A608,1))=1,"m. ",IF(VALUE(RIGHT($A608,1))=2,"gm. w. ",IF(VALUE(RIGHT($A608,1))=8,"dz. ","gm. m.-w. ")))))&amp;IF(LEN($A608)=2,TRIM(UPPER(VLOOKUP($A608,GUS_tabl_1!$A$7:$B$22,2,FALSE))),IF(ISERROR(FIND("..",TRIM(VLOOKUP(IF(AND(LEN($A608)=4,VALUE(RIGHT($A608,2))&gt;60),$A608&amp;"01 1",$A608),IF(AND(LEN($A608)=4,VALUE(RIGHT($A608,2))&lt;60),GUS_tabl_2!$A$8:$B$464,GUS_tabl_21!$A$5:$B$4886),2,FALSE)))),TRIM(VLOOKUP(IF(AND(LEN($A608)=4,VALUE(RIGHT($A608,2))&gt;60),$A608&amp;"01 1",$A608),IF(AND(LEN($A608)=4,VALUE(RIGHT($A608,2))&lt;60),GUS_tabl_2!$A$8:$B$464,GUS_tabl_21!$A$5:$B$4886),2,FALSE)),LEFT(TRIM(VLOOKUP(IF(AND(LEN($A608)=4,VALUE(RIGHT($A608,2))&gt;60),$A608&amp;"01 1",$A608),IF(AND(LEN($A608)=4,VALUE(RIGHT($A608,2))&lt;60),GUS_tabl_2!$A$8:$B$464,GUS_tabl_21!$A$5:$B$4886),2,FALSE)),SUM(FIND("..",TRIM(VLOOKUP(IF(AND(LEN($A608)=4,VALUE(RIGHT($A608,2))&gt;60),$A608&amp;"01 1",$A608),IF(AND(LEN($A608)=4,VALUE(RIGHT($A608,2))&lt;60),GUS_tabl_2!$A$8:$B$464,GUS_tabl_21!$A$5:$B$4886),2,FALSE))),-1)))))</f>
        <v>gm. w. Łabunie</v>
      </c>
      <c r="D608" s="141">
        <f>IF(OR($A608="",ISERROR(VALUE(LEFT($A608,6)))),"",IF(LEN($A608)=2,SUMIF($A609:$A$2965,$A608&amp;"??",$D609:$D$2965),IF(AND(LEN($A608)=4,VALUE(RIGHT($A608,2))&lt;=60),SUMIF($A609:$A$2965,$A608&amp;"????",$D609:$D$2965),VLOOKUP(IF(LEN($A608)=4,$A608&amp;"01 1",$A608),GUS_tabl_21!$A$5:$F$4886,6,FALSE))))</f>
        <v>6235</v>
      </c>
      <c r="E608" s="29"/>
    </row>
    <row r="609" spans="1:5" ht="12" customHeight="1">
      <c r="A609" s="155" t="str">
        <f>"062006 2"</f>
        <v>062006 2</v>
      </c>
      <c r="B609" s="153" t="s">
        <v>57</v>
      </c>
      <c r="C609" s="156" t="str">
        <f>IF(OR($A609="",ISERROR(VALUE(LEFT($A609,6)))),"",IF(LEN($A609)=2,"WOJ. ",IF(LEN($A609)=4,IF(VALUE(RIGHT($A609,2))&gt;60,"","Powiat "),IF(VALUE(RIGHT($A609,1))=1,"m. ",IF(VALUE(RIGHT($A609,1))=2,"gm. w. ",IF(VALUE(RIGHT($A609,1))=8,"dz. ","gm. m.-w. ")))))&amp;IF(LEN($A609)=2,TRIM(UPPER(VLOOKUP($A609,GUS_tabl_1!$A$7:$B$22,2,FALSE))),IF(ISERROR(FIND("..",TRIM(VLOOKUP(IF(AND(LEN($A609)=4,VALUE(RIGHT($A609,2))&gt;60),$A609&amp;"01 1",$A609),IF(AND(LEN($A609)=4,VALUE(RIGHT($A609,2))&lt;60),GUS_tabl_2!$A$8:$B$464,GUS_tabl_21!$A$5:$B$4886),2,FALSE)))),TRIM(VLOOKUP(IF(AND(LEN($A609)=4,VALUE(RIGHT($A609,2))&gt;60),$A609&amp;"01 1",$A609),IF(AND(LEN($A609)=4,VALUE(RIGHT($A609,2))&lt;60),GUS_tabl_2!$A$8:$B$464,GUS_tabl_21!$A$5:$B$4886),2,FALSE)),LEFT(TRIM(VLOOKUP(IF(AND(LEN($A609)=4,VALUE(RIGHT($A609,2))&gt;60),$A609&amp;"01 1",$A609),IF(AND(LEN($A609)=4,VALUE(RIGHT($A609,2))&lt;60),GUS_tabl_2!$A$8:$B$464,GUS_tabl_21!$A$5:$B$4886),2,FALSE)),SUM(FIND("..",TRIM(VLOOKUP(IF(AND(LEN($A609)=4,VALUE(RIGHT($A609,2))&gt;60),$A609&amp;"01 1",$A609),IF(AND(LEN($A609)=4,VALUE(RIGHT($A609,2))&lt;60),GUS_tabl_2!$A$8:$B$464,GUS_tabl_21!$A$5:$B$4886),2,FALSE))),-1)))))</f>
        <v>gm. w. Miączyn</v>
      </c>
      <c r="D609" s="141">
        <f>IF(OR($A609="",ISERROR(VALUE(LEFT($A609,6)))),"",IF(LEN($A609)=2,SUMIF($A610:$A$2965,$A609&amp;"??",$D610:$D$2965),IF(AND(LEN($A609)=4,VALUE(RIGHT($A609,2))&lt;=60),SUMIF($A610:$A$2965,$A609&amp;"????",$D610:$D$2965),VLOOKUP(IF(LEN($A609)=4,$A609&amp;"01 1",$A609),GUS_tabl_21!$A$5:$F$4886,6,FALSE))))</f>
        <v>5726</v>
      </c>
      <c r="E609" s="29"/>
    </row>
    <row r="610" spans="1:5" ht="12" customHeight="1">
      <c r="A610" s="155" t="str">
        <f>"062007 2"</f>
        <v>062007 2</v>
      </c>
      <c r="B610" s="153" t="s">
        <v>57</v>
      </c>
      <c r="C610" s="156" t="str">
        <f>IF(OR($A610="",ISERROR(VALUE(LEFT($A610,6)))),"",IF(LEN($A610)=2,"WOJ. ",IF(LEN($A610)=4,IF(VALUE(RIGHT($A610,2))&gt;60,"","Powiat "),IF(VALUE(RIGHT($A610,1))=1,"m. ",IF(VALUE(RIGHT($A610,1))=2,"gm. w. ",IF(VALUE(RIGHT($A610,1))=8,"dz. ","gm. m.-w. ")))))&amp;IF(LEN($A610)=2,TRIM(UPPER(VLOOKUP($A610,GUS_tabl_1!$A$7:$B$22,2,FALSE))),IF(ISERROR(FIND("..",TRIM(VLOOKUP(IF(AND(LEN($A610)=4,VALUE(RIGHT($A610,2))&gt;60),$A610&amp;"01 1",$A610),IF(AND(LEN($A610)=4,VALUE(RIGHT($A610,2))&lt;60),GUS_tabl_2!$A$8:$B$464,GUS_tabl_21!$A$5:$B$4886),2,FALSE)))),TRIM(VLOOKUP(IF(AND(LEN($A610)=4,VALUE(RIGHT($A610,2))&gt;60),$A610&amp;"01 1",$A610),IF(AND(LEN($A610)=4,VALUE(RIGHT($A610,2))&lt;60),GUS_tabl_2!$A$8:$B$464,GUS_tabl_21!$A$5:$B$4886),2,FALSE)),LEFT(TRIM(VLOOKUP(IF(AND(LEN($A610)=4,VALUE(RIGHT($A610,2))&gt;60),$A610&amp;"01 1",$A610),IF(AND(LEN($A610)=4,VALUE(RIGHT($A610,2))&lt;60),GUS_tabl_2!$A$8:$B$464,GUS_tabl_21!$A$5:$B$4886),2,FALSE)),SUM(FIND("..",TRIM(VLOOKUP(IF(AND(LEN($A610)=4,VALUE(RIGHT($A610,2))&gt;60),$A610&amp;"01 1",$A610),IF(AND(LEN($A610)=4,VALUE(RIGHT($A610,2))&lt;60),GUS_tabl_2!$A$8:$B$464,GUS_tabl_21!$A$5:$B$4886),2,FALSE))),-1)))))</f>
        <v>gm. w. Nielisz</v>
      </c>
      <c r="D610" s="141">
        <f>IF(OR($A610="",ISERROR(VALUE(LEFT($A610,6)))),"",IF(LEN($A610)=2,SUMIF($A611:$A$2965,$A610&amp;"??",$D611:$D$2965),IF(AND(LEN($A610)=4,VALUE(RIGHT($A610,2))&lt;=60),SUMIF($A611:$A$2965,$A610&amp;"????",$D611:$D$2965),VLOOKUP(IF(LEN($A610)=4,$A610&amp;"01 1",$A610),GUS_tabl_21!$A$5:$F$4886,6,FALSE))))</f>
        <v>5427</v>
      </c>
      <c r="E610" s="29"/>
    </row>
    <row r="611" spans="1:5" ht="12" customHeight="1">
      <c r="A611" s="155" t="str">
        <f>"062008 2"</f>
        <v>062008 2</v>
      </c>
      <c r="B611" s="153" t="s">
        <v>57</v>
      </c>
      <c r="C611" s="156" t="str">
        <f>IF(OR($A611="",ISERROR(VALUE(LEFT($A611,6)))),"",IF(LEN($A611)=2,"WOJ. ",IF(LEN($A611)=4,IF(VALUE(RIGHT($A611,2))&gt;60,"","Powiat "),IF(VALUE(RIGHT($A611,1))=1,"m. ",IF(VALUE(RIGHT($A611,1))=2,"gm. w. ",IF(VALUE(RIGHT($A611,1))=8,"dz. ","gm. m.-w. ")))))&amp;IF(LEN($A611)=2,TRIM(UPPER(VLOOKUP($A611,GUS_tabl_1!$A$7:$B$22,2,FALSE))),IF(ISERROR(FIND("..",TRIM(VLOOKUP(IF(AND(LEN($A611)=4,VALUE(RIGHT($A611,2))&gt;60),$A611&amp;"01 1",$A611),IF(AND(LEN($A611)=4,VALUE(RIGHT($A611,2))&lt;60),GUS_tabl_2!$A$8:$B$464,GUS_tabl_21!$A$5:$B$4886),2,FALSE)))),TRIM(VLOOKUP(IF(AND(LEN($A611)=4,VALUE(RIGHT($A611,2))&gt;60),$A611&amp;"01 1",$A611),IF(AND(LEN($A611)=4,VALUE(RIGHT($A611,2))&lt;60),GUS_tabl_2!$A$8:$B$464,GUS_tabl_21!$A$5:$B$4886),2,FALSE)),LEFT(TRIM(VLOOKUP(IF(AND(LEN($A611)=4,VALUE(RIGHT($A611,2))&gt;60),$A611&amp;"01 1",$A611),IF(AND(LEN($A611)=4,VALUE(RIGHT($A611,2))&lt;60),GUS_tabl_2!$A$8:$B$464,GUS_tabl_21!$A$5:$B$4886),2,FALSE)),SUM(FIND("..",TRIM(VLOOKUP(IF(AND(LEN($A611)=4,VALUE(RIGHT($A611,2))&gt;60),$A611&amp;"01 1",$A611),IF(AND(LEN($A611)=4,VALUE(RIGHT($A611,2))&lt;60),GUS_tabl_2!$A$8:$B$464,GUS_tabl_21!$A$5:$B$4886),2,FALSE))),-1)))))</f>
        <v>gm. w. Radecznica</v>
      </c>
      <c r="D611" s="141">
        <f>IF(OR($A611="",ISERROR(VALUE(LEFT($A611,6)))),"",IF(LEN($A611)=2,SUMIF($A612:$A$2965,$A611&amp;"??",$D612:$D$2965),IF(AND(LEN($A611)=4,VALUE(RIGHT($A611,2))&lt;=60),SUMIF($A612:$A$2965,$A611&amp;"????",$D612:$D$2965),VLOOKUP(IF(LEN($A611)=4,$A611&amp;"01 1",$A611),GUS_tabl_21!$A$5:$F$4886,6,FALSE))))</f>
        <v>5644</v>
      </c>
      <c r="E611" s="29"/>
    </row>
    <row r="612" spans="1:5" ht="12" customHeight="1">
      <c r="A612" s="155" t="str">
        <f>"062009 2"</f>
        <v>062009 2</v>
      </c>
      <c r="B612" s="153" t="s">
        <v>57</v>
      </c>
      <c r="C612" s="156" t="str">
        <f>IF(OR($A612="",ISERROR(VALUE(LEFT($A612,6)))),"",IF(LEN($A612)=2,"WOJ. ",IF(LEN($A612)=4,IF(VALUE(RIGHT($A612,2))&gt;60,"","Powiat "),IF(VALUE(RIGHT($A612,1))=1,"m. ",IF(VALUE(RIGHT($A612,1))=2,"gm. w. ",IF(VALUE(RIGHT($A612,1))=8,"dz. ","gm. m.-w. ")))))&amp;IF(LEN($A612)=2,TRIM(UPPER(VLOOKUP($A612,GUS_tabl_1!$A$7:$B$22,2,FALSE))),IF(ISERROR(FIND("..",TRIM(VLOOKUP(IF(AND(LEN($A612)=4,VALUE(RIGHT($A612,2))&gt;60),$A612&amp;"01 1",$A612),IF(AND(LEN($A612)=4,VALUE(RIGHT($A612,2))&lt;60),GUS_tabl_2!$A$8:$B$464,GUS_tabl_21!$A$5:$B$4886),2,FALSE)))),TRIM(VLOOKUP(IF(AND(LEN($A612)=4,VALUE(RIGHT($A612,2))&gt;60),$A612&amp;"01 1",$A612),IF(AND(LEN($A612)=4,VALUE(RIGHT($A612,2))&lt;60),GUS_tabl_2!$A$8:$B$464,GUS_tabl_21!$A$5:$B$4886),2,FALSE)),LEFT(TRIM(VLOOKUP(IF(AND(LEN($A612)=4,VALUE(RIGHT($A612,2))&gt;60),$A612&amp;"01 1",$A612),IF(AND(LEN($A612)=4,VALUE(RIGHT($A612,2))&lt;60),GUS_tabl_2!$A$8:$B$464,GUS_tabl_21!$A$5:$B$4886),2,FALSE)),SUM(FIND("..",TRIM(VLOOKUP(IF(AND(LEN($A612)=4,VALUE(RIGHT($A612,2))&gt;60),$A612&amp;"01 1",$A612),IF(AND(LEN($A612)=4,VALUE(RIGHT($A612,2))&lt;60),GUS_tabl_2!$A$8:$B$464,GUS_tabl_21!$A$5:$B$4886),2,FALSE))),-1)))))</f>
        <v>gm. w. Sitno</v>
      </c>
      <c r="D612" s="141">
        <f>IF(OR($A612="",ISERROR(VALUE(LEFT($A612,6)))),"",IF(LEN($A612)=2,SUMIF($A613:$A$2965,$A612&amp;"??",$D613:$D$2965),IF(AND(LEN($A612)=4,VALUE(RIGHT($A612,2))&lt;=60),SUMIF($A613:$A$2965,$A612&amp;"????",$D613:$D$2965),VLOOKUP(IF(LEN($A612)=4,$A612&amp;"01 1",$A612),GUS_tabl_21!$A$5:$F$4886,6,FALSE))))</f>
        <v>6708</v>
      </c>
      <c r="E612" s="29"/>
    </row>
    <row r="613" spans="1:5" ht="12" customHeight="1">
      <c r="A613" s="155" t="str">
        <f>"062010 2"</f>
        <v>062010 2</v>
      </c>
      <c r="B613" s="153" t="s">
        <v>57</v>
      </c>
      <c r="C613" s="156" t="str">
        <f>IF(OR($A613="",ISERROR(VALUE(LEFT($A613,6)))),"",IF(LEN($A613)=2,"WOJ. ",IF(LEN($A613)=4,IF(VALUE(RIGHT($A613,2))&gt;60,"","Powiat "),IF(VALUE(RIGHT($A613,1))=1,"m. ",IF(VALUE(RIGHT($A613,1))=2,"gm. w. ",IF(VALUE(RIGHT($A613,1))=8,"dz. ","gm. m.-w. ")))))&amp;IF(LEN($A613)=2,TRIM(UPPER(VLOOKUP($A613,GUS_tabl_1!$A$7:$B$22,2,FALSE))),IF(ISERROR(FIND("..",TRIM(VLOOKUP(IF(AND(LEN($A613)=4,VALUE(RIGHT($A613,2))&gt;60),$A613&amp;"01 1",$A613),IF(AND(LEN($A613)=4,VALUE(RIGHT($A613,2))&lt;60),GUS_tabl_2!$A$8:$B$464,GUS_tabl_21!$A$5:$B$4886),2,FALSE)))),TRIM(VLOOKUP(IF(AND(LEN($A613)=4,VALUE(RIGHT($A613,2))&gt;60),$A613&amp;"01 1",$A613),IF(AND(LEN($A613)=4,VALUE(RIGHT($A613,2))&lt;60),GUS_tabl_2!$A$8:$B$464,GUS_tabl_21!$A$5:$B$4886),2,FALSE)),LEFT(TRIM(VLOOKUP(IF(AND(LEN($A613)=4,VALUE(RIGHT($A613,2))&gt;60),$A613&amp;"01 1",$A613),IF(AND(LEN($A613)=4,VALUE(RIGHT($A613,2))&lt;60),GUS_tabl_2!$A$8:$B$464,GUS_tabl_21!$A$5:$B$4886),2,FALSE)),SUM(FIND("..",TRIM(VLOOKUP(IF(AND(LEN($A613)=4,VALUE(RIGHT($A613,2))&gt;60),$A613&amp;"01 1",$A613),IF(AND(LEN($A613)=4,VALUE(RIGHT($A613,2))&lt;60),GUS_tabl_2!$A$8:$B$464,GUS_tabl_21!$A$5:$B$4886),2,FALSE))),-1)))))</f>
        <v>gm. w. Skierbieszów</v>
      </c>
      <c r="D613" s="141">
        <f>IF(OR($A613="",ISERROR(VALUE(LEFT($A613,6)))),"",IF(LEN($A613)=2,SUMIF($A614:$A$2965,$A613&amp;"??",$D614:$D$2965),IF(AND(LEN($A613)=4,VALUE(RIGHT($A613,2))&lt;=60),SUMIF($A614:$A$2965,$A613&amp;"????",$D614:$D$2965),VLOOKUP(IF(LEN($A613)=4,$A613&amp;"01 1",$A613),GUS_tabl_21!$A$5:$F$4886,6,FALSE))))</f>
        <v>5121</v>
      </c>
      <c r="E613" s="29"/>
    </row>
    <row r="614" spans="1:5" ht="12" customHeight="1">
      <c r="A614" s="155" t="str">
        <f>"062011 2"</f>
        <v>062011 2</v>
      </c>
      <c r="B614" s="153" t="s">
        <v>57</v>
      </c>
      <c r="C614" s="156" t="str">
        <f>IF(OR($A614="",ISERROR(VALUE(LEFT($A614,6)))),"",IF(LEN($A614)=2,"WOJ. ",IF(LEN($A614)=4,IF(VALUE(RIGHT($A614,2))&gt;60,"","Powiat "),IF(VALUE(RIGHT($A614,1))=1,"m. ",IF(VALUE(RIGHT($A614,1))=2,"gm. w. ",IF(VALUE(RIGHT($A614,1))=8,"dz. ","gm. m.-w. ")))))&amp;IF(LEN($A614)=2,TRIM(UPPER(VLOOKUP($A614,GUS_tabl_1!$A$7:$B$22,2,FALSE))),IF(ISERROR(FIND("..",TRIM(VLOOKUP(IF(AND(LEN($A614)=4,VALUE(RIGHT($A614,2))&gt;60),$A614&amp;"01 1",$A614),IF(AND(LEN($A614)=4,VALUE(RIGHT($A614,2))&lt;60),GUS_tabl_2!$A$8:$B$464,GUS_tabl_21!$A$5:$B$4886),2,FALSE)))),TRIM(VLOOKUP(IF(AND(LEN($A614)=4,VALUE(RIGHT($A614,2))&gt;60),$A614&amp;"01 1",$A614),IF(AND(LEN($A614)=4,VALUE(RIGHT($A614,2))&lt;60),GUS_tabl_2!$A$8:$B$464,GUS_tabl_21!$A$5:$B$4886),2,FALSE)),LEFT(TRIM(VLOOKUP(IF(AND(LEN($A614)=4,VALUE(RIGHT($A614,2))&gt;60),$A614&amp;"01 1",$A614),IF(AND(LEN($A614)=4,VALUE(RIGHT($A614,2))&lt;60),GUS_tabl_2!$A$8:$B$464,GUS_tabl_21!$A$5:$B$4886),2,FALSE)),SUM(FIND("..",TRIM(VLOOKUP(IF(AND(LEN($A614)=4,VALUE(RIGHT($A614,2))&gt;60),$A614&amp;"01 1",$A614),IF(AND(LEN($A614)=4,VALUE(RIGHT($A614,2))&lt;60),GUS_tabl_2!$A$8:$B$464,GUS_tabl_21!$A$5:$B$4886),2,FALSE))),-1)))))</f>
        <v>gm. w. Stary Zamość</v>
      </c>
      <c r="D614" s="141">
        <f>IF(OR($A614="",ISERROR(VALUE(LEFT($A614,6)))),"",IF(LEN($A614)=2,SUMIF($A615:$A$2965,$A614&amp;"??",$D615:$D$2965),IF(AND(LEN($A614)=4,VALUE(RIGHT($A614,2))&lt;=60),SUMIF($A615:$A$2965,$A614&amp;"????",$D615:$D$2965),VLOOKUP(IF(LEN($A614)=4,$A614&amp;"01 1",$A614),GUS_tabl_21!$A$5:$F$4886,6,FALSE))))</f>
        <v>5163</v>
      </c>
      <c r="E614" s="29"/>
    </row>
    <row r="615" spans="1:5" ht="12" customHeight="1">
      <c r="A615" s="155" t="str">
        <f>"062012 2"</f>
        <v>062012 2</v>
      </c>
      <c r="B615" s="153" t="s">
        <v>57</v>
      </c>
      <c r="C615" s="156" t="str">
        <f>IF(OR($A615="",ISERROR(VALUE(LEFT($A615,6)))),"",IF(LEN($A615)=2,"WOJ. ",IF(LEN($A615)=4,IF(VALUE(RIGHT($A615,2))&gt;60,"","Powiat "),IF(VALUE(RIGHT($A615,1))=1,"m. ",IF(VALUE(RIGHT($A615,1))=2,"gm. w. ",IF(VALUE(RIGHT($A615,1))=8,"dz. ","gm. m.-w. ")))))&amp;IF(LEN($A615)=2,TRIM(UPPER(VLOOKUP($A615,GUS_tabl_1!$A$7:$B$22,2,FALSE))),IF(ISERROR(FIND("..",TRIM(VLOOKUP(IF(AND(LEN($A615)=4,VALUE(RIGHT($A615,2))&gt;60),$A615&amp;"01 1",$A615),IF(AND(LEN($A615)=4,VALUE(RIGHT($A615,2))&lt;60),GUS_tabl_2!$A$8:$B$464,GUS_tabl_21!$A$5:$B$4886),2,FALSE)))),TRIM(VLOOKUP(IF(AND(LEN($A615)=4,VALUE(RIGHT($A615,2))&gt;60),$A615&amp;"01 1",$A615),IF(AND(LEN($A615)=4,VALUE(RIGHT($A615,2))&lt;60),GUS_tabl_2!$A$8:$B$464,GUS_tabl_21!$A$5:$B$4886),2,FALSE)),LEFT(TRIM(VLOOKUP(IF(AND(LEN($A615)=4,VALUE(RIGHT($A615,2))&gt;60),$A615&amp;"01 1",$A615),IF(AND(LEN($A615)=4,VALUE(RIGHT($A615,2))&lt;60),GUS_tabl_2!$A$8:$B$464,GUS_tabl_21!$A$5:$B$4886),2,FALSE)),SUM(FIND("..",TRIM(VLOOKUP(IF(AND(LEN($A615)=4,VALUE(RIGHT($A615,2))&gt;60),$A615&amp;"01 1",$A615),IF(AND(LEN($A615)=4,VALUE(RIGHT($A615,2))&lt;60),GUS_tabl_2!$A$8:$B$464,GUS_tabl_21!$A$5:$B$4886),2,FALSE))),-1)))))</f>
        <v>gm. w. Sułów</v>
      </c>
      <c r="D615" s="141">
        <f>IF(OR($A615="",ISERROR(VALUE(LEFT($A615,6)))),"",IF(LEN($A615)=2,SUMIF($A616:$A$2965,$A615&amp;"??",$D616:$D$2965),IF(AND(LEN($A615)=4,VALUE(RIGHT($A615,2))&lt;=60),SUMIF($A616:$A$2965,$A615&amp;"????",$D616:$D$2965),VLOOKUP(IF(LEN($A615)=4,$A615&amp;"01 1",$A615),GUS_tabl_21!$A$5:$F$4886,6,FALSE))))</f>
        <v>4479</v>
      </c>
      <c r="E615" s="29"/>
    </row>
    <row r="616" spans="1:5" ht="12" customHeight="1">
      <c r="A616" s="155" t="str">
        <f>"062013 3"</f>
        <v>062013 3</v>
      </c>
      <c r="B616" s="153" t="s">
        <v>57</v>
      </c>
      <c r="C616" s="156" t="str">
        <f>IF(OR($A616="",ISERROR(VALUE(LEFT($A616,6)))),"",IF(LEN($A616)=2,"WOJ. ",IF(LEN($A616)=4,IF(VALUE(RIGHT($A616,2))&gt;60,"","Powiat "),IF(VALUE(RIGHT($A616,1))=1,"m. ",IF(VALUE(RIGHT($A616,1))=2,"gm. w. ",IF(VALUE(RIGHT($A616,1))=8,"dz. ","gm. m.-w. ")))))&amp;IF(LEN($A616)=2,TRIM(UPPER(VLOOKUP($A616,GUS_tabl_1!$A$7:$B$22,2,FALSE))),IF(ISERROR(FIND("..",TRIM(VLOOKUP(IF(AND(LEN($A616)=4,VALUE(RIGHT($A616,2))&gt;60),$A616&amp;"01 1",$A616),IF(AND(LEN($A616)=4,VALUE(RIGHT($A616,2))&lt;60),GUS_tabl_2!$A$8:$B$464,GUS_tabl_21!$A$5:$B$4886),2,FALSE)))),TRIM(VLOOKUP(IF(AND(LEN($A616)=4,VALUE(RIGHT($A616,2))&gt;60),$A616&amp;"01 1",$A616),IF(AND(LEN($A616)=4,VALUE(RIGHT($A616,2))&lt;60),GUS_tabl_2!$A$8:$B$464,GUS_tabl_21!$A$5:$B$4886),2,FALSE)),LEFT(TRIM(VLOOKUP(IF(AND(LEN($A616)=4,VALUE(RIGHT($A616,2))&gt;60),$A616&amp;"01 1",$A616),IF(AND(LEN($A616)=4,VALUE(RIGHT($A616,2))&lt;60),GUS_tabl_2!$A$8:$B$464,GUS_tabl_21!$A$5:$B$4886),2,FALSE)),SUM(FIND("..",TRIM(VLOOKUP(IF(AND(LEN($A616)=4,VALUE(RIGHT($A616,2))&gt;60),$A616&amp;"01 1",$A616),IF(AND(LEN($A616)=4,VALUE(RIGHT($A616,2))&lt;60),GUS_tabl_2!$A$8:$B$464,GUS_tabl_21!$A$5:$B$4886),2,FALSE))),-1)))))</f>
        <v>gm. m.-w. Szczebrzeszyn</v>
      </c>
      <c r="D616" s="141">
        <f>IF(OR($A616="",ISERROR(VALUE(LEFT($A616,6)))),"",IF(LEN($A616)=2,SUMIF($A617:$A$2965,$A616&amp;"??",$D617:$D$2965),IF(AND(LEN($A616)=4,VALUE(RIGHT($A616,2))&lt;=60),SUMIF($A617:$A$2965,$A616&amp;"????",$D617:$D$2965),VLOOKUP(IF(LEN($A616)=4,$A616&amp;"01 1",$A616),GUS_tabl_21!$A$5:$F$4886,6,FALSE))))</f>
        <v>11139</v>
      </c>
      <c r="E616" s="29"/>
    </row>
    <row r="617" spans="1:5" ht="12" customHeight="1">
      <c r="A617" s="155" t="str">
        <f>"062014 2"</f>
        <v>062014 2</v>
      </c>
      <c r="B617" s="153" t="s">
        <v>57</v>
      </c>
      <c r="C617" s="156" t="str">
        <f>IF(OR($A617="",ISERROR(VALUE(LEFT($A617,6)))),"",IF(LEN($A617)=2,"WOJ. ",IF(LEN($A617)=4,IF(VALUE(RIGHT($A617,2))&gt;60,"","Powiat "),IF(VALUE(RIGHT($A617,1))=1,"m. ",IF(VALUE(RIGHT($A617,1))=2,"gm. w. ",IF(VALUE(RIGHT($A617,1))=8,"dz. ","gm. m.-w. ")))))&amp;IF(LEN($A617)=2,TRIM(UPPER(VLOOKUP($A617,GUS_tabl_1!$A$7:$B$22,2,FALSE))),IF(ISERROR(FIND("..",TRIM(VLOOKUP(IF(AND(LEN($A617)=4,VALUE(RIGHT($A617,2))&gt;60),$A617&amp;"01 1",$A617),IF(AND(LEN($A617)=4,VALUE(RIGHT($A617,2))&lt;60),GUS_tabl_2!$A$8:$B$464,GUS_tabl_21!$A$5:$B$4886),2,FALSE)))),TRIM(VLOOKUP(IF(AND(LEN($A617)=4,VALUE(RIGHT($A617,2))&gt;60),$A617&amp;"01 1",$A617),IF(AND(LEN($A617)=4,VALUE(RIGHT($A617,2))&lt;60),GUS_tabl_2!$A$8:$B$464,GUS_tabl_21!$A$5:$B$4886),2,FALSE)),LEFT(TRIM(VLOOKUP(IF(AND(LEN($A617)=4,VALUE(RIGHT($A617,2))&gt;60),$A617&amp;"01 1",$A617),IF(AND(LEN($A617)=4,VALUE(RIGHT($A617,2))&lt;60),GUS_tabl_2!$A$8:$B$464,GUS_tabl_21!$A$5:$B$4886),2,FALSE)),SUM(FIND("..",TRIM(VLOOKUP(IF(AND(LEN($A617)=4,VALUE(RIGHT($A617,2))&gt;60),$A617&amp;"01 1",$A617),IF(AND(LEN($A617)=4,VALUE(RIGHT($A617,2))&lt;60),GUS_tabl_2!$A$8:$B$464,GUS_tabl_21!$A$5:$B$4886),2,FALSE))),-1)))))</f>
        <v>gm. w. Zamość</v>
      </c>
      <c r="D617" s="141">
        <f>IF(OR($A617="",ISERROR(VALUE(LEFT($A617,6)))),"",IF(LEN($A617)=2,SUMIF($A618:$A$2965,$A617&amp;"??",$D618:$D$2965),IF(AND(LEN($A617)=4,VALUE(RIGHT($A617,2))&lt;=60),SUMIF($A618:$A$2965,$A617&amp;"????",$D618:$D$2965),VLOOKUP(IF(LEN($A617)=4,$A617&amp;"01 1",$A617),GUS_tabl_21!$A$5:$F$4886,6,FALSE))))</f>
        <v>23155</v>
      </c>
      <c r="E617" s="29"/>
    </row>
    <row r="618" spans="1:5" ht="12" customHeight="1">
      <c r="A618" s="155" t="str">
        <f>"062015 3"</f>
        <v>062015 3</v>
      </c>
      <c r="B618" s="153" t="s">
        <v>57</v>
      </c>
      <c r="C618" s="156" t="str">
        <f>IF(OR($A618="",ISERROR(VALUE(LEFT($A618,6)))),"",IF(LEN($A618)=2,"WOJ. ",IF(LEN($A618)=4,IF(VALUE(RIGHT($A618,2))&gt;60,"","Powiat "),IF(VALUE(RIGHT($A618,1))=1,"m. ",IF(VALUE(RIGHT($A618,1))=2,"gm. w. ",IF(VALUE(RIGHT($A618,1))=8,"dz. ","gm. m.-w. ")))))&amp;IF(LEN($A618)=2,TRIM(UPPER(VLOOKUP($A618,GUS_tabl_1!$A$7:$B$22,2,FALSE))),IF(ISERROR(FIND("..",TRIM(VLOOKUP(IF(AND(LEN($A618)=4,VALUE(RIGHT($A618,2))&gt;60),$A618&amp;"01 1",$A618),IF(AND(LEN($A618)=4,VALUE(RIGHT($A618,2))&lt;60),GUS_tabl_2!$A$8:$B$464,GUS_tabl_21!$A$5:$B$4886),2,FALSE)))),TRIM(VLOOKUP(IF(AND(LEN($A618)=4,VALUE(RIGHT($A618,2))&gt;60),$A618&amp;"01 1",$A618),IF(AND(LEN($A618)=4,VALUE(RIGHT($A618,2))&lt;60),GUS_tabl_2!$A$8:$B$464,GUS_tabl_21!$A$5:$B$4886),2,FALSE)),LEFT(TRIM(VLOOKUP(IF(AND(LEN($A618)=4,VALUE(RIGHT($A618,2))&gt;60),$A618&amp;"01 1",$A618),IF(AND(LEN($A618)=4,VALUE(RIGHT($A618,2))&lt;60),GUS_tabl_2!$A$8:$B$464,GUS_tabl_21!$A$5:$B$4886),2,FALSE)),SUM(FIND("..",TRIM(VLOOKUP(IF(AND(LEN($A618)=4,VALUE(RIGHT($A618,2))&gt;60),$A618&amp;"01 1",$A618),IF(AND(LEN($A618)=4,VALUE(RIGHT($A618,2))&lt;60),GUS_tabl_2!$A$8:$B$464,GUS_tabl_21!$A$5:$B$4886),2,FALSE))),-1)))))</f>
        <v>gm. m.-w. Zwierzyniec</v>
      </c>
      <c r="D618" s="141">
        <f>IF(OR($A618="",ISERROR(VALUE(LEFT($A618,6)))),"",IF(LEN($A618)=2,SUMIF($A619:$A$2965,$A618&amp;"??",$D619:$D$2965),IF(AND(LEN($A618)=4,VALUE(RIGHT($A618,2))&lt;=60),SUMIF($A619:$A$2965,$A618&amp;"????",$D619:$D$2965),VLOOKUP(IF(LEN($A618)=4,$A618&amp;"01 1",$A618),GUS_tabl_21!$A$5:$F$4886,6,FALSE))))</f>
        <v>6694</v>
      </c>
      <c r="E618" s="29"/>
    </row>
    <row r="619" spans="1:5" ht="12" customHeight="1">
      <c r="A619" s="152"/>
      <c r="B619" s="153" t="s">
        <v>57</v>
      </c>
      <c r="C619" s="154" t="s">
        <v>0</v>
      </c>
      <c r="D619" s="140"/>
      <c r="E619" s="29"/>
    </row>
    <row r="620" spans="1:5" ht="12" customHeight="1">
      <c r="A620" s="152"/>
      <c r="B620" s="153" t="s">
        <v>57</v>
      </c>
      <c r="C620" s="162" t="s">
        <v>1</v>
      </c>
      <c r="D620" s="140"/>
      <c r="E620" s="29"/>
    </row>
    <row r="621" spans="1:5" ht="12" customHeight="1">
      <c r="A621" s="152" t="str">
        <f>"0661"</f>
        <v>0661</v>
      </c>
      <c r="B621" s="153" t="s">
        <v>57</v>
      </c>
      <c r="C621" s="154" t="str">
        <f>IF(OR($A621="",ISERROR(VALUE(LEFT($A621,6)))),"",IF(LEN($A621)=2,"WOJ. ",IF(LEN($A621)=4,IF(VALUE(RIGHT($A621,2))&gt;60,"","Powiat "),IF(VALUE(RIGHT($A621,1))=1,"m. ",IF(VALUE(RIGHT($A621,1))=2,"gm. w. ",IF(VALUE(RIGHT($A621,1))=8,"dz. ","gm. m.-w. ")))))&amp;IF(LEN($A621)=2,TRIM(UPPER(VLOOKUP($A621,GUS_tabl_1!$A$7:$B$22,2,FALSE))),IF(ISERROR(FIND("..",TRIM(VLOOKUP(IF(AND(LEN($A621)=4,VALUE(RIGHT($A621,2))&gt;60),$A621&amp;"01 1",$A621),IF(AND(LEN($A621)=4,VALUE(RIGHT($A621,2))&lt;60),GUS_tabl_2!$A$8:$B$464,GUS_tabl_21!$A$5:$B$4886),2,FALSE)))),TRIM(VLOOKUP(IF(AND(LEN($A621)=4,VALUE(RIGHT($A621,2))&gt;60),$A621&amp;"01 1",$A621),IF(AND(LEN($A621)=4,VALUE(RIGHT($A621,2))&lt;60),GUS_tabl_2!$A$8:$B$464,GUS_tabl_21!$A$5:$B$4886),2,FALSE)),LEFT(TRIM(VLOOKUP(IF(AND(LEN($A621)=4,VALUE(RIGHT($A621,2))&gt;60),$A621&amp;"01 1",$A621),IF(AND(LEN($A621)=4,VALUE(RIGHT($A621,2))&lt;60),GUS_tabl_2!$A$8:$B$464,GUS_tabl_21!$A$5:$B$4886),2,FALSE)),SUM(FIND("..",TRIM(VLOOKUP(IF(AND(LEN($A621)=4,VALUE(RIGHT($A621,2))&gt;60),$A621&amp;"01 1",$A621),IF(AND(LEN($A621)=4,VALUE(RIGHT($A621,2))&lt;60),GUS_tabl_2!$A$8:$B$464,GUS_tabl_21!$A$5:$B$4886),2,FALSE))),-1)))))</f>
        <v>Biała Podlaska</v>
      </c>
      <c r="D621" s="140">
        <f>IF(OR($A621="",ISERROR(VALUE(LEFT($A621,6)))),"",IF(LEN($A621)=2,SUMIF($A622:$A$2965,$A621&amp;"??",$D622:$D$2965),IF(AND(LEN($A621)=4,VALUE(RIGHT($A621,2))&lt;=60),SUMIF($A622:$A$2965,$A621&amp;"????",$D622:$D$2965),VLOOKUP(IF(LEN($A621)=4,$A621&amp;"01 1",$A621),GUS_tabl_21!$A$5:$F$4886,6,FALSE))))</f>
        <v>57170</v>
      </c>
      <c r="E621" s="29"/>
    </row>
    <row r="622" spans="1:5" ht="12" customHeight="1">
      <c r="A622" s="152" t="str">
        <f>"0662"</f>
        <v>0662</v>
      </c>
      <c r="B622" s="153" t="s">
        <v>57</v>
      </c>
      <c r="C622" s="154" t="str">
        <f>IF(OR($A622="",ISERROR(VALUE(LEFT($A622,6)))),"",IF(LEN($A622)=2,"WOJ. ",IF(LEN($A622)=4,IF(VALUE(RIGHT($A622,2))&gt;60,"","Powiat "),IF(VALUE(RIGHT($A622,1))=1,"m. ",IF(VALUE(RIGHT($A622,1))=2,"gm. w. ",IF(VALUE(RIGHT($A622,1))=8,"dz. ","gm. m.-w. ")))))&amp;IF(LEN($A622)=2,TRIM(UPPER(VLOOKUP($A622,GUS_tabl_1!$A$7:$B$22,2,FALSE))),IF(ISERROR(FIND("..",TRIM(VLOOKUP(IF(AND(LEN($A622)=4,VALUE(RIGHT($A622,2))&gt;60),$A622&amp;"01 1",$A622),IF(AND(LEN($A622)=4,VALUE(RIGHT($A622,2))&lt;60),GUS_tabl_2!$A$8:$B$464,GUS_tabl_21!$A$5:$B$4886),2,FALSE)))),TRIM(VLOOKUP(IF(AND(LEN($A622)=4,VALUE(RIGHT($A622,2))&gt;60),$A622&amp;"01 1",$A622),IF(AND(LEN($A622)=4,VALUE(RIGHT($A622,2))&lt;60),GUS_tabl_2!$A$8:$B$464,GUS_tabl_21!$A$5:$B$4886),2,FALSE)),LEFT(TRIM(VLOOKUP(IF(AND(LEN($A622)=4,VALUE(RIGHT($A622,2))&gt;60),$A622&amp;"01 1",$A622),IF(AND(LEN($A622)=4,VALUE(RIGHT($A622,2))&lt;60),GUS_tabl_2!$A$8:$B$464,GUS_tabl_21!$A$5:$B$4886),2,FALSE)),SUM(FIND("..",TRIM(VLOOKUP(IF(AND(LEN($A622)=4,VALUE(RIGHT($A622,2))&gt;60),$A622&amp;"01 1",$A622),IF(AND(LEN($A622)=4,VALUE(RIGHT($A622,2))&lt;60),GUS_tabl_2!$A$8:$B$464,GUS_tabl_21!$A$5:$B$4886),2,FALSE))),-1)))))</f>
        <v>Chełm</v>
      </c>
      <c r="D622" s="140">
        <f>IF(OR($A622="",ISERROR(VALUE(LEFT($A622,6)))),"",IF(LEN($A622)=2,SUMIF($A623:$A$2965,$A622&amp;"??",$D623:$D$2965),IF(AND(LEN($A622)=4,VALUE(RIGHT($A622,2))&lt;=60),SUMIF($A623:$A$2965,$A622&amp;"????",$D623:$D$2965),VLOOKUP(IF(LEN($A622)=4,$A622&amp;"01 1",$A622),GUS_tabl_21!$A$5:$F$4886,6,FALSE))))</f>
        <v>61932</v>
      </c>
      <c r="E622" s="29"/>
    </row>
    <row r="623" spans="1:5" ht="12" customHeight="1">
      <c r="A623" s="152" t="str">
        <f>"0663"</f>
        <v>0663</v>
      </c>
      <c r="B623" s="153" t="s">
        <v>57</v>
      </c>
      <c r="C623" s="154" t="str">
        <f>IF(OR($A623="",ISERROR(VALUE(LEFT($A623,6)))),"",IF(LEN($A623)=2,"WOJ. ",IF(LEN($A623)=4,IF(VALUE(RIGHT($A623,2))&gt;60,"","Powiat "),IF(VALUE(RIGHT($A623,1))=1,"m. ",IF(VALUE(RIGHT($A623,1))=2,"gm. w. ",IF(VALUE(RIGHT($A623,1))=8,"dz. ","gm. m.-w. ")))))&amp;IF(LEN($A623)=2,TRIM(UPPER(VLOOKUP($A623,GUS_tabl_1!$A$7:$B$22,2,FALSE))),IF(ISERROR(FIND("..",TRIM(VLOOKUP(IF(AND(LEN($A623)=4,VALUE(RIGHT($A623,2))&gt;60),$A623&amp;"01 1",$A623),IF(AND(LEN($A623)=4,VALUE(RIGHT($A623,2))&lt;60),GUS_tabl_2!$A$8:$B$464,GUS_tabl_21!$A$5:$B$4886),2,FALSE)))),TRIM(VLOOKUP(IF(AND(LEN($A623)=4,VALUE(RIGHT($A623,2))&gt;60),$A623&amp;"01 1",$A623),IF(AND(LEN($A623)=4,VALUE(RIGHT($A623,2))&lt;60),GUS_tabl_2!$A$8:$B$464,GUS_tabl_21!$A$5:$B$4886),2,FALSE)),LEFT(TRIM(VLOOKUP(IF(AND(LEN($A623)=4,VALUE(RIGHT($A623,2))&gt;60),$A623&amp;"01 1",$A623),IF(AND(LEN($A623)=4,VALUE(RIGHT($A623,2))&lt;60),GUS_tabl_2!$A$8:$B$464,GUS_tabl_21!$A$5:$B$4886),2,FALSE)),SUM(FIND("..",TRIM(VLOOKUP(IF(AND(LEN($A623)=4,VALUE(RIGHT($A623,2))&gt;60),$A623&amp;"01 1",$A623),IF(AND(LEN($A623)=4,VALUE(RIGHT($A623,2))&lt;60),GUS_tabl_2!$A$8:$B$464,GUS_tabl_21!$A$5:$B$4886),2,FALSE))),-1)))))</f>
        <v>Lublin</v>
      </c>
      <c r="D623" s="140">
        <f>IF(OR($A623="",ISERROR(VALUE(LEFT($A623,6)))),"",IF(LEN($A623)=2,SUMIF($A624:$A$2965,$A623&amp;"??",$D624:$D$2965),IF(AND(LEN($A623)=4,VALUE(RIGHT($A623,2))&lt;=60),SUMIF($A624:$A$2965,$A623&amp;"????",$D624:$D$2965),VLOOKUP(IF(LEN($A623)=4,$A623&amp;"01 1",$A623),GUS_tabl_21!$A$5:$F$4886,6,FALSE))))</f>
        <v>339784</v>
      </c>
      <c r="E623" s="29"/>
    </row>
    <row r="624" spans="1:5" ht="12" customHeight="1">
      <c r="A624" s="152" t="str">
        <f>"0664"</f>
        <v>0664</v>
      </c>
      <c r="B624" s="153" t="s">
        <v>57</v>
      </c>
      <c r="C624" s="154" t="str">
        <f>IF(OR($A624="",ISERROR(VALUE(LEFT($A624,6)))),"",IF(LEN($A624)=2,"WOJ. ",IF(LEN($A624)=4,IF(VALUE(RIGHT($A624,2))&gt;60,"","Powiat "),IF(VALUE(RIGHT($A624,1))=1,"m. ",IF(VALUE(RIGHT($A624,1))=2,"gm. w. ",IF(VALUE(RIGHT($A624,1))=8,"dz. ","gm. m.-w. ")))))&amp;IF(LEN($A624)=2,TRIM(UPPER(VLOOKUP($A624,GUS_tabl_1!$A$7:$B$22,2,FALSE))),IF(ISERROR(FIND("..",TRIM(VLOOKUP(IF(AND(LEN($A624)=4,VALUE(RIGHT($A624,2))&gt;60),$A624&amp;"01 1",$A624),IF(AND(LEN($A624)=4,VALUE(RIGHT($A624,2))&lt;60),GUS_tabl_2!$A$8:$B$464,GUS_tabl_21!$A$5:$B$4886),2,FALSE)))),TRIM(VLOOKUP(IF(AND(LEN($A624)=4,VALUE(RIGHT($A624,2))&gt;60),$A624&amp;"01 1",$A624),IF(AND(LEN($A624)=4,VALUE(RIGHT($A624,2))&lt;60),GUS_tabl_2!$A$8:$B$464,GUS_tabl_21!$A$5:$B$4886),2,FALSE)),LEFT(TRIM(VLOOKUP(IF(AND(LEN($A624)=4,VALUE(RIGHT($A624,2))&gt;60),$A624&amp;"01 1",$A624),IF(AND(LEN($A624)=4,VALUE(RIGHT($A624,2))&lt;60),GUS_tabl_2!$A$8:$B$464,GUS_tabl_21!$A$5:$B$4886),2,FALSE)),SUM(FIND("..",TRIM(VLOOKUP(IF(AND(LEN($A624)=4,VALUE(RIGHT($A624,2))&gt;60),$A624&amp;"01 1",$A624),IF(AND(LEN($A624)=4,VALUE(RIGHT($A624,2))&lt;60),GUS_tabl_2!$A$8:$B$464,GUS_tabl_21!$A$5:$B$4886),2,FALSE))),-1)))))</f>
        <v>Zamość</v>
      </c>
      <c r="D624" s="140">
        <f>IF(OR($A624="",ISERROR(VALUE(LEFT($A624,6)))),"",IF(LEN($A624)=2,SUMIF($A625:$A$2965,$A624&amp;"??",$D625:$D$2965),IF(AND(LEN($A624)=4,VALUE(RIGHT($A624,2))&lt;=60),SUMIF($A625:$A$2965,$A624&amp;"????",$D625:$D$2965),VLOOKUP(IF(LEN($A624)=4,$A624&amp;"01 1",$A624),GUS_tabl_21!$A$5:$F$4886,6,FALSE))))</f>
        <v>63437</v>
      </c>
      <c r="E624" s="29"/>
    </row>
    <row r="625" spans="1:5" ht="12" customHeight="1" thickBot="1">
      <c r="B625" s="163"/>
      <c r="C625" s="164"/>
      <c r="D625" s="65"/>
      <c r="E625" s="29"/>
    </row>
    <row r="626" spans="1:5" ht="26.25" customHeight="1" thickTop="1">
      <c r="A626" s="241" t="s">
        <v>97</v>
      </c>
      <c r="B626" s="247" t="s">
        <v>60</v>
      </c>
      <c r="C626" s="243" t="s">
        <v>7311</v>
      </c>
      <c r="D626" s="249" t="s">
        <v>6</v>
      </c>
      <c r="E626" s="29"/>
    </row>
    <row r="627" spans="1:5" ht="24" customHeight="1" thickBot="1">
      <c r="A627" s="242"/>
      <c r="B627" s="248"/>
      <c r="C627" s="244"/>
      <c r="D627" s="250"/>
      <c r="E627" s="29"/>
    </row>
    <row r="628" spans="1:5" ht="12" customHeight="1" thickTop="1">
      <c r="A628" s="158"/>
      <c r="B628" s="165"/>
      <c r="C628" s="166" t="str">
        <f>IF(OR($A628="",ISERROR(VALUE(LEFT($A628,6)))),"",IF(LEN($A628)=2,"WOJ. ",IF(LEN($A628)=4,IF(VALUE(RIGHT($A628,2))&gt;60,"","Powiat "),IF(VALUE(RIGHT($A628,1))=1,"m. ",IF(VALUE(RIGHT($A628,1))=2,"gm. w. ",IF(VALUE(RIGHT($A628,1))=8,"dz. ","gm. m.-w. ")))))&amp;IF(LEN($A628)=2,TRIM(UPPER(VLOOKUP($A628,GUS_tabl_1!$A$7:$B$22,2,FALSE))),IF(ISERROR(FIND("..",TRIM(VLOOKUP(IF(AND(LEN($A628)=4,VALUE(RIGHT($A628,2))&gt;60),$A628&amp;"01 1",$A628),IF(AND(LEN($A628)=4,VALUE(RIGHT($A628,2))&lt;60),GUS_tabl_2!$A$8:$B$464,GUS_tabl_21!$A$5:$B$4886),2,FALSE)))),TRIM(VLOOKUP(IF(AND(LEN($A628)=4,VALUE(RIGHT($A628,2))&gt;60),$A628&amp;"01 1",$A628),IF(AND(LEN($A628)=4,VALUE(RIGHT($A628,2))&lt;60),GUS_tabl_2!$A$8:$B$464,GUS_tabl_21!$A$5:$B$4886),2,FALSE)),LEFT(TRIM(VLOOKUP(IF(AND(LEN($A628)=4,VALUE(RIGHT($A628,2))&gt;60),$A628&amp;"01 1",$A628),IF(AND(LEN($A628)=4,VALUE(RIGHT($A628,2))&lt;60),GUS_tabl_2!$A$8:$B$464,GUS_tabl_21!$A$5:$B$4886),2,FALSE)),SUM(FIND("..",TRIM(VLOOKUP(IF(AND(LEN($A628)=4,VALUE(RIGHT($A628,2))&gt;60),$A628&amp;"01 1",$A628),IF(AND(LEN($A628)=4,VALUE(RIGHT($A628,2))&lt;60),GUS_tabl_2!$A$8:$B$464,GUS_tabl_21!$A$5:$B$4886),2,FALSE))),-1)))))</f>
        <v/>
      </c>
      <c r="D628" s="172" t="str">
        <f>IF(OR($A628="",ISERROR(VALUE(LEFT($A628,6)))),"",IF(LEN($A628)=2,SUMIF($A629:$A$2965,$A628&amp;"??",$D629:$D$2965),IF(AND(LEN($A628)=4,VALUE(RIGHT($A628,2))&lt;=60),SUMIF($A629:$A$2965,$A628&amp;"????",$D629:$D$2965),VLOOKUP(IF(LEN($A628)=4,$A628&amp;"01 1",$A628),GUS_tabl_21!$A$5:$F$4886,6,FALSE))))</f>
        <v/>
      </c>
      <c r="E628" s="29"/>
    </row>
    <row r="629" spans="1:5" ht="12" customHeight="1">
      <c r="A629" s="152" t="str">
        <f>"08"</f>
        <v>08</v>
      </c>
      <c r="B629" s="167"/>
      <c r="C629" s="154" t="str">
        <f>IF(OR($A629="",ISERROR(VALUE(LEFT($A629,6)))),"",IF(LEN($A629)=2,"WOJ. ",IF(LEN($A629)=4,IF(VALUE(RIGHT($A629,2))&gt;60,"","Powiat "),IF(VALUE(RIGHT($A629,1))=1,"m. ",IF(VALUE(RIGHT($A629,1))=2,"gm. w. ",IF(VALUE(RIGHT($A629,1))=8,"dz. ","gm. m.-w. ")))))&amp;IF(LEN($A629)=2,TRIM(UPPER(VLOOKUP($A629,GUS_tabl_1!$A$7:$B$22,2,FALSE))),IF(ISERROR(FIND("..",TRIM(VLOOKUP(IF(AND(LEN($A629)=4,VALUE(RIGHT($A629,2))&gt;60),$A629&amp;"01 1",$A629),IF(AND(LEN($A629)=4,VALUE(RIGHT($A629,2))&lt;60),GUS_tabl_2!$A$8:$B$464,GUS_tabl_21!$A$5:$B$4886),2,FALSE)))),TRIM(VLOOKUP(IF(AND(LEN($A629)=4,VALUE(RIGHT($A629,2))&gt;60),$A629&amp;"01 1",$A629),IF(AND(LEN($A629)=4,VALUE(RIGHT($A629,2))&lt;60),GUS_tabl_2!$A$8:$B$464,GUS_tabl_21!$A$5:$B$4886),2,FALSE)),LEFT(TRIM(VLOOKUP(IF(AND(LEN($A629)=4,VALUE(RIGHT($A629,2))&gt;60),$A629&amp;"01 1",$A629),IF(AND(LEN($A629)=4,VALUE(RIGHT($A629,2))&lt;60),GUS_tabl_2!$A$8:$B$464,GUS_tabl_21!$A$5:$B$4886),2,FALSE)),SUM(FIND("..",TRIM(VLOOKUP(IF(AND(LEN($A629)=4,VALUE(RIGHT($A629,2))&gt;60),$A629&amp;"01 1",$A629),IF(AND(LEN($A629)=4,VALUE(RIGHT($A629,2))&lt;60),GUS_tabl_2!$A$8:$B$464,GUS_tabl_21!$A$5:$B$4886),2,FALSE))),-1)))))</f>
        <v>WOJ. LUBUSKIE</v>
      </c>
      <c r="D629" s="173">
        <f>IF(OR($A629="",ISERROR(VALUE(LEFT($A629,6)))),"",IF(LEN($A629)=2,SUMIF($A630:$A$2965,$A629&amp;"??",$D630:$D$2965),IF(AND(LEN($A629)=4,VALUE(RIGHT($A629,2))&lt;=60),SUMIF($A630:$A$2965,$A629&amp;"????",$D630:$D$2965),VLOOKUP(IF(LEN($A629)=4,$A629&amp;"01 1",$A629),GUS_tabl_21!$A$5:$F$4886,6,FALSE))))</f>
        <v>1011592</v>
      </c>
      <c r="E629" s="29"/>
    </row>
    <row r="630" spans="1:5" ht="12" customHeight="1">
      <c r="A630" s="152"/>
      <c r="B630" s="167"/>
      <c r="C630" s="156" t="str">
        <f>IF(OR($A630="",ISERROR(VALUE(LEFT($A630,6)))),"",IF(LEN($A630)=2,"WOJ. ",IF(LEN($A630)=4,IF(VALUE(RIGHT($A630,2))&gt;60,"","Powiat "),IF(VALUE(RIGHT($A630,1))=1,"m. ",IF(VALUE(RIGHT($A630,1))=2,"gm. w. ",IF(VALUE(RIGHT($A630,1))=8,"dz. ","gm. m.-w. ")))))&amp;IF(LEN($A630)=2,TRIM(UPPER(VLOOKUP($A630,GUS_tabl_1!$A$7:$B$22,2,FALSE))),IF(ISERROR(FIND("..",TRIM(VLOOKUP(IF(AND(LEN($A630)=4,VALUE(RIGHT($A630,2))&gt;60),$A630&amp;"01 1",$A630),IF(AND(LEN($A630)=4,VALUE(RIGHT($A630,2))&lt;60),GUS_tabl_2!$A$8:$B$464,GUS_tabl_21!$A$5:$B$4886),2,FALSE)))),TRIM(VLOOKUP(IF(AND(LEN($A630)=4,VALUE(RIGHT($A630,2))&gt;60),$A630&amp;"01 1",$A630),IF(AND(LEN($A630)=4,VALUE(RIGHT($A630,2))&lt;60),GUS_tabl_2!$A$8:$B$464,GUS_tabl_21!$A$5:$B$4886),2,FALSE)),LEFT(TRIM(VLOOKUP(IF(AND(LEN($A630)=4,VALUE(RIGHT($A630,2))&gt;60),$A630&amp;"01 1",$A630),IF(AND(LEN($A630)=4,VALUE(RIGHT($A630,2))&lt;60),GUS_tabl_2!$A$8:$B$464,GUS_tabl_21!$A$5:$B$4886),2,FALSE)),SUM(FIND("..",TRIM(VLOOKUP(IF(AND(LEN($A630)=4,VALUE(RIGHT($A630,2))&gt;60),$A630&amp;"01 1",$A630),IF(AND(LEN($A630)=4,VALUE(RIGHT($A630,2))&lt;60),GUS_tabl_2!$A$8:$B$464,GUS_tabl_21!$A$5:$B$4886),2,FALSE))),-1)))))</f>
        <v/>
      </c>
      <c r="D630" s="174" t="str">
        <f>IF(OR($A630="",ISERROR(VALUE(LEFT($A630,6)))),"",IF(LEN($A630)=2,SUMIF($A631:$A$2965,$A630&amp;"??",$D631:$D$2965),IF(AND(LEN($A630)=4,VALUE(RIGHT($A630,2))&lt;=60),SUMIF($A631:$A$2965,$A630&amp;"????",$D631:$D$2965),VLOOKUP(IF(LEN($A630)=4,$A630&amp;"01 1",$A630),GUS_tabl_21!$A$5:$F$4886,6,FALSE))))</f>
        <v/>
      </c>
      <c r="E630" s="29"/>
    </row>
    <row r="631" spans="1:5" ht="12" customHeight="1">
      <c r="A631" s="152" t="str">
        <f>"0801"</f>
        <v>0801</v>
      </c>
      <c r="B631" s="153" t="s">
        <v>19</v>
      </c>
      <c r="C631" s="154" t="str">
        <f>IF(OR($A631="",ISERROR(VALUE(LEFT($A631,6)))),"",IF(LEN($A631)=2,"WOJ. ",IF(LEN($A631)=4,IF(VALUE(RIGHT($A631,2))&gt;60,"","Powiat "),IF(VALUE(RIGHT($A631,1))=1,"m. ",IF(VALUE(RIGHT($A631,1))=2,"gm. w. ",IF(VALUE(RIGHT($A631,1))=8,"dz. ","gm. m.-w. ")))))&amp;IF(LEN($A631)=2,TRIM(UPPER(VLOOKUP($A631,GUS_tabl_1!$A$7:$B$22,2,FALSE))),IF(ISERROR(FIND("..",TRIM(VLOOKUP(IF(AND(LEN($A631)=4,VALUE(RIGHT($A631,2))&gt;60),$A631&amp;"01 1",$A631),IF(AND(LEN($A631)=4,VALUE(RIGHT($A631,2))&lt;60),GUS_tabl_2!$A$8:$B$464,GUS_tabl_21!$A$5:$B$4886),2,FALSE)))),TRIM(VLOOKUP(IF(AND(LEN($A631)=4,VALUE(RIGHT($A631,2))&gt;60),$A631&amp;"01 1",$A631),IF(AND(LEN($A631)=4,VALUE(RIGHT($A631,2))&lt;60),GUS_tabl_2!$A$8:$B$464,GUS_tabl_21!$A$5:$B$4886),2,FALSE)),LEFT(TRIM(VLOOKUP(IF(AND(LEN($A631)=4,VALUE(RIGHT($A631,2))&gt;60),$A631&amp;"01 1",$A631),IF(AND(LEN($A631)=4,VALUE(RIGHT($A631,2))&lt;60),GUS_tabl_2!$A$8:$B$464,GUS_tabl_21!$A$5:$B$4886),2,FALSE)),SUM(FIND("..",TRIM(VLOOKUP(IF(AND(LEN($A631)=4,VALUE(RIGHT($A631,2))&gt;60),$A631&amp;"01 1",$A631),IF(AND(LEN($A631)=4,VALUE(RIGHT($A631,2))&lt;60),GUS_tabl_2!$A$8:$B$464,GUS_tabl_21!$A$5:$B$4886),2,FALSE))),-1)))))</f>
        <v>Powiat gorzowski</v>
      </c>
      <c r="D631" s="173">
        <f>IF(OR($A631="",ISERROR(VALUE(LEFT($A631,6)))),"",IF(LEN($A631)=2,SUMIF($A632:$A$2965,$A631&amp;"??",$D632:$D$2965),IF(AND(LEN($A631)=4,VALUE(RIGHT($A631,2))&lt;=60),SUMIF($A632:$A$2965,$A631&amp;"????",$D632:$D$2965),VLOOKUP(IF(LEN($A631)=4,$A631&amp;"01 1",$A631),GUS_tabl_21!$A$5:$F$4886,6,FALSE))))</f>
        <v>71836</v>
      </c>
      <c r="E631" s="29"/>
    </row>
    <row r="632" spans="1:5" ht="12" customHeight="1">
      <c r="A632" s="155" t="str">
        <f>"080101 1"</f>
        <v>080101 1</v>
      </c>
      <c r="B632" s="153" t="s">
        <v>19</v>
      </c>
      <c r="C632" s="156" t="str">
        <f>IF(OR($A632="",ISERROR(VALUE(LEFT($A632,6)))),"",IF(LEN($A632)=2,"WOJ. ",IF(LEN($A632)=4,IF(VALUE(RIGHT($A632,2))&gt;60,"","Powiat "),IF(VALUE(RIGHT($A632,1))=1,"m. ",IF(VALUE(RIGHT($A632,1))=2,"gm. w. ",IF(VALUE(RIGHT($A632,1))=8,"dz. ","gm. m.-w. ")))))&amp;IF(LEN($A632)=2,TRIM(UPPER(VLOOKUP($A632,GUS_tabl_1!$A$7:$B$22,2,FALSE))),IF(ISERROR(FIND("..",TRIM(VLOOKUP(IF(AND(LEN($A632)=4,VALUE(RIGHT($A632,2))&gt;60),$A632&amp;"01 1",$A632),IF(AND(LEN($A632)=4,VALUE(RIGHT($A632,2))&lt;60),GUS_tabl_2!$A$8:$B$464,GUS_tabl_21!$A$5:$B$4886),2,FALSE)))),TRIM(VLOOKUP(IF(AND(LEN($A632)=4,VALUE(RIGHT($A632,2))&gt;60),$A632&amp;"01 1",$A632),IF(AND(LEN($A632)=4,VALUE(RIGHT($A632,2))&lt;60),GUS_tabl_2!$A$8:$B$464,GUS_tabl_21!$A$5:$B$4886),2,FALSE)),LEFT(TRIM(VLOOKUP(IF(AND(LEN($A632)=4,VALUE(RIGHT($A632,2))&gt;60),$A632&amp;"01 1",$A632),IF(AND(LEN($A632)=4,VALUE(RIGHT($A632,2))&lt;60),GUS_tabl_2!$A$8:$B$464,GUS_tabl_21!$A$5:$B$4886),2,FALSE)),SUM(FIND("..",TRIM(VLOOKUP(IF(AND(LEN($A632)=4,VALUE(RIGHT($A632,2))&gt;60),$A632&amp;"01 1",$A632),IF(AND(LEN($A632)=4,VALUE(RIGHT($A632,2))&lt;60),GUS_tabl_2!$A$8:$B$464,GUS_tabl_21!$A$5:$B$4886),2,FALSE))),-1)))))</f>
        <v>m. Kostrzyn nad Odrą</v>
      </c>
      <c r="D632" s="174">
        <f>IF(OR($A632="",ISERROR(VALUE(LEFT($A632,6)))),"",IF(LEN($A632)=2,SUMIF($A633:$A$2965,$A632&amp;"??",$D633:$D$2965),IF(AND(LEN($A632)=4,VALUE(RIGHT($A632,2))&lt;=60),SUMIF($A633:$A$2965,$A632&amp;"????",$D633:$D$2965),VLOOKUP(IF(LEN($A632)=4,$A632&amp;"01 1",$A632),GUS_tabl_21!$A$5:$F$4886,6,FALSE))))</f>
        <v>17730</v>
      </c>
      <c r="E632" s="29"/>
    </row>
    <row r="633" spans="1:5" ht="12" customHeight="1">
      <c r="A633" s="155" t="str">
        <f>"080102 2"</f>
        <v>080102 2</v>
      </c>
      <c r="B633" s="153" t="s">
        <v>19</v>
      </c>
      <c r="C633" s="156" t="str">
        <f>IF(OR($A633="",ISERROR(VALUE(LEFT($A633,6)))),"",IF(LEN($A633)=2,"WOJ. ",IF(LEN($A633)=4,IF(VALUE(RIGHT($A633,2))&gt;60,"","Powiat "),IF(VALUE(RIGHT($A633,1))=1,"m. ",IF(VALUE(RIGHT($A633,1))=2,"gm. w. ",IF(VALUE(RIGHT($A633,1))=8,"dz. ","gm. m.-w. ")))))&amp;IF(LEN($A633)=2,TRIM(UPPER(VLOOKUP($A633,GUS_tabl_1!$A$7:$B$22,2,FALSE))),IF(ISERROR(FIND("..",TRIM(VLOOKUP(IF(AND(LEN($A633)=4,VALUE(RIGHT($A633,2))&gt;60),$A633&amp;"01 1",$A633),IF(AND(LEN($A633)=4,VALUE(RIGHT($A633,2))&lt;60),GUS_tabl_2!$A$8:$B$464,GUS_tabl_21!$A$5:$B$4886),2,FALSE)))),TRIM(VLOOKUP(IF(AND(LEN($A633)=4,VALUE(RIGHT($A633,2))&gt;60),$A633&amp;"01 1",$A633),IF(AND(LEN($A633)=4,VALUE(RIGHT($A633,2))&lt;60),GUS_tabl_2!$A$8:$B$464,GUS_tabl_21!$A$5:$B$4886),2,FALSE)),LEFT(TRIM(VLOOKUP(IF(AND(LEN($A633)=4,VALUE(RIGHT($A633,2))&gt;60),$A633&amp;"01 1",$A633),IF(AND(LEN($A633)=4,VALUE(RIGHT($A633,2))&lt;60),GUS_tabl_2!$A$8:$B$464,GUS_tabl_21!$A$5:$B$4886),2,FALSE)),SUM(FIND("..",TRIM(VLOOKUP(IF(AND(LEN($A633)=4,VALUE(RIGHT($A633,2))&gt;60),$A633&amp;"01 1",$A633),IF(AND(LEN($A633)=4,VALUE(RIGHT($A633,2))&lt;60),GUS_tabl_2!$A$8:$B$464,GUS_tabl_21!$A$5:$B$4886),2,FALSE))),-1)))))</f>
        <v>gm. w. Bogdaniec</v>
      </c>
      <c r="D633" s="174">
        <f>IF(OR($A633="",ISERROR(VALUE(LEFT($A633,6)))),"",IF(LEN($A633)=2,SUMIF($A634:$A$2965,$A633&amp;"??",$D634:$D$2965),IF(AND(LEN($A633)=4,VALUE(RIGHT($A633,2))&lt;=60),SUMIF($A634:$A$2965,$A633&amp;"????",$D634:$D$2965),VLOOKUP(IF(LEN($A633)=4,$A633&amp;"01 1",$A633),GUS_tabl_21!$A$5:$F$4886,6,FALSE))))</f>
        <v>7104</v>
      </c>
      <c r="E633" s="29"/>
    </row>
    <row r="634" spans="1:5" ht="12" customHeight="1">
      <c r="A634" s="155" t="str">
        <f>"080103 2"</f>
        <v>080103 2</v>
      </c>
      <c r="B634" s="153" t="s">
        <v>19</v>
      </c>
      <c r="C634" s="156" t="str">
        <f>IF(OR($A634="",ISERROR(VALUE(LEFT($A634,6)))),"",IF(LEN($A634)=2,"WOJ. ",IF(LEN($A634)=4,IF(VALUE(RIGHT($A634,2))&gt;60,"","Powiat "),IF(VALUE(RIGHT($A634,1))=1,"m. ",IF(VALUE(RIGHT($A634,1))=2,"gm. w. ",IF(VALUE(RIGHT($A634,1))=8,"dz. ","gm. m.-w. ")))))&amp;IF(LEN($A634)=2,TRIM(UPPER(VLOOKUP($A634,GUS_tabl_1!$A$7:$B$22,2,FALSE))),IF(ISERROR(FIND("..",TRIM(VLOOKUP(IF(AND(LEN($A634)=4,VALUE(RIGHT($A634,2))&gt;60),$A634&amp;"01 1",$A634),IF(AND(LEN($A634)=4,VALUE(RIGHT($A634,2))&lt;60),GUS_tabl_2!$A$8:$B$464,GUS_tabl_21!$A$5:$B$4886),2,FALSE)))),TRIM(VLOOKUP(IF(AND(LEN($A634)=4,VALUE(RIGHT($A634,2))&gt;60),$A634&amp;"01 1",$A634),IF(AND(LEN($A634)=4,VALUE(RIGHT($A634,2))&lt;60),GUS_tabl_2!$A$8:$B$464,GUS_tabl_21!$A$5:$B$4886),2,FALSE)),LEFT(TRIM(VLOOKUP(IF(AND(LEN($A634)=4,VALUE(RIGHT($A634,2))&gt;60),$A634&amp;"01 1",$A634),IF(AND(LEN($A634)=4,VALUE(RIGHT($A634,2))&lt;60),GUS_tabl_2!$A$8:$B$464,GUS_tabl_21!$A$5:$B$4886),2,FALSE)),SUM(FIND("..",TRIM(VLOOKUP(IF(AND(LEN($A634)=4,VALUE(RIGHT($A634,2))&gt;60),$A634&amp;"01 1",$A634),IF(AND(LEN($A634)=4,VALUE(RIGHT($A634,2))&lt;60),GUS_tabl_2!$A$8:$B$464,GUS_tabl_21!$A$5:$B$4886),2,FALSE))),-1)))))</f>
        <v>gm. w. Deszczno</v>
      </c>
      <c r="D634" s="174">
        <f>IF(OR($A634="",ISERROR(VALUE(LEFT($A634,6)))),"",IF(LEN($A634)=2,SUMIF($A635:$A$2965,$A634&amp;"??",$D635:$D$2965),IF(AND(LEN($A634)=4,VALUE(RIGHT($A634,2))&lt;=60),SUMIF($A635:$A$2965,$A634&amp;"????",$D635:$D$2965),VLOOKUP(IF(LEN($A634)=4,$A634&amp;"01 1",$A634),GUS_tabl_21!$A$5:$F$4886,6,FALSE))))</f>
        <v>9942</v>
      </c>
      <c r="E634" s="29"/>
    </row>
    <row r="635" spans="1:5" ht="12" customHeight="1">
      <c r="A635" s="155" t="str">
        <f>"080104 2"</f>
        <v>080104 2</v>
      </c>
      <c r="B635" s="153" t="s">
        <v>19</v>
      </c>
      <c r="C635" s="156" t="str">
        <f>IF(OR($A635="",ISERROR(VALUE(LEFT($A635,6)))),"",IF(LEN($A635)=2,"WOJ. ",IF(LEN($A635)=4,IF(VALUE(RIGHT($A635,2))&gt;60,"","Powiat "),IF(VALUE(RIGHT($A635,1))=1,"m. ",IF(VALUE(RIGHT($A635,1))=2,"gm. w. ",IF(VALUE(RIGHT($A635,1))=8,"dz. ","gm. m.-w. ")))))&amp;IF(LEN($A635)=2,TRIM(UPPER(VLOOKUP($A635,GUS_tabl_1!$A$7:$B$22,2,FALSE))),IF(ISERROR(FIND("..",TRIM(VLOOKUP(IF(AND(LEN($A635)=4,VALUE(RIGHT($A635,2))&gt;60),$A635&amp;"01 1",$A635),IF(AND(LEN($A635)=4,VALUE(RIGHT($A635,2))&lt;60),GUS_tabl_2!$A$8:$B$464,GUS_tabl_21!$A$5:$B$4886),2,FALSE)))),TRIM(VLOOKUP(IF(AND(LEN($A635)=4,VALUE(RIGHT($A635,2))&gt;60),$A635&amp;"01 1",$A635),IF(AND(LEN($A635)=4,VALUE(RIGHT($A635,2))&lt;60),GUS_tabl_2!$A$8:$B$464,GUS_tabl_21!$A$5:$B$4886),2,FALSE)),LEFT(TRIM(VLOOKUP(IF(AND(LEN($A635)=4,VALUE(RIGHT($A635,2))&gt;60),$A635&amp;"01 1",$A635),IF(AND(LEN($A635)=4,VALUE(RIGHT($A635,2))&lt;60),GUS_tabl_2!$A$8:$B$464,GUS_tabl_21!$A$5:$B$4886),2,FALSE)),SUM(FIND("..",TRIM(VLOOKUP(IF(AND(LEN($A635)=4,VALUE(RIGHT($A635,2))&gt;60),$A635&amp;"01 1",$A635),IF(AND(LEN($A635)=4,VALUE(RIGHT($A635,2))&lt;60),GUS_tabl_2!$A$8:$B$464,GUS_tabl_21!$A$5:$B$4886),2,FALSE))),-1)))))</f>
        <v>gm. w. Kłodawa</v>
      </c>
      <c r="D635" s="174">
        <f>IF(OR($A635="",ISERROR(VALUE(LEFT($A635,6)))),"",IF(LEN($A635)=2,SUMIF($A636:$A$2965,$A635&amp;"??",$D636:$D$2965),IF(AND(LEN($A635)=4,VALUE(RIGHT($A635,2))&lt;=60),SUMIF($A636:$A$2965,$A635&amp;"????",$D636:$D$2965),VLOOKUP(IF(LEN($A635)=4,$A635&amp;"01 1",$A635),GUS_tabl_21!$A$5:$F$4886,6,FALSE))))</f>
        <v>8677</v>
      </c>
      <c r="E635" s="29"/>
    </row>
    <row r="636" spans="1:5" ht="12" customHeight="1">
      <c r="A636" s="155" t="str">
        <f>"080105 2"</f>
        <v>080105 2</v>
      </c>
      <c r="B636" s="153" t="s">
        <v>19</v>
      </c>
      <c r="C636" s="156" t="str">
        <f>IF(OR($A636="",ISERROR(VALUE(LEFT($A636,6)))),"",IF(LEN($A636)=2,"WOJ. ",IF(LEN($A636)=4,IF(VALUE(RIGHT($A636,2))&gt;60,"","Powiat "),IF(VALUE(RIGHT($A636,1))=1,"m. ",IF(VALUE(RIGHT($A636,1))=2,"gm. w. ",IF(VALUE(RIGHT($A636,1))=8,"dz. ","gm. m.-w. ")))))&amp;IF(LEN($A636)=2,TRIM(UPPER(VLOOKUP($A636,GUS_tabl_1!$A$7:$B$22,2,FALSE))),IF(ISERROR(FIND("..",TRIM(VLOOKUP(IF(AND(LEN($A636)=4,VALUE(RIGHT($A636,2))&gt;60),$A636&amp;"01 1",$A636),IF(AND(LEN($A636)=4,VALUE(RIGHT($A636,2))&lt;60),GUS_tabl_2!$A$8:$B$464,GUS_tabl_21!$A$5:$B$4886),2,FALSE)))),TRIM(VLOOKUP(IF(AND(LEN($A636)=4,VALUE(RIGHT($A636,2))&gt;60),$A636&amp;"01 1",$A636),IF(AND(LEN($A636)=4,VALUE(RIGHT($A636,2))&lt;60),GUS_tabl_2!$A$8:$B$464,GUS_tabl_21!$A$5:$B$4886),2,FALSE)),LEFT(TRIM(VLOOKUP(IF(AND(LEN($A636)=4,VALUE(RIGHT($A636,2))&gt;60),$A636&amp;"01 1",$A636),IF(AND(LEN($A636)=4,VALUE(RIGHT($A636,2))&lt;60),GUS_tabl_2!$A$8:$B$464,GUS_tabl_21!$A$5:$B$4886),2,FALSE)),SUM(FIND("..",TRIM(VLOOKUP(IF(AND(LEN($A636)=4,VALUE(RIGHT($A636,2))&gt;60),$A636&amp;"01 1",$A636),IF(AND(LEN($A636)=4,VALUE(RIGHT($A636,2))&lt;60),GUS_tabl_2!$A$8:$B$464,GUS_tabl_21!$A$5:$B$4886),2,FALSE))),-1)))))</f>
        <v>gm. w. Lubiszyn</v>
      </c>
      <c r="D636" s="174">
        <f>IF(OR($A636="",ISERROR(VALUE(LEFT($A636,6)))),"",IF(LEN($A636)=2,SUMIF($A637:$A$2965,$A636&amp;"??",$D637:$D$2965),IF(AND(LEN($A636)=4,VALUE(RIGHT($A636,2))&lt;=60),SUMIF($A637:$A$2965,$A636&amp;"????",$D637:$D$2965),VLOOKUP(IF(LEN($A636)=4,$A636&amp;"01 1",$A636),GUS_tabl_21!$A$5:$F$4886,6,FALSE))))</f>
        <v>6878</v>
      </c>
      <c r="E636" s="29"/>
    </row>
    <row r="637" spans="1:5" ht="12" customHeight="1">
      <c r="A637" s="155" t="str">
        <f>"080106 2"</f>
        <v>080106 2</v>
      </c>
      <c r="B637" s="153" t="s">
        <v>19</v>
      </c>
      <c r="C637" s="156" t="str">
        <f>IF(OR($A637="",ISERROR(VALUE(LEFT($A637,6)))),"",IF(LEN($A637)=2,"WOJ. ",IF(LEN($A637)=4,IF(VALUE(RIGHT($A637,2))&gt;60,"","Powiat "),IF(VALUE(RIGHT($A637,1))=1,"m. ",IF(VALUE(RIGHT($A637,1))=2,"gm. w. ",IF(VALUE(RIGHT($A637,1))=8,"dz. ","gm. m.-w. ")))))&amp;IF(LEN($A637)=2,TRIM(UPPER(VLOOKUP($A637,GUS_tabl_1!$A$7:$B$22,2,FALSE))),IF(ISERROR(FIND("..",TRIM(VLOOKUP(IF(AND(LEN($A637)=4,VALUE(RIGHT($A637,2))&gt;60),$A637&amp;"01 1",$A637),IF(AND(LEN($A637)=4,VALUE(RIGHT($A637,2))&lt;60),GUS_tabl_2!$A$8:$B$464,GUS_tabl_21!$A$5:$B$4886),2,FALSE)))),TRIM(VLOOKUP(IF(AND(LEN($A637)=4,VALUE(RIGHT($A637,2))&gt;60),$A637&amp;"01 1",$A637),IF(AND(LEN($A637)=4,VALUE(RIGHT($A637,2))&lt;60),GUS_tabl_2!$A$8:$B$464,GUS_tabl_21!$A$5:$B$4886),2,FALSE)),LEFT(TRIM(VLOOKUP(IF(AND(LEN($A637)=4,VALUE(RIGHT($A637,2))&gt;60),$A637&amp;"01 1",$A637),IF(AND(LEN($A637)=4,VALUE(RIGHT($A637,2))&lt;60),GUS_tabl_2!$A$8:$B$464,GUS_tabl_21!$A$5:$B$4886),2,FALSE)),SUM(FIND("..",TRIM(VLOOKUP(IF(AND(LEN($A637)=4,VALUE(RIGHT($A637,2))&gt;60),$A637&amp;"01 1",$A637),IF(AND(LEN($A637)=4,VALUE(RIGHT($A637,2))&lt;60),GUS_tabl_2!$A$8:$B$464,GUS_tabl_21!$A$5:$B$4886),2,FALSE))),-1)))))</f>
        <v>gm. w. Santok</v>
      </c>
      <c r="D637" s="174">
        <f>IF(OR($A637="",ISERROR(VALUE(LEFT($A637,6)))),"",IF(LEN($A637)=2,SUMIF($A638:$A$2965,$A637&amp;"??",$D638:$D$2965),IF(AND(LEN($A637)=4,VALUE(RIGHT($A637,2))&lt;=60),SUMIF($A638:$A$2965,$A637&amp;"????",$D638:$D$2965),VLOOKUP(IF(LEN($A637)=4,$A637&amp;"01 1",$A637),GUS_tabl_21!$A$5:$F$4886,6,FALSE))))</f>
        <v>8636</v>
      </c>
      <c r="E637" s="29"/>
    </row>
    <row r="638" spans="1:5" ht="12" customHeight="1">
      <c r="A638" s="155" t="str">
        <f>"080107 3"</f>
        <v>080107 3</v>
      </c>
      <c r="B638" s="153" t="s">
        <v>19</v>
      </c>
      <c r="C638" s="156" t="str">
        <f>IF(OR($A638="",ISERROR(VALUE(LEFT($A638,6)))),"",IF(LEN($A638)=2,"WOJ. ",IF(LEN($A638)=4,IF(VALUE(RIGHT($A638,2))&gt;60,"","Powiat "),IF(VALUE(RIGHT($A638,1))=1,"m. ",IF(VALUE(RIGHT($A638,1))=2,"gm. w. ",IF(VALUE(RIGHT($A638,1))=8,"dz. ","gm. m.-w. ")))))&amp;IF(LEN($A638)=2,TRIM(UPPER(VLOOKUP($A638,GUS_tabl_1!$A$7:$B$22,2,FALSE))),IF(ISERROR(FIND("..",TRIM(VLOOKUP(IF(AND(LEN($A638)=4,VALUE(RIGHT($A638,2))&gt;60),$A638&amp;"01 1",$A638),IF(AND(LEN($A638)=4,VALUE(RIGHT($A638,2))&lt;60),GUS_tabl_2!$A$8:$B$464,GUS_tabl_21!$A$5:$B$4886),2,FALSE)))),TRIM(VLOOKUP(IF(AND(LEN($A638)=4,VALUE(RIGHT($A638,2))&gt;60),$A638&amp;"01 1",$A638),IF(AND(LEN($A638)=4,VALUE(RIGHT($A638,2))&lt;60),GUS_tabl_2!$A$8:$B$464,GUS_tabl_21!$A$5:$B$4886),2,FALSE)),LEFT(TRIM(VLOOKUP(IF(AND(LEN($A638)=4,VALUE(RIGHT($A638,2))&gt;60),$A638&amp;"01 1",$A638),IF(AND(LEN($A638)=4,VALUE(RIGHT($A638,2))&lt;60),GUS_tabl_2!$A$8:$B$464,GUS_tabl_21!$A$5:$B$4886),2,FALSE)),SUM(FIND("..",TRIM(VLOOKUP(IF(AND(LEN($A638)=4,VALUE(RIGHT($A638,2))&gt;60),$A638&amp;"01 1",$A638),IF(AND(LEN($A638)=4,VALUE(RIGHT($A638,2))&lt;60),GUS_tabl_2!$A$8:$B$464,GUS_tabl_21!$A$5:$B$4886),2,FALSE))),-1)))))</f>
        <v>gm. m.-w. Witnica</v>
      </c>
      <c r="D638" s="174">
        <f>IF(OR($A638="",ISERROR(VALUE(LEFT($A638,6)))),"",IF(LEN($A638)=2,SUMIF($A639:$A$2965,$A638&amp;"??",$D639:$D$2965),IF(AND(LEN($A638)=4,VALUE(RIGHT($A638,2))&lt;=60),SUMIF($A639:$A$2965,$A638&amp;"????",$D639:$D$2965),VLOOKUP(IF(LEN($A638)=4,$A638&amp;"01 1",$A638),GUS_tabl_21!$A$5:$F$4886,6,FALSE))))</f>
        <v>12869</v>
      </c>
      <c r="E638" s="29"/>
    </row>
    <row r="639" spans="1:5" ht="12" customHeight="1">
      <c r="A639" s="152" t="str">
        <f>"0802"</f>
        <v>0802</v>
      </c>
      <c r="B639" s="153" t="s">
        <v>19</v>
      </c>
      <c r="C639" s="154" t="str">
        <f>IF(OR($A639="",ISERROR(VALUE(LEFT($A639,6)))),"",IF(LEN($A639)=2,"WOJ. ",IF(LEN($A639)=4,IF(VALUE(RIGHT($A639,2))&gt;60,"","Powiat "),IF(VALUE(RIGHT($A639,1))=1,"m. ",IF(VALUE(RIGHT($A639,1))=2,"gm. w. ",IF(VALUE(RIGHT($A639,1))=8,"dz. ","gm. m.-w. ")))))&amp;IF(LEN($A639)=2,TRIM(UPPER(VLOOKUP($A639,GUS_tabl_1!$A$7:$B$22,2,FALSE))),IF(ISERROR(FIND("..",TRIM(VLOOKUP(IF(AND(LEN($A639)=4,VALUE(RIGHT($A639,2))&gt;60),$A639&amp;"01 1",$A639),IF(AND(LEN($A639)=4,VALUE(RIGHT($A639,2))&lt;60),GUS_tabl_2!$A$8:$B$464,GUS_tabl_21!$A$5:$B$4886),2,FALSE)))),TRIM(VLOOKUP(IF(AND(LEN($A639)=4,VALUE(RIGHT($A639,2))&gt;60),$A639&amp;"01 1",$A639),IF(AND(LEN($A639)=4,VALUE(RIGHT($A639,2))&lt;60),GUS_tabl_2!$A$8:$B$464,GUS_tabl_21!$A$5:$B$4886),2,FALSE)),LEFT(TRIM(VLOOKUP(IF(AND(LEN($A639)=4,VALUE(RIGHT($A639,2))&gt;60),$A639&amp;"01 1",$A639),IF(AND(LEN($A639)=4,VALUE(RIGHT($A639,2))&lt;60),GUS_tabl_2!$A$8:$B$464,GUS_tabl_21!$A$5:$B$4886),2,FALSE)),SUM(FIND("..",TRIM(VLOOKUP(IF(AND(LEN($A639)=4,VALUE(RIGHT($A639,2))&gt;60),$A639&amp;"01 1",$A639),IF(AND(LEN($A639)=4,VALUE(RIGHT($A639,2))&lt;60),GUS_tabl_2!$A$8:$B$464,GUS_tabl_21!$A$5:$B$4886),2,FALSE))),-1)))))</f>
        <v>Powiat krośnieński</v>
      </c>
      <c r="D639" s="173">
        <f>IF(OR($A639="",ISERROR(VALUE(LEFT($A639,6)))),"",IF(LEN($A639)=2,SUMIF($A640:$A$2965,$A639&amp;"??",$D640:$D$2965),IF(AND(LEN($A639)=4,VALUE(RIGHT($A639,2))&lt;=60),SUMIF($A640:$A$2965,$A639&amp;"????",$D640:$D$2965),VLOOKUP(IF(LEN($A639)=4,$A639&amp;"01 1",$A639),GUS_tabl_21!$A$5:$F$4886,6,FALSE))))</f>
        <v>54829</v>
      </c>
      <c r="E639" s="29"/>
    </row>
    <row r="640" spans="1:5" ht="12" customHeight="1">
      <c r="A640" s="155" t="str">
        <f>"080201 1"</f>
        <v>080201 1</v>
      </c>
      <c r="B640" s="153" t="s">
        <v>19</v>
      </c>
      <c r="C640" s="156" t="str">
        <f>IF(OR($A640="",ISERROR(VALUE(LEFT($A640,6)))),"",IF(LEN($A640)=2,"WOJ. ",IF(LEN($A640)=4,IF(VALUE(RIGHT($A640,2))&gt;60,"","Powiat "),IF(VALUE(RIGHT($A640,1))=1,"m. ",IF(VALUE(RIGHT($A640,1))=2,"gm. w. ",IF(VALUE(RIGHT($A640,1))=8,"dz. ","gm. m.-w. ")))))&amp;IF(LEN($A640)=2,TRIM(UPPER(VLOOKUP($A640,GUS_tabl_1!$A$7:$B$22,2,FALSE))),IF(ISERROR(FIND("..",TRIM(VLOOKUP(IF(AND(LEN($A640)=4,VALUE(RIGHT($A640,2))&gt;60),$A640&amp;"01 1",$A640),IF(AND(LEN($A640)=4,VALUE(RIGHT($A640,2))&lt;60),GUS_tabl_2!$A$8:$B$464,GUS_tabl_21!$A$5:$B$4886),2,FALSE)))),TRIM(VLOOKUP(IF(AND(LEN($A640)=4,VALUE(RIGHT($A640,2))&gt;60),$A640&amp;"01 1",$A640),IF(AND(LEN($A640)=4,VALUE(RIGHT($A640,2))&lt;60),GUS_tabl_2!$A$8:$B$464,GUS_tabl_21!$A$5:$B$4886),2,FALSE)),LEFT(TRIM(VLOOKUP(IF(AND(LEN($A640)=4,VALUE(RIGHT($A640,2))&gt;60),$A640&amp;"01 1",$A640),IF(AND(LEN($A640)=4,VALUE(RIGHT($A640,2))&lt;60),GUS_tabl_2!$A$8:$B$464,GUS_tabl_21!$A$5:$B$4886),2,FALSE)),SUM(FIND("..",TRIM(VLOOKUP(IF(AND(LEN($A640)=4,VALUE(RIGHT($A640,2))&gt;60),$A640&amp;"01 1",$A640),IF(AND(LEN($A640)=4,VALUE(RIGHT($A640,2))&lt;60),GUS_tabl_2!$A$8:$B$464,GUS_tabl_21!$A$5:$B$4886),2,FALSE))),-1)))))</f>
        <v>m. Gubin</v>
      </c>
      <c r="D640" s="174">
        <f>IF(OR($A640="",ISERROR(VALUE(LEFT($A640,6)))),"",IF(LEN($A640)=2,SUMIF($A641:$A$2965,$A640&amp;"??",$D641:$D$2965),IF(AND(LEN($A640)=4,VALUE(RIGHT($A640,2))&lt;=60),SUMIF($A641:$A$2965,$A640&amp;"????",$D641:$D$2965),VLOOKUP(IF(LEN($A640)=4,$A640&amp;"01 1",$A640),GUS_tabl_21!$A$5:$F$4886,6,FALSE))))</f>
        <v>16614</v>
      </c>
      <c r="E640" s="29"/>
    </row>
    <row r="641" spans="1:5" ht="12" customHeight="1">
      <c r="A641" s="155" t="str">
        <f>"080202 2"</f>
        <v>080202 2</v>
      </c>
      <c r="B641" s="153" t="s">
        <v>19</v>
      </c>
      <c r="C641" s="156" t="str">
        <f>IF(OR($A641="",ISERROR(VALUE(LEFT($A641,6)))),"",IF(LEN($A641)=2,"WOJ. ",IF(LEN($A641)=4,IF(VALUE(RIGHT($A641,2))&gt;60,"","Powiat "),IF(VALUE(RIGHT($A641,1))=1,"m. ",IF(VALUE(RIGHT($A641,1))=2,"gm. w. ",IF(VALUE(RIGHT($A641,1))=8,"dz. ","gm. m.-w. ")))))&amp;IF(LEN($A641)=2,TRIM(UPPER(VLOOKUP($A641,GUS_tabl_1!$A$7:$B$22,2,FALSE))),IF(ISERROR(FIND("..",TRIM(VLOOKUP(IF(AND(LEN($A641)=4,VALUE(RIGHT($A641,2))&gt;60),$A641&amp;"01 1",$A641),IF(AND(LEN($A641)=4,VALUE(RIGHT($A641,2))&lt;60),GUS_tabl_2!$A$8:$B$464,GUS_tabl_21!$A$5:$B$4886),2,FALSE)))),TRIM(VLOOKUP(IF(AND(LEN($A641)=4,VALUE(RIGHT($A641,2))&gt;60),$A641&amp;"01 1",$A641),IF(AND(LEN($A641)=4,VALUE(RIGHT($A641,2))&lt;60),GUS_tabl_2!$A$8:$B$464,GUS_tabl_21!$A$5:$B$4886),2,FALSE)),LEFT(TRIM(VLOOKUP(IF(AND(LEN($A641)=4,VALUE(RIGHT($A641,2))&gt;60),$A641&amp;"01 1",$A641),IF(AND(LEN($A641)=4,VALUE(RIGHT($A641,2))&lt;60),GUS_tabl_2!$A$8:$B$464,GUS_tabl_21!$A$5:$B$4886),2,FALSE)),SUM(FIND("..",TRIM(VLOOKUP(IF(AND(LEN($A641)=4,VALUE(RIGHT($A641,2))&gt;60),$A641&amp;"01 1",$A641),IF(AND(LEN($A641)=4,VALUE(RIGHT($A641,2))&lt;60),GUS_tabl_2!$A$8:$B$464,GUS_tabl_21!$A$5:$B$4886),2,FALSE))),-1)))))</f>
        <v>gm. w. Bobrowice</v>
      </c>
      <c r="D641" s="174">
        <f>IF(OR($A641="",ISERROR(VALUE(LEFT($A641,6)))),"",IF(LEN($A641)=2,SUMIF($A642:$A$2965,$A641&amp;"??",$D642:$D$2965),IF(AND(LEN($A641)=4,VALUE(RIGHT($A641,2))&lt;=60),SUMIF($A642:$A$2965,$A641&amp;"????",$D642:$D$2965),VLOOKUP(IF(LEN($A641)=4,$A641&amp;"01 1",$A641),GUS_tabl_21!$A$5:$F$4886,6,FALSE))))</f>
        <v>3178</v>
      </c>
      <c r="E641" s="29"/>
    </row>
    <row r="642" spans="1:5" ht="12" customHeight="1">
      <c r="A642" s="155" t="str">
        <f>"080203 2"</f>
        <v>080203 2</v>
      </c>
      <c r="B642" s="153" t="s">
        <v>19</v>
      </c>
      <c r="C642" s="156" t="str">
        <f>IF(OR($A642="",ISERROR(VALUE(LEFT($A642,6)))),"",IF(LEN($A642)=2,"WOJ. ",IF(LEN($A642)=4,IF(VALUE(RIGHT($A642,2))&gt;60,"","Powiat "),IF(VALUE(RIGHT($A642,1))=1,"m. ",IF(VALUE(RIGHT($A642,1))=2,"gm. w. ",IF(VALUE(RIGHT($A642,1))=8,"dz. ","gm. m.-w. ")))))&amp;IF(LEN($A642)=2,TRIM(UPPER(VLOOKUP($A642,GUS_tabl_1!$A$7:$B$22,2,FALSE))),IF(ISERROR(FIND("..",TRIM(VLOOKUP(IF(AND(LEN($A642)=4,VALUE(RIGHT($A642,2))&gt;60),$A642&amp;"01 1",$A642),IF(AND(LEN($A642)=4,VALUE(RIGHT($A642,2))&lt;60),GUS_tabl_2!$A$8:$B$464,GUS_tabl_21!$A$5:$B$4886),2,FALSE)))),TRIM(VLOOKUP(IF(AND(LEN($A642)=4,VALUE(RIGHT($A642,2))&gt;60),$A642&amp;"01 1",$A642),IF(AND(LEN($A642)=4,VALUE(RIGHT($A642,2))&lt;60),GUS_tabl_2!$A$8:$B$464,GUS_tabl_21!$A$5:$B$4886),2,FALSE)),LEFT(TRIM(VLOOKUP(IF(AND(LEN($A642)=4,VALUE(RIGHT($A642,2))&gt;60),$A642&amp;"01 1",$A642),IF(AND(LEN($A642)=4,VALUE(RIGHT($A642,2))&lt;60),GUS_tabl_2!$A$8:$B$464,GUS_tabl_21!$A$5:$B$4886),2,FALSE)),SUM(FIND("..",TRIM(VLOOKUP(IF(AND(LEN($A642)=4,VALUE(RIGHT($A642,2))&gt;60),$A642&amp;"01 1",$A642),IF(AND(LEN($A642)=4,VALUE(RIGHT($A642,2))&lt;60),GUS_tabl_2!$A$8:$B$464,GUS_tabl_21!$A$5:$B$4886),2,FALSE))),-1)))))</f>
        <v>gm. w. Bytnica</v>
      </c>
      <c r="D642" s="174">
        <f>IF(OR($A642="",ISERROR(VALUE(LEFT($A642,6)))),"",IF(LEN($A642)=2,SUMIF($A643:$A$2965,$A642&amp;"??",$D643:$D$2965),IF(AND(LEN($A642)=4,VALUE(RIGHT($A642,2))&lt;=60),SUMIF($A643:$A$2965,$A642&amp;"????",$D643:$D$2965),VLOOKUP(IF(LEN($A642)=4,$A642&amp;"01 1",$A642),GUS_tabl_21!$A$5:$F$4886,6,FALSE))))</f>
        <v>2507</v>
      </c>
      <c r="E642" s="29"/>
    </row>
    <row r="643" spans="1:5" ht="12" customHeight="1">
      <c r="A643" s="155" t="str">
        <f>"080204 2"</f>
        <v>080204 2</v>
      </c>
      <c r="B643" s="153" t="s">
        <v>19</v>
      </c>
      <c r="C643" s="156" t="str">
        <f>IF(OR($A643="",ISERROR(VALUE(LEFT($A643,6)))),"",IF(LEN($A643)=2,"WOJ. ",IF(LEN($A643)=4,IF(VALUE(RIGHT($A643,2))&gt;60,"","Powiat "),IF(VALUE(RIGHT($A643,1))=1,"m. ",IF(VALUE(RIGHT($A643,1))=2,"gm. w. ",IF(VALUE(RIGHT($A643,1))=8,"dz. ","gm. m.-w. ")))))&amp;IF(LEN($A643)=2,TRIM(UPPER(VLOOKUP($A643,GUS_tabl_1!$A$7:$B$22,2,FALSE))),IF(ISERROR(FIND("..",TRIM(VLOOKUP(IF(AND(LEN($A643)=4,VALUE(RIGHT($A643,2))&gt;60),$A643&amp;"01 1",$A643),IF(AND(LEN($A643)=4,VALUE(RIGHT($A643,2))&lt;60),GUS_tabl_2!$A$8:$B$464,GUS_tabl_21!$A$5:$B$4886),2,FALSE)))),TRIM(VLOOKUP(IF(AND(LEN($A643)=4,VALUE(RIGHT($A643,2))&gt;60),$A643&amp;"01 1",$A643),IF(AND(LEN($A643)=4,VALUE(RIGHT($A643,2))&lt;60),GUS_tabl_2!$A$8:$B$464,GUS_tabl_21!$A$5:$B$4886),2,FALSE)),LEFT(TRIM(VLOOKUP(IF(AND(LEN($A643)=4,VALUE(RIGHT($A643,2))&gt;60),$A643&amp;"01 1",$A643),IF(AND(LEN($A643)=4,VALUE(RIGHT($A643,2))&lt;60),GUS_tabl_2!$A$8:$B$464,GUS_tabl_21!$A$5:$B$4886),2,FALSE)),SUM(FIND("..",TRIM(VLOOKUP(IF(AND(LEN($A643)=4,VALUE(RIGHT($A643,2))&gt;60),$A643&amp;"01 1",$A643),IF(AND(LEN($A643)=4,VALUE(RIGHT($A643,2))&lt;60),GUS_tabl_2!$A$8:$B$464,GUS_tabl_21!$A$5:$B$4886),2,FALSE))),-1)))))</f>
        <v>gm. w. Dąbie</v>
      </c>
      <c r="D643" s="174">
        <f>IF(OR($A643="",ISERROR(VALUE(LEFT($A643,6)))),"",IF(LEN($A643)=2,SUMIF($A644:$A$2965,$A643&amp;"??",$D644:$D$2965),IF(AND(LEN($A643)=4,VALUE(RIGHT($A643,2))&lt;=60),SUMIF($A644:$A$2965,$A643&amp;"????",$D644:$D$2965),VLOOKUP(IF(LEN($A643)=4,$A643&amp;"01 1",$A643),GUS_tabl_21!$A$5:$F$4886,6,FALSE))))</f>
        <v>4923</v>
      </c>
      <c r="E643" s="29"/>
    </row>
    <row r="644" spans="1:5" ht="12" customHeight="1">
      <c r="A644" s="155" t="str">
        <f>"080205 2"</f>
        <v>080205 2</v>
      </c>
      <c r="B644" s="153" t="s">
        <v>19</v>
      </c>
      <c r="C644" s="156" t="str">
        <f>IF(OR($A644="",ISERROR(VALUE(LEFT($A644,6)))),"",IF(LEN($A644)=2,"WOJ. ",IF(LEN($A644)=4,IF(VALUE(RIGHT($A644,2))&gt;60,"","Powiat "),IF(VALUE(RIGHT($A644,1))=1,"m. ",IF(VALUE(RIGHT($A644,1))=2,"gm. w. ",IF(VALUE(RIGHT($A644,1))=8,"dz. ","gm. m.-w. ")))))&amp;IF(LEN($A644)=2,TRIM(UPPER(VLOOKUP($A644,GUS_tabl_1!$A$7:$B$22,2,FALSE))),IF(ISERROR(FIND("..",TRIM(VLOOKUP(IF(AND(LEN($A644)=4,VALUE(RIGHT($A644,2))&gt;60),$A644&amp;"01 1",$A644),IF(AND(LEN($A644)=4,VALUE(RIGHT($A644,2))&lt;60),GUS_tabl_2!$A$8:$B$464,GUS_tabl_21!$A$5:$B$4886),2,FALSE)))),TRIM(VLOOKUP(IF(AND(LEN($A644)=4,VALUE(RIGHT($A644,2))&gt;60),$A644&amp;"01 1",$A644),IF(AND(LEN($A644)=4,VALUE(RIGHT($A644,2))&lt;60),GUS_tabl_2!$A$8:$B$464,GUS_tabl_21!$A$5:$B$4886),2,FALSE)),LEFT(TRIM(VLOOKUP(IF(AND(LEN($A644)=4,VALUE(RIGHT($A644,2))&gt;60),$A644&amp;"01 1",$A644),IF(AND(LEN($A644)=4,VALUE(RIGHT($A644,2))&lt;60),GUS_tabl_2!$A$8:$B$464,GUS_tabl_21!$A$5:$B$4886),2,FALSE)),SUM(FIND("..",TRIM(VLOOKUP(IF(AND(LEN($A644)=4,VALUE(RIGHT($A644,2))&gt;60),$A644&amp;"01 1",$A644),IF(AND(LEN($A644)=4,VALUE(RIGHT($A644,2))&lt;60),GUS_tabl_2!$A$8:$B$464,GUS_tabl_21!$A$5:$B$4886),2,FALSE))),-1)))))</f>
        <v>gm. w. Gubin</v>
      </c>
      <c r="D644" s="174">
        <f>IF(OR($A644="",ISERROR(VALUE(LEFT($A644,6)))),"",IF(LEN($A644)=2,SUMIF($A645:$A$2965,$A644&amp;"??",$D645:$D$2965),IF(AND(LEN($A644)=4,VALUE(RIGHT($A644,2))&lt;=60),SUMIF($A645:$A$2965,$A644&amp;"????",$D645:$D$2965),VLOOKUP(IF(LEN($A644)=4,$A644&amp;"01 1",$A644),GUS_tabl_21!$A$5:$F$4886,6,FALSE))))</f>
        <v>7138</v>
      </c>
      <c r="E644" s="29"/>
    </row>
    <row r="645" spans="1:5" ht="12" customHeight="1">
      <c r="A645" s="155" t="str">
        <f>"080206 3"</f>
        <v>080206 3</v>
      </c>
      <c r="B645" s="153" t="s">
        <v>19</v>
      </c>
      <c r="C645" s="156" t="str">
        <f>IF(OR($A645="",ISERROR(VALUE(LEFT($A645,6)))),"",IF(LEN($A645)=2,"WOJ. ",IF(LEN($A645)=4,IF(VALUE(RIGHT($A645,2))&gt;60,"","Powiat "),IF(VALUE(RIGHT($A645,1))=1,"m. ",IF(VALUE(RIGHT($A645,1))=2,"gm. w. ",IF(VALUE(RIGHT($A645,1))=8,"dz. ","gm. m.-w. ")))))&amp;IF(LEN($A645)=2,TRIM(UPPER(VLOOKUP($A645,GUS_tabl_1!$A$7:$B$22,2,FALSE))),IF(ISERROR(FIND("..",TRIM(VLOOKUP(IF(AND(LEN($A645)=4,VALUE(RIGHT($A645,2))&gt;60),$A645&amp;"01 1",$A645),IF(AND(LEN($A645)=4,VALUE(RIGHT($A645,2))&lt;60),GUS_tabl_2!$A$8:$B$464,GUS_tabl_21!$A$5:$B$4886),2,FALSE)))),TRIM(VLOOKUP(IF(AND(LEN($A645)=4,VALUE(RIGHT($A645,2))&gt;60),$A645&amp;"01 1",$A645),IF(AND(LEN($A645)=4,VALUE(RIGHT($A645,2))&lt;60),GUS_tabl_2!$A$8:$B$464,GUS_tabl_21!$A$5:$B$4886),2,FALSE)),LEFT(TRIM(VLOOKUP(IF(AND(LEN($A645)=4,VALUE(RIGHT($A645,2))&gt;60),$A645&amp;"01 1",$A645),IF(AND(LEN($A645)=4,VALUE(RIGHT($A645,2))&lt;60),GUS_tabl_2!$A$8:$B$464,GUS_tabl_21!$A$5:$B$4886),2,FALSE)),SUM(FIND("..",TRIM(VLOOKUP(IF(AND(LEN($A645)=4,VALUE(RIGHT($A645,2))&gt;60),$A645&amp;"01 1",$A645),IF(AND(LEN($A645)=4,VALUE(RIGHT($A645,2))&lt;60),GUS_tabl_2!$A$8:$B$464,GUS_tabl_21!$A$5:$B$4886),2,FALSE))),-1)))))</f>
        <v>gm. m.-w. Krosno Odrzańskie</v>
      </c>
      <c r="D645" s="174">
        <f>IF(OR($A645="",ISERROR(VALUE(LEFT($A645,6)))),"",IF(LEN($A645)=2,SUMIF($A646:$A$2965,$A645&amp;"??",$D646:$D$2965),IF(AND(LEN($A645)=4,VALUE(RIGHT($A645,2))&lt;=60),SUMIF($A646:$A$2965,$A645&amp;"????",$D646:$D$2965),VLOOKUP(IF(LEN($A645)=4,$A645&amp;"01 1",$A645),GUS_tabl_21!$A$5:$F$4886,6,FALSE))))</f>
        <v>17670</v>
      </c>
      <c r="E645" s="29"/>
    </row>
    <row r="646" spans="1:5" ht="12" customHeight="1">
      <c r="A646" s="155" t="str">
        <f>"080207 2"</f>
        <v>080207 2</v>
      </c>
      <c r="B646" s="153" t="s">
        <v>19</v>
      </c>
      <c r="C646" s="156" t="str">
        <f>IF(OR($A646="",ISERROR(VALUE(LEFT($A646,6)))),"",IF(LEN($A646)=2,"WOJ. ",IF(LEN($A646)=4,IF(VALUE(RIGHT($A646,2))&gt;60,"","Powiat "),IF(VALUE(RIGHT($A646,1))=1,"m. ",IF(VALUE(RIGHT($A646,1))=2,"gm. w. ",IF(VALUE(RIGHT($A646,1))=8,"dz. ","gm. m.-w. ")))))&amp;IF(LEN($A646)=2,TRIM(UPPER(VLOOKUP($A646,GUS_tabl_1!$A$7:$B$22,2,FALSE))),IF(ISERROR(FIND("..",TRIM(VLOOKUP(IF(AND(LEN($A646)=4,VALUE(RIGHT($A646,2))&gt;60),$A646&amp;"01 1",$A646),IF(AND(LEN($A646)=4,VALUE(RIGHT($A646,2))&lt;60),GUS_tabl_2!$A$8:$B$464,GUS_tabl_21!$A$5:$B$4886),2,FALSE)))),TRIM(VLOOKUP(IF(AND(LEN($A646)=4,VALUE(RIGHT($A646,2))&gt;60),$A646&amp;"01 1",$A646),IF(AND(LEN($A646)=4,VALUE(RIGHT($A646,2))&lt;60),GUS_tabl_2!$A$8:$B$464,GUS_tabl_21!$A$5:$B$4886),2,FALSE)),LEFT(TRIM(VLOOKUP(IF(AND(LEN($A646)=4,VALUE(RIGHT($A646,2))&gt;60),$A646&amp;"01 1",$A646),IF(AND(LEN($A646)=4,VALUE(RIGHT($A646,2))&lt;60),GUS_tabl_2!$A$8:$B$464,GUS_tabl_21!$A$5:$B$4886),2,FALSE)),SUM(FIND("..",TRIM(VLOOKUP(IF(AND(LEN($A646)=4,VALUE(RIGHT($A646,2))&gt;60),$A646&amp;"01 1",$A646),IF(AND(LEN($A646)=4,VALUE(RIGHT($A646,2))&lt;60),GUS_tabl_2!$A$8:$B$464,GUS_tabl_21!$A$5:$B$4886),2,FALSE))),-1)))))</f>
        <v>gm. w. Maszewo</v>
      </c>
      <c r="D646" s="174">
        <f>IF(OR($A646="",ISERROR(VALUE(LEFT($A646,6)))),"",IF(LEN($A646)=2,SUMIF($A647:$A$2965,$A646&amp;"??",$D647:$D$2965),IF(AND(LEN($A646)=4,VALUE(RIGHT($A646,2))&lt;=60),SUMIF($A647:$A$2965,$A646&amp;"????",$D647:$D$2965),VLOOKUP(IF(LEN($A646)=4,$A646&amp;"01 1",$A646),GUS_tabl_21!$A$5:$F$4886,6,FALSE))))</f>
        <v>2799</v>
      </c>
      <c r="E646" s="29"/>
    </row>
    <row r="647" spans="1:5" ht="12" customHeight="1">
      <c r="A647" s="152" t="str">
        <f>"0803"</f>
        <v>0803</v>
      </c>
      <c r="B647" s="153" t="s">
        <v>19</v>
      </c>
      <c r="C647" s="154" t="str">
        <f>IF(OR($A647="",ISERROR(VALUE(LEFT($A647,6)))),"",IF(LEN($A647)=2,"WOJ. ",IF(LEN($A647)=4,IF(VALUE(RIGHT($A647,2))&gt;60,"","Powiat "),IF(VALUE(RIGHT($A647,1))=1,"m. ",IF(VALUE(RIGHT($A647,1))=2,"gm. w. ",IF(VALUE(RIGHT($A647,1))=8,"dz. ","gm. m.-w. ")))))&amp;IF(LEN($A647)=2,TRIM(UPPER(VLOOKUP($A647,GUS_tabl_1!$A$7:$B$22,2,FALSE))),IF(ISERROR(FIND("..",TRIM(VLOOKUP(IF(AND(LEN($A647)=4,VALUE(RIGHT($A647,2))&gt;60),$A647&amp;"01 1",$A647),IF(AND(LEN($A647)=4,VALUE(RIGHT($A647,2))&lt;60),GUS_tabl_2!$A$8:$B$464,GUS_tabl_21!$A$5:$B$4886),2,FALSE)))),TRIM(VLOOKUP(IF(AND(LEN($A647)=4,VALUE(RIGHT($A647,2))&gt;60),$A647&amp;"01 1",$A647),IF(AND(LEN($A647)=4,VALUE(RIGHT($A647,2))&lt;60),GUS_tabl_2!$A$8:$B$464,GUS_tabl_21!$A$5:$B$4886),2,FALSE)),LEFT(TRIM(VLOOKUP(IF(AND(LEN($A647)=4,VALUE(RIGHT($A647,2))&gt;60),$A647&amp;"01 1",$A647),IF(AND(LEN($A647)=4,VALUE(RIGHT($A647,2))&lt;60),GUS_tabl_2!$A$8:$B$464,GUS_tabl_21!$A$5:$B$4886),2,FALSE)),SUM(FIND("..",TRIM(VLOOKUP(IF(AND(LEN($A647)=4,VALUE(RIGHT($A647,2))&gt;60),$A647&amp;"01 1",$A647),IF(AND(LEN($A647)=4,VALUE(RIGHT($A647,2))&lt;60),GUS_tabl_2!$A$8:$B$464,GUS_tabl_21!$A$5:$B$4886),2,FALSE))),-1)))))</f>
        <v>Powiat międzyrzecki</v>
      </c>
      <c r="D647" s="173">
        <f>IF(OR($A647="",ISERROR(VALUE(LEFT($A647,6)))),"",IF(LEN($A647)=2,SUMIF($A648:$A$2965,$A647&amp;"??",$D648:$D$2965),IF(AND(LEN($A647)=4,VALUE(RIGHT($A647,2))&lt;=60),SUMIF($A648:$A$2965,$A647&amp;"????",$D648:$D$2965),VLOOKUP(IF(LEN($A647)=4,$A647&amp;"01 1",$A647),GUS_tabl_21!$A$5:$F$4886,6,FALSE))))</f>
        <v>57565</v>
      </c>
      <c r="E647" s="29"/>
    </row>
    <row r="648" spans="1:5" ht="12" customHeight="1">
      <c r="A648" s="155" t="str">
        <f>"080301 2"</f>
        <v>080301 2</v>
      </c>
      <c r="B648" s="153" t="s">
        <v>19</v>
      </c>
      <c r="C648" s="156" t="str">
        <f>IF(OR($A648="",ISERROR(VALUE(LEFT($A648,6)))),"",IF(LEN($A648)=2,"WOJ. ",IF(LEN($A648)=4,IF(VALUE(RIGHT($A648,2))&gt;60,"","Powiat "),IF(VALUE(RIGHT($A648,1))=1,"m. ",IF(VALUE(RIGHT($A648,1))=2,"gm. w. ",IF(VALUE(RIGHT($A648,1))=8,"dz. ","gm. m.-w. ")))))&amp;IF(LEN($A648)=2,TRIM(UPPER(VLOOKUP($A648,GUS_tabl_1!$A$7:$B$22,2,FALSE))),IF(ISERROR(FIND("..",TRIM(VLOOKUP(IF(AND(LEN($A648)=4,VALUE(RIGHT($A648,2))&gt;60),$A648&amp;"01 1",$A648),IF(AND(LEN($A648)=4,VALUE(RIGHT($A648,2))&lt;60),GUS_tabl_2!$A$8:$B$464,GUS_tabl_21!$A$5:$B$4886),2,FALSE)))),TRIM(VLOOKUP(IF(AND(LEN($A648)=4,VALUE(RIGHT($A648,2))&gt;60),$A648&amp;"01 1",$A648),IF(AND(LEN($A648)=4,VALUE(RIGHT($A648,2))&lt;60),GUS_tabl_2!$A$8:$B$464,GUS_tabl_21!$A$5:$B$4886),2,FALSE)),LEFT(TRIM(VLOOKUP(IF(AND(LEN($A648)=4,VALUE(RIGHT($A648,2))&gt;60),$A648&amp;"01 1",$A648),IF(AND(LEN($A648)=4,VALUE(RIGHT($A648,2))&lt;60),GUS_tabl_2!$A$8:$B$464,GUS_tabl_21!$A$5:$B$4886),2,FALSE)),SUM(FIND("..",TRIM(VLOOKUP(IF(AND(LEN($A648)=4,VALUE(RIGHT($A648,2))&gt;60),$A648&amp;"01 1",$A648),IF(AND(LEN($A648)=4,VALUE(RIGHT($A648,2))&lt;60),GUS_tabl_2!$A$8:$B$464,GUS_tabl_21!$A$5:$B$4886),2,FALSE))),-1)))))</f>
        <v>gm. w. Bledzew</v>
      </c>
      <c r="D648" s="174">
        <f>IF(OR($A648="",ISERROR(VALUE(LEFT($A648,6)))),"",IF(LEN($A648)=2,SUMIF($A649:$A$2965,$A648&amp;"??",$D649:$D$2965),IF(AND(LEN($A648)=4,VALUE(RIGHT($A648,2))&lt;=60),SUMIF($A649:$A$2965,$A648&amp;"????",$D649:$D$2965),VLOOKUP(IF(LEN($A648)=4,$A648&amp;"01 1",$A648),GUS_tabl_21!$A$5:$F$4886,6,FALSE))))</f>
        <v>4344</v>
      </c>
      <c r="E648" s="29"/>
    </row>
    <row r="649" spans="1:5" ht="12" customHeight="1">
      <c r="A649" s="155" t="str">
        <f>"080302 3"</f>
        <v>080302 3</v>
      </c>
      <c r="B649" s="153" t="s">
        <v>19</v>
      </c>
      <c r="C649" s="156" t="str">
        <f>IF(OR($A649="",ISERROR(VALUE(LEFT($A649,6)))),"",IF(LEN($A649)=2,"WOJ. ",IF(LEN($A649)=4,IF(VALUE(RIGHT($A649,2))&gt;60,"","Powiat "),IF(VALUE(RIGHT($A649,1))=1,"m. ",IF(VALUE(RIGHT($A649,1))=2,"gm. w. ",IF(VALUE(RIGHT($A649,1))=8,"dz. ","gm. m.-w. ")))))&amp;IF(LEN($A649)=2,TRIM(UPPER(VLOOKUP($A649,GUS_tabl_1!$A$7:$B$22,2,FALSE))),IF(ISERROR(FIND("..",TRIM(VLOOKUP(IF(AND(LEN($A649)=4,VALUE(RIGHT($A649,2))&gt;60),$A649&amp;"01 1",$A649),IF(AND(LEN($A649)=4,VALUE(RIGHT($A649,2))&lt;60),GUS_tabl_2!$A$8:$B$464,GUS_tabl_21!$A$5:$B$4886),2,FALSE)))),TRIM(VLOOKUP(IF(AND(LEN($A649)=4,VALUE(RIGHT($A649,2))&gt;60),$A649&amp;"01 1",$A649),IF(AND(LEN($A649)=4,VALUE(RIGHT($A649,2))&lt;60),GUS_tabl_2!$A$8:$B$464,GUS_tabl_21!$A$5:$B$4886),2,FALSE)),LEFT(TRIM(VLOOKUP(IF(AND(LEN($A649)=4,VALUE(RIGHT($A649,2))&gt;60),$A649&amp;"01 1",$A649),IF(AND(LEN($A649)=4,VALUE(RIGHT($A649,2))&lt;60),GUS_tabl_2!$A$8:$B$464,GUS_tabl_21!$A$5:$B$4886),2,FALSE)),SUM(FIND("..",TRIM(VLOOKUP(IF(AND(LEN($A649)=4,VALUE(RIGHT($A649,2))&gt;60),$A649&amp;"01 1",$A649),IF(AND(LEN($A649)=4,VALUE(RIGHT($A649,2))&lt;60),GUS_tabl_2!$A$8:$B$464,GUS_tabl_21!$A$5:$B$4886),2,FALSE))),-1)))))</f>
        <v>gm. m.-w. Międzyrzecz</v>
      </c>
      <c r="D649" s="174">
        <f>IF(OR($A649="",ISERROR(VALUE(LEFT($A649,6)))),"",IF(LEN($A649)=2,SUMIF($A650:$A$2965,$A649&amp;"??",$D650:$D$2965),IF(AND(LEN($A649)=4,VALUE(RIGHT($A649,2))&lt;=60),SUMIF($A650:$A$2965,$A649&amp;"????",$D650:$D$2965),VLOOKUP(IF(LEN($A649)=4,$A649&amp;"01 1",$A649),GUS_tabl_21!$A$5:$F$4886,6,FALSE))))</f>
        <v>24815</v>
      </c>
      <c r="E649" s="29"/>
    </row>
    <row r="650" spans="1:5" ht="12" customHeight="1">
      <c r="A650" s="155" t="str">
        <f>"080303 2"</f>
        <v>080303 2</v>
      </c>
      <c r="B650" s="153" t="s">
        <v>19</v>
      </c>
      <c r="C650" s="156" t="str">
        <f>IF(OR($A650="",ISERROR(VALUE(LEFT($A650,6)))),"",IF(LEN($A650)=2,"WOJ. ",IF(LEN($A650)=4,IF(VALUE(RIGHT($A650,2))&gt;60,"","Powiat "),IF(VALUE(RIGHT($A650,1))=1,"m. ",IF(VALUE(RIGHT($A650,1))=2,"gm. w. ",IF(VALUE(RIGHT($A650,1))=8,"dz. ","gm. m.-w. ")))))&amp;IF(LEN($A650)=2,TRIM(UPPER(VLOOKUP($A650,GUS_tabl_1!$A$7:$B$22,2,FALSE))),IF(ISERROR(FIND("..",TRIM(VLOOKUP(IF(AND(LEN($A650)=4,VALUE(RIGHT($A650,2))&gt;60),$A650&amp;"01 1",$A650),IF(AND(LEN($A650)=4,VALUE(RIGHT($A650,2))&lt;60),GUS_tabl_2!$A$8:$B$464,GUS_tabl_21!$A$5:$B$4886),2,FALSE)))),TRIM(VLOOKUP(IF(AND(LEN($A650)=4,VALUE(RIGHT($A650,2))&gt;60),$A650&amp;"01 1",$A650),IF(AND(LEN($A650)=4,VALUE(RIGHT($A650,2))&lt;60),GUS_tabl_2!$A$8:$B$464,GUS_tabl_21!$A$5:$B$4886),2,FALSE)),LEFT(TRIM(VLOOKUP(IF(AND(LEN($A650)=4,VALUE(RIGHT($A650,2))&gt;60),$A650&amp;"01 1",$A650),IF(AND(LEN($A650)=4,VALUE(RIGHT($A650,2))&lt;60),GUS_tabl_2!$A$8:$B$464,GUS_tabl_21!$A$5:$B$4886),2,FALSE)),SUM(FIND("..",TRIM(VLOOKUP(IF(AND(LEN($A650)=4,VALUE(RIGHT($A650,2))&gt;60),$A650&amp;"01 1",$A650),IF(AND(LEN($A650)=4,VALUE(RIGHT($A650,2))&lt;60),GUS_tabl_2!$A$8:$B$464,GUS_tabl_21!$A$5:$B$4886),2,FALSE))),-1)))))</f>
        <v>gm. w. Przytoczna</v>
      </c>
      <c r="D650" s="174">
        <f>IF(OR($A650="",ISERROR(VALUE(LEFT($A650,6)))),"",IF(LEN($A650)=2,SUMIF($A651:$A$2965,$A650&amp;"??",$D651:$D$2965),IF(AND(LEN($A650)=4,VALUE(RIGHT($A650,2))&lt;=60),SUMIF($A651:$A$2965,$A650&amp;"????",$D651:$D$2965),VLOOKUP(IF(LEN($A650)=4,$A650&amp;"01 1",$A650),GUS_tabl_21!$A$5:$F$4886,6,FALSE))))</f>
        <v>5627</v>
      </c>
      <c r="E650" s="29"/>
    </row>
    <row r="651" spans="1:5" ht="12" customHeight="1">
      <c r="A651" s="155" t="str">
        <f>"080304 2"</f>
        <v>080304 2</v>
      </c>
      <c r="B651" s="153" t="s">
        <v>19</v>
      </c>
      <c r="C651" s="156" t="str">
        <f>IF(OR($A651="",ISERROR(VALUE(LEFT($A651,6)))),"",IF(LEN($A651)=2,"WOJ. ",IF(LEN($A651)=4,IF(VALUE(RIGHT($A651,2))&gt;60,"","Powiat "),IF(VALUE(RIGHT($A651,1))=1,"m. ",IF(VALUE(RIGHT($A651,1))=2,"gm. w. ",IF(VALUE(RIGHT($A651,1))=8,"dz. ","gm. m.-w. ")))))&amp;IF(LEN($A651)=2,TRIM(UPPER(VLOOKUP($A651,GUS_tabl_1!$A$7:$B$22,2,FALSE))),IF(ISERROR(FIND("..",TRIM(VLOOKUP(IF(AND(LEN($A651)=4,VALUE(RIGHT($A651,2))&gt;60),$A651&amp;"01 1",$A651),IF(AND(LEN($A651)=4,VALUE(RIGHT($A651,2))&lt;60),GUS_tabl_2!$A$8:$B$464,GUS_tabl_21!$A$5:$B$4886),2,FALSE)))),TRIM(VLOOKUP(IF(AND(LEN($A651)=4,VALUE(RIGHT($A651,2))&gt;60),$A651&amp;"01 1",$A651),IF(AND(LEN($A651)=4,VALUE(RIGHT($A651,2))&lt;60),GUS_tabl_2!$A$8:$B$464,GUS_tabl_21!$A$5:$B$4886),2,FALSE)),LEFT(TRIM(VLOOKUP(IF(AND(LEN($A651)=4,VALUE(RIGHT($A651,2))&gt;60),$A651&amp;"01 1",$A651),IF(AND(LEN($A651)=4,VALUE(RIGHT($A651,2))&lt;60),GUS_tabl_2!$A$8:$B$464,GUS_tabl_21!$A$5:$B$4886),2,FALSE)),SUM(FIND("..",TRIM(VLOOKUP(IF(AND(LEN($A651)=4,VALUE(RIGHT($A651,2))&gt;60),$A651&amp;"01 1",$A651),IF(AND(LEN($A651)=4,VALUE(RIGHT($A651,2))&lt;60),GUS_tabl_2!$A$8:$B$464,GUS_tabl_21!$A$5:$B$4886),2,FALSE))),-1)))))</f>
        <v>gm. w. Pszczew</v>
      </c>
      <c r="D651" s="174">
        <f>IF(OR($A651="",ISERROR(VALUE(LEFT($A651,6)))),"",IF(LEN($A651)=2,SUMIF($A652:$A$2965,$A651&amp;"??",$D652:$D$2965),IF(AND(LEN($A651)=4,VALUE(RIGHT($A651,2))&lt;=60),SUMIF($A652:$A$2965,$A651&amp;"????",$D652:$D$2965),VLOOKUP(IF(LEN($A651)=4,$A651&amp;"01 1",$A651),GUS_tabl_21!$A$5:$F$4886,6,FALSE))))</f>
        <v>4269</v>
      </c>
      <c r="E651" s="29"/>
    </row>
    <row r="652" spans="1:5" ht="12" customHeight="1">
      <c r="A652" s="155" t="str">
        <f>"080305 3"</f>
        <v>080305 3</v>
      </c>
      <c r="B652" s="153" t="s">
        <v>19</v>
      </c>
      <c r="C652" s="156" t="str">
        <f>IF(OR($A652="",ISERROR(VALUE(LEFT($A652,6)))),"",IF(LEN($A652)=2,"WOJ. ",IF(LEN($A652)=4,IF(VALUE(RIGHT($A652,2))&gt;60,"","Powiat "),IF(VALUE(RIGHT($A652,1))=1,"m. ",IF(VALUE(RIGHT($A652,1))=2,"gm. w. ",IF(VALUE(RIGHT($A652,1))=8,"dz. ","gm. m.-w. ")))))&amp;IF(LEN($A652)=2,TRIM(UPPER(VLOOKUP($A652,GUS_tabl_1!$A$7:$B$22,2,FALSE))),IF(ISERROR(FIND("..",TRIM(VLOOKUP(IF(AND(LEN($A652)=4,VALUE(RIGHT($A652,2))&gt;60),$A652&amp;"01 1",$A652),IF(AND(LEN($A652)=4,VALUE(RIGHT($A652,2))&lt;60),GUS_tabl_2!$A$8:$B$464,GUS_tabl_21!$A$5:$B$4886),2,FALSE)))),TRIM(VLOOKUP(IF(AND(LEN($A652)=4,VALUE(RIGHT($A652,2))&gt;60),$A652&amp;"01 1",$A652),IF(AND(LEN($A652)=4,VALUE(RIGHT($A652,2))&lt;60),GUS_tabl_2!$A$8:$B$464,GUS_tabl_21!$A$5:$B$4886),2,FALSE)),LEFT(TRIM(VLOOKUP(IF(AND(LEN($A652)=4,VALUE(RIGHT($A652,2))&gt;60),$A652&amp;"01 1",$A652),IF(AND(LEN($A652)=4,VALUE(RIGHT($A652,2))&lt;60),GUS_tabl_2!$A$8:$B$464,GUS_tabl_21!$A$5:$B$4886),2,FALSE)),SUM(FIND("..",TRIM(VLOOKUP(IF(AND(LEN($A652)=4,VALUE(RIGHT($A652,2))&gt;60),$A652&amp;"01 1",$A652),IF(AND(LEN($A652)=4,VALUE(RIGHT($A652,2))&lt;60),GUS_tabl_2!$A$8:$B$464,GUS_tabl_21!$A$5:$B$4886),2,FALSE))),-1)))))</f>
        <v>gm. m.-w. Skwierzyna</v>
      </c>
      <c r="D652" s="174">
        <f>IF(OR($A652="",ISERROR(VALUE(LEFT($A652,6)))),"",IF(LEN($A652)=2,SUMIF($A653:$A$2965,$A652&amp;"??",$D653:$D$2965),IF(AND(LEN($A652)=4,VALUE(RIGHT($A652,2))&lt;=60),SUMIF($A653:$A$2965,$A652&amp;"????",$D653:$D$2965),VLOOKUP(IF(LEN($A652)=4,$A652&amp;"01 1",$A652),GUS_tabl_21!$A$5:$F$4886,6,FALSE))))</f>
        <v>12103</v>
      </c>
      <c r="E652" s="29"/>
    </row>
    <row r="653" spans="1:5" ht="12" customHeight="1">
      <c r="A653" s="155" t="str">
        <f>"080306 3"</f>
        <v>080306 3</v>
      </c>
      <c r="B653" s="153" t="s">
        <v>19</v>
      </c>
      <c r="C653" s="156" t="str">
        <f>IF(OR($A653="",ISERROR(VALUE(LEFT($A653,6)))),"",IF(LEN($A653)=2,"WOJ. ",IF(LEN($A653)=4,IF(VALUE(RIGHT($A653,2))&gt;60,"","Powiat "),IF(VALUE(RIGHT($A653,1))=1,"m. ",IF(VALUE(RIGHT($A653,1))=2,"gm. w. ",IF(VALUE(RIGHT($A653,1))=8,"dz. ","gm. m.-w. ")))))&amp;IF(LEN($A653)=2,TRIM(UPPER(VLOOKUP($A653,GUS_tabl_1!$A$7:$B$22,2,FALSE))),IF(ISERROR(FIND("..",TRIM(VLOOKUP(IF(AND(LEN($A653)=4,VALUE(RIGHT($A653,2))&gt;60),$A653&amp;"01 1",$A653),IF(AND(LEN($A653)=4,VALUE(RIGHT($A653,2))&lt;60),GUS_tabl_2!$A$8:$B$464,GUS_tabl_21!$A$5:$B$4886),2,FALSE)))),TRIM(VLOOKUP(IF(AND(LEN($A653)=4,VALUE(RIGHT($A653,2))&gt;60),$A653&amp;"01 1",$A653),IF(AND(LEN($A653)=4,VALUE(RIGHT($A653,2))&lt;60),GUS_tabl_2!$A$8:$B$464,GUS_tabl_21!$A$5:$B$4886),2,FALSE)),LEFT(TRIM(VLOOKUP(IF(AND(LEN($A653)=4,VALUE(RIGHT($A653,2))&gt;60),$A653&amp;"01 1",$A653),IF(AND(LEN($A653)=4,VALUE(RIGHT($A653,2))&lt;60),GUS_tabl_2!$A$8:$B$464,GUS_tabl_21!$A$5:$B$4886),2,FALSE)),SUM(FIND("..",TRIM(VLOOKUP(IF(AND(LEN($A653)=4,VALUE(RIGHT($A653,2))&gt;60),$A653&amp;"01 1",$A653),IF(AND(LEN($A653)=4,VALUE(RIGHT($A653,2))&lt;60),GUS_tabl_2!$A$8:$B$464,GUS_tabl_21!$A$5:$B$4886),2,FALSE))),-1)))))</f>
        <v>gm. m.-w. Trzciel</v>
      </c>
      <c r="D653" s="174">
        <f>IF(OR($A653="",ISERROR(VALUE(LEFT($A653,6)))),"",IF(LEN($A653)=2,SUMIF($A654:$A$2965,$A653&amp;"??",$D654:$D$2965),IF(AND(LEN($A653)=4,VALUE(RIGHT($A653,2))&lt;=60),SUMIF($A654:$A$2965,$A653&amp;"????",$D654:$D$2965),VLOOKUP(IF(LEN($A653)=4,$A653&amp;"01 1",$A653),GUS_tabl_21!$A$5:$F$4886,6,FALSE))))</f>
        <v>6407</v>
      </c>
      <c r="E653" s="29"/>
    </row>
    <row r="654" spans="1:5" ht="12" customHeight="1">
      <c r="A654" s="152" t="str">
        <f>"0804"</f>
        <v>0804</v>
      </c>
      <c r="B654" s="153" t="s">
        <v>19</v>
      </c>
      <c r="C654" s="154" t="str">
        <f>IF(OR($A654="",ISERROR(VALUE(LEFT($A654,6)))),"",IF(LEN($A654)=2,"WOJ. ",IF(LEN($A654)=4,IF(VALUE(RIGHT($A654,2))&gt;60,"","Powiat "),IF(VALUE(RIGHT($A654,1))=1,"m. ",IF(VALUE(RIGHT($A654,1))=2,"gm. w. ",IF(VALUE(RIGHT($A654,1))=8,"dz. ","gm. m.-w. ")))))&amp;IF(LEN($A654)=2,TRIM(UPPER(VLOOKUP($A654,GUS_tabl_1!$A$7:$B$22,2,FALSE))),IF(ISERROR(FIND("..",TRIM(VLOOKUP(IF(AND(LEN($A654)=4,VALUE(RIGHT($A654,2))&gt;60),$A654&amp;"01 1",$A654),IF(AND(LEN($A654)=4,VALUE(RIGHT($A654,2))&lt;60),GUS_tabl_2!$A$8:$B$464,GUS_tabl_21!$A$5:$B$4886),2,FALSE)))),TRIM(VLOOKUP(IF(AND(LEN($A654)=4,VALUE(RIGHT($A654,2))&gt;60),$A654&amp;"01 1",$A654),IF(AND(LEN($A654)=4,VALUE(RIGHT($A654,2))&lt;60),GUS_tabl_2!$A$8:$B$464,GUS_tabl_21!$A$5:$B$4886),2,FALSE)),LEFT(TRIM(VLOOKUP(IF(AND(LEN($A654)=4,VALUE(RIGHT($A654,2))&gt;60),$A654&amp;"01 1",$A654),IF(AND(LEN($A654)=4,VALUE(RIGHT($A654,2))&lt;60),GUS_tabl_2!$A$8:$B$464,GUS_tabl_21!$A$5:$B$4886),2,FALSE)),SUM(FIND("..",TRIM(VLOOKUP(IF(AND(LEN($A654)=4,VALUE(RIGHT($A654,2))&gt;60),$A654&amp;"01 1",$A654),IF(AND(LEN($A654)=4,VALUE(RIGHT($A654,2))&lt;60),GUS_tabl_2!$A$8:$B$464,GUS_tabl_21!$A$5:$B$4886),2,FALSE))),-1)))))</f>
        <v>Powiat nowosolski</v>
      </c>
      <c r="D654" s="173">
        <f>IF(OR($A654="",ISERROR(VALUE(LEFT($A654,6)))),"",IF(LEN($A654)=2,SUMIF($A655:$A$2965,$A654&amp;"??",$D655:$D$2965),IF(AND(LEN($A654)=4,VALUE(RIGHT($A654,2))&lt;=60),SUMIF($A655:$A$2965,$A654&amp;"????",$D655:$D$2965),VLOOKUP(IF(LEN($A654)=4,$A654&amp;"01 1",$A654),GUS_tabl_21!$A$5:$F$4886,6,FALSE))))</f>
        <v>86156</v>
      </c>
      <c r="E654" s="29"/>
    </row>
    <row r="655" spans="1:5" ht="12" customHeight="1">
      <c r="A655" s="155" t="str">
        <f>"080401 1"</f>
        <v>080401 1</v>
      </c>
      <c r="B655" s="153" t="s">
        <v>19</v>
      </c>
      <c r="C655" s="156" t="str">
        <f>IF(OR($A655="",ISERROR(VALUE(LEFT($A655,6)))),"",IF(LEN($A655)=2,"WOJ. ",IF(LEN($A655)=4,IF(VALUE(RIGHT($A655,2))&gt;60,"","Powiat "),IF(VALUE(RIGHT($A655,1))=1,"m. ",IF(VALUE(RIGHT($A655,1))=2,"gm. w. ",IF(VALUE(RIGHT($A655,1))=8,"dz. ","gm. m.-w. ")))))&amp;IF(LEN($A655)=2,TRIM(UPPER(VLOOKUP($A655,GUS_tabl_1!$A$7:$B$22,2,FALSE))),IF(ISERROR(FIND("..",TRIM(VLOOKUP(IF(AND(LEN($A655)=4,VALUE(RIGHT($A655,2))&gt;60),$A655&amp;"01 1",$A655),IF(AND(LEN($A655)=4,VALUE(RIGHT($A655,2))&lt;60),GUS_tabl_2!$A$8:$B$464,GUS_tabl_21!$A$5:$B$4886),2,FALSE)))),TRIM(VLOOKUP(IF(AND(LEN($A655)=4,VALUE(RIGHT($A655,2))&gt;60),$A655&amp;"01 1",$A655),IF(AND(LEN($A655)=4,VALUE(RIGHT($A655,2))&lt;60),GUS_tabl_2!$A$8:$B$464,GUS_tabl_21!$A$5:$B$4886),2,FALSE)),LEFT(TRIM(VLOOKUP(IF(AND(LEN($A655)=4,VALUE(RIGHT($A655,2))&gt;60),$A655&amp;"01 1",$A655),IF(AND(LEN($A655)=4,VALUE(RIGHT($A655,2))&lt;60),GUS_tabl_2!$A$8:$B$464,GUS_tabl_21!$A$5:$B$4886),2,FALSE)),SUM(FIND("..",TRIM(VLOOKUP(IF(AND(LEN($A655)=4,VALUE(RIGHT($A655,2))&gt;60),$A655&amp;"01 1",$A655),IF(AND(LEN($A655)=4,VALUE(RIGHT($A655,2))&lt;60),GUS_tabl_2!$A$8:$B$464,GUS_tabl_21!$A$5:$B$4886),2,FALSE))),-1)))))</f>
        <v>m. Nowa Sól</v>
      </c>
      <c r="D655" s="174">
        <f>IF(OR($A655="",ISERROR(VALUE(LEFT($A655,6)))),"",IF(LEN($A655)=2,SUMIF($A656:$A$2965,$A655&amp;"??",$D656:$D$2965),IF(AND(LEN($A655)=4,VALUE(RIGHT($A655,2))&lt;=60),SUMIF($A656:$A$2965,$A655&amp;"????",$D656:$D$2965),VLOOKUP(IF(LEN($A655)=4,$A655&amp;"01 1",$A655),GUS_tabl_21!$A$5:$F$4886,6,FALSE))))</f>
        <v>38645</v>
      </c>
      <c r="E655" s="29"/>
    </row>
    <row r="656" spans="1:5" ht="12" customHeight="1">
      <c r="A656" s="155" t="str">
        <f>"080402 3"</f>
        <v>080402 3</v>
      </c>
      <c r="B656" s="153" t="s">
        <v>19</v>
      </c>
      <c r="C656" s="156" t="str">
        <f>IF(OR($A656="",ISERROR(VALUE(LEFT($A656,6)))),"",IF(LEN($A656)=2,"WOJ. ",IF(LEN($A656)=4,IF(VALUE(RIGHT($A656,2))&gt;60,"","Powiat "),IF(VALUE(RIGHT($A656,1))=1,"m. ",IF(VALUE(RIGHT($A656,1))=2,"gm. w. ",IF(VALUE(RIGHT($A656,1))=8,"dz. ","gm. m.-w. ")))))&amp;IF(LEN($A656)=2,TRIM(UPPER(VLOOKUP($A656,GUS_tabl_1!$A$7:$B$22,2,FALSE))),IF(ISERROR(FIND("..",TRIM(VLOOKUP(IF(AND(LEN($A656)=4,VALUE(RIGHT($A656,2))&gt;60),$A656&amp;"01 1",$A656),IF(AND(LEN($A656)=4,VALUE(RIGHT($A656,2))&lt;60),GUS_tabl_2!$A$8:$B$464,GUS_tabl_21!$A$5:$B$4886),2,FALSE)))),TRIM(VLOOKUP(IF(AND(LEN($A656)=4,VALUE(RIGHT($A656,2))&gt;60),$A656&amp;"01 1",$A656),IF(AND(LEN($A656)=4,VALUE(RIGHT($A656,2))&lt;60),GUS_tabl_2!$A$8:$B$464,GUS_tabl_21!$A$5:$B$4886),2,FALSE)),LEFT(TRIM(VLOOKUP(IF(AND(LEN($A656)=4,VALUE(RIGHT($A656,2))&gt;60),$A656&amp;"01 1",$A656),IF(AND(LEN($A656)=4,VALUE(RIGHT($A656,2))&lt;60),GUS_tabl_2!$A$8:$B$464,GUS_tabl_21!$A$5:$B$4886),2,FALSE)),SUM(FIND("..",TRIM(VLOOKUP(IF(AND(LEN($A656)=4,VALUE(RIGHT($A656,2))&gt;60),$A656&amp;"01 1",$A656),IF(AND(LEN($A656)=4,VALUE(RIGHT($A656,2))&lt;60),GUS_tabl_2!$A$8:$B$464,GUS_tabl_21!$A$5:$B$4886),2,FALSE))),-1)))))</f>
        <v>gm. m.-w. Bytom Odrzański</v>
      </c>
      <c r="D656" s="174">
        <f>IF(OR($A656="",ISERROR(VALUE(LEFT($A656,6)))),"",IF(LEN($A656)=2,SUMIF($A657:$A$2965,$A656&amp;"??",$D657:$D$2965),IF(AND(LEN($A656)=4,VALUE(RIGHT($A656,2))&lt;=60),SUMIF($A657:$A$2965,$A656&amp;"????",$D657:$D$2965),VLOOKUP(IF(LEN($A656)=4,$A656&amp;"01 1",$A656),GUS_tabl_21!$A$5:$F$4886,6,FALSE))))</f>
        <v>5426</v>
      </c>
      <c r="E656" s="29"/>
    </row>
    <row r="657" spans="1:5" ht="12" customHeight="1">
      <c r="A657" s="155" t="str">
        <f>"080403 2"</f>
        <v>080403 2</v>
      </c>
      <c r="B657" s="153" t="s">
        <v>19</v>
      </c>
      <c r="C657" s="156" t="str">
        <f>IF(OR($A657="",ISERROR(VALUE(LEFT($A657,6)))),"",IF(LEN($A657)=2,"WOJ. ",IF(LEN($A657)=4,IF(VALUE(RIGHT($A657,2))&gt;60,"","Powiat "),IF(VALUE(RIGHT($A657,1))=1,"m. ",IF(VALUE(RIGHT($A657,1))=2,"gm. w. ",IF(VALUE(RIGHT($A657,1))=8,"dz. ","gm. m.-w. ")))))&amp;IF(LEN($A657)=2,TRIM(UPPER(VLOOKUP($A657,GUS_tabl_1!$A$7:$B$22,2,FALSE))),IF(ISERROR(FIND("..",TRIM(VLOOKUP(IF(AND(LEN($A657)=4,VALUE(RIGHT($A657,2))&gt;60),$A657&amp;"01 1",$A657),IF(AND(LEN($A657)=4,VALUE(RIGHT($A657,2))&lt;60),GUS_tabl_2!$A$8:$B$464,GUS_tabl_21!$A$5:$B$4886),2,FALSE)))),TRIM(VLOOKUP(IF(AND(LEN($A657)=4,VALUE(RIGHT($A657,2))&gt;60),$A657&amp;"01 1",$A657),IF(AND(LEN($A657)=4,VALUE(RIGHT($A657,2))&lt;60),GUS_tabl_2!$A$8:$B$464,GUS_tabl_21!$A$5:$B$4886),2,FALSE)),LEFT(TRIM(VLOOKUP(IF(AND(LEN($A657)=4,VALUE(RIGHT($A657,2))&gt;60),$A657&amp;"01 1",$A657),IF(AND(LEN($A657)=4,VALUE(RIGHT($A657,2))&lt;60),GUS_tabl_2!$A$8:$B$464,GUS_tabl_21!$A$5:$B$4886),2,FALSE)),SUM(FIND("..",TRIM(VLOOKUP(IF(AND(LEN($A657)=4,VALUE(RIGHT($A657,2))&gt;60),$A657&amp;"01 1",$A657),IF(AND(LEN($A657)=4,VALUE(RIGHT($A657,2))&lt;60),GUS_tabl_2!$A$8:$B$464,GUS_tabl_21!$A$5:$B$4886),2,FALSE))),-1)))))</f>
        <v>gm. w. Kolsko</v>
      </c>
      <c r="D657" s="174">
        <f>IF(OR($A657="",ISERROR(VALUE(LEFT($A657,6)))),"",IF(LEN($A657)=2,SUMIF($A658:$A$2965,$A657&amp;"??",$D658:$D$2965),IF(AND(LEN($A657)=4,VALUE(RIGHT($A657,2))&lt;=60),SUMIF($A658:$A$2965,$A657&amp;"????",$D658:$D$2965),VLOOKUP(IF(LEN($A657)=4,$A657&amp;"01 1",$A657),GUS_tabl_21!$A$5:$F$4886,6,FALSE))))</f>
        <v>3311</v>
      </c>
      <c r="E657" s="29"/>
    </row>
    <row r="658" spans="1:5" ht="12" customHeight="1">
      <c r="A658" s="155" t="str">
        <f>"080404 3"</f>
        <v>080404 3</v>
      </c>
      <c r="B658" s="153" t="s">
        <v>19</v>
      </c>
      <c r="C658" s="156" t="str">
        <f>IF(OR($A658="",ISERROR(VALUE(LEFT($A658,6)))),"",IF(LEN($A658)=2,"WOJ. ",IF(LEN($A658)=4,IF(VALUE(RIGHT($A658,2))&gt;60,"","Powiat "),IF(VALUE(RIGHT($A658,1))=1,"m. ",IF(VALUE(RIGHT($A658,1))=2,"gm. w. ",IF(VALUE(RIGHT($A658,1))=8,"dz. ","gm. m.-w. ")))))&amp;IF(LEN($A658)=2,TRIM(UPPER(VLOOKUP($A658,GUS_tabl_1!$A$7:$B$22,2,FALSE))),IF(ISERROR(FIND("..",TRIM(VLOOKUP(IF(AND(LEN($A658)=4,VALUE(RIGHT($A658,2))&gt;60),$A658&amp;"01 1",$A658),IF(AND(LEN($A658)=4,VALUE(RIGHT($A658,2))&lt;60),GUS_tabl_2!$A$8:$B$464,GUS_tabl_21!$A$5:$B$4886),2,FALSE)))),TRIM(VLOOKUP(IF(AND(LEN($A658)=4,VALUE(RIGHT($A658,2))&gt;60),$A658&amp;"01 1",$A658),IF(AND(LEN($A658)=4,VALUE(RIGHT($A658,2))&lt;60),GUS_tabl_2!$A$8:$B$464,GUS_tabl_21!$A$5:$B$4886),2,FALSE)),LEFT(TRIM(VLOOKUP(IF(AND(LEN($A658)=4,VALUE(RIGHT($A658,2))&gt;60),$A658&amp;"01 1",$A658),IF(AND(LEN($A658)=4,VALUE(RIGHT($A658,2))&lt;60),GUS_tabl_2!$A$8:$B$464,GUS_tabl_21!$A$5:$B$4886),2,FALSE)),SUM(FIND("..",TRIM(VLOOKUP(IF(AND(LEN($A658)=4,VALUE(RIGHT($A658,2))&gt;60),$A658&amp;"01 1",$A658),IF(AND(LEN($A658)=4,VALUE(RIGHT($A658,2))&lt;60),GUS_tabl_2!$A$8:$B$464,GUS_tabl_21!$A$5:$B$4886),2,FALSE))),-1)))))</f>
        <v>gm. m.-w. Kożuchów</v>
      </c>
      <c r="D658" s="174">
        <f>IF(OR($A658="",ISERROR(VALUE(LEFT($A658,6)))),"",IF(LEN($A658)=2,SUMIF($A659:$A$2965,$A658&amp;"??",$D659:$D$2965),IF(AND(LEN($A658)=4,VALUE(RIGHT($A658,2))&lt;=60),SUMIF($A659:$A$2965,$A658&amp;"????",$D659:$D$2965),VLOOKUP(IF(LEN($A658)=4,$A658&amp;"01 1",$A658),GUS_tabl_21!$A$5:$F$4886,6,FALSE))))</f>
        <v>15881</v>
      </c>
      <c r="E658" s="29"/>
    </row>
    <row r="659" spans="1:5" ht="12" customHeight="1">
      <c r="A659" s="155" t="str">
        <f>"080405 2"</f>
        <v>080405 2</v>
      </c>
      <c r="B659" s="153" t="s">
        <v>19</v>
      </c>
      <c r="C659" s="156" t="str">
        <f>IF(OR($A659="",ISERROR(VALUE(LEFT($A659,6)))),"",IF(LEN($A659)=2,"WOJ. ",IF(LEN($A659)=4,IF(VALUE(RIGHT($A659,2))&gt;60,"","Powiat "),IF(VALUE(RIGHT($A659,1))=1,"m. ",IF(VALUE(RIGHT($A659,1))=2,"gm. w. ",IF(VALUE(RIGHT($A659,1))=8,"dz. ","gm. m.-w. ")))))&amp;IF(LEN($A659)=2,TRIM(UPPER(VLOOKUP($A659,GUS_tabl_1!$A$7:$B$22,2,FALSE))),IF(ISERROR(FIND("..",TRIM(VLOOKUP(IF(AND(LEN($A659)=4,VALUE(RIGHT($A659,2))&gt;60),$A659&amp;"01 1",$A659),IF(AND(LEN($A659)=4,VALUE(RIGHT($A659,2))&lt;60),GUS_tabl_2!$A$8:$B$464,GUS_tabl_21!$A$5:$B$4886),2,FALSE)))),TRIM(VLOOKUP(IF(AND(LEN($A659)=4,VALUE(RIGHT($A659,2))&gt;60),$A659&amp;"01 1",$A659),IF(AND(LEN($A659)=4,VALUE(RIGHT($A659,2))&lt;60),GUS_tabl_2!$A$8:$B$464,GUS_tabl_21!$A$5:$B$4886),2,FALSE)),LEFT(TRIM(VLOOKUP(IF(AND(LEN($A659)=4,VALUE(RIGHT($A659,2))&gt;60),$A659&amp;"01 1",$A659),IF(AND(LEN($A659)=4,VALUE(RIGHT($A659,2))&lt;60),GUS_tabl_2!$A$8:$B$464,GUS_tabl_21!$A$5:$B$4886),2,FALSE)),SUM(FIND("..",TRIM(VLOOKUP(IF(AND(LEN($A659)=4,VALUE(RIGHT($A659,2))&gt;60),$A659&amp;"01 1",$A659),IF(AND(LEN($A659)=4,VALUE(RIGHT($A659,2))&lt;60),GUS_tabl_2!$A$8:$B$464,GUS_tabl_21!$A$5:$B$4886),2,FALSE))),-1)))))</f>
        <v>gm. w. Nowa Sól</v>
      </c>
      <c r="D659" s="174">
        <f>IF(OR($A659="",ISERROR(VALUE(LEFT($A659,6)))),"",IF(LEN($A659)=2,SUMIF($A660:$A$2965,$A659&amp;"??",$D660:$D$2965),IF(AND(LEN($A659)=4,VALUE(RIGHT($A659,2))&lt;=60),SUMIF($A660:$A$2965,$A659&amp;"????",$D660:$D$2965),VLOOKUP(IF(LEN($A659)=4,$A659&amp;"01 1",$A659),GUS_tabl_21!$A$5:$F$4886,6,FALSE))))</f>
        <v>6943</v>
      </c>
      <c r="E659" s="29"/>
    </row>
    <row r="660" spans="1:5" ht="12" customHeight="1">
      <c r="A660" s="155" t="str">
        <f>"080406 3"</f>
        <v>080406 3</v>
      </c>
      <c r="B660" s="153" t="s">
        <v>19</v>
      </c>
      <c r="C660" s="156" t="str">
        <f>IF(OR($A660="",ISERROR(VALUE(LEFT($A660,6)))),"",IF(LEN($A660)=2,"WOJ. ",IF(LEN($A660)=4,IF(VALUE(RIGHT($A660,2))&gt;60,"","Powiat "),IF(VALUE(RIGHT($A660,1))=1,"m. ",IF(VALUE(RIGHT($A660,1))=2,"gm. w. ",IF(VALUE(RIGHT($A660,1))=8,"dz. ","gm. m.-w. ")))))&amp;IF(LEN($A660)=2,TRIM(UPPER(VLOOKUP($A660,GUS_tabl_1!$A$7:$B$22,2,FALSE))),IF(ISERROR(FIND("..",TRIM(VLOOKUP(IF(AND(LEN($A660)=4,VALUE(RIGHT($A660,2))&gt;60),$A660&amp;"01 1",$A660),IF(AND(LEN($A660)=4,VALUE(RIGHT($A660,2))&lt;60),GUS_tabl_2!$A$8:$B$464,GUS_tabl_21!$A$5:$B$4886),2,FALSE)))),TRIM(VLOOKUP(IF(AND(LEN($A660)=4,VALUE(RIGHT($A660,2))&gt;60),$A660&amp;"01 1",$A660),IF(AND(LEN($A660)=4,VALUE(RIGHT($A660,2))&lt;60),GUS_tabl_2!$A$8:$B$464,GUS_tabl_21!$A$5:$B$4886),2,FALSE)),LEFT(TRIM(VLOOKUP(IF(AND(LEN($A660)=4,VALUE(RIGHT($A660,2))&gt;60),$A660&amp;"01 1",$A660),IF(AND(LEN($A660)=4,VALUE(RIGHT($A660,2))&lt;60),GUS_tabl_2!$A$8:$B$464,GUS_tabl_21!$A$5:$B$4886),2,FALSE)),SUM(FIND("..",TRIM(VLOOKUP(IF(AND(LEN($A660)=4,VALUE(RIGHT($A660,2))&gt;60),$A660&amp;"01 1",$A660),IF(AND(LEN($A660)=4,VALUE(RIGHT($A660,2))&lt;60),GUS_tabl_2!$A$8:$B$464,GUS_tabl_21!$A$5:$B$4886),2,FALSE))),-1)))))</f>
        <v>gm. m.-w. Nowe Miasteczko</v>
      </c>
      <c r="D660" s="174">
        <f>IF(OR($A660="",ISERROR(VALUE(LEFT($A660,6)))),"",IF(LEN($A660)=2,SUMIF($A661:$A$2965,$A660&amp;"??",$D661:$D$2965),IF(AND(LEN($A660)=4,VALUE(RIGHT($A660,2))&lt;=60),SUMIF($A661:$A$2965,$A660&amp;"????",$D661:$D$2965),VLOOKUP(IF(LEN($A660)=4,$A660&amp;"01 1",$A660),GUS_tabl_21!$A$5:$F$4886,6,FALSE))))</f>
        <v>5358</v>
      </c>
      <c r="E660" s="29"/>
    </row>
    <row r="661" spans="1:5" ht="12" customHeight="1">
      <c r="A661" s="155" t="str">
        <f>"080407 3"</f>
        <v>080407 3</v>
      </c>
      <c r="B661" s="153" t="s">
        <v>19</v>
      </c>
      <c r="C661" s="156" t="str">
        <f>IF(OR($A661="",ISERROR(VALUE(LEFT($A661,6)))),"",IF(LEN($A661)=2,"WOJ. ",IF(LEN($A661)=4,IF(VALUE(RIGHT($A661,2))&gt;60,"","Powiat "),IF(VALUE(RIGHT($A661,1))=1,"m. ",IF(VALUE(RIGHT($A661,1))=2,"gm. w. ",IF(VALUE(RIGHT($A661,1))=8,"dz. ","gm. m.-w. ")))))&amp;IF(LEN($A661)=2,TRIM(UPPER(VLOOKUP($A661,GUS_tabl_1!$A$7:$B$22,2,FALSE))),IF(ISERROR(FIND("..",TRIM(VLOOKUP(IF(AND(LEN($A661)=4,VALUE(RIGHT($A661,2))&gt;60),$A661&amp;"01 1",$A661),IF(AND(LEN($A661)=4,VALUE(RIGHT($A661,2))&lt;60),GUS_tabl_2!$A$8:$B$464,GUS_tabl_21!$A$5:$B$4886),2,FALSE)))),TRIM(VLOOKUP(IF(AND(LEN($A661)=4,VALUE(RIGHT($A661,2))&gt;60),$A661&amp;"01 1",$A661),IF(AND(LEN($A661)=4,VALUE(RIGHT($A661,2))&lt;60),GUS_tabl_2!$A$8:$B$464,GUS_tabl_21!$A$5:$B$4886),2,FALSE)),LEFT(TRIM(VLOOKUP(IF(AND(LEN($A661)=4,VALUE(RIGHT($A661,2))&gt;60),$A661&amp;"01 1",$A661),IF(AND(LEN($A661)=4,VALUE(RIGHT($A661,2))&lt;60),GUS_tabl_2!$A$8:$B$464,GUS_tabl_21!$A$5:$B$4886),2,FALSE)),SUM(FIND("..",TRIM(VLOOKUP(IF(AND(LEN($A661)=4,VALUE(RIGHT($A661,2))&gt;60),$A661&amp;"01 1",$A661),IF(AND(LEN($A661)=4,VALUE(RIGHT($A661,2))&lt;60),GUS_tabl_2!$A$8:$B$464,GUS_tabl_21!$A$5:$B$4886),2,FALSE))),-1)))))</f>
        <v>gm. m.-w. Otyń</v>
      </c>
      <c r="D661" s="174">
        <f>IF(OR($A661="",ISERROR(VALUE(LEFT($A661,6)))),"",IF(LEN($A661)=2,SUMIF($A662:$A$2965,$A661&amp;"??",$D662:$D$2965),IF(AND(LEN($A661)=4,VALUE(RIGHT($A661,2))&lt;=60),SUMIF($A662:$A$2965,$A661&amp;"????",$D662:$D$2965),VLOOKUP(IF(LEN($A661)=4,$A661&amp;"01 1",$A661),GUS_tabl_21!$A$5:$F$4886,6,FALSE))))</f>
        <v>7012</v>
      </c>
      <c r="E661" s="29"/>
    </row>
    <row r="662" spans="1:5" ht="12" customHeight="1">
      <c r="A662" s="155" t="str">
        <f>"080408 2"</f>
        <v>080408 2</v>
      </c>
      <c r="B662" s="153" t="s">
        <v>19</v>
      </c>
      <c r="C662" s="156" t="str">
        <f>IF(OR($A662="",ISERROR(VALUE(LEFT($A662,6)))),"",IF(LEN($A662)=2,"WOJ. ",IF(LEN($A662)=4,IF(VALUE(RIGHT($A662,2))&gt;60,"","Powiat "),IF(VALUE(RIGHT($A662,1))=1,"m. ",IF(VALUE(RIGHT($A662,1))=2,"gm. w. ",IF(VALUE(RIGHT($A662,1))=8,"dz. ","gm. m.-w. ")))))&amp;IF(LEN($A662)=2,TRIM(UPPER(VLOOKUP($A662,GUS_tabl_1!$A$7:$B$22,2,FALSE))),IF(ISERROR(FIND("..",TRIM(VLOOKUP(IF(AND(LEN($A662)=4,VALUE(RIGHT($A662,2))&gt;60),$A662&amp;"01 1",$A662),IF(AND(LEN($A662)=4,VALUE(RIGHT($A662,2))&lt;60),GUS_tabl_2!$A$8:$B$464,GUS_tabl_21!$A$5:$B$4886),2,FALSE)))),TRIM(VLOOKUP(IF(AND(LEN($A662)=4,VALUE(RIGHT($A662,2))&gt;60),$A662&amp;"01 1",$A662),IF(AND(LEN($A662)=4,VALUE(RIGHT($A662,2))&lt;60),GUS_tabl_2!$A$8:$B$464,GUS_tabl_21!$A$5:$B$4886),2,FALSE)),LEFT(TRIM(VLOOKUP(IF(AND(LEN($A662)=4,VALUE(RIGHT($A662,2))&gt;60),$A662&amp;"01 1",$A662),IF(AND(LEN($A662)=4,VALUE(RIGHT($A662,2))&lt;60),GUS_tabl_2!$A$8:$B$464,GUS_tabl_21!$A$5:$B$4886),2,FALSE)),SUM(FIND("..",TRIM(VLOOKUP(IF(AND(LEN($A662)=4,VALUE(RIGHT($A662,2))&gt;60),$A662&amp;"01 1",$A662),IF(AND(LEN($A662)=4,VALUE(RIGHT($A662,2))&lt;60),GUS_tabl_2!$A$8:$B$464,GUS_tabl_21!$A$5:$B$4886),2,FALSE))),-1)))))</f>
        <v>gm. w. Siedlisko</v>
      </c>
      <c r="D662" s="174">
        <f>IF(OR($A662="",ISERROR(VALUE(LEFT($A662,6)))),"",IF(LEN($A662)=2,SUMIF($A663:$A$2965,$A662&amp;"??",$D663:$D$2965),IF(AND(LEN($A662)=4,VALUE(RIGHT($A662,2))&lt;=60),SUMIF($A663:$A$2965,$A662&amp;"????",$D663:$D$2965),VLOOKUP(IF(LEN($A662)=4,$A662&amp;"01 1",$A662),GUS_tabl_21!$A$5:$F$4886,6,FALSE))))</f>
        <v>3580</v>
      </c>
      <c r="E662" s="29"/>
    </row>
    <row r="663" spans="1:5" ht="12" customHeight="1">
      <c r="A663" s="152" t="str">
        <f>"0805"</f>
        <v>0805</v>
      </c>
      <c r="B663" s="153" t="s">
        <v>19</v>
      </c>
      <c r="C663" s="154" t="str">
        <f>IF(OR($A663="",ISERROR(VALUE(LEFT($A663,6)))),"",IF(LEN($A663)=2,"WOJ. ",IF(LEN($A663)=4,IF(VALUE(RIGHT($A663,2))&gt;60,"","Powiat "),IF(VALUE(RIGHT($A663,1))=1,"m. ",IF(VALUE(RIGHT($A663,1))=2,"gm. w. ",IF(VALUE(RIGHT($A663,1))=8,"dz. ","gm. m.-w. ")))))&amp;IF(LEN($A663)=2,TRIM(UPPER(VLOOKUP($A663,GUS_tabl_1!$A$7:$B$22,2,FALSE))),IF(ISERROR(FIND("..",TRIM(VLOOKUP(IF(AND(LEN($A663)=4,VALUE(RIGHT($A663,2))&gt;60),$A663&amp;"01 1",$A663),IF(AND(LEN($A663)=4,VALUE(RIGHT($A663,2))&lt;60),GUS_tabl_2!$A$8:$B$464,GUS_tabl_21!$A$5:$B$4886),2,FALSE)))),TRIM(VLOOKUP(IF(AND(LEN($A663)=4,VALUE(RIGHT($A663,2))&gt;60),$A663&amp;"01 1",$A663),IF(AND(LEN($A663)=4,VALUE(RIGHT($A663,2))&lt;60),GUS_tabl_2!$A$8:$B$464,GUS_tabl_21!$A$5:$B$4886),2,FALSE)),LEFT(TRIM(VLOOKUP(IF(AND(LEN($A663)=4,VALUE(RIGHT($A663,2))&gt;60),$A663&amp;"01 1",$A663),IF(AND(LEN($A663)=4,VALUE(RIGHT($A663,2))&lt;60),GUS_tabl_2!$A$8:$B$464,GUS_tabl_21!$A$5:$B$4886),2,FALSE)),SUM(FIND("..",TRIM(VLOOKUP(IF(AND(LEN($A663)=4,VALUE(RIGHT($A663,2))&gt;60),$A663&amp;"01 1",$A663),IF(AND(LEN($A663)=4,VALUE(RIGHT($A663,2))&lt;60),GUS_tabl_2!$A$8:$B$464,GUS_tabl_21!$A$5:$B$4886),2,FALSE))),-1)))))</f>
        <v>Powiat słubicki</v>
      </c>
      <c r="D663" s="173">
        <f>IF(OR($A663="",ISERROR(VALUE(LEFT($A663,6)))),"",IF(LEN($A663)=2,SUMIF($A664:$A$2965,$A663&amp;"??",$D664:$D$2965),IF(AND(LEN($A663)=4,VALUE(RIGHT($A663,2))&lt;=60),SUMIF($A664:$A$2965,$A663&amp;"????",$D664:$D$2965),VLOOKUP(IF(LEN($A663)=4,$A663&amp;"01 1",$A663),GUS_tabl_21!$A$5:$F$4886,6,FALSE))))</f>
        <v>46929</v>
      </c>
      <c r="E663" s="29"/>
    </row>
    <row r="664" spans="1:5" ht="12" customHeight="1">
      <c r="A664" s="155" t="str">
        <f>"080501 3"</f>
        <v>080501 3</v>
      </c>
      <c r="B664" s="153" t="s">
        <v>19</v>
      </c>
      <c r="C664" s="156" t="str">
        <f>IF(OR($A664="",ISERROR(VALUE(LEFT($A664,6)))),"",IF(LEN($A664)=2,"WOJ. ",IF(LEN($A664)=4,IF(VALUE(RIGHT($A664,2))&gt;60,"","Powiat "),IF(VALUE(RIGHT($A664,1))=1,"m. ",IF(VALUE(RIGHT($A664,1))=2,"gm. w. ",IF(VALUE(RIGHT($A664,1))=8,"dz. ","gm. m.-w. ")))))&amp;IF(LEN($A664)=2,TRIM(UPPER(VLOOKUP($A664,GUS_tabl_1!$A$7:$B$22,2,FALSE))),IF(ISERROR(FIND("..",TRIM(VLOOKUP(IF(AND(LEN($A664)=4,VALUE(RIGHT($A664,2))&gt;60),$A664&amp;"01 1",$A664),IF(AND(LEN($A664)=4,VALUE(RIGHT($A664,2))&lt;60),GUS_tabl_2!$A$8:$B$464,GUS_tabl_21!$A$5:$B$4886),2,FALSE)))),TRIM(VLOOKUP(IF(AND(LEN($A664)=4,VALUE(RIGHT($A664,2))&gt;60),$A664&amp;"01 1",$A664),IF(AND(LEN($A664)=4,VALUE(RIGHT($A664,2))&lt;60),GUS_tabl_2!$A$8:$B$464,GUS_tabl_21!$A$5:$B$4886),2,FALSE)),LEFT(TRIM(VLOOKUP(IF(AND(LEN($A664)=4,VALUE(RIGHT($A664,2))&gt;60),$A664&amp;"01 1",$A664),IF(AND(LEN($A664)=4,VALUE(RIGHT($A664,2))&lt;60),GUS_tabl_2!$A$8:$B$464,GUS_tabl_21!$A$5:$B$4886),2,FALSE)),SUM(FIND("..",TRIM(VLOOKUP(IF(AND(LEN($A664)=4,VALUE(RIGHT($A664,2))&gt;60),$A664&amp;"01 1",$A664),IF(AND(LEN($A664)=4,VALUE(RIGHT($A664,2))&lt;60),GUS_tabl_2!$A$8:$B$464,GUS_tabl_21!$A$5:$B$4886),2,FALSE))),-1)))))</f>
        <v>gm. m.-w. Cybinka</v>
      </c>
      <c r="D664" s="174">
        <f>IF(OR($A664="",ISERROR(VALUE(LEFT($A664,6)))),"",IF(LEN($A664)=2,SUMIF($A665:$A$2965,$A664&amp;"??",$D665:$D$2965),IF(AND(LEN($A664)=4,VALUE(RIGHT($A664,2))&lt;=60),SUMIF($A665:$A$2965,$A664&amp;"????",$D665:$D$2965),VLOOKUP(IF(LEN($A664)=4,$A664&amp;"01 1",$A664),GUS_tabl_21!$A$5:$F$4886,6,FALSE))))</f>
        <v>6469</v>
      </c>
      <c r="E664" s="29"/>
    </row>
    <row r="665" spans="1:5" ht="12" customHeight="1">
      <c r="A665" s="155" t="str">
        <f>"080502 2"</f>
        <v>080502 2</v>
      </c>
      <c r="B665" s="153" t="s">
        <v>19</v>
      </c>
      <c r="C665" s="156" t="str">
        <f>IF(OR($A665="",ISERROR(VALUE(LEFT($A665,6)))),"",IF(LEN($A665)=2,"WOJ. ",IF(LEN($A665)=4,IF(VALUE(RIGHT($A665,2))&gt;60,"","Powiat "),IF(VALUE(RIGHT($A665,1))=1,"m. ",IF(VALUE(RIGHT($A665,1))=2,"gm. w. ",IF(VALUE(RIGHT($A665,1))=8,"dz. ","gm. m.-w. ")))))&amp;IF(LEN($A665)=2,TRIM(UPPER(VLOOKUP($A665,GUS_tabl_1!$A$7:$B$22,2,FALSE))),IF(ISERROR(FIND("..",TRIM(VLOOKUP(IF(AND(LEN($A665)=4,VALUE(RIGHT($A665,2))&gt;60),$A665&amp;"01 1",$A665),IF(AND(LEN($A665)=4,VALUE(RIGHT($A665,2))&lt;60),GUS_tabl_2!$A$8:$B$464,GUS_tabl_21!$A$5:$B$4886),2,FALSE)))),TRIM(VLOOKUP(IF(AND(LEN($A665)=4,VALUE(RIGHT($A665,2))&gt;60),$A665&amp;"01 1",$A665),IF(AND(LEN($A665)=4,VALUE(RIGHT($A665,2))&lt;60),GUS_tabl_2!$A$8:$B$464,GUS_tabl_21!$A$5:$B$4886),2,FALSE)),LEFT(TRIM(VLOOKUP(IF(AND(LEN($A665)=4,VALUE(RIGHT($A665,2))&gt;60),$A665&amp;"01 1",$A665),IF(AND(LEN($A665)=4,VALUE(RIGHT($A665,2))&lt;60),GUS_tabl_2!$A$8:$B$464,GUS_tabl_21!$A$5:$B$4886),2,FALSE)),SUM(FIND("..",TRIM(VLOOKUP(IF(AND(LEN($A665)=4,VALUE(RIGHT($A665,2))&gt;60),$A665&amp;"01 1",$A665),IF(AND(LEN($A665)=4,VALUE(RIGHT($A665,2))&lt;60),GUS_tabl_2!$A$8:$B$464,GUS_tabl_21!$A$5:$B$4886),2,FALSE))),-1)))))</f>
        <v>gm. w. Górzyca</v>
      </c>
      <c r="D665" s="174">
        <f>IF(OR($A665="",ISERROR(VALUE(LEFT($A665,6)))),"",IF(LEN($A665)=2,SUMIF($A666:$A$2965,$A665&amp;"??",$D666:$D$2965),IF(AND(LEN($A665)=4,VALUE(RIGHT($A665,2))&lt;=60),SUMIF($A666:$A$2965,$A665&amp;"????",$D666:$D$2965),VLOOKUP(IF(LEN($A665)=4,$A665&amp;"01 1",$A665),GUS_tabl_21!$A$5:$F$4886,6,FALSE))))</f>
        <v>4299</v>
      </c>
      <c r="E665" s="29"/>
    </row>
    <row r="666" spans="1:5" ht="12" customHeight="1">
      <c r="A666" s="155" t="str">
        <f>"080503 3"</f>
        <v>080503 3</v>
      </c>
      <c r="B666" s="153" t="s">
        <v>19</v>
      </c>
      <c r="C666" s="156" t="str">
        <f>IF(OR($A666="",ISERROR(VALUE(LEFT($A666,6)))),"",IF(LEN($A666)=2,"WOJ. ",IF(LEN($A666)=4,IF(VALUE(RIGHT($A666,2))&gt;60,"","Powiat "),IF(VALUE(RIGHT($A666,1))=1,"m. ",IF(VALUE(RIGHT($A666,1))=2,"gm. w. ",IF(VALUE(RIGHT($A666,1))=8,"dz. ","gm. m.-w. ")))))&amp;IF(LEN($A666)=2,TRIM(UPPER(VLOOKUP($A666,GUS_tabl_1!$A$7:$B$22,2,FALSE))),IF(ISERROR(FIND("..",TRIM(VLOOKUP(IF(AND(LEN($A666)=4,VALUE(RIGHT($A666,2))&gt;60),$A666&amp;"01 1",$A666),IF(AND(LEN($A666)=4,VALUE(RIGHT($A666,2))&lt;60),GUS_tabl_2!$A$8:$B$464,GUS_tabl_21!$A$5:$B$4886),2,FALSE)))),TRIM(VLOOKUP(IF(AND(LEN($A666)=4,VALUE(RIGHT($A666,2))&gt;60),$A666&amp;"01 1",$A666),IF(AND(LEN($A666)=4,VALUE(RIGHT($A666,2))&lt;60),GUS_tabl_2!$A$8:$B$464,GUS_tabl_21!$A$5:$B$4886),2,FALSE)),LEFT(TRIM(VLOOKUP(IF(AND(LEN($A666)=4,VALUE(RIGHT($A666,2))&gt;60),$A666&amp;"01 1",$A666),IF(AND(LEN($A666)=4,VALUE(RIGHT($A666,2))&lt;60),GUS_tabl_2!$A$8:$B$464,GUS_tabl_21!$A$5:$B$4886),2,FALSE)),SUM(FIND("..",TRIM(VLOOKUP(IF(AND(LEN($A666)=4,VALUE(RIGHT($A666,2))&gt;60),$A666&amp;"01 1",$A666),IF(AND(LEN($A666)=4,VALUE(RIGHT($A666,2))&lt;60),GUS_tabl_2!$A$8:$B$464,GUS_tabl_21!$A$5:$B$4886),2,FALSE))),-1)))))</f>
        <v>gm. m.-w. Ośno Lubuskie</v>
      </c>
      <c r="D666" s="174">
        <f>IF(OR($A666="",ISERROR(VALUE(LEFT($A666,6)))),"",IF(LEN($A666)=2,SUMIF($A667:$A$2965,$A666&amp;"??",$D667:$D$2965),IF(AND(LEN($A666)=4,VALUE(RIGHT($A666,2))&lt;=60),SUMIF($A667:$A$2965,$A666&amp;"????",$D667:$D$2965),VLOOKUP(IF(LEN($A666)=4,$A666&amp;"01 1",$A666),GUS_tabl_21!$A$5:$F$4886,6,FALSE))))</f>
        <v>6376</v>
      </c>
      <c r="E666" s="29"/>
    </row>
    <row r="667" spans="1:5" ht="12" customHeight="1">
      <c r="A667" s="155" t="str">
        <f>"080504 3"</f>
        <v>080504 3</v>
      </c>
      <c r="B667" s="153" t="s">
        <v>19</v>
      </c>
      <c r="C667" s="156" t="str">
        <f>IF(OR($A667="",ISERROR(VALUE(LEFT($A667,6)))),"",IF(LEN($A667)=2,"WOJ. ",IF(LEN($A667)=4,IF(VALUE(RIGHT($A667,2))&gt;60,"","Powiat "),IF(VALUE(RIGHT($A667,1))=1,"m. ",IF(VALUE(RIGHT($A667,1))=2,"gm. w. ",IF(VALUE(RIGHT($A667,1))=8,"dz. ","gm. m.-w. ")))))&amp;IF(LEN($A667)=2,TRIM(UPPER(VLOOKUP($A667,GUS_tabl_1!$A$7:$B$22,2,FALSE))),IF(ISERROR(FIND("..",TRIM(VLOOKUP(IF(AND(LEN($A667)=4,VALUE(RIGHT($A667,2))&gt;60),$A667&amp;"01 1",$A667),IF(AND(LEN($A667)=4,VALUE(RIGHT($A667,2))&lt;60),GUS_tabl_2!$A$8:$B$464,GUS_tabl_21!$A$5:$B$4886),2,FALSE)))),TRIM(VLOOKUP(IF(AND(LEN($A667)=4,VALUE(RIGHT($A667,2))&gt;60),$A667&amp;"01 1",$A667),IF(AND(LEN($A667)=4,VALUE(RIGHT($A667,2))&lt;60),GUS_tabl_2!$A$8:$B$464,GUS_tabl_21!$A$5:$B$4886),2,FALSE)),LEFT(TRIM(VLOOKUP(IF(AND(LEN($A667)=4,VALUE(RIGHT($A667,2))&gt;60),$A667&amp;"01 1",$A667),IF(AND(LEN($A667)=4,VALUE(RIGHT($A667,2))&lt;60),GUS_tabl_2!$A$8:$B$464,GUS_tabl_21!$A$5:$B$4886),2,FALSE)),SUM(FIND("..",TRIM(VLOOKUP(IF(AND(LEN($A667)=4,VALUE(RIGHT($A667,2))&gt;60),$A667&amp;"01 1",$A667),IF(AND(LEN($A667)=4,VALUE(RIGHT($A667,2))&lt;60),GUS_tabl_2!$A$8:$B$464,GUS_tabl_21!$A$5:$B$4886),2,FALSE))),-1)))))</f>
        <v>gm. m.-w. Rzepin</v>
      </c>
      <c r="D667" s="174">
        <f>IF(OR($A667="",ISERROR(VALUE(LEFT($A667,6)))),"",IF(LEN($A667)=2,SUMIF($A668:$A$2965,$A667&amp;"??",$D668:$D$2965),IF(AND(LEN($A667)=4,VALUE(RIGHT($A667,2))&lt;=60),SUMIF($A668:$A$2965,$A667&amp;"????",$D668:$D$2965),VLOOKUP(IF(LEN($A667)=4,$A667&amp;"01 1",$A667),GUS_tabl_21!$A$5:$F$4886,6,FALSE))))</f>
        <v>9714</v>
      </c>
      <c r="E667" s="29"/>
    </row>
    <row r="668" spans="1:5" ht="12" customHeight="1">
      <c r="A668" s="155" t="str">
        <f>"080505 3"</f>
        <v>080505 3</v>
      </c>
      <c r="B668" s="153" t="s">
        <v>19</v>
      </c>
      <c r="C668" s="156" t="str">
        <f>IF(OR($A668="",ISERROR(VALUE(LEFT($A668,6)))),"",IF(LEN($A668)=2,"WOJ. ",IF(LEN($A668)=4,IF(VALUE(RIGHT($A668,2))&gt;60,"","Powiat "),IF(VALUE(RIGHT($A668,1))=1,"m. ",IF(VALUE(RIGHT($A668,1))=2,"gm. w. ",IF(VALUE(RIGHT($A668,1))=8,"dz. ","gm. m.-w. ")))))&amp;IF(LEN($A668)=2,TRIM(UPPER(VLOOKUP($A668,GUS_tabl_1!$A$7:$B$22,2,FALSE))),IF(ISERROR(FIND("..",TRIM(VLOOKUP(IF(AND(LEN($A668)=4,VALUE(RIGHT($A668,2))&gt;60),$A668&amp;"01 1",$A668),IF(AND(LEN($A668)=4,VALUE(RIGHT($A668,2))&lt;60),GUS_tabl_2!$A$8:$B$464,GUS_tabl_21!$A$5:$B$4886),2,FALSE)))),TRIM(VLOOKUP(IF(AND(LEN($A668)=4,VALUE(RIGHT($A668,2))&gt;60),$A668&amp;"01 1",$A668),IF(AND(LEN($A668)=4,VALUE(RIGHT($A668,2))&lt;60),GUS_tabl_2!$A$8:$B$464,GUS_tabl_21!$A$5:$B$4886),2,FALSE)),LEFT(TRIM(VLOOKUP(IF(AND(LEN($A668)=4,VALUE(RIGHT($A668,2))&gt;60),$A668&amp;"01 1",$A668),IF(AND(LEN($A668)=4,VALUE(RIGHT($A668,2))&lt;60),GUS_tabl_2!$A$8:$B$464,GUS_tabl_21!$A$5:$B$4886),2,FALSE)),SUM(FIND("..",TRIM(VLOOKUP(IF(AND(LEN($A668)=4,VALUE(RIGHT($A668,2))&gt;60),$A668&amp;"01 1",$A668),IF(AND(LEN($A668)=4,VALUE(RIGHT($A668,2))&lt;60),GUS_tabl_2!$A$8:$B$464,GUS_tabl_21!$A$5:$B$4886),2,FALSE))),-1)))))</f>
        <v>gm. m.-w. Słubice</v>
      </c>
      <c r="D668" s="174">
        <f>IF(OR($A668="",ISERROR(VALUE(LEFT($A668,6)))),"",IF(LEN($A668)=2,SUMIF($A669:$A$2965,$A668&amp;"??",$D669:$D$2965),IF(AND(LEN($A668)=4,VALUE(RIGHT($A668,2))&lt;=60),SUMIF($A669:$A$2965,$A668&amp;"????",$D669:$D$2965),VLOOKUP(IF(LEN($A668)=4,$A668&amp;"01 1",$A668),GUS_tabl_21!$A$5:$F$4886,6,FALSE))))</f>
        <v>20071</v>
      </c>
      <c r="E668" s="29"/>
    </row>
    <row r="669" spans="1:5" ht="12" customHeight="1">
      <c r="A669" s="152" t="str">
        <f>"0806"</f>
        <v>0806</v>
      </c>
      <c r="B669" s="153" t="s">
        <v>19</v>
      </c>
      <c r="C669" s="154" t="str">
        <f>IF(OR($A669="",ISERROR(VALUE(LEFT($A669,6)))),"",IF(LEN($A669)=2,"WOJ. ",IF(LEN($A669)=4,IF(VALUE(RIGHT($A669,2))&gt;60,"","Powiat "),IF(VALUE(RIGHT($A669,1))=1,"m. ",IF(VALUE(RIGHT($A669,1))=2,"gm. w. ",IF(VALUE(RIGHT($A669,1))=8,"dz. ","gm. m.-w. ")))))&amp;IF(LEN($A669)=2,TRIM(UPPER(VLOOKUP($A669,GUS_tabl_1!$A$7:$B$22,2,FALSE))),IF(ISERROR(FIND("..",TRIM(VLOOKUP(IF(AND(LEN($A669)=4,VALUE(RIGHT($A669,2))&gt;60),$A669&amp;"01 1",$A669),IF(AND(LEN($A669)=4,VALUE(RIGHT($A669,2))&lt;60),GUS_tabl_2!$A$8:$B$464,GUS_tabl_21!$A$5:$B$4886),2,FALSE)))),TRIM(VLOOKUP(IF(AND(LEN($A669)=4,VALUE(RIGHT($A669,2))&gt;60),$A669&amp;"01 1",$A669),IF(AND(LEN($A669)=4,VALUE(RIGHT($A669,2))&lt;60),GUS_tabl_2!$A$8:$B$464,GUS_tabl_21!$A$5:$B$4886),2,FALSE)),LEFT(TRIM(VLOOKUP(IF(AND(LEN($A669)=4,VALUE(RIGHT($A669,2))&gt;60),$A669&amp;"01 1",$A669),IF(AND(LEN($A669)=4,VALUE(RIGHT($A669,2))&lt;60),GUS_tabl_2!$A$8:$B$464,GUS_tabl_21!$A$5:$B$4886),2,FALSE)),SUM(FIND("..",TRIM(VLOOKUP(IF(AND(LEN($A669)=4,VALUE(RIGHT($A669,2))&gt;60),$A669&amp;"01 1",$A669),IF(AND(LEN($A669)=4,VALUE(RIGHT($A669,2))&lt;60),GUS_tabl_2!$A$8:$B$464,GUS_tabl_21!$A$5:$B$4886),2,FALSE))),-1)))))</f>
        <v>Powiat strzelecko-drezdenecki</v>
      </c>
      <c r="D669" s="173">
        <f>IF(OR($A669="",ISERROR(VALUE(LEFT($A669,6)))),"",IF(LEN($A669)=2,SUMIF($A670:$A$2965,$A669&amp;"??",$D670:$D$2965),IF(AND(LEN($A669)=4,VALUE(RIGHT($A669,2))&lt;=60),SUMIF($A670:$A$2965,$A669&amp;"????",$D670:$D$2965),VLOOKUP(IF(LEN($A669)=4,$A669&amp;"01 1",$A669),GUS_tabl_21!$A$5:$F$4886,6,FALSE))))</f>
        <v>49009</v>
      </c>
      <c r="E669" s="29"/>
    </row>
    <row r="670" spans="1:5" ht="12" customHeight="1">
      <c r="A670" s="155" t="str">
        <f>"080601 3"</f>
        <v>080601 3</v>
      </c>
      <c r="B670" s="153" t="s">
        <v>19</v>
      </c>
      <c r="C670" s="156" t="str">
        <f>IF(OR($A670="",ISERROR(VALUE(LEFT($A670,6)))),"",IF(LEN($A670)=2,"WOJ. ",IF(LEN($A670)=4,IF(VALUE(RIGHT($A670,2))&gt;60,"","Powiat "),IF(VALUE(RIGHT($A670,1))=1,"m. ",IF(VALUE(RIGHT($A670,1))=2,"gm. w. ",IF(VALUE(RIGHT($A670,1))=8,"dz. ","gm. m.-w. ")))))&amp;IF(LEN($A670)=2,TRIM(UPPER(VLOOKUP($A670,GUS_tabl_1!$A$7:$B$22,2,FALSE))),IF(ISERROR(FIND("..",TRIM(VLOOKUP(IF(AND(LEN($A670)=4,VALUE(RIGHT($A670,2))&gt;60),$A670&amp;"01 1",$A670),IF(AND(LEN($A670)=4,VALUE(RIGHT($A670,2))&lt;60),GUS_tabl_2!$A$8:$B$464,GUS_tabl_21!$A$5:$B$4886),2,FALSE)))),TRIM(VLOOKUP(IF(AND(LEN($A670)=4,VALUE(RIGHT($A670,2))&gt;60),$A670&amp;"01 1",$A670),IF(AND(LEN($A670)=4,VALUE(RIGHT($A670,2))&lt;60),GUS_tabl_2!$A$8:$B$464,GUS_tabl_21!$A$5:$B$4886),2,FALSE)),LEFT(TRIM(VLOOKUP(IF(AND(LEN($A670)=4,VALUE(RIGHT($A670,2))&gt;60),$A670&amp;"01 1",$A670),IF(AND(LEN($A670)=4,VALUE(RIGHT($A670,2))&lt;60),GUS_tabl_2!$A$8:$B$464,GUS_tabl_21!$A$5:$B$4886),2,FALSE)),SUM(FIND("..",TRIM(VLOOKUP(IF(AND(LEN($A670)=4,VALUE(RIGHT($A670,2))&gt;60),$A670&amp;"01 1",$A670),IF(AND(LEN($A670)=4,VALUE(RIGHT($A670,2))&lt;60),GUS_tabl_2!$A$8:$B$464,GUS_tabl_21!$A$5:$B$4886),2,FALSE))),-1)))))</f>
        <v>gm. m.-w. Dobiegniew</v>
      </c>
      <c r="D670" s="174">
        <f>IF(OR($A670="",ISERROR(VALUE(LEFT($A670,6)))),"",IF(LEN($A670)=2,SUMIF($A671:$A$2965,$A670&amp;"??",$D671:$D$2965),IF(AND(LEN($A670)=4,VALUE(RIGHT($A670,2))&lt;=60),SUMIF($A671:$A$2965,$A670&amp;"????",$D671:$D$2965),VLOOKUP(IF(LEN($A670)=4,$A670&amp;"01 1",$A670),GUS_tabl_21!$A$5:$F$4886,6,FALSE))))</f>
        <v>6536</v>
      </c>
      <c r="E670" s="29"/>
    </row>
    <row r="671" spans="1:5" ht="12" customHeight="1">
      <c r="A671" s="155" t="str">
        <f>"080602 3"</f>
        <v>080602 3</v>
      </c>
      <c r="B671" s="153" t="s">
        <v>19</v>
      </c>
      <c r="C671" s="156" t="str">
        <f>IF(OR($A671="",ISERROR(VALUE(LEFT($A671,6)))),"",IF(LEN($A671)=2,"WOJ. ",IF(LEN($A671)=4,IF(VALUE(RIGHT($A671,2))&gt;60,"","Powiat "),IF(VALUE(RIGHT($A671,1))=1,"m. ",IF(VALUE(RIGHT($A671,1))=2,"gm. w. ",IF(VALUE(RIGHT($A671,1))=8,"dz. ","gm. m.-w. ")))))&amp;IF(LEN($A671)=2,TRIM(UPPER(VLOOKUP($A671,GUS_tabl_1!$A$7:$B$22,2,FALSE))),IF(ISERROR(FIND("..",TRIM(VLOOKUP(IF(AND(LEN($A671)=4,VALUE(RIGHT($A671,2))&gt;60),$A671&amp;"01 1",$A671),IF(AND(LEN($A671)=4,VALUE(RIGHT($A671,2))&lt;60),GUS_tabl_2!$A$8:$B$464,GUS_tabl_21!$A$5:$B$4886),2,FALSE)))),TRIM(VLOOKUP(IF(AND(LEN($A671)=4,VALUE(RIGHT($A671,2))&gt;60),$A671&amp;"01 1",$A671),IF(AND(LEN($A671)=4,VALUE(RIGHT($A671,2))&lt;60),GUS_tabl_2!$A$8:$B$464,GUS_tabl_21!$A$5:$B$4886),2,FALSE)),LEFT(TRIM(VLOOKUP(IF(AND(LEN($A671)=4,VALUE(RIGHT($A671,2))&gt;60),$A671&amp;"01 1",$A671),IF(AND(LEN($A671)=4,VALUE(RIGHT($A671,2))&lt;60),GUS_tabl_2!$A$8:$B$464,GUS_tabl_21!$A$5:$B$4886),2,FALSE)),SUM(FIND("..",TRIM(VLOOKUP(IF(AND(LEN($A671)=4,VALUE(RIGHT($A671,2))&gt;60),$A671&amp;"01 1",$A671),IF(AND(LEN($A671)=4,VALUE(RIGHT($A671,2))&lt;60),GUS_tabl_2!$A$8:$B$464,GUS_tabl_21!$A$5:$B$4886),2,FALSE))),-1)))))</f>
        <v>gm. m.-w. Drezdenko</v>
      </c>
      <c r="D671" s="174">
        <f>IF(OR($A671="",ISERROR(VALUE(LEFT($A671,6)))),"",IF(LEN($A671)=2,SUMIF($A672:$A$2965,$A671&amp;"??",$D672:$D$2965),IF(AND(LEN($A671)=4,VALUE(RIGHT($A671,2))&lt;=60),SUMIF($A672:$A$2965,$A671&amp;"????",$D672:$D$2965),VLOOKUP(IF(LEN($A671)=4,$A671&amp;"01 1",$A671),GUS_tabl_21!$A$5:$F$4886,6,FALSE))))</f>
        <v>17100</v>
      </c>
      <c r="E671" s="29"/>
    </row>
    <row r="672" spans="1:5" ht="12" customHeight="1">
      <c r="A672" s="155" t="str">
        <f>"080603 2"</f>
        <v>080603 2</v>
      </c>
      <c r="B672" s="153" t="s">
        <v>19</v>
      </c>
      <c r="C672" s="156" t="str">
        <f>IF(OR($A672="",ISERROR(VALUE(LEFT($A672,6)))),"",IF(LEN($A672)=2,"WOJ. ",IF(LEN($A672)=4,IF(VALUE(RIGHT($A672,2))&gt;60,"","Powiat "),IF(VALUE(RIGHT($A672,1))=1,"m. ",IF(VALUE(RIGHT($A672,1))=2,"gm. w. ",IF(VALUE(RIGHT($A672,1))=8,"dz. ","gm. m.-w. ")))))&amp;IF(LEN($A672)=2,TRIM(UPPER(VLOOKUP($A672,GUS_tabl_1!$A$7:$B$22,2,FALSE))),IF(ISERROR(FIND("..",TRIM(VLOOKUP(IF(AND(LEN($A672)=4,VALUE(RIGHT($A672,2))&gt;60),$A672&amp;"01 1",$A672),IF(AND(LEN($A672)=4,VALUE(RIGHT($A672,2))&lt;60),GUS_tabl_2!$A$8:$B$464,GUS_tabl_21!$A$5:$B$4886),2,FALSE)))),TRIM(VLOOKUP(IF(AND(LEN($A672)=4,VALUE(RIGHT($A672,2))&gt;60),$A672&amp;"01 1",$A672),IF(AND(LEN($A672)=4,VALUE(RIGHT($A672,2))&lt;60),GUS_tabl_2!$A$8:$B$464,GUS_tabl_21!$A$5:$B$4886),2,FALSE)),LEFT(TRIM(VLOOKUP(IF(AND(LEN($A672)=4,VALUE(RIGHT($A672,2))&gt;60),$A672&amp;"01 1",$A672),IF(AND(LEN($A672)=4,VALUE(RIGHT($A672,2))&lt;60),GUS_tabl_2!$A$8:$B$464,GUS_tabl_21!$A$5:$B$4886),2,FALSE)),SUM(FIND("..",TRIM(VLOOKUP(IF(AND(LEN($A672)=4,VALUE(RIGHT($A672,2))&gt;60),$A672&amp;"01 1",$A672),IF(AND(LEN($A672)=4,VALUE(RIGHT($A672,2))&lt;60),GUS_tabl_2!$A$8:$B$464,GUS_tabl_21!$A$5:$B$4886),2,FALSE))),-1)))))</f>
        <v>gm. w. Stare Kurowo</v>
      </c>
      <c r="D672" s="174">
        <f>IF(OR($A672="",ISERROR(VALUE(LEFT($A672,6)))),"",IF(LEN($A672)=2,SUMIF($A673:$A$2965,$A672&amp;"??",$D673:$D$2965),IF(AND(LEN($A672)=4,VALUE(RIGHT($A672,2))&lt;=60),SUMIF($A673:$A$2965,$A672&amp;"????",$D673:$D$2965),VLOOKUP(IF(LEN($A672)=4,$A672&amp;"01 1",$A672),GUS_tabl_21!$A$5:$F$4886,6,FALSE))))</f>
        <v>4062</v>
      </c>
      <c r="E672" s="29"/>
    </row>
    <row r="673" spans="1:5" ht="12" customHeight="1">
      <c r="A673" s="155" t="str">
        <f>"080604 3"</f>
        <v>080604 3</v>
      </c>
      <c r="B673" s="153" t="s">
        <v>19</v>
      </c>
      <c r="C673" s="156" t="str">
        <f>IF(OR($A673="",ISERROR(VALUE(LEFT($A673,6)))),"",IF(LEN($A673)=2,"WOJ. ",IF(LEN($A673)=4,IF(VALUE(RIGHT($A673,2))&gt;60,"","Powiat "),IF(VALUE(RIGHT($A673,1))=1,"m. ",IF(VALUE(RIGHT($A673,1))=2,"gm. w. ",IF(VALUE(RIGHT($A673,1))=8,"dz. ","gm. m.-w. ")))))&amp;IF(LEN($A673)=2,TRIM(UPPER(VLOOKUP($A673,GUS_tabl_1!$A$7:$B$22,2,FALSE))),IF(ISERROR(FIND("..",TRIM(VLOOKUP(IF(AND(LEN($A673)=4,VALUE(RIGHT($A673,2))&gt;60),$A673&amp;"01 1",$A673),IF(AND(LEN($A673)=4,VALUE(RIGHT($A673,2))&lt;60),GUS_tabl_2!$A$8:$B$464,GUS_tabl_21!$A$5:$B$4886),2,FALSE)))),TRIM(VLOOKUP(IF(AND(LEN($A673)=4,VALUE(RIGHT($A673,2))&gt;60),$A673&amp;"01 1",$A673),IF(AND(LEN($A673)=4,VALUE(RIGHT($A673,2))&lt;60),GUS_tabl_2!$A$8:$B$464,GUS_tabl_21!$A$5:$B$4886),2,FALSE)),LEFT(TRIM(VLOOKUP(IF(AND(LEN($A673)=4,VALUE(RIGHT($A673,2))&gt;60),$A673&amp;"01 1",$A673),IF(AND(LEN($A673)=4,VALUE(RIGHT($A673,2))&lt;60),GUS_tabl_2!$A$8:$B$464,GUS_tabl_21!$A$5:$B$4886),2,FALSE)),SUM(FIND("..",TRIM(VLOOKUP(IF(AND(LEN($A673)=4,VALUE(RIGHT($A673,2))&gt;60),$A673&amp;"01 1",$A673),IF(AND(LEN($A673)=4,VALUE(RIGHT($A673,2))&lt;60),GUS_tabl_2!$A$8:$B$464,GUS_tabl_21!$A$5:$B$4886),2,FALSE))),-1)))))</f>
        <v>gm. m.-w. Strzelce Krajeńskie</v>
      </c>
      <c r="D673" s="174">
        <f>IF(OR($A673="",ISERROR(VALUE(LEFT($A673,6)))),"",IF(LEN($A673)=2,SUMIF($A674:$A$2965,$A673&amp;"??",$D674:$D$2965),IF(AND(LEN($A673)=4,VALUE(RIGHT($A673,2))&lt;=60),SUMIF($A674:$A$2965,$A673&amp;"????",$D674:$D$2965),VLOOKUP(IF(LEN($A673)=4,$A673&amp;"01 1",$A673),GUS_tabl_21!$A$5:$F$4886,6,FALSE))))</f>
        <v>16993</v>
      </c>
      <c r="E673" s="29"/>
    </row>
    <row r="674" spans="1:5" ht="12" customHeight="1">
      <c r="A674" s="155" t="str">
        <f>"080605 2"</f>
        <v>080605 2</v>
      </c>
      <c r="B674" s="153" t="s">
        <v>19</v>
      </c>
      <c r="C674" s="156" t="str">
        <f>IF(OR($A674="",ISERROR(VALUE(LEFT($A674,6)))),"",IF(LEN($A674)=2,"WOJ. ",IF(LEN($A674)=4,IF(VALUE(RIGHT($A674,2))&gt;60,"","Powiat "),IF(VALUE(RIGHT($A674,1))=1,"m. ",IF(VALUE(RIGHT($A674,1))=2,"gm. w. ",IF(VALUE(RIGHT($A674,1))=8,"dz. ","gm. m.-w. ")))))&amp;IF(LEN($A674)=2,TRIM(UPPER(VLOOKUP($A674,GUS_tabl_1!$A$7:$B$22,2,FALSE))),IF(ISERROR(FIND("..",TRIM(VLOOKUP(IF(AND(LEN($A674)=4,VALUE(RIGHT($A674,2))&gt;60),$A674&amp;"01 1",$A674),IF(AND(LEN($A674)=4,VALUE(RIGHT($A674,2))&lt;60),GUS_tabl_2!$A$8:$B$464,GUS_tabl_21!$A$5:$B$4886),2,FALSE)))),TRIM(VLOOKUP(IF(AND(LEN($A674)=4,VALUE(RIGHT($A674,2))&gt;60),$A674&amp;"01 1",$A674),IF(AND(LEN($A674)=4,VALUE(RIGHT($A674,2))&lt;60),GUS_tabl_2!$A$8:$B$464,GUS_tabl_21!$A$5:$B$4886),2,FALSE)),LEFT(TRIM(VLOOKUP(IF(AND(LEN($A674)=4,VALUE(RIGHT($A674,2))&gt;60),$A674&amp;"01 1",$A674),IF(AND(LEN($A674)=4,VALUE(RIGHT($A674,2))&lt;60),GUS_tabl_2!$A$8:$B$464,GUS_tabl_21!$A$5:$B$4886),2,FALSE)),SUM(FIND("..",TRIM(VLOOKUP(IF(AND(LEN($A674)=4,VALUE(RIGHT($A674,2))&gt;60),$A674&amp;"01 1",$A674),IF(AND(LEN($A674)=4,VALUE(RIGHT($A674,2))&lt;60),GUS_tabl_2!$A$8:$B$464,GUS_tabl_21!$A$5:$B$4886),2,FALSE))),-1)))))</f>
        <v>gm. w. Zwierzyn</v>
      </c>
      <c r="D674" s="174">
        <f>IF(OR($A674="",ISERROR(VALUE(LEFT($A674,6)))),"",IF(LEN($A674)=2,SUMIF($A675:$A$2965,$A674&amp;"??",$D675:$D$2965),IF(AND(LEN($A674)=4,VALUE(RIGHT($A674,2))&lt;=60),SUMIF($A675:$A$2965,$A674&amp;"????",$D675:$D$2965),VLOOKUP(IF(LEN($A674)=4,$A674&amp;"01 1",$A674),GUS_tabl_21!$A$5:$F$4886,6,FALSE))))</f>
        <v>4318</v>
      </c>
      <c r="E674" s="29"/>
    </row>
    <row r="675" spans="1:5" ht="12" customHeight="1">
      <c r="A675" s="152" t="str">
        <f>"0807"</f>
        <v>0807</v>
      </c>
      <c r="B675" s="153" t="s">
        <v>19</v>
      </c>
      <c r="C675" s="154" t="str">
        <f>IF(OR($A675="",ISERROR(VALUE(LEFT($A675,6)))),"",IF(LEN($A675)=2,"WOJ. ",IF(LEN($A675)=4,IF(VALUE(RIGHT($A675,2))&gt;60,"","Powiat "),IF(VALUE(RIGHT($A675,1))=1,"m. ",IF(VALUE(RIGHT($A675,1))=2,"gm. w. ",IF(VALUE(RIGHT($A675,1))=8,"dz. ","gm. m.-w. ")))))&amp;IF(LEN($A675)=2,TRIM(UPPER(VLOOKUP($A675,GUS_tabl_1!$A$7:$B$22,2,FALSE))),IF(ISERROR(FIND("..",TRIM(VLOOKUP(IF(AND(LEN($A675)=4,VALUE(RIGHT($A675,2))&gt;60),$A675&amp;"01 1",$A675),IF(AND(LEN($A675)=4,VALUE(RIGHT($A675,2))&lt;60),GUS_tabl_2!$A$8:$B$464,GUS_tabl_21!$A$5:$B$4886),2,FALSE)))),TRIM(VLOOKUP(IF(AND(LEN($A675)=4,VALUE(RIGHT($A675,2))&gt;60),$A675&amp;"01 1",$A675),IF(AND(LEN($A675)=4,VALUE(RIGHT($A675,2))&lt;60),GUS_tabl_2!$A$8:$B$464,GUS_tabl_21!$A$5:$B$4886),2,FALSE)),LEFT(TRIM(VLOOKUP(IF(AND(LEN($A675)=4,VALUE(RIGHT($A675,2))&gt;60),$A675&amp;"01 1",$A675),IF(AND(LEN($A675)=4,VALUE(RIGHT($A675,2))&lt;60),GUS_tabl_2!$A$8:$B$464,GUS_tabl_21!$A$5:$B$4886),2,FALSE)),SUM(FIND("..",TRIM(VLOOKUP(IF(AND(LEN($A675)=4,VALUE(RIGHT($A675,2))&gt;60),$A675&amp;"01 1",$A675),IF(AND(LEN($A675)=4,VALUE(RIGHT($A675,2))&lt;60),GUS_tabl_2!$A$8:$B$464,GUS_tabl_21!$A$5:$B$4886),2,FALSE))),-1)))))</f>
        <v>Powiat sulęciński</v>
      </c>
      <c r="D675" s="173">
        <f>IF(OR($A675="",ISERROR(VALUE(LEFT($A675,6)))),"",IF(LEN($A675)=2,SUMIF($A676:$A$2965,$A675&amp;"??",$D676:$D$2965),IF(AND(LEN($A675)=4,VALUE(RIGHT($A675,2))&lt;=60),SUMIF($A676:$A$2965,$A675&amp;"????",$D676:$D$2965),VLOOKUP(IF(LEN($A675)=4,$A675&amp;"01 1",$A675),GUS_tabl_21!$A$5:$F$4886,6,FALSE))))</f>
        <v>35193</v>
      </c>
      <c r="E675" s="29"/>
    </row>
    <row r="676" spans="1:5" ht="12" customHeight="1">
      <c r="A676" s="155" t="str">
        <f>"080701 2"</f>
        <v>080701 2</v>
      </c>
      <c r="B676" s="153" t="s">
        <v>19</v>
      </c>
      <c r="C676" s="156" t="str">
        <f>IF(OR($A676="",ISERROR(VALUE(LEFT($A676,6)))),"",IF(LEN($A676)=2,"WOJ. ",IF(LEN($A676)=4,IF(VALUE(RIGHT($A676,2))&gt;60,"","Powiat "),IF(VALUE(RIGHT($A676,1))=1,"m. ",IF(VALUE(RIGHT($A676,1))=2,"gm. w. ",IF(VALUE(RIGHT($A676,1))=8,"dz. ","gm. m.-w. ")))))&amp;IF(LEN($A676)=2,TRIM(UPPER(VLOOKUP($A676,GUS_tabl_1!$A$7:$B$22,2,FALSE))),IF(ISERROR(FIND("..",TRIM(VLOOKUP(IF(AND(LEN($A676)=4,VALUE(RIGHT($A676,2))&gt;60),$A676&amp;"01 1",$A676),IF(AND(LEN($A676)=4,VALUE(RIGHT($A676,2))&lt;60),GUS_tabl_2!$A$8:$B$464,GUS_tabl_21!$A$5:$B$4886),2,FALSE)))),TRIM(VLOOKUP(IF(AND(LEN($A676)=4,VALUE(RIGHT($A676,2))&gt;60),$A676&amp;"01 1",$A676),IF(AND(LEN($A676)=4,VALUE(RIGHT($A676,2))&lt;60),GUS_tabl_2!$A$8:$B$464,GUS_tabl_21!$A$5:$B$4886),2,FALSE)),LEFT(TRIM(VLOOKUP(IF(AND(LEN($A676)=4,VALUE(RIGHT($A676,2))&gt;60),$A676&amp;"01 1",$A676),IF(AND(LEN($A676)=4,VALUE(RIGHT($A676,2))&lt;60),GUS_tabl_2!$A$8:$B$464,GUS_tabl_21!$A$5:$B$4886),2,FALSE)),SUM(FIND("..",TRIM(VLOOKUP(IF(AND(LEN($A676)=4,VALUE(RIGHT($A676,2))&gt;60),$A676&amp;"01 1",$A676),IF(AND(LEN($A676)=4,VALUE(RIGHT($A676,2))&lt;60),GUS_tabl_2!$A$8:$B$464,GUS_tabl_21!$A$5:$B$4886),2,FALSE))),-1)))))</f>
        <v>gm. w. Krzeszyce</v>
      </c>
      <c r="D676" s="174">
        <f>IF(OR($A676="",ISERROR(VALUE(LEFT($A676,6)))),"",IF(LEN($A676)=2,SUMIF($A677:$A$2965,$A676&amp;"??",$D677:$D$2965),IF(AND(LEN($A676)=4,VALUE(RIGHT($A676,2))&lt;=60),SUMIF($A677:$A$2965,$A676&amp;"????",$D677:$D$2965),VLOOKUP(IF(LEN($A676)=4,$A676&amp;"01 1",$A676),GUS_tabl_21!$A$5:$F$4886,6,FALSE))))</f>
        <v>4729</v>
      </c>
      <c r="E676" s="29"/>
    </row>
    <row r="677" spans="1:5" ht="12" customHeight="1">
      <c r="A677" s="155" t="str">
        <f>"080702 3"</f>
        <v>080702 3</v>
      </c>
      <c r="B677" s="153" t="s">
        <v>19</v>
      </c>
      <c r="C677" s="156" t="str">
        <f>IF(OR($A677="",ISERROR(VALUE(LEFT($A677,6)))),"",IF(LEN($A677)=2,"WOJ. ",IF(LEN($A677)=4,IF(VALUE(RIGHT($A677,2))&gt;60,"","Powiat "),IF(VALUE(RIGHT($A677,1))=1,"m. ",IF(VALUE(RIGHT($A677,1))=2,"gm. w. ",IF(VALUE(RIGHT($A677,1))=8,"dz. ","gm. m.-w. ")))))&amp;IF(LEN($A677)=2,TRIM(UPPER(VLOOKUP($A677,GUS_tabl_1!$A$7:$B$22,2,FALSE))),IF(ISERROR(FIND("..",TRIM(VLOOKUP(IF(AND(LEN($A677)=4,VALUE(RIGHT($A677,2))&gt;60),$A677&amp;"01 1",$A677),IF(AND(LEN($A677)=4,VALUE(RIGHT($A677,2))&lt;60),GUS_tabl_2!$A$8:$B$464,GUS_tabl_21!$A$5:$B$4886),2,FALSE)))),TRIM(VLOOKUP(IF(AND(LEN($A677)=4,VALUE(RIGHT($A677,2))&gt;60),$A677&amp;"01 1",$A677),IF(AND(LEN($A677)=4,VALUE(RIGHT($A677,2))&lt;60),GUS_tabl_2!$A$8:$B$464,GUS_tabl_21!$A$5:$B$4886),2,FALSE)),LEFT(TRIM(VLOOKUP(IF(AND(LEN($A677)=4,VALUE(RIGHT($A677,2))&gt;60),$A677&amp;"01 1",$A677),IF(AND(LEN($A677)=4,VALUE(RIGHT($A677,2))&lt;60),GUS_tabl_2!$A$8:$B$464,GUS_tabl_21!$A$5:$B$4886),2,FALSE)),SUM(FIND("..",TRIM(VLOOKUP(IF(AND(LEN($A677)=4,VALUE(RIGHT($A677,2))&gt;60),$A677&amp;"01 1",$A677),IF(AND(LEN($A677)=4,VALUE(RIGHT($A677,2))&lt;60),GUS_tabl_2!$A$8:$B$464,GUS_tabl_21!$A$5:$B$4886),2,FALSE))),-1)))))</f>
        <v>gm. m.-w. Lubniewice</v>
      </c>
      <c r="D677" s="174">
        <f>IF(OR($A677="",ISERROR(VALUE(LEFT($A677,6)))),"",IF(LEN($A677)=2,SUMIF($A678:$A$2965,$A677&amp;"??",$D678:$D$2965),IF(AND(LEN($A677)=4,VALUE(RIGHT($A677,2))&lt;=60),SUMIF($A678:$A$2965,$A677&amp;"????",$D678:$D$2965),VLOOKUP(IF(LEN($A677)=4,$A677&amp;"01 1",$A677),GUS_tabl_21!$A$5:$F$4886,6,FALSE))))</f>
        <v>3158</v>
      </c>
      <c r="E677" s="29"/>
    </row>
    <row r="678" spans="1:5" ht="12" customHeight="1">
      <c r="A678" s="155" t="str">
        <f>"080703 2"</f>
        <v>080703 2</v>
      </c>
      <c r="B678" s="153" t="s">
        <v>19</v>
      </c>
      <c r="C678" s="156" t="str">
        <f>IF(OR($A678="",ISERROR(VALUE(LEFT($A678,6)))),"",IF(LEN($A678)=2,"WOJ. ",IF(LEN($A678)=4,IF(VALUE(RIGHT($A678,2))&gt;60,"","Powiat "),IF(VALUE(RIGHT($A678,1))=1,"m. ",IF(VALUE(RIGHT($A678,1))=2,"gm. w. ",IF(VALUE(RIGHT($A678,1))=8,"dz. ","gm. m.-w. ")))))&amp;IF(LEN($A678)=2,TRIM(UPPER(VLOOKUP($A678,GUS_tabl_1!$A$7:$B$22,2,FALSE))),IF(ISERROR(FIND("..",TRIM(VLOOKUP(IF(AND(LEN($A678)=4,VALUE(RIGHT($A678,2))&gt;60),$A678&amp;"01 1",$A678),IF(AND(LEN($A678)=4,VALUE(RIGHT($A678,2))&lt;60),GUS_tabl_2!$A$8:$B$464,GUS_tabl_21!$A$5:$B$4886),2,FALSE)))),TRIM(VLOOKUP(IF(AND(LEN($A678)=4,VALUE(RIGHT($A678,2))&gt;60),$A678&amp;"01 1",$A678),IF(AND(LEN($A678)=4,VALUE(RIGHT($A678,2))&lt;60),GUS_tabl_2!$A$8:$B$464,GUS_tabl_21!$A$5:$B$4886),2,FALSE)),LEFT(TRIM(VLOOKUP(IF(AND(LEN($A678)=4,VALUE(RIGHT($A678,2))&gt;60),$A678&amp;"01 1",$A678),IF(AND(LEN($A678)=4,VALUE(RIGHT($A678,2))&lt;60),GUS_tabl_2!$A$8:$B$464,GUS_tabl_21!$A$5:$B$4886),2,FALSE)),SUM(FIND("..",TRIM(VLOOKUP(IF(AND(LEN($A678)=4,VALUE(RIGHT($A678,2))&gt;60),$A678&amp;"01 1",$A678),IF(AND(LEN($A678)=4,VALUE(RIGHT($A678,2))&lt;60),GUS_tabl_2!$A$8:$B$464,GUS_tabl_21!$A$5:$B$4886),2,FALSE))),-1)))))</f>
        <v>gm. w. Słońsk</v>
      </c>
      <c r="D678" s="174">
        <f>IF(OR($A678="",ISERROR(VALUE(LEFT($A678,6)))),"",IF(LEN($A678)=2,SUMIF($A679:$A$2965,$A678&amp;"??",$D679:$D$2965),IF(AND(LEN($A678)=4,VALUE(RIGHT($A678,2))&lt;=60),SUMIF($A679:$A$2965,$A678&amp;"????",$D679:$D$2965),VLOOKUP(IF(LEN($A678)=4,$A678&amp;"01 1",$A678),GUS_tabl_21!$A$5:$F$4886,6,FALSE))))</f>
        <v>4733</v>
      </c>
      <c r="E678" s="29"/>
    </row>
    <row r="679" spans="1:5" ht="12" customHeight="1">
      <c r="A679" s="155" t="str">
        <f>"080704 3"</f>
        <v>080704 3</v>
      </c>
      <c r="B679" s="153" t="s">
        <v>19</v>
      </c>
      <c r="C679" s="156" t="str">
        <f>IF(OR($A679="",ISERROR(VALUE(LEFT($A679,6)))),"",IF(LEN($A679)=2,"WOJ. ",IF(LEN($A679)=4,IF(VALUE(RIGHT($A679,2))&gt;60,"","Powiat "),IF(VALUE(RIGHT($A679,1))=1,"m. ",IF(VALUE(RIGHT($A679,1))=2,"gm. w. ",IF(VALUE(RIGHT($A679,1))=8,"dz. ","gm. m.-w. ")))))&amp;IF(LEN($A679)=2,TRIM(UPPER(VLOOKUP($A679,GUS_tabl_1!$A$7:$B$22,2,FALSE))),IF(ISERROR(FIND("..",TRIM(VLOOKUP(IF(AND(LEN($A679)=4,VALUE(RIGHT($A679,2))&gt;60),$A679&amp;"01 1",$A679),IF(AND(LEN($A679)=4,VALUE(RIGHT($A679,2))&lt;60),GUS_tabl_2!$A$8:$B$464,GUS_tabl_21!$A$5:$B$4886),2,FALSE)))),TRIM(VLOOKUP(IF(AND(LEN($A679)=4,VALUE(RIGHT($A679,2))&gt;60),$A679&amp;"01 1",$A679),IF(AND(LEN($A679)=4,VALUE(RIGHT($A679,2))&lt;60),GUS_tabl_2!$A$8:$B$464,GUS_tabl_21!$A$5:$B$4886),2,FALSE)),LEFT(TRIM(VLOOKUP(IF(AND(LEN($A679)=4,VALUE(RIGHT($A679,2))&gt;60),$A679&amp;"01 1",$A679),IF(AND(LEN($A679)=4,VALUE(RIGHT($A679,2))&lt;60),GUS_tabl_2!$A$8:$B$464,GUS_tabl_21!$A$5:$B$4886),2,FALSE)),SUM(FIND("..",TRIM(VLOOKUP(IF(AND(LEN($A679)=4,VALUE(RIGHT($A679,2))&gt;60),$A679&amp;"01 1",$A679),IF(AND(LEN($A679)=4,VALUE(RIGHT($A679,2))&lt;60),GUS_tabl_2!$A$8:$B$464,GUS_tabl_21!$A$5:$B$4886),2,FALSE))),-1)))))</f>
        <v>gm. m.-w. Sulęcin</v>
      </c>
      <c r="D679" s="174">
        <f>IF(OR($A679="",ISERROR(VALUE(LEFT($A679,6)))),"",IF(LEN($A679)=2,SUMIF($A680:$A$2965,$A679&amp;"??",$D680:$D$2965),IF(AND(LEN($A679)=4,VALUE(RIGHT($A679,2))&lt;=60),SUMIF($A680:$A$2965,$A679&amp;"????",$D680:$D$2965),VLOOKUP(IF(LEN($A679)=4,$A679&amp;"01 1",$A679),GUS_tabl_21!$A$5:$F$4886,6,FALSE))))</f>
        <v>15745</v>
      </c>
      <c r="E679" s="29"/>
    </row>
    <row r="680" spans="1:5" ht="12" customHeight="1">
      <c r="A680" s="155" t="str">
        <f>"080705 3"</f>
        <v>080705 3</v>
      </c>
      <c r="B680" s="153" t="s">
        <v>19</v>
      </c>
      <c r="C680" s="156" t="str">
        <f>IF(OR($A680="",ISERROR(VALUE(LEFT($A680,6)))),"",IF(LEN($A680)=2,"WOJ. ",IF(LEN($A680)=4,IF(VALUE(RIGHT($A680,2))&gt;60,"","Powiat "),IF(VALUE(RIGHT($A680,1))=1,"m. ",IF(VALUE(RIGHT($A680,1))=2,"gm. w. ",IF(VALUE(RIGHT($A680,1))=8,"dz. ","gm. m.-w. ")))))&amp;IF(LEN($A680)=2,TRIM(UPPER(VLOOKUP($A680,GUS_tabl_1!$A$7:$B$22,2,FALSE))),IF(ISERROR(FIND("..",TRIM(VLOOKUP(IF(AND(LEN($A680)=4,VALUE(RIGHT($A680,2))&gt;60),$A680&amp;"01 1",$A680),IF(AND(LEN($A680)=4,VALUE(RIGHT($A680,2))&lt;60),GUS_tabl_2!$A$8:$B$464,GUS_tabl_21!$A$5:$B$4886),2,FALSE)))),TRIM(VLOOKUP(IF(AND(LEN($A680)=4,VALUE(RIGHT($A680,2))&gt;60),$A680&amp;"01 1",$A680),IF(AND(LEN($A680)=4,VALUE(RIGHT($A680,2))&lt;60),GUS_tabl_2!$A$8:$B$464,GUS_tabl_21!$A$5:$B$4886),2,FALSE)),LEFT(TRIM(VLOOKUP(IF(AND(LEN($A680)=4,VALUE(RIGHT($A680,2))&gt;60),$A680&amp;"01 1",$A680),IF(AND(LEN($A680)=4,VALUE(RIGHT($A680,2))&lt;60),GUS_tabl_2!$A$8:$B$464,GUS_tabl_21!$A$5:$B$4886),2,FALSE)),SUM(FIND("..",TRIM(VLOOKUP(IF(AND(LEN($A680)=4,VALUE(RIGHT($A680,2))&gt;60),$A680&amp;"01 1",$A680),IF(AND(LEN($A680)=4,VALUE(RIGHT($A680,2))&lt;60),GUS_tabl_2!$A$8:$B$464,GUS_tabl_21!$A$5:$B$4886),2,FALSE))),-1)))))</f>
        <v>gm. m.-w. Torzym</v>
      </c>
      <c r="D680" s="174">
        <f>IF(OR($A680="",ISERROR(VALUE(LEFT($A680,6)))),"",IF(LEN($A680)=2,SUMIF($A681:$A$2965,$A680&amp;"??",$D681:$D$2965),IF(AND(LEN($A680)=4,VALUE(RIGHT($A680,2))&lt;=60),SUMIF($A681:$A$2965,$A680&amp;"????",$D681:$D$2965),VLOOKUP(IF(LEN($A680)=4,$A680&amp;"01 1",$A680),GUS_tabl_21!$A$5:$F$4886,6,FALSE))))</f>
        <v>6828</v>
      </c>
      <c r="E680" s="29"/>
    </row>
    <row r="681" spans="1:5" ht="12" customHeight="1">
      <c r="A681" s="152" t="str">
        <f>"0808"</f>
        <v>0808</v>
      </c>
      <c r="B681" s="153" t="s">
        <v>19</v>
      </c>
      <c r="C681" s="154" t="str">
        <f>IF(OR($A681="",ISERROR(VALUE(LEFT($A681,6)))),"",IF(LEN($A681)=2,"WOJ. ",IF(LEN($A681)=4,IF(VALUE(RIGHT($A681,2))&gt;60,"","Powiat "),IF(VALUE(RIGHT($A681,1))=1,"m. ",IF(VALUE(RIGHT($A681,1))=2,"gm. w. ",IF(VALUE(RIGHT($A681,1))=8,"dz. ","gm. m.-w. ")))))&amp;IF(LEN($A681)=2,TRIM(UPPER(VLOOKUP($A681,GUS_tabl_1!$A$7:$B$22,2,FALSE))),IF(ISERROR(FIND("..",TRIM(VLOOKUP(IF(AND(LEN($A681)=4,VALUE(RIGHT($A681,2))&gt;60),$A681&amp;"01 1",$A681),IF(AND(LEN($A681)=4,VALUE(RIGHT($A681,2))&lt;60),GUS_tabl_2!$A$8:$B$464,GUS_tabl_21!$A$5:$B$4886),2,FALSE)))),TRIM(VLOOKUP(IF(AND(LEN($A681)=4,VALUE(RIGHT($A681,2))&gt;60),$A681&amp;"01 1",$A681),IF(AND(LEN($A681)=4,VALUE(RIGHT($A681,2))&lt;60),GUS_tabl_2!$A$8:$B$464,GUS_tabl_21!$A$5:$B$4886),2,FALSE)),LEFT(TRIM(VLOOKUP(IF(AND(LEN($A681)=4,VALUE(RIGHT($A681,2))&gt;60),$A681&amp;"01 1",$A681),IF(AND(LEN($A681)=4,VALUE(RIGHT($A681,2))&lt;60),GUS_tabl_2!$A$8:$B$464,GUS_tabl_21!$A$5:$B$4886),2,FALSE)),SUM(FIND("..",TRIM(VLOOKUP(IF(AND(LEN($A681)=4,VALUE(RIGHT($A681,2))&gt;60),$A681&amp;"01 1",$A681),IF(AND(LEN($A681)=4,VALUE(RIGHT($A681,2))&lt;60),GUS_tabl_2!$A$8:$B$464,GUS_tabl_21!$A$5:$B$4886),2,FALSE))),-1)))))</f>
        <v>Powiat świebodziński</v>
      </c>
      <c r="D681" s="173">
        <f>IF(OR($A681="",ISERROR(VALUE(LEFT($A681,6)))),"",IF(LEN($A681)=2,SUMIF($A682:$A$2965,$A681&amp;"??",$D682:$D$2965),IF(AND(LEN($A681)=4,VALUE(RIGHT($A681,2))&lt;=60),SUMIF($A682:$A$2965,$A681&amp;"????",$D682:$D$2965),VLOOKUP(IF(LEN($A681)=4,$A681&amp;"01 1",$A681),GUS_tabl_21!$A$5:$F$4886,6,FALSE))))</f>
        <v>55790</v>
      </c>
      <c r="E681" s="29"/>
    </row>
    <row r="682" spans="1:5" ht="12" customHeight="1">
      <c r="A682" s="155" t="str">
        <f>"080801 2"</f>
        <v>080801 2</v>
      </c>
      <c r="B682" s="153" t="s">
        <v>19</v>
      </c>
      <c r="C682" s="156" t="str">
        <f>IF(OR($A682="",ISERROR(VALUE(LEFT($A682,6)))),"",IF(LEN($A682)=2,"WOJ. ",IF(LEN($A682)=4,IF(VALUE(RIGHT($A682,2))&gt;60,"","Powiat "),IF(VALUE(RIGHT($A682,1))=1,"m. ",IF(VALUE(RIGHT($A682,1))=2,"gm. w. ",IF(VALUE(RIGHT($A682,1))=8,"dz. ","gm. m.-w. ")))))&amp;IF(LEN($A682)=2,TRIM(UPPER(VLOOKUP($A682,GUS_tabl_1!$A$7:$B$22,2,FALSE))),IF(ISERROR(FIND("..",TRIM(VLOOKUP(IF(AND(LEN($A682)=4,VALUE(RIGHT($A682,2))&gt;60),$A682&amp;"01 1",$A682),IF(AND(LEN($A682)=4,VALUE(RIGHT($A682,2))&lt;60),GUS_tabl_2!$A$8:$B$464,GUS_tabl_21!$A$5:$B$4886),2,FALSE)))),TRIM(VLOOKUP(IF(AND(LEN($A682)=4,VALUE(RIGHT($A682,2))&gt;60),$A682&amp;"01 1",$A682),IF(AND(LEN($A682)=4,VALUE(RIGHT($A682,2))&lt;60),GUS_tabl_2!$A$8:$B$464,GUS_tabl_21!$A$5:$B$4886),2,FALSE)),LEFT(TRIM(VLOOKUP(IF(AND(LEN($A682)=4,VALUE(RIGHT($A682,2))&gt;60),$A682&amp;"01 1",$A682),IF(AND(LEN($A682)=4,VALUE(RIGHT($A682,2))&lt;60),GUS_tabl_2!$A$8:$B$464,GUS_tabl_21!$A$5:$B$4886),2,FALSE)),SUM(FIND("..",TRIM(VLOOKUP(IF(AND(LEN($A682)=4,VALUE(RIGHT($A682,2))&gt;60),$A682&amp;"01 1",$A682),IF(AND(LEN($A682)=4,VALUE(RIGHT($A682,2))&lt;60),GUS_tabl_2!$A$8:$B$464,GUS_tabl_21!$A$5:$B$4886),2,FALSE))),-1)))))</f>
        <v>gm. w. Lubrza</v>
      </c>
      <c r="D682" s="174">
        <f>IF(OR($A682="",ISERROR(VALUE(LEFT($A682,6)))),"",IF(LEN($A682)=2,SUMIF($A683:$A$2965,$A682&amp;"??",$D683:$D$2965),IF(AND(LEN($A682)=4,VALUE(RIGHT($A682,2))&lt;=60),SUMIF($A683:$A$2965,$A682&amp;"????",$D683:$D$2965),VLOOKUP(IF(LEN($A682)=4,$A682&amp;"01 1",$A682),GUS_tabl_21!$A$5:$F$4886,6,FALSE))))</f>
        <v>3567</v>
      </c>
      <c r="E682" s="29"/>
    </row>
    <row r="683" spans="1:5" ht="12" customHeight="1">
      <c r="A683" s="155" t="str">
        <f>"080802 2"</f>
        <v>080802 2</v>
      </c>
      <c r="B683" s="153" t="s">
        <v>19</v>
      </c>
      <c r="C683" s="156" t="str">
        <f>IF(OR($A683="",ISERROR(VALUE(LEFT($A683,6)))),"",IF(LEN($A683)=2,"WOJ. ",IF(LEN($A683)=4,IF(VALUE(RIGHT($A683,2))&gt;60,"","Powiat "),IF(VALUE(RIGHT($A683,1))=1,"m. ",IF(VALUE(RIGHT($A683,1))=2,"gm. w. ",IF(VALUE(RIGHT($A683,1))=8,"dz. ","gm. m.-w. ")))))&amp;IF(LEN($A683)=2,TRIM(UPPER(VLOOKUP($A683,GUS_tabl_1!$A$7:$B$22,2,FALSE))),IF(ISERROR(FIND("..",TRIM(VLOOKUP(IF(AND(LEN($A683)=4,VALUE(RIGHT($A683,2))&gt;60),$A683&amp;"01 1",$A683),IF(AND(LEN($A683)=4,VALUE(RIGHT($A683,2))&lt;60),GUS_tabl_2!$A$8:$B$464,GUS_tabl_21!$A$5:$B$4886),2,FALSE)))),TRIM(VLOOKUP(IF(AND(LEN($A683)=4,VALUE(RIGHT($A683,2))&gt;60),$A683&amp;"01 1",$A683),IF(AND(LEN($A683)=4,VALUE(RIGHT($A683,2))&lt;60),GUS_tabl_2!$A$8:$B$464,GUS_tabl_21!$A$5:$B$4886),2,FALSE)),LEFT(TRIM(VLOOKUP(IF(AND(LEN($A683)=4,VALUE(RIGHT($A683,2))&gt;60),$A683&amp;"01 1",$A683),IF(AND(LEN($A683)=4,VALUE(RIGHT($A683,2))&lt;60),GUS_tabl_2!$A$8:$B$464,GUS_tabl_21!$A$5:$B$4886),2,FALSE)),SUM(FIND("..",TRIM(VLOOKUP(IF(AND(LEN($A683)=4,VALUE(RIGHT($A683,2))&gt;60),$A683&amp;"01 1",$A683),IF(AND(LEN($A683)=4,VALUE(RIGHT($A683,2))&lt;60),GUS_tabl_2!$A$8:$B$464,GUS_tabl_21!$A$5:$B$4886),2,FALSE))),-1)))))</f>
        <v>gm. w. Łagów</v>
      </c>
      <c r="D683" s="174">
        <f>IF(OR($A683="",ISERROR(VALUE(LEFT($A683,6)))),"",IF(LEN($A683)=2,SUMIF($A684:$A$2965,$A683&amp;"??",$D684:$D$2965),IF(AND(LEN($A683)=4,VALUE(RIGHT($A683,2))&lt;=60),SUMIF($A684:$A$2965,$A683&amp;"????",$D684:$D$2965),VLOOKUP(IF(LEN($A683)=4,$A683&amp;"01 1",$A683),GUS_tabl_21!$A$5:$F$4886,6,FALSE))))</f>
        <v>4947</v>
      </c>
      <c r="E683" s="29"/>
    </row>
    <row r="684" spans="1:5" ht="12" customHeight="1">
      <c r="A684" s="155" t="str">
        <f>"080803 2"</f>
        <v>080803 2</v>
      </c>
      <c r="B684" s="153" t="s">
        <v>19</v>
      </c>
      <c r="C684" s="156" t="str">
        <f>IF(OR($A684="",ISERROR(VALUE(LEFT($A684,6)))),"",IF(LEN($A684)=2,"WOJ. ",IF(LEN($A684)=4,IF(VALUE(RIGHT($A684,2))&gt;60,"","Powiat "),IF(VALUE(RIGHT($A684,1))=1,"m. ",IF(VALUE(RIGHT($A684,1))=2,"gm. w. ",IF(VALUE(RIGHT($A684,1))=8,"dz. ","gm. m.-w. ")))))&amp;IF(LEN($A684)=2,TRIM(UPPER(VLOOKUP($A684,GUS_tabl_1!$A$7:$B$22,2,FALSE))),IF(ISERROR(FIND("..",TRIM(VLOOKUP(IF(AND(LEN($A684)=4,VALUE(RIGHT($A684,2))&gt;60),$A684&amp;"01 1",$A684),IF(AND(LEN($A684)=4,VALUE(RIGHT($A684,2))&lt;60),GUS_tabl_2!$A$8:$B$464,GUS_tabl_21!$A$5:$B$4886),2,FALSE)))),TRIM(VLOOKUP(IF(AND(LEN($A684)=4,VALUE(RIGHT($A684,2))&gt;60),$A684&amp;"01 1",$A684),IF(AND(LEN($A684)=4,VALUE(RIGHT($A684,2))&lt;60),GUS_tabl_2!$A$8:$B$464,GUS_tabl_21!$A$5:$B$4886),2,FALSE)),LEFT(TRIM(VLOOKUP(IF(AND(LEN($A684)=4,VALUE(RIGHT($A684,2))&gt;60),$A684&amp;"01 1",$A684),IF(AND(LEN($A684)=4,VALUE(RIGHT($A684,2))&lt;60),GUS_tabl_2!$A$8:$B$464,GUS_tabl_21!$A$5:$B$4886),2,FALSE)),SUM(FIND("..",TRIM(VLOOKUP(IF(AND(LEN($A684)=4,VALUE(RIGHT($A684,2))&gt;60),$A684&amp;"01 1",$A684),IF(AND(LEN($A684)=4,VALUE(RIGHT($A684,2))&lt;60),GUS_tabl_2!$A$8:$B$464,GUS_tabl_21!$A$5:$B$4886),2,FALSE))),-1)))))</f>
        <v>gm. w. Skąpe</v>
      </c>
      <c r="D684" s="174">
        <f>IF(OR($A684="",ISERROR(VALUE(LEFT($A684,6)))),"",IF(LEN($A684)=2,SUMIF($A685:$A$2965,$A684&amp;"??",$D685:$D$2965),IF(AND(LEN($A684)=4,VALUE(RIGHT($A684,2))&lt;=60),SUMIF($A685:$A$2965,$A684&amp;"????",$D685:$D$2965),VLOOKUP(IF(LEN($A684)=4,$A684&amp;"01 1",$A684),GUS_tabl_21!$A$5:$F$4886,6,FALSE))))</f>
        <v>5103</v>
      </c>
      <c r="E684" s="29"/>
    </row>
    <row r="685" spans="1:5" ht="12" customHeight="1">
      <c r="A685" s="155" t="str">
        <f>"080804 2"</f>
        <v>080804 2</v>
      </c>
      <c r="B685" s="153" t="s">
        <v>19</v>
      </c>
      <c r="C685" s="156" t="str">
        <f>IF(OR($A685="",ISERROR(VALUE(LEFT($A685,6)))),"",IF(LEN($A685)=2,"WOJ. ",IF(LEN($A685)=4,IF(VALUE(RIGHT($A685,2))&gt;60,"","Powiat "),IF(VALUE(RIGHT($A685,1))=1,"m. ",IF(VALUE(RIGHT($A685,1))=2,"gm. w. ",IF(VALUE(RIGHT($A685,1))=8,"dz. ","gm. m.-w. ")))))&amp;IF(LEN($A685)=2,TRIM(UPPER(VLOOKUP($A685,GUS_tabl_1!$A$7:$B$22,2,FALSE))),IF(ISERROR(FIND("..",TRIM(VLOOKUP(IF(AND(LEN($A685)=4,VALUE(RIGHT($A685,2))&gt;60),$A685&amp;"01 1",$A685),IF(AND(LEN($A685)=4,VALUE(RIGHT($A685,2))&lt;60),GUS_tabl_2!$A$8:$B$464,GUS_tabl_21!$A$5:$B$4886),2,FALSE)))),TRIM(VLOOKUP(IF(AND(LEN($A685)=4,VALUE(RIGHT($A685,2))&gt;60),$A685&amp;"01 1",$A685),IF(AND(LEN($A685)=4,VALUE(RIGHT($A685,2))&lt;60),GUS_tabl_2!$A$8:$B$464,GUS_tabl_21!$A$5:$B$4886),2,FALSE)),LEFT(TRIM(VLOOKUP(IF(AND(LEN($A685)=4,VALUE(RIGHT($A685,2))&gt;60),$A685&amp;"01 1",$A685),IF(AND(LEN($A685)=4,VALUE(RIGHT($A685,2))&lt;60),GUS_tabl_2!$A$8:$B$464,GUS_tabl_21!$A$5:$B$4886),2,FALSE)),SUM(FIND("..",TRIM(VLOOKUP(IF(AND(LEN($A685)=4,VALUE(RIGHT($A685,2))&gt;60),$A685&amp;"01 1",$A685),IF(AND(LEN($A685)=4,VALUE(RIGHT($A685,2))&lt;60),GUS_tabl_2!$A$8:$B$464,GUS_tabl_21!$A$5:$B$4886),2,FALSE))),-1)))))</f>
        <v>gm. w. Szczaniec</v>
      </c>
      <c r="D685" s="174">
        <f>IF(OR($A685="",ISERROR(VALUE(LEFT($A685,6)))),"",IF(LEN($A685)=2,SUMIF($A686:$A$2965,$A685&amp;"??",$D686:$D$2965),IF(AND(LEN($A685)=4,VALUE(RIGHT($A685,2))&lt;=60),SUMIF($A686:$A$2965,$A685&amp;"????",$D686:$D$2965),VLOOKUP(IF(LEN($A685)=4,$A685&amp;"01 1",$A685),GUS_tabl_21!$A$5:$F$4886,6,FALSE))))</f>
        <v>3836</v>
      </c>
      <c r="E685" s="29"/>
    </row>
    <row r="686" spans="1:5" ht="12" customHeight="1">
      <c r="A686" s="155" t="str">
        <f>"080805 3"</f>
        <v>080805 3</v>
      </c>
      <c r="B686" s="153" t="s">
        <v>19</v>
      </c>
      <c r="C686" s="156" t="str">
        <f>IF(OR($A686="",ISERROR(VALUE(LEFT($A686,6)))),"",IF(LEN($A686)=2,"WOJ. ",IF(LEN($A686)=4,IF(VALUE(RIGHT($A686,2))&gt;60,"","Powiat "),IF(VALUE(RIGHT($A686,1))=1,"m. ",IF(VALUE(RIGHT($A686,1))=2,"gm. w. ",IF(VALUE(RIGHT($A686,1))=8,"dz. ","gm. m.-w. ")))))&amp;IF(LEN($A686)=2,TRIM(UPPER(VLOOKUP($A686,GUS_tabl_1!$A$7:$B$22,2,FALSE))),IF(ISERROR(FIND("..",TRIM(VLOOKUP(IF(AND(LEN($A686)=4,VALUE(RIGHT($A686,2))&gt;60),$A686&amp;"01 1",$A686),IF(AND(LEN($A686)=4,VALUE(RIGHT($A686,2))&lt;60),GUS_tabl_2!$A$8:$B$464,GUS_tabl_21!$A$5:$B$4886),2,FALSE)))),TRIM(VLOOKUP(IF(AND(LEN($A686)=4,VALUE(RIGHT($A686,2))&gt;60),$A686&amp;"01 1",$A686),IF(AND(LEN($A686)=4,VALUE(RIGHT($A686,2))&lt;60),GUS_tabl_2!$A$8:$B$464,GUS_tabl_21!$A$5:$B$4886),2,FALSE)),LEFT(TRIM(VLOOKUP(IF(AND(LEN($A686)=4,VALUE(RIGHT($A686,2))&gt;60),$A686&amp;"01 1",$A686),IF(AND(LEN($A686)=4,VALUE(RIGHT($A686,2))&lt;60),GUS_tabl_2!$A$8:$B$464,GUS_tabl_21!$A$5:$B$4886),2,FALSE)),SUM(FIND("..",TRIM(VLOOKUP(IF(AND(LEN($A686)=4,VALUE(RIGHT($A686,2))&gt;60),$A686&amp;"01 1",$A686),IF(AND(LEN($A686)=4,VALUE(RIGHT($A686,2))&lt;60),GUS_tabl_2!$A$8:$B$464,GUS_tabl_21!$A$5:$B$4886),2,FALSE))),-1)))))</f>
        <v>gm. m.-w. Świebodzin</v>
      </c>
      <c r="D686" s="174">
        <f>IF(OR($A686="",ISERROR(VALUE(LEFT($A686,6)))),"",IF(LEN($A686)=2,SUMIF($A687:$A$2965,$A686&amp;"??",$D687:$D$2965),IF(AND(LEN($A686)=4,VALUE(RIGHT($A686,2))&lt;=60),SUMIF($A687:$A$2965,$A686&amp;"????",$D687:$D$2965),VLOOKUP(IF(LEN($A686)=4,$A686&amp;"01 1",$A686),GUS_tabl_21!$A$5:$F$4886,6,FALSE))))</f>
        <v>29984</v>
      </c>
      <c r="E686" s="29"/>
    </row>
    <row r="687" spans="1:5" ht="12" customHeight="1">
      <c r="A687" s="155" t="str">
        <f>"080806 3"</f>
        <v>080806 3</v>
      </c>
      <c r="B687" s="153" t="s">
        <v>19</v>
      </c>
      <c r="C687" s="156" t="str">
        <f>IF(OR($A687="",ISERROR(VALUE(LEFT($A687,6)))),"",IF(LEN($A687)=2,"WOJ. ",IF(LEN($A687)=4,IF(VALUE(RIGHT($A687,2))&gt;60,"","Powiat "),IF(VALUE(RIGHT($A687,1))=1,"m. ",IF(VALUE(RIGHT($A687,1))=2,"gm. w. ",IF(VALUE(RIGHT($A687,1))=8,"dz. ","gm. m.-w. ")))))&amp;IF(LEN($A687)=2,TRIM(UPPER(VLOOKUP($A687,GUS_tabl_1!$A$7:$B$22,2,FALSE))),IF(ISERROR(FIND("..",TRIM(VLOOKUP(IF(AND(LEN($A687)=4,VALUE(RIGHT($A687,2))&gt;60),$A687&amp;"01 1",$A687),IF(AND(LEN($A687)=4,VALUE(RIGHT($A687,2))&lt;60),GUS_tabl_2!$A$8:$B$464,GUS_tabl_21!$A$5:$B$4886),2,FALSE)))),TRIM(VLOOKUP(IF(AND(LEN($A687)=4,VALUE(RIGHT($A687,2))&gt;60),$A687&amp;"01 1",$A687),IF(AND(LEN($A687)=4,VALUE(RIGHT($A687,2))&lt;60),GUS_tabl_2!$A$8:$B$464,GUS_tabl_21!$A$5:$B$4886),2,FALSE)),LEFT(TRIM(VLOOKUP(IF(AND(LEN($A687)=4,VALUE(RIGHT($A687,2))&gt;60),$A687&amp;"01 1",$A687),IF(AND(LEN($A687)=4,VALUE(RIGHT($A687,2))&lt;60),GUS_tabl_2!$A$8:$B$464,GUS_tabl_21!$A$5:$B$4886),2,FALSE)),SUM(FIND("..",TRIM(VLOOKUP(IF(AND(LEN($A687)=4,VALUE(RIGHT($A687,2))&gt;60),$A687&amp;"01 1",$A687),IF(AND(LEN($A687)=4,VALUE(RIGHT($A687,2))&lt;60),GUS_tabl_2!$A$8:$B$464,GUS_tabl_21!$A$5:$B$4886),2,FALSE))),-1)))))</f>
        <v>gm. m.-w. Zbąszynek</v>
      </c>
      <c r="D687" s="174">
        <f>IF(OR($A687="",ISERROR(VALUE(LEFT($A687,6)))),"",IF(LEN($A687)=2,SUMIF($A688:$A$2965,$A687&amp;"??",$D688:$D$2965),IF(AND(LEN($A687)=4,VALUE(RIGHT($A687,2))&lt;=60),SUMIF($A688:$A$2965,$A687&amp;"????",$D688:$D$2965),VLOOKUP(IF(LEN($A687)=4,$A687&amp;"01 1",$A687),GUS_tabl_21!$A$5:$F$4886,6,FALSE))))</f>
        <v>8353</v>
      </c>
      <c r="E687" s="29"/>
    </row>
    <row r="688" spans="1:5" ht="12" customHeight="1">
      <c r="A688" s="152" t="str">
        <f>"0812"</f>
        <v>0812</v>
      </c>
      <c r="B688" s="153" t="s">
        <v>19</v>
      </c>
      <c r="C688" s="154" t="str">
        <f>IF(OR($A688="",ISERROR(VALUE(LEFT($A688,6)))),"",IF(LEN($A688)=2,"WOJ. ",IF(LEN($A688)=4,IF(VALUE(RIGHT($A688,2))&gt;60,"","Powiat "),IF(VALUE(RIGHT($A688,1))=1,"m. ",IF(VALUE(RIGHT($A688,1))=2,"gm. w. ",IF(VALUE(RIGHT($A688,1))=8,"dz. ","gm. m.-w. ")))))&amp;IF(LEN($A688)=2,TRIM(UPPER(VLOOKUP($A688,GUS_tabl_1!$A$7:$B$22,2,FALSE))),IF(ISERROR(FIND("..",TRIM(VLOOKUP(IF(AND(LEN($A688)=4,VALUE(RIGHT($A688,2))&gt;60),$A688&amp;"01 1",$A688),IF(AND(LEN($A688)=4,VALUE(RIGHT($A688,2))&lt;60),GUS_tabl_2!$A$8:$B$464,GUS_tabl_21!$A$5:$B$4886),2,FALSE)))),TRIM(VLOOKUP(IF(AND(LEN($A688)=4,VALUE(RIGHT($A688,2))&gt;60),$A688&amp;"01 1",$A688),IF(AND(LEN($A688)=4,VALUE(RIGHT($A688,2))&lt;60),GUS_tabl_2!$A$8:$B$464,GUS_tabl_21!$A$5:$B$4886),2,FALSE)),LEFT(TRIM(VLOOKUP(IF(AND(LEN($A688)=4,VALUE(RIGHT($A688,2))&gt;60),$A688&amp;"01 1",$A688),IF(AND(LEN($A688)=4,VALUE(RIGHT($A688,2))&lt;60),GUS_tabl_2!$A$8:$B$464,GUS_tabl_21!$A$5:$B$4886),2,FALSE)),SUM(FIND("..",TRIM(VLOOKUP(IF(AND(LEN($A688)=4,VALUE(RIGHT($A688,2))&gt;60),$A688&amp;"01 1",$A688),IF(AND(LEN($A688)=4,VALUE(RIGHT($A688,2))&lt;60),GUS_tabl_2!$A$8:$B$464,GUS_tabl_21!$A$5:$B$4886),2,FALSE))),-1)))))</f>
        <v>Powiat wschowski</v>
      </c>
      <c r="D688" s="173">
        <f>IF(OR($A688="",ISERROR(VALUE(LEFT($A688,6)))),"",IF(LEN($A688)=2,SUMIF($A689:$A$2965,$A688&amp;"??",$D689:$D$2965),IF(AND(LEN($A688)=4,VALUE(RIGHT($A688,2))&lt;=60),SUMIF($A689:$A$2965,$A688&amp;"????",$D689:$D$2965),VLOOKUP(IF(LEN($A688)=4,$A688&amp;"01 1",$A688),GUS_tabl_21!$A$5:$F$4886,6,FALSE))))</f>
        <v>38831</v>
      </c>
      <c r="E688" s="29"/>
    </row>
    <row r="689" spans="1:5" ht="12" customHeight="1">
      <c r="A689" s="155" t="str">
        <f>"081201 3"</f>
        <v>081201 3</v>
      </c>
      <c r="B689" s="153" t="s">
        <v>19</v>
      </c>
      <c r="C689" s="156" t="str">
        <f>IF(OR($A689="",ISERROR(VALUE(LEFT($A689,6)))),"",IF(LEN($A689)=2,"WOJ. ",IF(LEN($A689)=4,IF(VALUE(RIGHT($A689,2))&gt;60,"","Powiat "),IF(VALUE(RIGHT($A689,1))=1,"m. ",IF(VALUE(RIGHT($A689,1))=2,"gm. w. ",IF(VALUE(RIGHT($A689,1))=8,"dz. ","gm. m.-w. ")))))&amp;IF(LEN($A689)=2,TRIM(UPPER(VLOOKUP($A689,GUS_tabl_1!$A$7:$B$22,2,FALSE))),IF(ISERROR(FIND("..",TRIM(VLOOKUP(IF(AND(LEN($A689)=4,VALUE(RIGHT($A689,2))&gt;60),$A689&amp;"01 1",$A689),IF(AND(LEN($A689)=4,VALUE(RIGHT($A689,2))&lt;60),GUS_tabl_2!$A$8:$B$464,GUS_tabl_21!$A$5:$B$4886),2,FALSE)))),TRIM(VLOOKUP(IF(AND(LEN($A689)=4,VALUE(RIGHT($A689,2))&gt;60),$A689&amp;"01 1",$A689),IF(AND(LEN($A689)=4,VALUE(RIGHT($A689,2))&lt;60),GUS_tabl_2!$A$8:$B$464,GUS_tabl_21!$A$5:$B$4886),2,FALSE)),LEFT(TRIM(VLOOKUP(IF(AND(LEN($A689)=4,VALUE(RIGHT($A689,2))&gt;60),$A689&amp;"01 1",$A689),IF(AND(LEN($A689)=4,VALUE(RIGHT($A689,2))&lt;60),GUS_tabl_2!$A$8:$B$464,GUS_tabl_21!$A$5:$B$4886),2,FALSE)),SUM(FIND("..",TRIM(VLOOKUP(IF(AND(LEN($A689)=4,VALUE(RIGHT($A689,2))&gt;60),$A689&amp;"01 1",$A689),IF(AND(LEN($A689)=4,VALUE(RIGHT($A689,2))&lt;60),GUS_tabl_2!$A$8:$B$464,GUS_tabl_21!$A$5:$B$4886),2,FALSE))),-1)))))</f>
        <v>gm. m.-w. Sława</v>
      </c>
      <c r="D689" s="174">
        <f>IF(OR($A689="",ISERROR(VALUE(LEFT($A689,6)))),"",IF(LEN($A689)=2,SUMIF($A690:$A$2965,$A689&amp;"??",$D690:$D$2965),IF(AND(LEN($A689)=4,VALUE(RIGHT($A689,2))&lt;=60),SUMIF($A690:$A$2965,$A689&amp;"????",$D690:$D$2965),VLOOKUP(IF(LEN($A689)=4,$A689&amp;"01 1",$A689),GUS_tabl_21!$A$5:$F$4886,6,FALSE))))</f>
        <v>12682</v>
      </c>
      <c r="E689" s="29"/>
    </row>
    <row r="690" spans="1:5" ht="12" customHeight="1">
      <c r="A690" s="155" t="str">
        <f>"081202 3"</f>
        <v>081202 3</v>
      </c>
      <c r="B690" s="153" t="s">
        <v>19</v>
      </c>
      <c r="C690" s="156" t="str">
        <f>IF(OR($A690="",ISERROR(VALUE(LEFT($A690,6)))),"",IF(LEN($A690)=2,"WOJ. ",IF(LEN($A690)=4,IF(VALUE(RIGHT($A690,2))&gt;60,"","Powiat "),IF(VALUE(RIGHT($A690,1))=1,"m. ",IF(VALUE(RIGHT($A690,1))=2,"gm. w. ",IF(VALUE(RIGHT($A690,1))=8,"dz. ","gm. m.-w. ")))))&amp;IF(LEN($A690)=2,TRIM(UPPER(VLOOKUP($A690,GUS_tabl_1!$A$7:$B$22,2,FALSE))),IF(ISERROR(FIND("..",TRIM(VLOOKUP(IF(AND(LEN($A690)=4,VALUE(RIGHT($A690,2))&gt;60),$A690&amp;"01 1",$A690),IF(AND(LEN($A690)=4,VALUE(RIGHT($A690,2))&lt;60),GUS_tabl_2!$A$8:$B$464,GUS_tabl_21!$A$5:$B$4886),2,FALSE)))),TRIM(VLOOKUP(IF(AND(LEN($A690)=4,VALUE(RIGHT($A690,2))&gt;60),$A690&amp;"01 1",$A690),IF(AND(LEN($A690)=4,VALUE(RIGHT($A690,2))&lt;60),GUS_tabl_2!$A$8:$B$464,GUS_tabl_21!$A$5:$B$4886),2,FALSE)),LEFT(TRIM(VLOOKUP(IF(AND(LEN($A690)=4,VALUE(RIGHT($A690,2))&gt;60),$A690&amp;"01 1",$A690),IF(AND(LEN($A690)=4,VALUE(RIGHT($A690,2))&lt;60),GUS_tabl_2!$A$8:$B$464,GUS_tabl_21!$A$5:$B$4886),2,FALSE)),SUM(FIND("..",TRIM(VLOOKUP(IF(AND(LEN($A690)=4,VALUE(RIGHT($A690,2))&gt;60),$A690&amp;"01 1",$A690),IF(AND(LEN($A690)=4,VALUE(RIGHT($A690,2))&lt;60),GUS_tabl_2!$A$8:$B$464,GUS_tabl_21!$A$5:$B$4886),2,FALSE))),-1)))))</f>
        <v>gm. m.-w. Szlichtyngowa</v>
      </c>
      <c r="D690" s="174">
        <f>IF(OR($A690="",ISERROR(VALUE(LEFT($A690,6)))),"",IF(LEN($A690)=2,SUMIF($A691:$A$2965,$A690&amp;"??",$D691:$D$2965),IF(AND(LEN($A690)=4,VALUE(RIGHT($A690,2))&lt;=60),SUMIF($A691:$A$2965,$A690&amp;"????",$D691:$D$2965),VLOOKUP(IF(LEN($A690)=4,$A690&amp;"01 1",$A690),GUS_tabl_21!$A$5:$F$4886,6,FALSE))))</f>
        <v>5015</v>
      </c>
      <c r="E690" s="29"/>
    </row>
    <row r="691" spans="1:5" ht="12" customHeight="1">
      <c r="A691" s="155" t="str">
        <f>"081203 3"</f>
        <v>081203 3</v>
      </c>
      <c r="B691" s="153" t="s">
        <v>19</v>
      </c>
      <c r="C691" s="156" t="str">
        <f>IF(OR($A691="",ISERROR(VALUE(LEFT($A691,6)))),"",IF(LEN($A691)=2,"WOJ. ",IF(LEN($A691)=4,IF(VALUE(RIGHT($A691,2))&gt;60,"","Powiat "),IF(VALUE(RIGHT($A691,1))=1,"m. ",IF(VALUE(RIGHT($A691,1))=2,"gm. w. ",IF(VALUE(RIGHT($A691,1))=8,"dz. ","gm. m.-w. ")))))&amp;IF(LEN($A691)=2,TRIM(UPPER(VLOOKUP($A691,GUS_tabl_1!$A$7:$B$22,2,FALSE))),IF(ISERROR(FIND("..",TRIM(VLOOKUP(IF(AND(LEN($A691)=4,VALUE(RIGHT($A691,2))&gt;60),$A691&amp;"01 1",$A691),IF(AND(LEN($A691)=4,VALUE(RIGHT($A691,2))&lt;60),GUS_tabl_2!$A$8:$B$464,GUS_tabl_21!$A$5:$B$4886),2,FALSE)))),TRIM(VLOOKUP(IF(AND(LEN($A691)=4,VALUE(RIGHT($A691,2))&gt;60),$A691&amp;"01 1",$A691),IF(AND(LEN($A691)=4,VALUE(RIGHT($A691,2))&lt;60),GUS_tabl_2!$A$8:$B$464,GUS_tabl_21!$A$5:$B$4886),2,FALSE)),LEFT(TRIM(VLOOKUP(IF(AND(LEN($A691)=4,VALUE(RIGHT($A691,2))&gt;60),$A691&amp;"01 1",$A691),IF(AND(LEN($A691)=4,VALUE(RIGHT($A691,2))&lt;60),GUS_tabl_2!$A$8:$B$464,GUS_tabl_21!$A$5:$B$4886),2,FALSE)),SUM(FIND("..",TRIM(VLOOKUP(IF(AND(LEN($A691)=4,VALUE(RIGHT($A691,2))&gt;60),$A691&amp;"01 1",$A691),IF(AND(LEN($A691)=4,VALUE(RIGHT($A691,2))&lt;60),GUS_tabl_2!$A$8:$B$464,GUS_tabl_21!$A$5:$B$4886),2,FALSE))),-1)))))</f>
        <v>gm. m.-w. Wschowa</v>
      </c>
      <c r="D691" s="174">
        <f>IF(OR($A691="",ISERROR(VALUE(LEFT($A691,6)))),"",IF(LEN($A691)=2,SUMIF($A692:$A$2965,$A691&amp;"??",$D692:$D$2965),IF(AND(LEN($A691)=4,VALUE(RIGHT($A691,2))&lt;=60),SUMIF($A692:$A$2965,$A691&amp;"????",$D692:$D$2965),VLOOKUP(IF(LEN($A691)=4,$A691&amp;"01 1",$A691),GUS_tabl_21!$A$5:$F$4886,6,FALSE))))</f>
        <v>21134</v>
      </c>
      <c r="E691" s="29"/>
    </row>
    <row r="692" spans="1:5" ht="12" customHeight="1">
      <c r="A692" s="152" t="str">
        <f>"0809"</f>
        <v>0809</v>
      </c>
      <c r="B692" s="153" t="s">
        <v>19</v>
      </c>
      <c r="C692" s="154" t="str">
        <f>IF(OR($A692="",ISERROR(VALUE(LEFT($A692,6)))),"",IF(LEN($A692)=2,"WOJ. ",IF(LEN($A692)=4,IF(VALUE(RIGHT($A692,2))&gt;60,"","Powiat "),IF(VALUE(RIGHT($A692,1))=1,"m. ",IF(VALUE(RIGHT($A692,1))=2,"gm. w. ",IF(VALUE(RIGHT($A692,1))=8,"dz. ","gm. m.-w. ")))))&amp;IF(LEN($A692)=2,TRIM(UPPER(VLOOKUP($A692,GUS_tabl_1!$A$7:$B$22,2,FALSE))),IF(ISERROR(FIND("..",TRIM(VLOOKUP(IF(AND(LEN($A692)=4,VALUE(RIGHT($A692,2))&gt;60),$A692&amp;"01 1",$A692),IF(AND(LEN($A692)=4,VALUE(RIGHT($A692,2))&lt;60),GUS_tabl_2!$A$8:$B$464,GUS_tabl_21!$A$5:$B$4886),2,FALSE)))),TRIM(VLOOKUP(IF(AND(LEN($A692)=4,VALUE(RIGHT($A692,2))&gt;60),$A692&amp;"01 1",$A692),IF(AND(LEN($A692)=4,VALUE(RIGHT($A692,2))&lt;60),GUS_tabl_2!$A$8:$B$464,GUS_tabl_21!$A$5:$B$4886),2,FALSE)),LEFT(TRIM(VLOOKUP(IF(AND(LEN($A692)=4,VALUE(RIGHT($A692,2))&gt;60),$A692&amp;"01 1",$A692),IF(AND(LEN($A692)=4,VALUE(RIGHT($A692,2))&lt;60),GUS_tabl_2!$A$8:$B$464,GUS_tabl_21!$A$5:$B$4886),2,FALSE)),SUM(FIND("..",TRIM(VLOOKUP(IF(AND(LEN($A692)=4,VALUE(RIGHT($A692,2))&gt;60),$A692&amp;"01 1",$A692),IF(AND(LEN($A692)=4,VALUE(RIGHT($A692,2))&lt;60),GUS_tabl_2!$A$8:$B$464,GUS_tabl_21!$A$5:$B$4886),2,FALSE))),-1)))))</f>
        <v>Powiat zielonogórski</v>
      </c>
      <c r="D692" s="173">
        <f>IF(OR($A692="",ISERROR(VALUE(LEFT($A692,6)))),"",IF(LEN($A692)=2,SUMIF($A693:$A$2965,$A692&amp;"??",$D693:$D$2965),IF(AND(LEN($A692)=4,VALUE(RIGHT($A692,2))&lt;=60),SUMIF($A693:$A$2965,$A692&amp;"????",$D693:$D$2965),VLOOKUP(IF(LEN($A692)=4,$A692&amp;"01 1",$A692),GUS_tabl_21!$A$5:$F$4886,6,FALSE))))</f>
        <v>75559</v>
      </c>
      <c r="E692" s="29"/>
    </row>
    <row r="693" spans="1:5" ht="12" customHeight="1">
      <c r="A693" s="155" t="str">
        <f>"080901 3"</f>
        <v>080901 3</v>
      </c>
      <c r="B693" s="153" t="s">
        <v>19</v>
      </c>
      <c r="C693" s="156" t="str">
        <f>IF(OR($A693="",ISERROR(VALUE(LEFT($A693,6)))),"",IF(LEN($A693)=2,"WOJ. ",IF(LEN($A693)=4,IF(VALUE(RIGHT($A693,2))&gt;60,"","Powiat "),IF(VALUE(RIGHT($A693,1))=1,"m. ",IF(VALUE(RIGHT($A693,1))=2,"gm. w. ",IF(VALUE(RIGHT($A693,1))=8,"dz. ","gm. m.-w. ")))))&amp;IF(LEN($A693)=2,TRIM(UPPER(VLOOKUP($A693,GUS_tabl_1!$A$7:$B$22,2,FALSE))),IF(ISERROR(FIND("..",TRIM(VLOOKUP(IF(AND(LEN($A693)=4,VALUE(RIGHT($A693,2))&gt;60),$A693&amp;"01 1",$A693),IF(AND(LEN($A693)=4,VALUE(RIGHT($A693,2))&lt;60),GUS_tabl_2!$A$8:$B$464,GUS_tabl_21!$A$5:$B$4886),2,FALSE)))),TRIM(VLOOKUP(IF(AND(LEN($A693)=4,VALUE(RIGHT($A693,2))&gt;60),$A693&amp;"01 1",$A693),IF(AND(LEN($A693)=4,VALUE(RIGHT($A693,2))&lt;60),GUS_tabl_2!$A$8:$B$464,GUS_tabl_21!$A$5:$B$4886),2,FALSE)),LEFT(TRIM(VLOOKUP(IF(AND(LEN($A693)=4,VALUE(RIGHT($A693,2))&gt;60),$A693&amp;"01 1",$A693),IF(AND(LEN($A693)=4,VALUE(RIGHT($A693,2))&lt;60),GUS_tabl_2!$A$8:$B$464,GUS_tabl_21!$A$5:$B$4886),2,FALSE)),SUM(FIND("..",TRIM(VLOOKUP(IF(AND(LEN($A693)=4,VALUE(RIGHT($A693,2))&gt;60),$A693&amp;"01 1",$A693),IF(AND(LEN($A693)=4,VALUE(RIGHT($A693,2))&lt;60),GUS_tabl_2!$A$8:$B$464,GUS_tabl_21!$A$5:$B$4886),2,FALSE))),-1)))))</f>
        <v>gm. m.-w. Babimost</v>
      </c>
      <c r="D693" s="174">
        <f>IF(OR($A693="",ISERROR(VALUE(LEFT($A693,6)))),"",IF(LEN($A693)=2,SUMIF($A694:$A$2965,$A693&amp;"??",$D694:$D$2965),IF(AND(LEN($A693)=4,VALUE(RIGHT($A693,2))&lt;=60),SUMIF($A694:$A$2965,$A693&amp;"????",$D694:$D$2965),VLOOKUP(IF(LEN($A693)=4,$A693&amp;"01 1",$A693),GUS_tabl_21!$A$5:$F$4886,6,FALSE))))</f>
        <v>6226</v>
      </c>
      <c r="E693" s="29"/>
    </row>
    <row r="694" spans="1:5" ht="12" customHeight="1">
      <c r="A694" s="155" t="str">
        <f>"080902 2"</f>
        <v>080902 2</v>
      </c>
      <c r="B694" s="153" t="s">
        <v>19</v>
      </c>
      <c r="C694" s="156" t="str">
        <f>IF(OR($A694="",ISERROR(VALUE(LEFT($A694,6)))),"",IF(LEN($A694)=2,"WOJ. ",IF(LEN($A694)=4,IF(VALUE(RIGHT($A694,2))&gt;60,"","Powiat "),IF(VALUE(RIGHT($A694,1))=1,"m. ",IF(VALUE(RIGHT($A694,1))=2,"gm. w. ",IF(VALUE(RIGHT($A694,1))=8,"dz. ","gm. m.-w. ")))))&amp;IF(LEN($A694)=2,TRIM(UPPER(VLOOKUP($A694,GUS_tabl_1!$A$7:$B$22,2,FALSE))),IF(ISERROR(FIND("..",TRIM(VLOOKUP(IF(AND(LEN($A694)=4,VALUE(RIGHT($A694,2))&gt;60),$A694&amp;"01 1",$A694),IF(AND(LEN($A694)=4,VALUE(RIGHT($A694,2))&lt;60),GUS_tabl_2!$A$8:$B$464,GUS_tabl_21!$A$5:$B$4886),2,FALSE)))),TRIM(VLOOKUP(IF(AND(LEN($A694)=4,VALUE(RIGHT($A694,2))&gt;60),$A694&amp;"01 1",$A694),IF(AND(LEN($A694)=4,VALUE(RIGHT($A694,2))&lt;60),GUS_tabl_2!$A$8:$B$464,GUS_tabl_21!$A$5:$B$4886),2,FALSE)),LEFT(TRIM(VLOOKUP(IF(AND(LEN($A694)=4,VALUE(RIGHT($A694,2))&gt;60),$A694&amp;"01 1",$A694),IF(AND(LEN($A694)=4,VALUE(RIGHT($A694,2))&lt;60),GUS_tabl_2!$A$8:$B$464,GUS_tabl_21!$A$5:$B$4886),2,FALSE)),SUM(FIND("..",TRIM(VLOOKUP(IF(AND(LEN($A694)=4,VALUE(RIGHT($A694,2))&gt;60),$A694&amp;"01 1",$A694),IF(AND(LEN($A694)=4,VALUE(RIGHT($A694,2))&lt;60),GUS_tabl_2!$A$8:$B$464,GUS_tabl_21!$A$5:$B$4886),2,FALSE))),-1)))))</f>
        <v>gm. w. Bojadła</v>
      </c>
      <c r="D694" s="174">
        <f>IF(OR($A694="",ISERROR(VALUE(LEFT($A694,6)))),"",IF(LEN($A694)=2,SUMIF($A695:$A$2965,$A694&amp;"??",$D695:$D$2965),IF(AND(LEN($A694)=4,VALUE(RIGHT($A694,2))&lt;=60),SUMIF($A695:$A$2965,$A694&amp;"????",$D695:$D$2965),VLOOKUP(IF(LEN($A694)=4,$A694&amp;"01 1",$A694),GUS_tabl_21!$A$5:$F$4886,6,FALSE))))</f>
        <v>3277</v>
      </c>
      <c r="E694" s="29"/>
    </row>
    <row r="695" spans="1:5" ht="12" customHeight="1">
      <c r="A695" s="155" t="str">
        <f>"080903 3"</f>
        <v>080903 3</v>
      </c>
      <c r="B695" s="153" t="s">
        <v>19</v>
      </c>
      <c r="C695" s="156" t="str">
        <f>IF(OR($A695="",ISERROR(VALUE(LEFT($A695,6)))),"",IF(LEN($A695)=2,"WOJ. ",IF(LEN($A695)=4,IF(VALUE(RIGHT($A695,2))&gt;60,"","Powiat "),IF(VALUE(RIGHT($A695,1))=1,"m. ",IF(VALUE(RIGHT($A695,1))=2,"gm. w. ",IF(VALUE(RIGHT($A695,1))=8,"dz. ","gm. m.-w. ")))))&amp;IF(LEN($A695)=2,TRIM(UPPER(VLOOKUP($A695,GUS_tabl_1!$A$7:$B$22,2,FALSE))),IF(ISERROR(FIND("..",TRIM(VLOOKUP(IF(AND(LEN($A695)=4,VALUE(RIGHT($A695,2))&gt;60),$A695&amp;"01 1",$A695),IF(AND(LEN($A695)=4,VALUE(RIGHT($A695,2))&lt;60),GUS_tabl_2!$A$8:$B$464,GUS_tabl_21!$A$5:$B$4886),2,FALSE)))),TRIM(VLOOKUP(IF(AND(LEN($A695)=4,VALUE(RIGHT($A695,2))&gt;60),$A695&amp;"01 1",$A695),IF(AND(LEN($A695)=4,VALUE(RIGHT($A695,2))&lt;60),GUS_tabl_2!$A$8:$B$464,GUS_tabl_21!$A$5:$B$4886),2,FALSE)),LEFT(TRIM(VLOOKUP(IF(AND(LEN($A695)=4,VALUE(RIGHT($A695,2))&gt;60),$A695&amp;"01 1",$A695),IF(AND(LEN($A695)=4,VALUE(RIGHT($A695,2))&lt;60),GUS_tabl_2!$A$8:$B$464,GUS_tabl_21!$A$5:$B$4886),2,FALSE)),SUM(FIND("..",TRIM(VLOOKUP(IF(AND(LEN($A695)=4,VALUE(RIGHT($A695,2))&gt;60),$A695&amp;"01 1",$A695),IF(AND(LEN($A695)=4,VALUE(RIGHT($A695,2))&lt;60),GUS_tabl_2!$A$8:$B$464,GUS_tabl_21!$A$5:$B$4886),2,FALSE))),-1)))))</f>
        <v>gm. m.-w. Czerwieńsk</v>
      </c>
      <c r="D695" s="174">
        <f>IF(OR($A695="",ISERROR(VALUE(LEFT($A695,6)))),"",IF(LEN($A695)=2,SUMIF($A696:$A$2965,$A695&amp;"??",$D696:$D$2965),IF(AND(LEN($A695)=4,VALUE(RIGHT($A695,2))&lt;=60),SUMIF($A696:$A$2965,$A695&amp;"????",$D696:$D$2965),VLOOKUP(IF(LEN($A695)=4,$A695&amp;"01 1",$A695),GUS_tabl_21!$A$5:$F$4886,6,FALSE))))</f>
        <v>9979</v>
      </c>
      <c r="E695" s="29"/>
    </row>
    <row r="696" spans="1:5" ht="12" customHeight="1">
      <c r="A696" s="155" t="str">
        <f>"080904 3"</f>
        <v>080904 3</v>
      </c>
      <c r="B696" s="153" t="s">
        <v>19</v>
      </c>
      <c r="C696" s="156" t="str">
        <f>IF(OR($A696="",ISERROR(VALUE(LEFT($A696,6)))),"",IF(LEN($A696)=2,"WOJ. ",IF(LEN($A696)=4,IF(VALUE(RIGHT($A696,2))&gt;60,"","Powiat "),IF(VALUE(RIGHT($A696,1))=1,"m. ",IF(VALUE(RIGHT($A696,1))=2,"gm. w. ",IF(VALUE(RIGHT($A696,1))=8,"dz. ","gm. m.-w. ")))))&amp;IF(LEN($A696)=2,TRIM(UPPER(VLOOKUP($A696,GUS_tabl_1!$A$7:$B$22,2,FALSE))),IF(ISERROR(FIND("..",TRIM(VLOOKUP(IF(AND(LEN($A696)=4,VALUE(RIGHT($A696,2))&gt;60),$A696&amp;"01 1",$A696),IF(AND(LEN($A696)=4,VALUE(RIGHT($A696,2))&lt;60),GUS_tabl_2!$A$8:$B$464,GUS_tabl_21!$A$5:$B$4886),2,FALSE)))),TRIM(VLOOKUP(IF(AND(LEN($A696)=4,VALUE(RIGHT($A696,2))&gt;60),$A696&amp;"01 1",$A696),IF(AND(LEN($A696)=4,VALUE(RIGHT($A696,2))&lt;60),GUS_tabl_2!$A$8:$B$464,GUS_tabl_21!$A$5:$B$4886),2,FALSE)),LEFT(TRIM(VLOOKUP(IF(AND(LEN($A696)=4,VALUE(RIGHT($A696,2))&gt;60),$A696&amp;"01 1",$A696),IF(AND(LEN($A696)=4,VALUE(RIGHT($A696,2))&lt;60),GUS_tabl_2!$A$8:$B$464,GUS_tabl_21!$A$5:$B$4886),2,FALSE)),SUM(FIND("..",TRIM(VLOOKUP(IF(AND(LEN($A696)=4,VALUE(RIGHT($A696,2))&gt;60),$A696&amp;"01 1",$A696),IF(AND(LEN($A696)=4,VALUE(RIGHT($A696,2))&lt;60),GUS_tabl_2!$A$8:$B$464,GUS_tabl_21!$A$5:$B$4886),2,FALSE))),-1)))))</f>
        <v>gm. m.-w. Kargowa</v>
      </c>
      <c r="D696" s="174">
        <f>IF(OR($A696="",ISERROR(VALUE(LEFT($A696,6)))),"",IF(LEN($A696)=2,SUMIF($A697:$A$2965,$A696&amp;"??",$D697:$D$2965),IF(AND(LEN($A696)=4,VALUE(RIGHT($A696,2))&lt;=60),SUMIF($A697:$A$2965,$A696&amp;"????",$D697:$D$2965),VLOOKUP(IF(LEN($A696)=4,$A696&amp;"01 1",$A696),GUS_tabl_21!$A$5:$F$4886,6,FALSE))))</f>
        <v>5821</v>
      </c>
      <c r="E696" s="29"/>
    </row>
    <row r="697" spans="1:5" ht="12" customHeight="1">
      <c r="A697" s="155" t="str">
        <f>"080905 3"</f>
        <v>080905 3</v>
      </c>
      <c r="B697" s="153" t="s">
        <v>19</v>
      </c>
      <c r="C697" s="156" t="str">
        <f>IF(OR($A697="",ISERROR(VALUE(LEFT($A697,6)))),"",IF(LEN($A697)=2,"WOJ. ",IF(LEN($A697)=4,IF(VALUE(RIGHT($A697,2))&gt;60,"","Powiat "),IF(VALUE(RIGHT($A697,1))=1,"m. ",IF(VALUE(RIGHT($A697,1))=2,"gm. w. ",IF(VALUE(RIGHT($A697,1))=8,"dz. ","gm. m.-w. ")))))&amp;IF(LEN($A697)=2,TRIM(UPPER(VLOOKUP($A697,GUS_tabl_1!$A$7:$B$22,2,FALSE))),IF(ISERROR(FIND("..",TRIM(VLOOKUP(IF(AND(LEN($A697)=4,VALUE(RIGHT($A697,2))&gt;60),$A697&amp;"01 1",$A697),IF(AND(LEN($A697)=4,VALUE(RIGHT($A697,2))&lt;60),GUS_tabl_2!$A$8:$B$464,GUS_tabl_21!$A$5:$B$4886),2,FALSE)))),TRIM(VLOOKUP(IF(AND(LEN($A697)=4,VALUE(RIGHT($A697,2))&gt;60),$A697&amp;"01 1",$A697),IF(AND(LEN($A697)=4,VALUE(RIGHT($A697,2))&lt;60),GUS_tabl_2!$A$8:$B$464,GUS_tabl_21!$A$5:$B$4886),2,FALSE)),LEFT(TRIM(VLOOKUP(IF(AND(LEN($A697)=4,VALUE(RIGHT($A697,2))&gt;60),$A697&amp;"01 1",$A697),IF(AND(LEN($A697)=4,VALUE(RIGHT($A697,2))&lt;60),GUS_tabl_2!$A$8:$B$464,GUS_tabl_21!$A$5:$B$4886),2,FALSE)),SUM(FIND("..",TRIM(VLOOKUP(IF(AND(LEN($A697)=4,VALUE(RIGHT($A697,2))&gt;60),$A697&amp;"01 1",$A697),IF(AND(LEN($A697)=4,VALUE(RIGHT($A697,2))&lt;60),GUS_tabl_2!$A$8:$B$464,GUS_tabl_21!$A$5:$B$4886),2,FALSE))),-1)))))</f>
        <v>gm. m.-w. Nowogród Bobrzański</v>
      </c>
      <c r="D697" s="174">
        <f>IF(OR($A697="",ISERROR(VALUE(LEFT($A697,6)))),"",IF(LEN($A697)=2,SUMIF($A698:$A$2965,$A697&amp;"??",$D698:$D$2965),IF(AND(LEN($A697)=4,VALUE(RIGHT($A697,2))&lt;=60),SUMIF($A698:$A$2965,$A697&amp;"????",$D698:$D$2965),VLOOKUP(IF(LEN($A697)=4,$A697&amp;"01 1",$A697),GUS_tabl_21!$A$5:$F$4886,6,FALSE))))</f>
        <v>9441</v>
      </c>
      <c r="E697" s="29"/>
    </row>
    <row r="698" spans="1:5" ht="12" customHeight="1">
      <c r="A698" s="155" t="str">
        <f>"080906 3"</f>
        <v>080906 3</v>
      </c>
      <c r="B698" s="153" t="s">
        <v>19</v>
      </c>
      <c r="C698" s="156" t="str">
        <f>IF(OR($A698="",ISERROR(VALUE(LEFT($A698,6)))),"",IF(LEN($A698)=2,"WOJ. ",IF(LEN($A698)=4,IF(VALUE(RIGHT($A698,2))&gt;60,"","Powiat "),IF(VALUE(RIGHT($A698,1))=1,"m. ",IF(VALUE(RIGHT($A698,1))=2,"gm. w. ",IF(VALUE(RIGHT($A698,1))=8,"dz. ","gm. m.-w. ")))))&amp;IF(LEN($A698)=2,TRIM(UPPER(VLOOKUP($A698,GUS_tabl_1!$A$7:$B$22,2,FALSE))),IF(ISERROR(FIND("..",TRIM(VLOOKUP(IF(AND(LEN($A698)=4,VALUE(RIGHT($A698,2))&gt;60),$A698&amp;"01 1",$A698),IF(AND(LEN($A698)=4,VALUE(RIGHT($A698,2))&lt;60),GUS_tabl_2!$A$8:$B$464,GUS_tabl_21!$A$5:$B$4886),2,FALSE)))),TRIM(VLOOKUP(IF(AND(LEN($A698)=4,VALUE(RIGHT($A698,2))&gt;60),$A698&amp;"01 1",$A698),IF(AND(LEN($A698)=4,VALUE(RIGHT($A698,2))&lt;60),GUS_tabl_2!$A$8:$B$464,GUS_tabl_21!$A$5:$B$4886),2,FALSE)),LEFT(TRIM(VLOOKUP(IF(AND(LEN($A698)=4,VALUE(RIGHT($A698,2))&gt;60),$A698&amp;"01 1",$A698),IF(AND(LEN($A698)=4,VALUE(RIGHT($A698,2))&lt;60),GUS_tabl_2!$A$8:$B$464,GUS_tabl_21!$A$5:$B$4886),2,FALSE)),SUM(FIND("..",TRIM(VLOOKUP(IF(AND(LEN($A698)=4,VALUE(RIGHT($A698,2))&gt;60),$A698&amp;"01 1",$A698),IF(AND(LEN($A698)=4,VALUE(RIGHT($A698,2))&lt;60),GUS_tabl_2!$A$8:$B$464,GUS_tabl_21!$A$5:$B$4886),2,FALSE))),-1)))))</f>
        <v>gm. m.-w. Sulechów</v>
      </c>
      <c r="D698" s="174">
        <f>IF(OR($A698="",ISERROR(VALUE(LEFT($A698,6)))),"",IF(LEN($A698)=2,SUMIF($A699:$A$2965,$A698&amp;"??",$D699:$D$2965),IF(AND(LEN($A698)=4,VALUE(RIGHT($A698,2))&lt;=60),SUMIF($A699:$A$2965,$A698&amp;"????",$D699:$D$2965),VLOOKUP(IF(LEN($A698)=4,$A698&amp;"01 1",$A698),GUS_tabl_21!$A$5:$F$4886,6,FALSE))))</f>
        <v>26521</v>
      </c>
      <c r="E698" s="29"/>
    </row>
    <row r="699" spans="1:5" ht="12" customHeight="1">
      <c r="A699" s="155" t="str">
        <f>"080907 2"</f>
        <v>080907 2</v>
      </c>
      <c r="B699" s="153" t="s">
        <v>19</v>
      </c>
      <c r="C699" s="156" t="str">
        <f>IF(OR($A699="",ISERROR(VALUE(LEFT($A699,6)))),"",IF(LEN($A699)=2,"WOJ. ",IF(LEN($A699)=4,IF(VALUE(RIGHT($A699,2))&gt;60,"","Powiat "),IF(VALUE(RIGHT($A699,1))=1,"m. ",IF(VALUE(RIGHT($A699,1))=2,"gm. w. ",IF(VALUE(RIGHT($A699,1))=8,"dz. ","gm. m.-w. ")))))&amp;IF(LEN($A699)=2,TRIM(UPPER(VLOOKUP($A699,GUS_tabl_1!$A$7:$B$22,2,FALSE))),IF(ISERROR(FIND("..",TRIM(VLOOKUP(IF(AND(LEN($A699)=4,VALUE(RIGHT($A699,2))&gt;60),$A699&amp;"01 1",$A699),IF(AND(LEN($A699)=4,VALUE(RIGHT($A699,2))&lt;60),GUS_tabl_2!$A$8:$B$464,GUS_tabl_21!$A$5:$B$4886),2,FALSE)))),TRIM(VLOOKUP(IF(AND(LEN($A699)=4,VALUE(RIGHT($A699,2))&gt;60),$A699&amp;"01 1",$A699),IF(AND(LEN($A699)=4,VALUE(RIGHT($A699,2))&lt;60),GUS_tabl_2!$A$8:$B$464,GUS_tabl_21!$A$5:$B$4886),2,FALSE)),LEFT(TRIM(VLOOKUP(IF(AND(LEN($A699)=4,VALUE(RIGHT($A699,2))&gt;60),$A699&amp;"01 1",$A699),IF(AND(LEN($A699)=4,VALUE(RIGHT($A699,2))&lt;60),GUS_tabl_2!$A$8:$B$464,GUS_tabl_21!$A$5:$B$4886),2,FALSE)),SUM(FIND("..",TRIM(VLOOKUP(IF(AND(LEN($A699)=4,VALUE(RIGHT($A699,2))&gt;60),$A699&amp;"01 1",$A699),IF(AND(LEN($A699)=4,VALUE(RIGHT($A699,2))&lt;60),GUS_tabl_2!$A$8:$B$464,GUS_tabl_21!$A$5:$B$4886),2,FALSE))),-1)))))</f>
        <v>gm. w. Świdnica</v>
      </c>
      <c r="D699" s="174">
        <f>IF(OR($A699="",ISERROR(VALUE(LEFT($A699,6)))),"",IF(LEN($A699)=2,SUMIF($A700:$A$2965,$A699&amp;"??",$D700:$D$2965),IF(AND(LEN($A699)=4,VALUE(RIGHT($A699,2))&lt;=60),SUMIF($A700:$A$2965,$A699&amp;"????",$D700:$D$2965),VLOOKUP(IF(LEN($A699)=4,$A699&amp;"01 1",$A699),GUS_tabl_21!$A$5:$F$4886,6,FALSE))))</f>
        <v>6602</v>
      </c>
      <c r="E699" s="29"/>
    </row>
    <row r="700" spans="1:5" ht="12" customHeight="1">
      <c r="A700" s="155" t="str">
        <f>"080908 2"</f>
        <v>080908 2</v>
      </c>
      <c r="B700" s="153" t="s">
        <v>19</v>
      </c>
      <c r="C700" s="156" t="str">
        <f>IF(OR($A700="",ISERROR(VALUE(LEFT($A700,6)))),"",IF(LEN($A700)=2,"WOJ. ",IF(LEN($A700)=4,IF(VALUE(RIGHT($A700,2))&gt;60,"","Powiat "),IF(VALUE(RIGHT($A700,1))=1,"m. ",IF(VALUE(RIGHT($A700,1))=2,"gm. w. ",IF(VALUE(RIGHT($A700,1))=8,"dz. ","gm. m.-w. ")))))&amp;IF(LEN($A700)=2,TRIM(UPPER(VLOOKUP($A700,GUS_tabl_1!$A$7:$B$22,2,FALSE))),IF(ISERROR(FIND("..",TRIM(VLOOKUP(IF(AND(LEN($A700)=4,VALUE(RIGHT($A700,2))&gt;60),$A700&amp;"01 1",$A700),IF(AND(LEN($A700)=4,VALUE(RIGHT($A700,2))&lt;60),GUS_tabl_2!$A$8:$B$464,GUS_tabl_21!$A$5:$B$4886),2,FALSE)))),TRIM(VLOOKUP(IF(AND(LEN($A700)=4,VALUE(RIGHT($A700,2))&gt;60),$A700&amp;"01 1",$A700),IF(AND(LEN($A700)=4,VALUE(RIGHT($A700,2))&lt;60),GUS_tabl_2!$A$8:$B$464,GUS_tabl_21!$A$5:$B$4886),2,FALSE)),LEFT(TRIM(VLOOKUP(IF(AND(LEN($A700)=4,VALUE(RIGHT($A700,2))&gt;60),$A700&amp;"01 1",$A700),IF(AND(LEN($A700)=4,VALUE(RIGHT($A700,2))&lt;60),GUS_tabl_2!$A$8:$B$464,GUS_tabl_21!$A$5:$B$4886),2,FALSE)),SUM(FIND("..",TRIM(VLOOKUP(IF(AND(LEN($A700)=4,VALUE(RIGHT($A700,2))&gt;60),$A700&amp;"01 1",$A700),IF(AND(LEN($A700)=4,VALUE(RIGHT($A700,2))&lt;60),GUS_tabl_2!$A$8:$B$464,GUS_tabl_21!$A$5:$B$4886),2,FALSE))),-1)))))</f>
        <v>gm. w. Trzebiechów</v>
      </c>
      <c r="D700" s="174">
        <f>IF(OR($A700="",ISERROR(VALUE(LEFT($A700,6)))),"",IF(LEN($A700)=2,SUMIF($A701:$A$2965,$A700&amp;"??",$D701:$D$2965),IF(AND(LEN($A700)=4,VALUE(RIGHT($A700,2))&lt;=60),SUMIF($A701:$A$2965,$A700&amp;"????",$D701:$D$2965),VLOOKUP(IF(LEN($A700)=4,$A700&amp;"01 1",$A700),GUS_tabl_21!$A$5:$F$4886,6,FALSE))))</f>
        <v>3371</v>
      </c>
      <c r="E700" s="29"/>
    </row>
    <row r="701" spans="1:5" ht="12" customHeight="1">
      <c r="A701" s="155" t="str">
        <f>"080909 2"</f>
        <v>080909 2</v>
      </c>
      <c r="B701" s="153" t="s">
        <v>19</v>
      </c>
      <c r="C701" s="156" t="str">
        <f>IF(OR($A701="",ISERROR(VALUE(LEFT($A701,6)))),"",IF(LEN($A701)=2,"WOJ. ",IF(LEN($A701)=4,IF(VALUE(RIGHT($A701,2))&gt;60,"","Powiat "),IF(VALUE(RIGHT($A701,1))=1,"m. ",IF(VALUE(RIGHT($A701,1))=2,"gm. w. ",IF(VALUE(RIGHT($A701,1))=8,"dz. ","gm. m.-w. ")))))&amp;IF(LEN($A701)=2,TRIM(UPPER(VLOOKUP($A701,GUS_tabl_1!$A$7:$B$22,2,FALSE))),IF(ISERROR(FIND("..",TRIM(VLOOKUP(IF(AND(LEN($A701)=4,VALUE(RIGHT($A701,2))&gt;60),$A701&amp;"01 1",$A701),IF(AND(LEN($A701)=4,VALUE(RIGHT($A701,2))&lt;60),GUS_tabl_2!$A$8:$B$464,GUS_tabl_21!$A$5:$B$4886),2,FALSE)))),TRIM(VLOOKUP(IF(AND(LEN($A701)=4,VALUE(RIGHT($A701,2))&gt;60),$A701&amp;"01 1",$A701),IF(AND(LEN($A701)=4,VALUE(RIGHT($A701,2))&lt;60),GUS_tabl_2!$A$8:$B$464,GUS_tabl_21!$A$5:$B$4886),2,FALSE)),LEFT(TRIM(VLOOKUP(IF(AND(LEN($A701)=4,VALUE(RIGHT($A701,2))&gt;60),$A701&amp;"01 1",$A701),IF(AND(LEN($A701)=4,VALUE(RIGHT($A701,2))&lt;60),GUS_tabl_2!$A$8:$B$464,GUS_tabl_21!$A$5:$B$4886),2,FALSE)),SUM(FIND("..",TRIM(VLOOKUP(IF(AND(LEN($A701)=4,VALUE(RIGHT($A701,2))&gt;60),$A701&amp;"01 1",$A701),IF(AND(LEN($A701)=4,VALUE(RIGHT($A701,2))&lt;60),GUS_tabl_2!$A$8:$B$464,GUS_tabl_21!$A$5:$B$4886),2,FALSE))),-1)))))</f>
        <v>gm. w. Zabór</v>
      </c>
      <c r="D701" s="174">
        <f>IF(OR($A701="",ISERROR(VALUE(LEFT($A701,6)))),"",IF(LEN($A701)=2,SUMIF($A702:$A$2965,$A701&amp;"??",$D702:$D$2965),IF(AND(LEN($A701)=4,VALUE(RIGHT($A701,2))&lt;=60),SUMIF($A702:$A$2965,$A701&amp;"????",$D702:$D$2965),VLOOKUP(IF(LEN($A701)=4,$A701&amp;"01 1",$A701),GUS_tabl_21!$A$5:$F$4886,6,FALSE))))</f>
        <v>4321</v>
      </c>
      <c r="E701" s="29"/>
    </row>
    <row r="702" spans="1:5" ht="12" customHeight="1">
      <c r="A702" s="152" t="str">
        <f>"0810"</f>
        <v>0810</v>
      </c>
      <c r="B702" s="153" t="s">
        <v>19</v>
      </c>
      <c r="C702" s="170" t="str">
        <f>IF(OR($A702="",ISERROR(VALUE(LEFT($A702,6)))),"",IF(LEN($A702)=2,"WOJ. ",IF(LEN($A702)=4,IF(VALUE(RIGHT($A702,2))&gt;60,"","Powiat "),IF(VALUE(RIGHT($A702,1))=1,"m. ",IF(VALUE(RIGHT($A702,1))=2,"gm. w. ",IF(VALUE(RIGHT($A702,1))=8,"dz. ","gm. m.-w. ")))))&amp;IF(LEN($A702)=2,TRIM(UPPER(VLOOKUP($A702,GUS_tabl_1!$A$7:$B$22,2,FALSE))),IF(ISERROR(FIND("..",TRIM(VLOOKUP(IF(AND(LEN($A702)=4,VALUE(RIGHT($A702,2))&gt;60),$A702&amp;"01 1",$A702),IF(AND(LEN($A702)=4,VALUE(RIGHT($A702,2))&lt;60),GUS_tabl_2!$A$8:$B$464,GUS_tabl_21!$A$5:$B$4886),2,FALSE)))),TRIM(VLOOKUP(IF(AND(LEN($A702)=4,VALUE(RIGHT($A702,2))&gt;60),$A702&amp;"01 1",$A702),IF(AND(LEN($A702)=4,VALUE(RIGHT($A702,2))&lt;60),GUS_tabl_2!$A$8:$B$464,GUS_tabl_21!$A$5:$B$4886),2,FALSE)),LEFT(TRIM(VLOOKUP(IF(AND(LEN($A702)=4,VALUE(RIGHT($A702,2))&gt;60),$A702&amp;"01 1",$A702),IF(AND(LEN($A702)=4,VALUE(RIGHT($A702,2))&lt;60),GUS_tabl_2!$A$8:$B$464,GUS_tabl_21!$A$5:$B$4886),2,FALSE)),SUM(FIND("..",TRIM(VLOOKUP(IF(AND(LEN($A702)=4,VALUE(RIGHT($A702,2))&gt;60),$A702&amp;"01 1",$A702),IF(AND(LEN($A702)=4,VALUE(RIGHT($A702,2))&lt;60),GUS_tabl_2!$A$8:$B$464,GUS_tabl_21!$A$5:$B$4886),2,FALSE))),-1)))))</f>
        <v>Powiat żagański</v>
      </c>
      <c r="D702" s="173">
        <f>IF(OR($A702="",ISERROR(VALUE(LEFT($A702,6)))),"",IF(LEN($A702)=2,SUMIF($A703:$A$2965,$A702&amp;"??",$D703:$D$2965),IF(AND(LEN($A702)=4,VALUE(RIGHT($A702,2))&lt;=60),SUMIF($A703:$A$2965,$A702&amp;"????",$D703:$D$2965),VLOOKUP(IF(LEN($A702)=4,$A702&amp;"01 1",$A702),GUS_tabl_21!$A$5:$F$4886,6,FALSE))))</f>
        <v>78953</v>
      </c>
      <c r="E702" s="29"/>
    </row>
    <row r="703" spans="1:5" ht="12" customHeight="1">
      <c r="A703" s="155" t="str">
        <f>"081001 1"</f>
        <v>081001 1</v>
      </c>
      <c r="B703" s="153" t="s">
        <v>19</v>
      </c>
      <c r="C703" s="159" t="str">
        <f>IF(OR($A703="",ISERROR(VALUE(LEFT($A703,6)))),"",IF(LEN($A703)=2,"WOJ. ",IF(LEN($A703)=4,IF(VALUE(RIGHT($A703,2))&gt;60,"","Powiat "),IF(VALUE(RIGHT($A703,1))=1,"m. ",IF(VALUE(RIGHT($A703,1))=2,"gm. w. ",IF(VALUE(RIGHT($A703,1))=8,"dz. ","gm. m.-w. ")))))&amp;IF(LEN($A703)=2,TRIM(UPPER(VLOOKUP($A703,GUS_tabl_1!$A$7:$B$22,2,FALSE))),IF(ISERROR(FIND("..",TRIM(VLOOKUP(IF(AND(LEN($A703)=4,VALUE(RIGHT($A703,2))&gt;60),$A703&amp;"01 1",$A703),IF(AND(LEN($A703)=4,VALUE(RIGHT($A703,2))&lt;60),GUS_tabl_2!$A$8:$B$464,GUS_tabl_21!$A$5:$B$4886),2,FALSE)))),TRIM(VLOOKUP(IF(AND(LEN($A703)=4,VALUE(RIGHT($A703,2))&gt;60),$A703&amp;"01 1",$A703),IF(AND(LEN($A703)=4,VALUE(RIGHT($A703,2))&lt;60),GUS_tabl_2!$A$8:$B$464,GUS_tabl_21!$A$5:$B$4886),2,FALSE)),LEFT(TRIM(VLOOKUP(IF(AND(LEN($A703)=4,VALUE(RIGHT($A703,2))&gt;60),$A703&amp;"01 1",$A703),IF(AND(LEN($A703)=4,VALUE(RIGHT($A703,2))&lt;60),GUS_tabl_2!$A$8:$B$464,GUS_tabl_21!$A$5:$B$4886),2,FALSE)),SUM(FIND("..",TRIM(VLOOKUP(IF(AND(LEN($A703)=4,VALUE(RIGHT($A703,2))&gt;60),$A703&amp;"01 1",$A703),IF(AND(LEN($A703)=4,VALUE(RIGHT($A703,2))&lt;60),GUS_tabl_2!$A$8:$B$464,GUS_tabl_21!$A$5:$B$4886),2,FALSE))),-1)))))</f>
        <v>m. Gozdnica</v>
      </c>
      <c r="D703" s="175">
        <f>IF(OR($A703="",ISERROR(VALUE(LEFT($A703,6)))),"",IF(LEN($A703)=2,SUMIF($A704:$A$2965,$A703&amp;"??",$D704:$D$2965),IF(AND(LEN($A703)=4,VALUE(RIGHT($A703,2))&lt;=60),SUMIF($A704:$A$2965,$A703&amp;"????",$D704:$D$2965),VLOOKUP(IF(LEN($A703)=4,$A703&amp;"01 1",$A703),GUS_tabl_21!$A$5:$F$4886,6,FALSE))))</f>
        <v>3000</v>
      </c>
      <c r="E703" s="29"/>
    </row>
    <row r="704" spans="1:5" ht="12" customHeight="1">
      <c r="A704" s="155" t="str">
        <f>"081002 1"</f>
        <v>081002 1</v>
      </c>
      <c r="B704" s="153" t="s">
        <v>19</v>
      </c>
      <c r="C704" s="156" t="str">
        <f>IF(OR($A704="",ISERROR(VALUE(LEFT($A704,6)))),"",IF(LEN($A704)=2,"WOJ. ",IF(LEN($A704)=4,IF(VALUE(RIGHT($A704,2))&gt;60,"","Powiat "),IF(VALUE(RIGHT($A704,1))=1,"m. ",IF(VALUE(RIGHT($A704,1))=2,"gm. w. ",IF(VALUE(RIGHT($A704,1))=8,"dz. ","gm. m.-w. ")))))&amp;IF(LEN($A704)=2,TRIM(UPPER(VLOOKUP($A704,GUS_tabl_1!$A$7:$B$22,2,FALSE))),IF(ISERROR(FIND("..",TRIM(VLOOKUP(IF(AND(LEN($A704)=4,VALUE(RIGHT($A704,2))&gt;60),$A704&amp;"01 1",$A704),IF(AND(LEN($A704)=4,VALUE(RIGHT($A704,2))&lt;60),GUS_tabl_2!$A$8:$B$464,GUS_tabl_21!$A$5:$B$4886),2,FALSE)))),TRIM(VLOOKUP(IF(AND(LEN($A704)=4,VALUE(RIGHT($A704,2))&gt;60),$A704&amp;"01 1",$A704),IF(AND(LEN($A704)=4,VALUE(RIGHT($A704,2))&lt;60),GUS_tabl_2!$A$8:$B$464,GUS_tabl_21!$A$5:$B$4886),2,FALSE)),LEFT(TRIM(VLOOKUP(IF(AND(LEN($A704)=4,VALUE(RIGHT($A704,2))&gt;60),$A704&amp;"01 1",$A704),IF(AND(LEN($A704)=4,VALUE(RIGHT($A704,2))&lt;60),GUS_tabl_2!$A$8:$B$464,GUS_tabl_21!$A$5:$B$4886),2,FALSE)),SUM(FIND("..",TRIM(VLOOKUP(IF(AND(LEN($A704)=4,VALUE(RIGHT($A704,2))&gt;60),$A704&amp;"01 1",$A704),IF(AND(LEN($A704)=4,VALUE(RIGHT($A704,2))&lt;60),GUS_tabl_2!$A$8:$B$464,GUS_tabl_21!$A$5:$B$4886),2,FALSE))),-1)))))</f>
        <v>m. Żagań</v>
      </c>
      <c r="D704" s="174">
        <f>IF(OR($A704="",ISERROR(VALUE(LEFT($A704,6)))),"",IF(LEN($A704)=2,SUMIF($A705:$A$2965,$A704&amp;"??",$D705:$D$2965),IF(AND(LEN($A704)=4,VALUE(RIGHT($A704,2))&lt;=60),SUMIF($A705:$A$2965,$A704&amp;"????",$D705:$D$2965),VLOOKUP(IF(LEN($A704)=4,$A704&amp;"01 1",$A704),GUS_tabl_21!$A$5:$F$4886,6,FALSE))))</f>
        <v>25668</v>
      </c>
      <c r="E704" s="29"/>
    </row>
    <row r="705" spans="1:5" ht="12" customHeight="1">
      <c r="A705" s="155" t="str">
        <f>"081003 2"</f>
        <v>081003 2</v>
      </c>
      <c r="B705" s="153" t="s">
        <v>19</v>
      </c>
      <c r="C705" s="156" t="str">
        <f>IF(OR($A705="",ISERROR(VALUE(LEFT($A705,6)))),"",IF(LEN($A705)=2,"WOJ. ",IF(LEN($A705)=4,IF(VALUE(RIGHT($A705,2))&gt;60,"","Powiat "),IF(VALUE(RIGHT($A705,1))=1,"m. ",IF(VALUE(RIGHT($A705,1))=2,"gm. w. ",IF(VALUE(RIGHT($A705,1))=8,"dz. ","gm. m.-w. ")))))&amp;IF(LEN($A705)=2,TRIM(UPPER(VLOOKUP($A705,GUS_tabl_1!$A$7:$B$22,2,FALSE))),IF(ISERROR(FIND("..",TRIM(VLOOKUP(IF(AND(LEN($A705)=4,VALUE(RIGHT($A705,2))&gt;60),$A705&amp;"01 1",$A705),IF(AND(LEN($A705)=4,VALUE(RIGHT($A705,2))&lt;60),GUS_tabl_2!$A$8:$B$464,GUS_tabl_21!$A$5:$B$4886),2,FALSE)))),TRIM(VLOOKUP(IF(AND(LEN($A705)=4,VALUE(RIGHT($A705,2))&gt;60),$A705&amp;"01 1",$A705),IF(AND(LEN($A705)=4,VALUE(RIGHT($A705,2))&lt;60),GUS_tabl_2!$A$8:$B$464,GUS_tabl_21!$A$5:$B$4886),2,FALSE)),LEFT(TRIM(VLOOKUP(IF(AND(LEN($A705)=4,VALUE(RIGHT($A705,2))&gt;60),$A705&amp;"01 1",$A705),IF(AND(LEN($A705)=4,VALUE(RIGHT($A705,2))&lt;60),GUS_tabl_2!$A$8:$B$464,GUS_tabl_21!$A$5:$B$4886),2,FALSE)),SUM(FIND("..",TRIM(VLOOKUP(IF(AND(LEN($A705)=4,VALUE(RIGHT($A705,2))&gt;60),$A705&amp;"01 1",$A705),IF(AND(LEN($A705)=4,VALUE(RIGHT($A705,2))&lt;60),GUS_tabl_2!$A$8:$B$464,GUS_tabl_21!$A$5:$B$4886),2,FALSE))),-1)))))</f>
        <v>gm. w. Brzeźnica</v>
      </c>
      <c r="D705" s="174">
        <f>IF(OR($A705="",ISERROR(VALUE(LEFT($A705,6)))),"",IF(LEN($A705)=2,SUMIF($A706:$A$2965,$A705&amp;"??",$D706:$D$2965),IF(AND(LEN($A705)=4,VALUE(RIGHT($A705,2))&lt;=60),SUMIF($A706:$A$2965,$A705&amp;"????",$D706:$D$2965),VLOOKUP(IF(LEN($A705)=4,$A705&amp;"01 1",$A705),GUS_tabl_21!$A$5:$F$4886,6,FALSE))))</f>
        <v>3733</v>
      </c>
      <c r="E705" s="29"/>
    </row>
    <row r="706" spans="1:5" ht="12" customHeight="1">
      <c r="A706" s="155" t="str">
        <f>"081004 3"</f>
        <v>081004 3</v>
      </c>
      <c r="B706" s="153" t="s">
        <v>19</v>
      </c>
      <c r="C706" s="156" t="str">
        <f>IF(OR($A706="",ISERROR(VALUE(LEFT($A706,6)))),"",IF(LEN($A706)=2,"WOJ. ",IF(LEN($A706)=4,IF(VALUE(RIGHT($A706,2))&gt;60,"","Powiat "),IF(VALUE(RIGHT($A706,1))=1,"m. ",IF(VALUE(RIGHT($A706,1))=2,"gm. w. ",IF(VALUE(RIGHT($A706,1))=8,"dz. ","gm. m.-w. ")))))&amp;IF(LEN($A706)=2,TRIM(UPPER(VLOOKUP($A706,GUS_tabl_1!$A$7:$B$22,2,FALSE))),IF(ISERROR(FIND("..",TRIM(VLOOKUP(IF(AND(LEN($A706)=4,VALUE(RIGHT($A706,2))&gt;60),$A706&amp;"01 1",$A706),IF(AND(LEN($A706)=4,VALUE(RIGHT($A706,2))&lt;60),GUS_tabl_2!$A$8:$B$464,GUS_tabl_21!$A$5:$B$4886),2,FALSE)))),TRIM(VLOOKUP(IF(AND(LEN($A706)=4,VALUE(RIGHT($A706,2))&gt;60),$A706&amp;"01 1",$A706),IF(AND(LEN($A706)=4,VALUE(RIGHT($A706,2))&lt;60),GUS_tabl_2!$A$8:$B$464,GUS_tabl_21!$A$5:$B$4886),2,FALSE)),LEFT(TRIM(VLOOKUP(IF(AND(LEN($A706)=4,VALUE(RIGHT($A706,2))&gt;60),$A706&amp;"01 1",$A706),IF(AND(LEN($A706)=4,VALUE(RIGHT($A706,2))&lt;60),GUS_tabl_2!$A$8:$B$464,GUS_tabl_21!$A$5:$B$4886),2,FALSE)),SUM(FIND("..",TRIM(VLOOKUP(IF(AND(LEN($A706)=4,VALUE(RIGHT($A706,2))&gt;60),$A706&amp;"01 1",$A706),IF(AND(LEN($A706)=4,VALUE(RIGHT($A706,2))&lt;60),GUS_tabl_2!$A$8:$B$464,GUS_tabl_21!$A$5:$B$4886),2,FALSE))),-1)))))</f>
        <v>gm. m.-w. Iłowa</v>
      </c>
      <c r="D706" s="174">
        <f>IF(OR($A706="",ISERROR(VALUE(LEFT($A706,6)))),"",IF(LEN($A706)=2,SUMIF($A707:$A$2965,$A706&amp;"??",$D707:$D$2965),IF(AND(LEN($A706)=4,VALUE(RIGHT($A706,2))&lt;=60),SUMIF($A707:$A$2965,$A706&amp;"????",$D707:$D$2965),VLOOKUP(IF(LEN($A706)=4,$A706&amp;"01 1",$A706),GUS_tabl_21!$A$5:$F$4886,6,FALSE))))</f>
        <v>6842</v>
      </c>
      <c r="E706" s="29"/>
    </row>
    <row r="707" spans="1:5" ht="12" customHeight="1">
      <c r="A707" s="155" t="str">
        <f>"081005 3"</f>
        <v>081005 3</v>
      </c>
      <c r="B707" s="153" t="s">
        <v>19</v>
      </c>
      <c r="C707" s="156" t="str">
        <f>IF(OR($A707="",ISERROR(VALUE(LEFT($A707,6)))),"",IF(LEN($A707)=2,"WOJ. ",IF(LEN($A707)=4,IF(VALUE(RIGHT($A707,2))&gt;60,"","Powiat "),IF(VALUE(RIGHT($A707,1))=1,"m. ",IF(VALUE(RIGHT($A707,1))=2,"gm. w. ",IF(VALUE(RIGHT($A707,1))=8,"dz. ","gm. m.-w. ")))))&amp;IF(LEN($A707)=2,TRIM(UPPER(VLOOKUP($A707,GUS_tabl_1!$A$7:$B$22,2,FALSE))),IF(ISERROR(FIND("..",TRIM(VLOOKUP(IF(AND(LEN($A707)=4,VALUE(RIGHT($A707,2))&gt;60),$A707&amp;"01 1",$A707),IF(AND(LEN($A707)=4,VALUE(RIGHT($A707,2))&lt;60),GUS_tabl_2!$A$8:$B$464,GUS_tabl_21!$A$5:$B$4886),2,FALSE)))),TRIM(VLOOKUP(IF(AND(LEN($A707)=4,VALUE(RIGHT($A707,2))&gt;60),$A707&amp;"01 1",$A707),IF(AND(LEN($A707)=4,VALUE(RIGHT($A707,2))&lt;60),GUS_tabl_2!$A$8:$B$464,GUS_tabl_21!$A$5:$B$4886),2,FALSE)),LEFT(TRIM(VLOOKUP(IF(AND(LEN($A707)=4,VALUE(RIGHT($A707,2))&gt;60),$A707&amp;"01 1",$A707),IF(AND(LEN($A707)=4,VALUE(RIGHT($A707,2))&lt;60),GUS_tabl_2!$A$8:$B$464,GUS_tabl_21!$A$5:$B$4886),2,FALSE)),SUM(FIND("..",TRIM(VLOOKUP(IF(AND(LEN($A707)=4,VALUE(RIGHT($A707,2))&gt;60),$A707&amp;"01 1",$A707),IF(AND(LEN($A707)=4,VALUE(RIGHT($A707,2))&lt;60),GUS_tabl_2!$A$8:$B$464,GUS_tabl_21!$A$5:$B$4886),2,FALSE))),-1)))))</f>
        <v>gm. m.-w. Małomice</v>
      </c>
      <c r="D707" s="174">
        <f>IF(OR($A707="",ISERROR(VALUE(LEFT($A707,6)))),"",IF(LEN($A707)=2,SUMIF($A708:$A$2965,$A707&amp;"??",$D708:$D$2965),IF(AND(LEN($A707)=4,VALUE(RIGHT($A707,2))&lt;=60),SUMIF($A708:$A$2965,$A707&amp;"????",$D708:$D$2965),VLOOKUP(IF(LEN($A707)=4,$A707&amp;"01 1",$A707),GUS_tabl_21!$A$5:$F$4886,6,FALSE))))</f>
        <v>5174</v>
      </c>
      <c r="E707" s="29"/>
    </row>
    <row r="708" spans="1:5" ht="12" customHeight="1">
      <c r="A708" s="155" t="str">
        <f>"081006 2"</f>
        <v>081006 2</v>
      </c>
      <c r="B708" s="153" t="s">
        <v>19</v>
      </c>
      <c r="C708" s="156" t="str">
        <f>IF(OR($A708="",ISERROR(VALUE(LEFT($A708,6)))),"",IF(LEN($A708)=2,"WOJ. ",IF(LEN($A708)=4,IF(VALUE(RIGHT($A708,2))&gt;60,"","Powiat "),IF(VALUE(RIGHT($A708,1))=1,"m. ",IF(VALUE(RIGHT($A708,1))=2,"gm. w. ",IF(VALUE(RIGHT($A708,1))=8,"dz. ","gm. m.-w. ")))))&amp;IF(LEN($A708)=2,TRIM(UPPER(VLOOKUP($A708,GUS_tabl_1!$A$7:$B$22,2,FALSE))),IF(ISERROR(FIND("..",TRIM(VLOOKUP(IF(AND(LEN($A708)=4,VALUE(RIGHT($A708,2))&gt;60),$A708&amp;"01 1",$A708),IF(AND(LEN($A708)=4,VALUE(RIGHT($A708,2))&lt;60),GUS_tabl_2!$A$8:$B$464,GUS_tabl_21!$A$5:$B$4886),2,FALSE)))),TRIM(VLOOKUP(IF(AND(LEN($A708)=4,VALUE(RIGHT($A708,2))&gt;60),$A708&amp;"01 1",$A708),IF(AND(LEN($A708)=4,VALUE(RIGHT($A708,2))&lt;60),GUS_tabl_2!$A$8:$B$464,GUS_tabl_21!$A$5:$B$4886),2,FALSE)),LEFT(TRIM(VLOOKUP(IF(AND(LEN($A708)=4,VALUE(RIGHT($A708,2))&gt;60),$A708&amp;"01 1",$A708),IF(AND(LEN($A708)=4,VALUE(RIGHT($A708,2))&lt;60),GUS_tabl_2!$A$8:$B$464,GUS_tabl_21!$A$5:$B$4886),2,FALSE)),SUM(FIND("..",TRIM(VLOOKUP(IF(AND(LEN($A708)=4,VALUE(RIGHT($A708,2))&gt;60),$A708&amp;"01 1",$A708),IF(AND(LEN($A708)=4,VALUE(RIGHT($A708,2))&lt;60),GUS_tabl_2!$A$8:$B$464,GUS_tabl_21!$A$5:$B$4886),2,FALSE))),-1)))))</f>
        <v>gm. w. Niegosławice</v>
      </c>
      <c r="D708" s="174">
        <f>IF(OR($A708="",ISERROR(VALUE(LEFT($A708,6)))),"",IF(LEN($A708)=2,SUMIF($A709:$A$2965,$A708&amp;"??",$D709:$D$2965),IF(AND(LEN($A708)=4,VALUE(RIGHT($A708,2))&lt;=60),SUMIF($A709:$A$2965,$A708&amp;"????",$D709:$D$2965),VLOOKUP(IF(LEN($A708)=4,$A708&amp;"01 1",$A708),GUS_tabl_21!$A$5:$F$4886,6,FALSE))))</f>
        <v>4357</v>
      </c>
      <c r="E708" s="29"/>
    </row>
    <row r="709" spans="1:5" ht="12" customHeight="1">
      <c r="A709" s="155" t="str">
        <f>"081007 3"</f>
        <v>081007 3</v>
      </c>
      <c r="B709" s="153" t="s">
        <v>19</v>
      </c>
      <c r="C709" s="156" t="str">
        <f>IF(OR($A709="",ISERROR(VALUE(LEFT($A709,6)))),"",IF(LEN($A709)=2,"WOJ. ",IF(LEN($A709)=4,IF(VALUE(RIGHT($A709,2))&gt;60,"","Powiat "),IF(VALUE(RIGHT($A709,1))=1,"m. ",IF(VALUE(RIGHT($A709,1))=2,"gm. w. ",IF(VALUE(RIGHT($A709,1))=8,"dz. ","gm. m.-w. ")))))&amp;IF(LEN($A709)=2,TRIM(UPPER(VLOOKUP($A709,GUS_tabl_1!$A$7:$B$22,2,FALSE))),IF(ISERROR(FIND("..",TRIM(VLOOKUP(IF(AND(LEN($A709)=4,VALUE(RIGHT($A709,2))&gt;60),$A709&amp;"01 1",$A709),IF(AND(LEN($A709)=4,VALUE(RIGHT($A709,2))&lt;60),GUS_tabl_2!$A$8:$B$464,GUS_tabl_21!$A$5:$B$4886),2,FALSE)))),TRIM(VLOOKUP(IF(AND(LEN($A709)=4,VALUE(RIGHT($A709,2))&gt;60),$A709&amp;"01 1",$A709),IF(AND(LEN($A709)=4,VALUE(RIGHT($A709,2))&lt;60),GUS_tabl_2!$A$8:$B$464,GUS_tabl_21!$A$5:$B$4886),2,FALSE)),LEFT(TRIM(VLOOKUP(IF(AND(LEN($A709)=4,VALUE(RIGHT($A709,2))&gt;60),$A709&amp;"01 1",$A709),IF(AND(LEN($A709)=4,VALUE(RIGHT($A709,2))&lt;60),GUS_tabl_2!$A$8:$B$464,GUS_tabl_21!$A$5:$B$4886),2,FALSE)),SUM(FIND("..",TRIM(VLOOKUP(IF(AND(LEN($A709)=4,VALUE(RIGHT($A709,2))&gt;60),$A709&amp;"01 1",$A709),IF(AND(LEN($A709)=4,VALUE(RIGHT($A709,2))&lt;60),GUS_tabl_2!$A$8:$B$464,GUS_tabl_21!$A$5:$B$4886),2,FALSE))),-1)))))</f>
        <v>gm. m.-w. Szprotawa</v>
      </c>
      <c r="D709" s="174">
        <f>IF(OR($A709="",ISERROR(VALUE(LEFT($A709,6)))),"",IF(LEN($A709)=2,SUMIF($A710:$A$2965,$A709&amp;"??",$D710:$D$2965),IF(AND(LEN($A709)=4,VALUE(RIGHT($A709,2))&lt;=60),SUMIF($A710:$A$2965,$A709&amp;"????",$D710:$D$2965),VLOOKUP(IF(LEN($A709)=4,$A709&amp;"01 1",$A709),GUS_tabl_21!$A$5:$F$4886,6,FALSE))))</f>
        <v>20610</v>
      </c>
      <c r="E709" s="29"/>
    </row>
    <row r="710" spans="1:5" ht="12" customHeight="1">
      <c r="A710" s="155" t="str">
        <f>"081008 2"</f>
        <v>081008 2</v>
      </c>
      <c r="B710" s="153" t="s">
        <v>19</v>
      </c>
      <c r="C710" s="156" t="str">
        <f>IF(OR($A710="",ISERROR(VALUE(LEFT($A710,6)))),"",IF(LEN($A710)=2,"WOJ. ",IF(LEN($A710)=4,IF(VALUE(RIGHT($A710,2))&gt;60,"","Powiat "),IF(VALUE(RIGHT($A710,1))=1,"m. ",IF(VALUE(RIGHT($A710,1))=2,"gm. w. ",IF(VALUE(RIGHT($A710,1))=8,"dz. ","gm. m.-w. ")))))&amp;IF(LEN($A710)=2,TRIM(UPPER(VLOOKUP($A710,GUS_tabl_1!$A$7:$B$22,2,FALSE))),IF(ISERROR(FIND("..",TRIM(VLOOKUP(IF(AND(LEN($A710)=4,VALUE(RIGHT($A710,2))&gt;60),$A710&amp;"01 1",$A710),IF(AND(LEN($A710)=4,VALUE(RIGHT($A710,2))&lt;60),GUS_tabl_2!$A$8:$B$464,GUS_tabl_21!$A$5:$B$4886),2,FALSE)))),TRIM(VLOOKUP(IF(AND(LEN($A710)=4,VALUE(RIGHT($A710,2))&gt;60),$A710&amp;"01 1",$A710),IF(AND(LEN($A710)=4,VALUE(RIGHT($A710,2))&lt;60),GUS_tabl_2!$A$8:$B$464,GUS_tabl_21!$A$5:$B$4886),2,FALSE)),LEFT(TRIM(VLOOKUP(IF(AND(LEN($A710)=4,VALUE(RIGHT($A710,2))&gt;60),$A710&amp;"01 1",$A710),IF(AND(LEN($A710)=4,VALUE(RIGHT($A710,2))&lt;60),GUS_tabl_2!$A$8:$B$464,GUS_tabl_21!$A$5:$B$4886),2,FALSE)),SUM(FIND("..",TRIM(VLOOKUP(IF(AND(LEN($A710)=4,VALUE(RIGHT($A710,2))&gt;60),$A710&amp;"01 1",$A710),IF(AND(LEN($A710)=4,VALUE(RIGHT($A710,2))&lt;60),GUS_tabl_2!$A$8:$B$464,GUS_tabl_21!$A$5:$B$4886),2,FALSE))),-1)))))</f>
        <v>gm. w. Wymiarki</v>
      </c>
      <c r="D710" s="174">
        <f>IF(OR($A710="",ISERROR(VALUE(LEFT($A710,6)))),"",IF(LEN($A710)=2,SUMIF($A711:$A$2965,$A710&amp;"??",$D711:$D$2965),IF(AND(LEN($A710)=4,VALUE(RIGHT($A710,2))&lt;=60),SUMIF($A711:$A$2965,$A710&amp;"????",$D711:$D$2965),VLOOKUP(IF(LEN($A710)=4,$A710&amp;"01 1",$A710),GUS_tabl_21!$A$5:$F$4886,6,FALSE))))</f>
        <v>2263</v>
      </c>
      <c r="E710" s="29"/>
    </row>
    <row r="711" spans="1:5" ht="12" customHeight="1">
      <c r="A711" s="155" t="str">
        <f>"081009 2"</f>
        <v>081009 2</v>
      </c>
      <c r="B711" s="153" t="s">
        <v>19</v>
      </c>
      <c r="C711" s="156" t="str">
        <f>IF(OR($A711="",ISERROR(VALUE(LEFT($A711,6)))),"",IF(LEN($A711)=2,"WOJ. ",IF(LEN($A711)=4,IF(VALUE(RIGHT($A711,2))&gt;60,"","Powiat "),IF(VALUE(RIGHT($A711,1))=1,"m. ",IF(VALUE(RIGHT($A711,1))=2,"gm. w. ",IF(VALUE(RIGHT($A711,1))=8,"dz. ","gm. m.-w. ")))))&amp;IF(LEN($A711)=2,TRIM(UPPER(VLOOKUP($A711,GUS_tabl_1!$A$7:$B$22,2,FALSE))),IF(ISERROR(FIND("..",TRIM(VLOOKUP(IF(AND(LEN($A711)=4,VALUE(RIGHT($A711,2))&gt;60),$A711&amp;"01 1",$A711),IF(AND(LEN($A711)=4,VALUE(RIGHT($A711,2))&lt;60),GUS_tabl_2!$A$8:$B$464,GUS_tabl_21!$A$5:$B$4886),2,FALSE)))),TRIM(VLOOKUP(IF(AND(LEN($A711)=4,VALUE(RIGHT($A711,2))&gt;60),$A711&amp;"01 1",$A711),IF(AND(LEN($A711)=4,VALUE(RIGHT($A711,2))&lt;60),GUS_tabl_2!$A$8:$B$464,GUS_tabl_21!$A$5:$B$4886),2,FALSE)),LEFT(TRIM(VLOOKUP(IF(AND(LEN($A711)=4,VALUE(RIGHT($A711,2))&gt;60),$A711&amp;"01 1",$A711),IF(AND(LEN($A711)=4,VALUE(RIGHT($A711,2))&lt;60),GUS_tabl_2!$A$8:$B$464,GUS_tabl_21!$A$5:$B$4886),2,FALSE)),SUM(FIND("..",TRIM(VLOOKUP(IF(AND(LEN($A711)=4,VALUE(RIGHT($A711,2))&gt;60),$A711&amp;"01 1",$A711),IF(AND(LEN($A711)=4,VALUE(RIGHT($A711,2))&lt;60),GUS_tabl_2!$A$8:$B$464,GUS_tabl_21!$A$5:$B$4886),2,FALSE))),-1)))))</f>
        <v>gm. w. Żagań</v>
      </c>
      <c r="D711" s="174">
        <f>IF(OR($A711="",ISERROR(VALUE(LEFT($A711,6)))),"",IF(LEN($A711)=2,SUMIF($A712:$A$2965,$A711&amp;"??",$D712:$D$2965),IF(AND(LEN($A711)=4,VALUE(RIGHT($A711,2))&lt;=60),SUMIF($A712:$A$2965,$A711&amp;"????",$D712:$D$2965),VLOOKUP(IF(LEN($A711)=4,$A711&amp;"01 1",$A711),GUS_tabl_21!$A$5:$F$4886,6,FALSE))))</f>
        <v>7306</v>
      </c>
      <c r="E711" s="29"/>
    </row>
    <row r="712" spans="1:5" ht="12" customHeight="1">
      <c r="A712" s="152" t="str">
        <f>"0811"</f>
        <v>0811</v>
      </c>
      <c r="B712" s="153" t="s">
        <v>19</v>
      </c>
      <c r="C712" s="154" t="str">
        <f>IF(OR($A712="",ISERROR(VALUE(LEFT($A712,6)))),"",IF(LEN($A712)=2,"WOJ. ",IF(LEN($A712)=4,IF(VALUE(RIGHT($A712,2))&gt;60,"","Powiat "),IF(VALUE(RIGHT($A712,1))=1,"m. ",IF(VALUE(RIGHT($A712,1))=2,"gm. w. ",IF(VALUE(RIGHT($A712,1))=8,"dz. ","gm. m.-w. ")))))&amp;IF(LEN($A712)=2,TRIM(UPPER(VLOOKUP($A712,GUS_tabl_1!$A$7:$B$22,2,FALSE))),IF(ISERROR(FIND("..",TRIM(VLOOKUP(IF(AND(LEN($A712)=4,VALUE(RIGHT($A712,2))&gt;60),$A712&amp;"01 1",$A712),IF(AND(LEN($A712)=4,VALUE(RIGHT($A712,2))&lt;60),GUS_tabl_2!$A$8:$B$464,GUS_tabl_21!$A$5:$B$4886),2,FALSE)))),TRIM(VLOOKUP(IF(AND(LEN($A712)=4,VALUE(RIGHT($A712,2))&gt;60),$A712&amp;"01 1",$A712),IF(AND(LEN($A712)=4,VALUE(RIGHT($A712,2))&lt;60),GUS_tabl_2!$A$8:$B$464,GUS_tabl_21!$A$5:$B$4886),2,FALSE)),LEFT(TRIM(VLOOKUP(IF(AND(LEN($A712)=4,VALUE(RIGHT($A712,2))&gt;60),$A712&amp;"01 1",$A712),IF(AND(LEN($A712)=4,VALUE(RIGHT($A712,2))&lt;60),GUS_tabl_2!$A$8:$B$464,GUS_tabl_21!$A$5:$B$4886),2,FALSE)),SUM(FIND("..",TRIM(VLOOKUP(IF(AND(LEN($A712)=4,VALUE(RIGHT($A712,2))&gt;60),$A712&amp;"01 1",$A712),IF(AND(LEN($A712)=4,VALUE(RIGHT($A712,2))&lt;60),GUS_tabl_2!$A$8:$B$464,GUS_tabl_21!$A$5:$B$4886),2,FALSE))),-1)))))</f>
        <v>Powiat żarski</v>
      </c>
      <c r="D712" s="173">
        <f>IF(OR($A712="",ISERROR(VALUE(LEFT($A712,6)))),"",IF(LEN($A712)=2,SUMIF($A713:$A$2965,$A712&amp;"??",$D713:$D$2965),IF(AND(LEN($A712)=4,VALUE(RIGHT($A712,2))&lt;=60),SUMIF($A713:$A$2965,$A712&amp;"????",$D713:$D$2965),VLOOKUP(IF(LEN($A712)=4,$A712&amp;"01 1",$A712),GUS_tabl_21!$A$5:$F$4886,6,FALSE))))</f>
        <v>96111</v>
      </c>
      <c r="E712" s="29"/>
    </row>
    <row r="713" spans="1:5" ht="12" customHeight="1">
      <c r="A713" s="155" t="str">
        <f>"081101 1"</f>
        <v>081101 1</v>
      </c>
      <c r="B713" s="153" t="s">
        <v>19</v>
      </c>
      <c r="C713" s="156" t="str">
        <f>IF(OR($A713="",ISERROR(VALUE(LEFT($A713,6)))),"",IF(LEN($A713)=2,"WOJ. ",IF(LEN($A713)=4,IF(VALUE(RIGHT($A713,2))&gt;60,"","Powiat "),IF(VALUE(RIGHT($A713,1))=1,"m. ",IF(VALUE(RIGHT($A713,1))=2,"gm. w. ",IF(VALUE(RIGHT($A713,1))=8,"dz. ","gm. m.-w. ")))))&amp;IF(LEN($A713)=2,TRIM(UPPER(VLOOKUP($A713,GUS_tabl_1!$A$7:$B$22,2,FALSE))),IF(ISERROR(FIND("..",TRIM(VLOOKUP(IF(AND(LEN($A713)=4,VALUE(RIGHT($A713,2))&gt;60),$A713&amp;"01 1",$A713),IF(AND(LEN($A713)=4,VALUE(RIGHT($A713,2))&lt;60),GUS_tabl_2!$A$8:$B$464,GUS_tabl_21!$A$5:$B$4886),2,FALSE)))),TRIM(VLOOKUP(IF(AND(LEN($A713)=4,VALUE(RIGHT($A713,2))&gt;60),$A713&amp;"01 1",$A713),IF(AND(LEN($A713)=4,VALUE(RIGHT($A713,2))&lt;60),GUS_tabl_2!$A$8:$B$464,GUS_tabl_21!$A$5:$B$4886),2,FALSE)),LEFT(TRIM(VLOOKUP(IF(AND(LEN($A713)=4,VALUE(RIGHT($A713,2))&gt;60),$A713&amp;"01 1",$A713),IF(AND(LEN($A713)=4,VALUE(RIGHT($A713,2))&lt;60),GUS_tabl_2!$A$8:$B$464,GUS_tabl_21!$A$5:$B$4886),2,FALSE)),SUM(FIND("..",TRIM(VLOOKUP(IF(AND(LEN($A713)=4,VALUE(RIGHT($A713,2))&gt;60),$A713&amp;"01 1",$A713),IF(AND(LEN($A713)=4,VALUE(RIGHT($A713,2))&lt;60),GUS_tabl_2!$A$8:$B$464,GUS_tabl_21!$A$5:$B$4886),2,FALSE))),-1)))))</f>
        <v>m. Łęknica</v>
      </c>
      <c r="D713" s="174">
        <f>IF(OR($A713="",ISERROR(VALUE(LEFT($A713,6)))),"",IF(LEN($A713)=2,SUMIF($A714:$A$2965,$A713&amp;"??",$D714:$D$2965),IF(AND(LEN($A713)=4,VALUE(RIGHT($A713,2))&lt;=60),SUMIF($A714:$A$2965,$A713&amp;"????",$D714:$D$2965),VLOOKUP(IF(LEN($A713)=4,$A713&amp;"01 1",$A713),GUS_tabl_21!$A$5:$F$4886,6,FALSE))))</f>
        <v>2459</v>
      </c>
      <c r="E713" s="29"/>
    </row>
    <row r="714" spans="1:5" ht="12" customHeight="1">
      <c r="A714" s="155" t="str">
        <f>"081102 1"</f>
        <v>081102 1</v>
      </c>
      <c r="B714" s="153" t="s">
        <v>19</v>
      </c>
      <c r="C714" s="156" t="str">
        <f>IF(OR($A714="",ISERROR(VALUE(LEFT($A714,6)))),"",IF(LEN($A714)=2,"WOJ. ",IF(LEN($A714)=4,IF(VALUE(RIGHT($A714,2))&gt;60,"","Powiat "),IF(VALUE(RIGHT($A714,1))=1,"m. ",IF(VALUE(RIGHT($A714,1))=2,"gm. w. ",IF(VALUE(RIGHT($A714,1))=8,"dz. ","gm. m.-w. ")))))&amp;IF(LEN($A714)=2,TRIM(UPPER(VLOOKUP($A714,GUS_tabl_1!$A$7:$B$22,2,FALSE))),IF(ISERROR(FIND("..",TRIM(VLOOKUP(IF(AND(LEN($A714)=4,VALUE(RIGHT($A714,2))&gt;60),$A714&amp;"01 1",$A714),IF(AND(LEN($A714)=4,VALUE(RIGHT($A714,2))&lt;60),GUS_tabl_2!$A$8:$B$464,GUS_tabl_21!$A$5:$B$4886),2,FALSE)))),TRIM(VLOOKUP(IF(AND(LEN($A714)=4,VALUE(RIGHT($A714,2))&gt;60),$A714&amp;"01 1",$A714),IF(AND(LEN($A714)=4,VALUE(RIGHT($A714,2))&lt;60),GUS_tabl_2!$A$8:$B$464,GUS_tabl_21!$A$5:$B$4886),2,FALSE)),LEFT(TRIM(VLOOKUP(IF(AND(LEN($A714)=4,VALUE(RIGHT($A714,2))&gt;60),$A714&amp;"01 1",$A714),IF(AND(LEN($A714)=4,VALUE(RIGHT($A714,2))&lt;60),GUS_tabl_2!$A$8:$B$464,GUS_tabl_21!$A$5:$B$4886),2,FALSE)),SUM(FIND("..",TRIM(VLOOKUP(IF(AND(LEN($A714)=4,VALUE(RIGHT($A714,2))&gt;60),$A714&amp;"01 1",$A714),IF(AND(LEN($A714)=4,VALUE(RIGHT($A714,2))&lt;60),GUS_tabl_2!$A$8:$B$464,GUS_tabl_21!$A$5:$B$4886),2,FALSE))),-1)))))</f>
        <v>m. Żary</v>
      </c>
      <c r="D714" s="174">
        <f>IF(OR($A714="",ISERROR(VALUE(LEFT($A714,6)))),"",IF(LEN($A714)=2,SUMIF($A715:$A$2965,$A714&amp;"??",$D715:$D$2965),IF(AND(LEN($A714)=4,VALUE(RIGHT($A714,2))&lt;=60),SUMIF($A715:$A$2965,$A714&amp;"????",$D715:$D$2965),VLOOKUP(IF(LEN($A714)=4,$A714&amp;"01 1",$A714),GUS_tabl_21!$A$5:$F$4886,6,FALSE))))</f>
        <v>37304</v>
      </c>
      <c r="E714" s="29"/>
    </row>
    <row r="715" spans="1:5" ht="12" customHeight="1">
      <c r="A715" s="155" t="str">
        <f>"081103 2"</f>
        <v>081103 2</v>
      </c>
      <c r="B715" s="153" t="s">
        <v>19</v>
      </c>
      <c r="C715" s="156" t="str">
        <f>IF(OR($A715="",ISERROR(VALUE(LEFT($A715,6)))),"",IF(LEN($A715)=2,"WOJ. ",IF(LEN($A715)=4,IF(VALUE(RIGHT($A715,2))&gt;60,"","Powiat "),IF(VALUE(RIGHT($A715,1))=1,"m. ",IF(VALUE(RIGHT($A715,1))=2,"gm. w. ",IF(VALUE(RIGHT($A715,1))=8,"dz. ","gm. m.-w. ")))))&amp;IF(LEN($A715)=2,TRIM(UPPER(VLOOKUP($A715,GUS_tabl_1!$A$7:$B$22,2,FALSE))),IF(ISERROR(FIND("..",TRIM(VLOOKUP(IF(AND(LEN($A715)=4,VALUE(RIGHT($A715,2))&gt;60),$A715&amp;"01 1",$A715),IF(AND(LEN($A715)=4,VALUE(RIGHT($A715,2))&lt;60),GUS_tabl_2!$A$8:$B$464,GUS_tabl_21!$A$5:$B$4886),2,FALSE)))),TRIM(VLOOKUP(IF(AND(LEN($A715)=4,VALUE(RIGHT($A715,2))&gt;60),$A715&amp;"01 1",$A715),IF(AND(LEN($A715)=4,VALUE(RIGHT($A715,2))&lt;60),GUS_tabl_2!$A$8:$B$464,GUS_tabl_21!$A$5:$B$4886),2,FALSE)),LEFT(TRIM(VLOOKUP(IF(AND(LEN($A715)=4,VALUE(RIGHT($A715,2))&gt;60),$A715&amp;"01 1",$A715),IF(AND(LEN($A715)=4,VALUE(RIGHT($A715,2))&lt;60),GUS_tabl_2!$A$8:$B$464,GUS_tabl_21!$A$5:$B$4886),2,FALSE)),SUM(FIND("..",TRIM(VLOOKUP(IF(AND(LEN($A715)=4,VALUE(RIGHT($A715,2))&gt;60),$A715&amp;"01 1",$A715),IF(AND(LEN($A715)=4,VALUE(RIGHT($A715,2))&lt;60),GUS_tabl_2!$A$8:$B$464,GUS_tabl_21!$A$5:$B$4886),2,FALSE))),-1)))))</f>
        <v>gm. w. Brody</v>
      </c>
      <c r="D715" s="174">
        <f>IF(OR($A715="",ISERROR(VALUE(LEFT($A715,6)))),"",IF(LEN($A715)=2,SUMIF($A716:$A$2965,$A715&amp;"??",$D716:$D$2965),IF(AND(LEN($A715)=4,VALUE(RIGHT($A715,2))&lt;=60),SUMIF($A716:$A$2965,$A715&amp;"????",$D716:$D$2965),VLOOKUP(IF(LEN($A715)=4,$A715&amp;"01 1",$A715),GUS_tabl_21!$A$5:$F$4886,6,FALSE))))</f>
        <v>3404</v>
      </c>
      <c r="E715" s="29"/>
    </row>
    <row r="716" spans="1:5" ht="12" customHeight="1">
      <c r="A716" s="155" t="str">
        <f>"081104 3"</f>
        <v>081104 3</v>
      </c>
      <c r="B716" s="153" t="s">
        <v>19</v>
      </c>
      <c r="C716" s="156" t="str">
        <f>IF(OR($A716="",ISERROR(VALUE(LEFT($A716,6)))),"",IF(LEN($A716)=2,"WOJ. ",IF(LEN($A716)=4,IF(VALUE(RIGHT($A716,2))&gt;60,"","Powiat "),IF(VALUE(RIGHT($A716,1))=1,"m. ",IF(VALUE(RIGHT($A716,1))=2,"gm. w. ",IF(VALUE(RIGHT($A716,1))=8,"dz. ","gm. m.-w. ")))))&amp;IF(LEN($A716)=2,TRIM(UPPER(VLOOKUP($A716,GUS_tabl_1!$A$7:$B$22,2,FALSE))),IF(ISERROR(FIND("..",TRIM(VLOOKUP(IF(AND(LEN($A716)=4,VALUE(RIGHT($A716,2))&gt;60),$A716&amp;"01 1",$A716),IF(AND(LEN($A716)=4,VALUE(RIGHT($A716,2))&lt;60),GUS_tabl_2!$A$8:$B$464,GUS_tabl_21!$A$5:$B$4886),2,FALSE)))),TRIM(VLOOKUP(IF(AND(LEN($A716)=4,VALUE(RIGHT($A716,2))&gt;60),$A716&amp;"01 1",$A716),IF(AND(LEN($A716)=4,VALUE(RIGHT($A716,2))&lt;60),GUS_tabl_2!$A$8:$B$464,GUS_tabl_21!$A$5:$B$4886),2,FALSE)),LEFT(TRIM(VLOOKUP(IF(AND(LEN($A716)=4,VALUE(RIGHT($A716,2))&gt;60),$A716&amp;"01 1",$A716),IF(AND(LEN($A716)=4,VALUE(RIGHT($A716,2))&lt;60),GUS_tabl_2!$A$8:$B$464,GUS_tabl_21!$A$5:$B$4886),2,FALSE)),SUM(FIND("..",TRIM(VLOOKUP(IF(AND(LEN($A716)=4,VALUE(RIGHT($A716,2))&gt;60),$A716&amp;"01 1",$A716),IF(AND(LEN($A716)=4,VALUE(RIGHT($A716,2))&lt;60),GUS_tabl_2!$A$8:$B$464,GUS_tabl_21!$A$5:$B$4886),2,FALSE))),-1)))))</f>
        <v>gm. m.-w. Jasień</v>
      </c>
      <c r="D716" s="174">
        <f>IF(OR($A716="",ISERROR(VALUE(LEFT($A716,6)))),"",IF(LEN($A716)=2,SUMIF($A717:$A$2965,$A716&amp;"??",$D717:$D$2965),IF(AND(LEN($A716)=4,VALUE(RIGHT($A716,2))&lt;=60),SUMIF($A717:$A$2965,$A716&amp;"????",$D717:$D$2965),VLOOKUP(IF(LEN($A716)=4,$A716&amp;"01 1",$A716),GUS_tabl_21!$A$5:$F$4886,6,FALSE))))</f>
        <v>6991</v>
      </c>
      <c r="E716" s="29"/>
    </row>
    <row r="717" spans="1:5" ht="12" customHeight="1">
      <c r="A717" s="155" t="str">
        <f>"081105 2"</f>
        <v>081105 2</v>
      </c>
      <c r="B717" s="153" t="s">
        <v>19</v>
      </c>
      <c r="C717" s="156" t="str">
        <f>IF(OR($A717="",ISERROR(VALUE(LEFT($A717,6)))),"",IF(LEN($A717)=2,"WOJ. ",IF(LEN($A717)=4,IF(VALUE(RIGHT($A717,2))&gt;60,"","Powiat "),IF(VALUE(RIGHT($A717,1))=1,"m. ",IF(VALUE(RIGHT($A717,1))=2,"gm. w. ",IF(VALUE(RIGHT($A717,1))=8,"dz. ","gm. m.-w. ")))))&amp;IF(LEN($A717)=2,TRIM(UPPER(VLOOKUP($A717,GUS_tabl_1!$A$7:$B$22,2,FALSE))),IF(ISERROR(FIND("..",TRIM(VLOOKUP(IF(AND(LEN($A717)=4,VALUE(RIGHT($A717,2))&gt;60),$A717&amp;"01 1",$A717),IF(AND(LEN($A717)=4,VALUE(RIGHT($A717,2))&lt;60),GUS_tabl_2!$A$8:$B$464,GUS_tabl_21!$A$5:$B$4886),2,FALSE)))),TRIM(VLOOKUP(IF(AND(LEN($A717)=4,VALUE(RIGHT($A717,2))&gt;60),$A717&amp;"01 1",$A717),IF(AND(LEN($A717)=4,VALUE(RIGHT($A717,2))&lt;60),GUS_tabl_2!$A$8:$B$464,GUS_tabl_21!$A$5:$B$4886),2,FALSE)),LEFT(TRIM(VLOOKUP(IF(AND(LEN($A717)=4,VALUE(RIGHT($A717,2))&gt;60),$A717&amp;"01 1",$A717),IF(AND(LEN($A717)=4,VALUE(RIGHT($A717,2))&lt;60),GUS_tabl_2!$A$8:$B$464,GUS_tabl_21!$A$5:$B$4886),2,FALSE)),SUM(FIND("..",TRIM(VLOOKUP(IF(AND(LEN($A717)=4,VALUE(RIGHT($A717,2))&gt;60),$A717&amp;"01 1",$A717),IF(AND(LEN($A717)=4,VALUE(RIGHT($A717,2))&lt;60),GUS_tabl_2!$A$8:$B$464,GUS_tabl_21!$A$5:$B$4886),2,FALSE))),-1)))))</f>
        <v>gm. w. Lipinki Łużyckie</v>
      </c>
      <c r="D717" s="174">
        <f>IF(OR($A717="",ISERROR(VALUE(LEFT($A717,6)))),"",IF(LEN($A717)=2,SUMIF($A718:$A$2965,$A717&amp;"??",$D718:$D$2965),IF(AND(LEN($A717)=4,VALUE(RIGHT($A717,2))&lt;=60),SUMIF($A718:$A$2965,$A717&amp;"????",$D718:$D$2965),VLOOKUP(IF(LEN($A717)=4,$A717&amp;"01 1",$A717),GUS_tabl_21!$A$5:$F$4886,6,FALSE))))</f>
        <v>3375</v>
      </c>
      <c r="E717" s="29"/>
    </row>
    <row r="718" spans="1:5" ht="12" customHeight="1">
      <c r="A718" s="155" t="str">
        <f>"081106 3"</f>
        <v>081106 3</v>
      </c>
      <c r="B718" s="153" t="s">
        <v>19</v>
      </c>
      <c r="C718" s="156" t="str">
        <f>IF(OR($A718="",ISERROR(VALUE(LEFT($A718,6)))),"",IF(LEN($A718)=2,"WOJ. ",IF(LEN($A718)=4,IF(VALUE(RIGHT($A718,2))&gt;60,"","Powiat "),IF(VALUE(RIGHT($A718,1))=1,"m. ",IF(VALUE(RIGHT($A718,1))=2,"gm. w. ",IF(VALUE(RIGHT($A718,1))=8,"dz. ","gm. m.-w. ")))))&amp;IF(LEN($A718)=2,TRIM(UPPER(VLOOKUP($A718,GUS_tabl_1!$A$7:$B$22,2,FALSE))),IF(ISERROR(FIND("..",TRIM(VLOOKUP(IF(AND(LEN($A718)=4,VALUE(RIGHT($A718,2))&gt;60),$A718&amp;"01 1",$A718),IF(AND(LEN($A718)=4,VALUE(RIGHT($A718,2))&lt;60),GUS_tabl_2!$A$8:$B$464,GUS_tabl_21!$A$5:$B$4886),2,FALSE)))),TRIM(VLOOKUP(IF(AND(LEN($A718)=4,VALUE(RIGHT($A718,2))&gt;60),$A718&amp;"01 1",$A718),IF(AND(LEN($A718)=4,VALUE(RIGHT($A718,2))&lt;60),GUS_tabl_2!$A$8:$B$464,GUS_tabl_21!$A$5:$B$4886),2,FALSE)),LEFT(TRIM(VLOOKUP(IF(AND(LEN($A718)=4,VALUE(RIGHT($A718,2))&gt;60),$A718&amp;"01 1",$A718),IF(AND(LEN($A718)=4,VALUE(RIGHT($A718,2))&lt;60),GUS_tabl_2!$A$8:$B$464,GUS_tabl_21!$A$5:$B$4886),2,FALSE)),SUM(FIND("..",TRIM(VLOOKUP(IF(AND(LEN($A718)=4,VALUE(RIGHT($A718,2))&gt;60),$A718&amp;"01 1",$A718),IF(AND(LEN($A718)=4,VALUE(RIGHT($A718,2))&lt;60),GUS_tabl_2!$A$8:$B$464,GUS_tabl_21!$A$5:$B$4886),2,FALSE))),-1)))))</f>
        <v>gm. m.-w. Lubsko</v>
      </c>
      <c r="D718" s="174">
        <f>IF(OR($A718="",ISERROR(VALUE(LEFT($A718,6)))),"",IF(LEN($A718)=2,SUMIF($A719:$A$2965,$A718&amp;"??",$D719:$D$2965),IF(AND(LEN($A718)=4,VALUE(RIGHT($A718,2))&lt;=60),SUMIF($A719:$A$2965,$A718&amp;"????",$D719:$D$2965),VLOOKUP(IF(LEN($A718)=4,$A718&amp;"01 1",$A718),GUS_tabl_21!$A$5:$F$4886,6,FALSE))))</f>
        <v>18404</v>
      </c>
      <c r="E718" s="29"/>
    </row>
    <row r="719" spans="1:5" ht="12" customHeight="1">
      <c r="A719" s="155" t="str">
        <f>"081107 2"</f>
        <v>081107 2</v>
      </c>
      <c r="B719" s="153" t="s">
        <v>19</v>
      </c>
      <c r="C719" s="156" t="str">
        <f>IF(OR($A719="",ISERROR(VALUE(LEFT($A719,6)))),"",IF(LEN($A719)=2,"WOJ. ",IF(LEN($A719)=4,IF(VALUE(RIGHT($A719,2))&gt;60,"","Powiat "),IF(VALUE(RIGHT($A719,1))=1,"m. ",IF(VALUE(RIGHT($A719,1))=2,"gm. w. ",IF(VALUE(RIGHT($A719,1))=8,"dz. ","gm. m.-w. ")))))&amp;IF(LEN($A719)=2,TRIM(UPPER(VLOOKUP($A719,GUS_tabl_1!$A$7:$B$22,2,FALSE))),IF(ISERROR(FIND("..",TRIM(VLOOKUP(IF(AND(LEN($A719)=4,VALUE(RIGHT($A719,2))&gt;60),$A719&amp;"01 1",$A719),IF(AND(LEN($A719)=4,VALUE(RIGHT($A719,2))&lt;60),GUS_tabl_2!$A$8:$B$464,GUS_tabl_21!$A$5:$B$4886),2,FALSE)))),TRIM(VLOOKUP(IF(AND(LEN($A719)=4,VALUE(RIGHT($A719,2))&gt;60),$A719&amp;"01 1",$A719),IF(AND(LEN($A719)=4,VALUE(RIGHT($A719,2))&lt;60),GUS_tabl_2!$A$8:$B$464,GUS_tabl_21!$A$5:$B$4886),2,FALSE)),LEFT(TRIM(VLOOKUP(IF(AND(LEN($A719)=4,VALUE(RIGHT($A719,2))&gt;60),$A719&amp;"01 1",$A719),IF(AND(LEN($A719)=4,VALUE(RIGHT($A719,2))&lt;60),GUS_tabl_2!$A$8:$B$464,GUS_tabl_21!$A$5:$B$4886),2,FALSE)),SUM(FIND("..",TRIM(VLOOKUP(IF(AND(LEN($A719)=4,VALUE(RIGHT($A719,2))&gt;60),$A719&amp;"01 1",$A719),IF(AND(LEN($A719)=4,VALUE(RIGHT($A719,2))&lt;60),GUS_tabl_2!$A$8:$B$464,GUS_tabl_21!$A$5:$B$4886),2,FALSE))),-1)))))</f>
        <v>gm. w. Przewóz</v>
      </c>
      <c r="D719" s="174">
        <f>IF(OR($A719="",ISERROR(VALUE(LEFT($A719,6)))),"",IF(LEN($A719)=2,SUMIF($A720:$A$2965,$A719&amp;"??",$D720:$D$2965),IF(AND(LEN($A719)=4,VALUE(RIGHT($A719,2))&lt;=60),SUMIF($A720:$A$2965,$A719&amp;"????",$D720:$D$2965),VLOOKUP(IF(LEN($A719)=4,$A719&amp;"01 1",$A719),GUS_tabl_21!$A$5:$F$4886,6,FALSE))))</f>
        <v>3132</v>
      </c>
      <c r="E719" s="29"/>
    </row>
    <row r="720" spans="1:5" ht="12" customHeight="1">
      <c r="A720" s="155" t="str">
        <f>"081108 2"</f>
        <v>081108 2</v>
      </c>
      <c r="B720" s="153" t="s">
        <v>19</v>
      </c>
      <c r="C720" s="156" t="str">
        <f>IF(OR($A720="",ISERROR(VALUE(LEFT($A720,6)))),"",IF(LEN($A720)=2,"WOJ. ",IF(LEN($A720)=4,IF(VALUE(RIGHT($A720,2))&gt;60,"","Powiat "),IF(VALUE(RIGHT($A720,1))=1,"m. ",IF(VALUE(RIGHT($A720,1))=2,"gm. w. ",IF(VALUE(RIGHT($A720,1))=8,"dz. ","gm. m.-w. ")))))&amp;IF(LEN($A720)=2,TRIM(UPPER(VLOOKUP($A720,GUS_tabl_1!$A$7:$B$22,2,FALSE))),IF(ISERROR(FIND("..",TRIM(VLOOKUP(IF(AND(LEN($A720)=4,VALUE(RIGHT($A720,2))&gt;60),$A720&amp;"01 1",$A720),IF(AND(LEN($A720)=4,VALUE(RIGHT($A720,2))&lt;60),GUS_tabl_2!$A$8:$B$464,GUS_tabl_21!$A$5:$B$4886),2,FALSE)))),TRIM(VLOOKUP(IF(AND(LEN($A720)=4,VALUE(RIGHT($A720,2))&gt;60),$A720&amp;"01 1",$A720),IF(AND(LEN($A720)=4,VALUE(RIGHT($A720,2))&lt;60),GUS_tabl_2!$A$8:$B$464,GUS_tabl_21!$A$5:$B$4886),2,FALSE)),LEFT(TRIM(VLOOKUP(IF(AND(LEN($A720)=4,VALUE(RIGHT($A720,2))&gt;60),$A720&amp;"01 1",$A720),IF(AND(LEN($A720)=4,VALUE(RIGHT($A720,2))&lt;60),GUS_tabl_2!$A$8:$B$464,GUS_tabl_21!$A$5:$B$4886),2,FALSE)),SUM(FIND("..",TRIM(VLOOKUP(IF(AND(LEN($A720)=4,VALUE(RIGHT($A720,2))&gt;60),$A720&amp;"01 1",$A720),IF(AND(LEN($A720)=4,VALUE(RIGHT($A720,2))&lt;60),GUS_tabl_2!$A$8:$B$464,GUS_tabl_21!$A$5:$B$4886),2,FALSE))),-1)))))</f>
        <v>gm. w. Trzebiel</v>
      </c>
      <c r="D720" s="174">
        <f>IF(OR($A720="",ISERROR(VALUE(LEFT($A720,6)))),"",IF(LEN($A720)=2,SUMIF($A721:$A$2965,$A720&amp;"??",$D721:$D$2965),IF(AND(LEN($A720)=4,VALUE(RIGHT($A720,2))&lt;=60),SUMIF($A721:$A$2965,$A720&amp;"????",$D721:$D$2965),VLOOKUP(IF(LEN($A720)=4,$A720&amp;"01 1",$A720),GUS_tabl_21!$A$5:$F$4886,6,FALSE))))</f>
        <v>5668</v>
      </c>
      <c r="E720" s="29"/>
    </row>
    <row r="721" spans="1:5" ht="12" customHeight="1">
      <c r="A721" s="155" t="str">
        <f>"081109 2"</f>
        <v>081109 2</v>
      </c>
      <c r="B721" s="153" t="s">
        <v>19</v>
      </c>
      <c r="C721" s="156" t="str">
        <f>IF(OR($A721="",ISERROR(VALUE(LEFT($A721,6)))),"",IF(LEN($A721)=2,"WOJ. ",IF(LEN($A721)=4,IF(VALUE(RIGHT($A721,2))&gt;60,"","Powiat "),IF(VALUE(RIGHT($A721,1))=1,"m. ",IF(VALUE(RIGHT($A721,1))=2,"gm. w. ",IF(VALUE(RIGHT($A721,1))=8,"dz. ","gm. m.-w. ")))))&amp;IF(LEN($A721)=2,TRIM(UPPER(VLOOKUP($A721,GUS_tabl_1!$A$7:$B$22,2,FALSE))),IF(ISERROR(FIND("..",TRIM(VLOOKUP(IF(AND(LEN($A721)=4,VALUE(RIGHT($A721,2))&gt;60),$A721&amp;"01 1",$A721),IF(AND(LEN($A721)=4,VALUE(RIGHT($A721,2))&lt;60),GUS_tabl_2!$A$8:$B$464,GUS_tabl_21!$A$5:$B$4886),2,FALSE)))),TRIM(VLOOKUP(IF(AND(LEN($A721)=4,VALUE(RIGHT($A721,2))&gt;60),$A721&amp;"01 1",$A721),IF(AND(LEN($A721)=4,VALUE(RIGHT($A721,2))&lt;60),GUS_tabl_2!$A$8:$B$464,GUS_tabl_21!$A$5:$B$4886),2,FALSE)),LEFT(TRIM(VLOOKUP(IF(AND(LEN($A721)=4,VALUE(RIGHT($A721,2))&gt;60),$A721&amp;"01 1",$A721),IF(AND(LEN($A721)=4,VALUE(RIGHT($A721,2))&lt;60),GUS_tabl_2!$A$8:$B$464,GUS_tabl_21!$A$5:$B$4886),2,FALSE)),SUM(FIND("..",TRIM(VLOOKUP(IF(AND(LEN($A721)=4,VALUE(RIGHT($A721,2))&gt;60),$A721&amp;"01 1",$A721),IF(AND(LEN($A721)=4,VALUE(RIGHT($A721,2))&lt;60),GUS_tabl_2!$A$8:$B$464,GUS_tabl_21!$A$5:$B$4886),2,FALSE))),-1)))))</f>
        <v>gm. w. Tuplice</v>
      </c>
      <c r="D721" s="174">
        <f>IF(OR($A721="",ISERROR(VALUE(LEFT($A721,6)))),"",IF(LEN($A721)=2,SUMIF($A722:$A$2965,$A721&amp;"??",$D722:$D$2965),IF(AND(LEN($A721)=4,VALUE(RIGHT($A721,2))&lt;=60),SUMIF($A722:$A$2965,$A721&amp;"????",$D722:$D$2965),VLOOKUP(IF(LEN($A721)=4,$A721&amp;"01 1",$A721),GUS_tabl_21!$A$5:$F$4886,6,FALSE))))</f>
        <v>3042</v>
      </c>
      <c r="E721" s="29"/>
    </row>
    <row r="722" spans="1:5" ht="12" customHeight="1">
      <c r="A722" s="155" t="str">
        <f>"081110 2"</f>
        <v>081110 2</v>
      </c>
      <c r="B722" s="153" t="s">
        <v>19</v>
      </c>
      <c r="C722" s="156" t="str">
        <f>IF(OR($A722="",ISERROR(VALUE(LEFT($A722,6)))),"",IF(LEN($A722)=2,"WOJ. ",IF(LEN($A722)=4,IF(VALUE(RIGHT($A722,2))&gt;60,"","Powiat "),IF(VALUE(RIGHT($A722,1))=1,"m. ",IF(VALUE(RIGHT($A722,1))=2,"gm. w. ",IF(VALUE(RIGHT($A722,1))=8,"dz. ","gm. m.-w. ")))))&amp;IF(LEN($A722)=2,TRIM(UPPER(VLOOKUP($A722,GUS_tabl_1!$A$7:$B$22,2,FALSE))),IF(ISERROR(FIND("..",TRIM(VLOOKUP(IF(AND(LEN($A722)=4,VALUE(RIGHT($A722,2))&gt;60),$A722&amp;"01 1",$A722),IF(AND(LEN($A722)=4,VALUE(RIGHT($A722,2))&lt;60),GUS_tabl_2!$A$8:$B$464,GUS_tabl_21!$A$5:$B$4886),2,FALSE)))),TRIM(VLOOKUP(IF(AND(LEN($A722)=4,VALUE(RIGHT($A722,2))&gt;60),$A722&amp;"01 1",$A722),IF(AND(LEN($A722)=4,VALUE(RIGHT($A722,2))&lt;60),GUS_tabl_2!$A$8:$B$464,GUS_tabl_21!$A$5:$B$4886),2,FALSE)),LEFT(TRIM(VLOOKUP(IF(AND(LEN($A722)=4,VALUE(RIGHT($A722,2))&gt;60),$A722&amp;"01 1",$A722),IF(AND(LEN($A722)=4,VALUE(RIGHT($A722,2))&lt;60),GUS_tabl_2!$A$8:$B$464,GUS_tabl_21!$A$5:$B$4886),2,FALSE)),SUM(FIND("..",TRIM(VLOOKUP(IF(AND(LEN($A722)=4,VALUE(RIGHT($A722,2))&gt;60),$A722&amp;"01 1",$A722),IF(AND(LEN($A722)=4,VALUE(RIGHT($A722,2))&lt;60),GUS_tabl_2!$A$8:$B$464,GUS_tabl_21!$A$5:$B$4886),2,FALSE))),-1)))))</f>
        <v>gm. w. Żary</v>
      </c>
      <c r="D722" s="174">
        <f>IF(OR($A722="",ISERROR(VALUE(LEFT($A722,6)))),"",IF(LEN($A722)=2,SUMIF($A723:$A$2965,$A722&amp;"??",$D723:$D$2965),IF(AND(LEN($A722)=4,VALUE(RIGHT($A722,2))&lt;=60),SUMIF($A723:$A$2965,$A722&amp;"????",$D723:$D$2965),VLOOKUP(IF(LEN($A722)=4,$A722&amp;"01 1",$A722),GUS_tabl_21!$A$5:$F$4886,6,FALSE))))</f>
        <v>12332</v>
      </c>
      <c r="E722" s="29"/>
    </row>
    <row r="723" spans="1:5" ht="12" customHeight="1">
      <c r="A723" s="152"/>
      <c r="B723" s="153" t="s">
        <v>19</v>
      </c>
      <c r="C723" s="156" t="str">
        <f>IF(OR($A723="",ISERROR(VALUE(LEFT($A723,6)))),"",IF(LEN($A723)=2,"WOJ. ",IF(LEN($A723)=4,IF(VALUE(RIGHT($A723,2))&gt;60,"","Powiat "),IF(VALUE(RIGHT($A723,1))=1,"m. ",IF(VALUE(RIGHT($A723,1))=2,"gm. w. ",IF(VALUE(RIGHT($A723,1))=8,"dz. ","gm. m.-w. ")))))&amp;IF(LEN($A723)=2,TRIM(UPPER(VLOOKUP($A723,GUS_tabl_1!$A$7:$B$22,2,FALSE))),IF(ISERROR(FIND("..",TRIM(VLOOKUP(IF(AND(LEN($A723)=4,VALUE(RIGHT($A723,2))&gt;60),$A723&amp;"01 1",$A723),IF(AND(LEN($A723)=4,VALUE(RIGHT($A723,2))&lt;60),GUS_tabl_2!$A$8:$B$464,GUS_tabl_21!$A$5:$B$4886),2,FALSE)))),TRIM(VLOOKUP(IF(AND(LEN($A723)=4,VALUE(RIGHT($A723,2))&gt;60),$A723&amp;"01 1",$A723),IF(AND(LEN($A723)=4,VALUE(RIGHT($A723,2))&lt;60),GUS_tabl_2!$A$8:$B$464,GUS_tabl_21!$A$5:$B$4886),2,FALSE)),LEFT(TRIM(VLOOKUP(IF(AND(LEN($A723)=4,VALUE(RIGHT($A723,2))&gt;60),$A723&amp;"01 1",$A723),IF(AND(LEN($A723)=4,VALUE(RIGHT($A723,2))&lt;60),GUS_tabl_2!$A$8:$B$464,GUS_tabl_21!$A$5:$B$4886),2,FALSE)),SUM(FIND("..",TRIM(VLOOKUP(IF(AND(LEN($A723)=4,VALUE(RIGHT($A723,2))&gt;60),$A723&amp;"01 1",$A723),IF(AND(LEN($A723)=4,VALUE(RIGHT($A723,2))&lt;60),GUS_tabl_2!$A$8:$B$464,GUS_tabl_21!$A$5:$B$4886),2,FALSE))),-1)))))</f>
        <v/>
      </c>
      <c r="D723" s="174" t="str">
        <f>IF(OR($A723="",ISERROR(VALUE(LEFT($A723,6)))),"",IF(LEN($A723)=2,SUMIF($A724:$A$2965,$A723&amp;"??",$D724:$D$2965),IF(AND(LEN($A723)=4,VALUE(RIGHT($A723,2))&lt;=60),SUMIF($A724:$A$2965,$A723&amp;"????",$D724:$D$2965),VLOOKUP(IF(LEN($A723)=4,$A723&amp;"01 1",$A723),GUS_tabl_21!$A$5:$F$4886,6,FALSE))))</f>
        <v/>
      </c>
      <c r="E723" s="29"/>
    </row>
    <row r="724" spans="1:5" ht="12" customHeight="1">
      <c r="A724" s="152"/>
      <c r="B724" s="153" t="s">
        <v>19</v>
      </c>
      <c r="C724" s="154" t="s">
        <v>0</v>
      </c>
      <c r="D724" s="173"/>
      <c r="E724" s="29"/>
    </row>
    <row r="725" spans="1:5" ht="12" customHeight="1">
      <c r="A725" s="152"/>
      <c r="B725" s="153" t="s">
        <v>19</v>
      </c>
      <c r="C725" s="154" t="s">
        <v>1</v>
      </c>
      <c r="D725" s="173"/>
      <c r="E725" s="29"/>
    </row>
    <row r="726" spans="1:5" ht="12" customHeight="1">
      <c r="A726" s="152" t="str">
        <f>"0861"</f>
        <v>0861</v>
      </c>
      <c r="B726" s="153" t="s">
        <v>19</v>
      </c>
      <c r="C726" s="154" t="str">
        <f>IF(OR($A726="",ISERROR(VALUE(LEFT($A726,6)))),"",IF(LEN($A726)=2,"WOJ. ",IF(LEN($A726)=4,IF(VALUE(RIGHT($A726,2))&gt;60,"","Powiat "),IF(VALUE(RIGHT($A726,1))=1,"m. ",IF(VALUE(RIGHT($A726,1))=2,"gm. w. ",IF(VALUE(RIGHT($A726,1))=8,"dz. ","gm. m.-w. ")))))&amp;IF(LEN($A726)=2,TRIM(UPPER(VLOOKUP($A726,GUS_tabl_1!$A$7:$B$22,2,FALSE))),IF(ISERROR(FIND("..",TRIM(VLOOKUP(IF(AND(LEN($A726)=4,VALUE(RIGHT($A726,2))&gt;60),$A726&amp;"01 1",$A726),IF(AND(LEN($A726)=4,VALUE(RIGHT($A726,2))&lt;60),GUS_tabl_2!$A$8:$B$464,GUS_tabl_21!$A$5:$B$4886),2,FALSE)))),TRIM(VLOOKUP(IF(AND(LEN($A726)=4,VALUE(RIGHT($A726,2))&gt;60),$A726&amp;"01 1",$A726),IF(AND(LEN($A726)=4,VALUE(RIGHT($A726,2))&lt;60),GUS_tabl_2!$A$8:$B$464,GUS_tabl_21!$A$5:$B$4886),2,FALSE)),LEFT(TRIM(VLOOKUP(IF(AND(LEN($A726)=4,VALUE(RIGHT($A726,2))&gt;60),$A726&amp;"01 1",$A726),IF(AND(LEN($A726)=4,VALUE(RIGHT($A726,2))&lt;60),GUS_tabl_2!$A$8:$B$464,GUS_tabl_21!$A$5:$B$4886),2,FALSE)),SUM(FIND("..",TRIM(VLOOKUP(IF(AND(LEN($A726)=4,VALUE(RIGHT($A726,2))&gt;60),$A726&amp;"01 1",$A726),IF(AND(LEN($A726)=4,VALUE(RIGHT($A726,2))&lt;60),GUS_tabl_2!$A$8:$B$464,GUS_tabl_21!$A$5:$B$4886),2,FALSE))),-1)))))</f>
        <v>Gorzów Wielkopolski</v>
      </c>
      <c r="D726" s="173">
        <f>IF(OR($A726="",ISERROR(VALUE(LEFT($A726,6)))),"",IF(LEN($A726)=2,SUMIF($A727:$A$2965,$A726&amp;"??",$D727:$D$2965),IF(AND(LEN($A726)=4,VALUE(RIGHT($A726,2))&lt;=60),SUMIF($A727:$A$2965,$A726&amp;"????",$D727:$D$2965),VLOOKUP(IF(LEN($A726)=4,$A726&amp;"01 1",$A726),GUS_tabl_21!$A$5:$F$4886,6,FALSE))))</f>
        <v>123609</v>
      </c>
      <c r="E726" s="29"/>
    </row>
    <row r="727" spans="1:5" ht="12" customHeight="1">
      <c r="A727" s="152" t="str">
        <f>"0862"</f>
        <v>0862</v>
      </c>
      <c r="B727" s="153" t="s">
        <v>19</v>
      </c>
      <c r="C727" s="154" t="str">
        <f>IF(OR($A727="",ISERROR(VALUE(LEFT($A727,6)))),"",IF(LEN($A727)=2,"WOJ. ",IF(LEN($A727)=4,IF(VALUE(RIGHT($A727,2))&gt;60,"","Powiat "),IF(VALUE(RIGHT($A727,1))=1,"m. ",IF(VALUE(RIGHT($A727,1))=2,"gm. w. ",IF(VALUE(RIGHT($A727,1))=8,"dz. ","gm. m.-w. ")))))&amp;IF(LEN($A727)=2,TRIM(UPPER(VLOOKUP($A727,GUS_tabl_1!$A$7:$B$22,2,FALSE))),IF(ISERROR(FIND("..",TRIM(VLOOKUP(IF(AND(LEN($A727)=4,VALUE(RIGHT($A727,2))&gt;60),$A727&amp;"01 1",$A727),IF(AND(LEN($A727)=4,VALUE(RIGHT($A727,2))&lt;60),GUS_tabl_2!$A$8:$B$464,GUS_tabl_21!$A$5:$B$4886),2,FALSE)))),TRIM(VLOOKUP(IF(AND(LEN($A727)=4,VALUE(RIGHT($A727,2))&gt;60),$A727&amp;"01 1",$A727),IF(AND(LEN($A727)=4,VALUE(RIGHT($A727,2))&lt;60),GUS_tabl_2!$A$8:$B$464,GUS_tabl_21!$A$5:$B$4886),2,FALSE)),LEFT(TRIM(VLOOKUP(IF(AND(LEN($A727)=4,VALUE(RIGHT($A727,2))&gt;60),$A727&amp;"01 1",$A727),IF(AND(LEN($A727)=4,VALUE(RIGHT($A727,2))&lt;60),GUS_tabl_2!$A$8:$B$464,GUS_tabl_21!$A$5:$B$4886),2,FALSE)),SUM(FIND("..",TRIM(VLOOKUP(IF(AND(LEN($A727)=4,VALUE(RIGHT($A727,2))&gt;60),$A727&amp;"01 1",$A727),IF(AND(LEN($A727)=4,VALUE(RIGHT($A727,2))&lt;60),GUS_tabl_2!$A$8:$B$464,GUS_tabl_21!$A$5:$B$4886),2,FALSE))),-1)))))</f>
        <v>Zielona Góra (a)</v>
      </c>
      <c r="D727" s="173">
        <f>IF(OR($A727="",ISERROR(VALUE(LEFT($A727,6)))),"",IF(LEN($A727)=2,SUMIF($A728:$A$2965,$A727&amp;"??",$D728:$D$2965),IF(AND(LEN($A727)=4,VALUE(RIGHT($A727,2))&lt;=60),SUMIF($A728:$A$2965,$A727&amp;"????",$D728:$D$2965),VLOOKUP(IF(LEN($A727)=4,$A727&amp;"01 1",$A727),GUS_tabl_21!$A$5:$F$4886,6,FALSE))))</f>
        <v>141222</v>
      </c>
      <c r="E727" s="29"/>
    </row>
    <row r="728" spans="1:5" s="161" customFormat="1" ht="13.5" thickBot="1">
      <c r="A728" s="144"/>
      <c r="B728" s="160"/>
    </row>
    <row r="729" spans="1:5" ht="26.25" customHeight="1" thickTop="1">
      <c r="A729" s="241" t="s">
        <v>97</v>
      </c>
      <c r="B729" s="247" t="s">
        <v>60</v>
      </c>
      <c r="C729" s="243" t="s">
        <v>7311</v>
      </c>
      <c r="D729" s="245" t="s">
        <v>6</v>
      </c>
    </row>
    <row r="730" spans="1:5" ht="25.5" customHeight="1" thickBot="1">
      <c r="A730" s="242"/>
      <c r="B730" s="254"/>
      <c r="C730" s="244"/>
      <c r="D730" s="246"/>
    </row>
    <row r="731" spans="1:5" ht="12" customHeight="1" thickTop="1">
      <c r="A731" s="158"/>
      <c r="B731" s="153"/>
      <c r="C731" s="156" t="str">
        <f>IF(OR($A731="",ISERROR(VALUE(LEFT($A731,6)))),"",IF(LEN($A731)=2,"WOJ. ",IF(LEN($A731)=4,IF(VALUE(RIGHT($A731,2))&gt;60,"","Powiat "),IF(VALUE(RIGHT($A731,1))=1,"m. ",IF(VALUE(RIGHT($A731,1))=2,"gm. w. ",IF(VALUE(RIGHT($A731,1))=8,"dz. ","gm. m.-w. ")))))&amp;IF(LEN($A731)=2,TRIM(UPPER(VLOOKUP($A731,GUS_tabl_1!$A$7:$B$22,2,FALSE))),IF(ISERROR(FIND("..",TRIM(VLOOKUP(IF(AND(LEN($A731)=4,VALUE(RIGHT($A731,2))&gt;60),$A731&amp;"01 1",$A731),IF(AND(LEN($A731)=4,VALUE(RIGHT($A731,2))&lt;60),GUS_tabl_2!$A$8:$B$464,GUS_tabl_21!$A$5:$B$4886),2,FALSE)))),TRIM(VLOOKUP(IF(AND(LEN($A731)=4,VALUE(RIGHT($A731,2))&gt;60),$A731&amp;"01 1",$A731),IF(AND(LEN($A731)=4,VALUE(RIGHT($A731,2))&lt;60),GUS_tabl_2!$A$8:$B$464,GUS_tabl_21!$A$5:$B$4886),2,FALSE)),LEFT(TRIM(VLOOKUP(IF(AND(LEN($A731)=4,VALUE(RIGHT($A731,2))&gt;60),$A731&amp;"01 1",$A731),IF(AND(LEN($A731)=4,VALUE(RIGHT($A731,2))&lt;60),GUS_tabl_2!$A$8:$B$464,GUS_tabl_21!$A$5:$B$4886),2,FALSE)),SUM(FIND("..",TRIM(VLOOKUP(IF(AND(LEN($A731)=4,VALUE(RIGHT($A731,2))&gt;60),$A731&amp;"01 1",$A731),IF(AND(LEN($A731)=4,VALUE(RIGHT($A731,2))&lt;60),GUS_tabl_2!$A$8:$B$464,GUS_tabl_21!$A$5:$B$4886),2,FALSE))),-1)))))</f>
        <v/>
      </c>
      <c r="D731" s="140" t="str">
        <f>IF(OR($A731="",ISERROR(VALUE(LEFT($A731,6)))),"",IF(LEN($A731)=2,SUMIF($A732:$A$2965,$A731&amp;"??",$D732:$D$2965),IF(AND(LEN($A731)=4,VALUE(RIGHT($A731,2))&lt;=60),SUMIF($A732:$A$2965,$A731&amp;"????",$D732:$D$2965),VLOOKUP(IF(LEN($A731)=4,$A731&amp;"01 1",$A731),GUS_tabl_21!$A$5:$F$4886,6,FALSE))))</f>
        <v/>
      </c>
      <c r="E731" s="29"/>
    </row>
    <row r="732" spans="1:5" ht="12" customHeight="1">
      <c r="A732" s="152" t="str">
        <f>"10"</f>
        <v>10</v>
      </c>
      <c r="B732" s="153"/>
      <c r="C732" s="154" t="str">
        <f>IF(OR($A732="",ISERROR(VALUE(LEFT($A732,6)))),"",IF(LEN($A732)=2,"WOJ. ",IF(LEN($A732)=4,IF(VALUE(RIGHT($A732,2))&gt;60,"","Powiat "),IF(VALUE(RIGHT($A732,1))=1,"m. ",IF(VALUE(RIGHT($A732,1))=2,"gm. w. ",IF(VALUE(RIGHT($A732,1))=8,"dz. ","gm. m.-w. ")))))&amp;IF(LEN($A732)=2,TRIM(UPPER(VLOOKUP($A732,GUS_tabl_1!$A$7:$B$22,2,FALSE))),IF(ISERROR(FIND("..",TRIM(VLOOKUP(IF(AND(LEN($A732)=4,VALUE(RIGHT($A732,2))&gt;60),$A732&amp;"01 1",$A732),IF(AND(LEN($A732)=4,VALUE(RIGHT($A732,2))&lt;60),GUS_tabl_2!$A$8:$B$464,GUS_tabl_21!$A$5:$B$4886),2,FALSE)))),TRIM(VLOOKUP(IF(AND(LEN($A732)=4,VALUE(RIGHT($A732,2))&gt;60),$A732&amp;"01 1",$A732),IF(AND(LEN($A732)=4,VALUE(RIGHT($A732,2))&lt;60),GUS_tabl_2!$A$8:$B$464,GUS_tabl_21!$A$5:$B$4886),2,FALSE)),LEFT(TRIM(VLOOKUP(IF(AND(LEN($A732)=4,VALUE(RIGHT($A732,2))&gt;60),$A732&amp;"01 1",$A732),IF(AND(LEN($A732)=4,VALUE(RIGHT($A732,2))&lt;60),GUS_tabl_2!$A$8:$B$464,GUS_tabl_21!$A$5:$B$4886),2,FALSE)),SUM(FIND("..",TRIM(VLOOKUP(IF(AND(LEN($A732)=4,VALUE(RIGHT($A732,2))&gt;60),$A732&amp;"01 1",$A732),IF(AND(LEN($A732)=4,VALUE(RIGHT($A732,2))&lt;60),GUS_tabl_2!$A$8:$B$464,GUS_tabl_21!$A$5:$B$4886),2,FALSE))),-1)))))</f>
        <v>WOJ. ŁÓDZKIE</v>
      </c>
      <c r="D732" s="140">
        <f>IF(OR($A732="",ISERROR(VALUE(LEFT($A732,6)))),"",IF(LEN($A732)=2,SUMIF($A733:$A$2965,$A732&amp;"??",$D733:$D$2965),IF(AND(LEN($A732)=4,VALUE(RIGHT($A732,2))&lt;=60),SUMIF($A733:$A$2965,$A732&amp;"????",$D733:$D$2965),VLOOKUP(IF(LEN($A732)=4,$A732&amp;"01 1",$A732),GUS_tabl_21!$A$5:$F$4886,6,FALSE))))</f>
        <v>2454779</v>
      </c>
      <c r="E732" s="29"/>
    </row>
    <row r="733" spans="1:5" ht="12" customHeight="1">
      <c r="A733" s="152"/>
      <c r="B733" s="153"/>
      <c r="C733" s="156" t="str">
        <f>IF(OR($A733="",ISERROR(VALUE(LEFT($A733,6)))),"",IF(LEN($A733)=2,"WOJ. ",IF(LEN($A733)=4,IF(VALUE(RIGHT($A733,2))&gt;60,"","Powiat "),IF(VALUE(RIGHT($A733,1))=1,"m. ",IF(VALUE(RIGHT($A733,1))=2,"gm. w. ",IF(VALUE(RIGHT($A733,1))=8,"dz. ","gm. m.-w. ")))))&amp;IF(LEN($A733)=2,TRIM(UPPER(VLOOKUP($A733,GUS_tabl_1!$A$7:$B$22,2,FALSE))),IF(ISERROR(FIND("..",TRIM(VLOOKUP(IF(AND(LEN($A733)=4,VALUE(RIGHT($A733,2))&gt;60),$A733&amp;"01 1",$A733),IF(AND(LEN($A733)=4,VALUE(RIGHT($A733,2))&lt;60),GUS_tabl_2!$A$8:$B$464,GUS_tabl_21!$A$5:$B$4886),2,FALSE)))),TRIM(VLOOKUP(IF(AND(LEN($A733)=4,VALUE(RIGHT($A733,2))&gt;60),$A733&amp;"01 1",$A733),IF(AND(LEN($A733)=4,VALUE(RIGHT($A733,2))&lt;60),GUS_tabl_2!$A$8:$B$464,GUS_tabl_21!$A$5:$B$4886),2,FALSE)),LEFT(TRIM(VLOOKUP(IF(AND(LEN($A733)=4,VALUE(RIGHT($A733,2))&gt;60),$A733&amp;"01 1",$A733),IF(AND(LEN($A733)=4,VALUE(RIGHT($A733,2))&lt;60),GUS_tabl_2!$A$8:$B$464,GUS_tabl_21!$A$5:$B$4886),2,FALSE)),SUM(FIND("..",TRIM(VLOOKUP(IF(AND(LEN($A733)=4,VALUE(RIGHT($A733,2))&gt;60),$A733&amp;"01 1",$A733),IF(AND(LEN($A733)=4,VALUE(RIGHT($A733,2))&lt;60),GUS_tabl_2!$A$8:$B$464,GUS_tabl_21!$A$5:$B$4886),2,FALSE))),-1)))))</f>
        <v/>
      </c>
      <c r="D733" s="140" t="str">
        <f>IF(OR($A733="",ISERROR(VALUE(LEFT($A733,6)))),"",IF(LEN($A733)=2,SUMIF($A734:$A$2965,$A733&amp;"??",$D734:$D$2965),IF(AND(LEN($A733)=4,VALUE(RIGHT($A733,2))&lt;=60),SUMIF($A734:$A$2965,$A733&amp;"????",$D734:$D$2965),VLOOKUP(IF(LEN($A733)=4,$A733&amp;"01 1",$A733),GUS_tabl_21!$A$5:$F$4886,6,FALSE))))</f>
        <v/>
      </c>
      <c r="E733" s="29"/>
    </row>
    <row r="734" spans="1:5" ht="12" customHeight="1">
      <c r="A734" s="152" t="str">
        <f>"1001"</f>
        <v>1001</v>
      </c>
      <c r="B734" s="153" t="s">
        <v>39</v>
      </c>
      <c r="C734" s="154" t="str">
        <f>IF(OR($A734="",ISERROR(VALUE(LEFT($A734,6)))),"",IF(LEN($A734)=2,"WOJ. ",IF(LEN($A734)=4,IF(VALUE(RIGHT($A734,2))&gt;60,"","Powiat "),IF(VALUE(RIGHT($A734,1))=1,"m. ",IF(VALUE(RIGHT($A734,1))=2,"gm. w. ",IF(VALUE(RIGHT($A734,1))=8,"dz. ","gm. m.-w. ")))))&amp;IF(LEN($A734)=2,TRIM(UPPER(VLOOKUP($A734,GUS_tabl_1!$A$7:$B$22,2,FALSE))),IF(ISERROR(FIND("..",TRIM(VLOOKUP(IF(AND(LEN($A734)=4,VALUE(RIGHT($A734,2))&gt;60),$A734&amp;"01 1",$A734),IF(AND(LEN($A734)=4,VALUE(RIGHT($A734,2))&lt;60),GUS_tabl_2!$A$8:$B$464,GUS_tabl_21!$A$5:$B$4886),2,FALSE)))),TRIM(VLOOKUP(IF(AND(LEN($A734)=4,VALUE(RIGHT($A734,2))&gt;60),$A734&amp;"01 1",$A734),IF(AND(LEN($A734)=4,VALUE(RIGHT($A734,2))&lt;60),GUS_tabl_2!$A$8:$B$464,GUS_tabl_21!$A$5:$B$4886),2,FALSE)),LEFT(TRIM(VLOOKUP(IF(AND(LEN($A734)=4,VALUE(RIGHT($A734,2))&gt;60),$A734&amp;"01 1",$A734),IF(AND(LEN($A734)=4,VALUE(RIGHT($A734,2))&lt;60),GUS_tabl_2!$A$8:$B$464,GUS_tabl_21!$A$5:$B$4886),2,FALSE)),SUM(FIND("..",TRIM(VLOOKUP(IF(AND(LEN($A734)=4,VALUE(RIGHT($A734,2))&gt;60),$A734&amp;"01 1",$A734),IF(AND(LEN($A734)=4,VALUE(RIGHT($A734,2))&lt;60),GUS_tabl_2!$A$8:$B$464,GUS_tabl_21!$A$5:$B$4886),2,FALSE))),-1)))))</f>
        <v>Powiat bełchatowski</v>
      </c>
      <c r="D734" s="140">
        <f>IF(OR($A734="",ISERROR(VALUE(LEFT($A734,6)))),"",IF(LEN($A734)=2,SUMIF($A735:$A$2965,$A734&amp;"??",$D735:$D$2965),IF(AND(LEN($A734)=4,VALUE(RIGHT($A734,2))&lt;=60),SUMIF($A735:$A$2965,$A734&amp;"????",$D735:$D$2965),VLOOKUP(IF(LEN($A734)=4,$A734&amp;"01 1",$A734),GUS_tabl_21!$A$5:$F$4886,6,FALSE))))</f>
        <v>112779</v>
      </c>
      <c r="E734" s="29"/>
    </row>
    <row r="735" spans="1:5" ht="12" customHeight="1">
      <c r="A735" s="155" t="str">
        <f>"100101 1"</f>
        <v>100101 1</v>
      </c>
      <c r="B735" s="153" t="s">
        <v>39</v>
      </c>
      <c r="C735" s="156" t="str">
        <f>IF(OR($A735="",ISERROR(VALUE(LEFT($A735,6)))),"",IF(LEN($A735)=2,"WOJ. ",IF(LEN($A735)=4,IF(VALUE(RIGHT($A735,2))&gt;60,"","Powiat "),IF(VALUE(RIGHT($A735,1))=1,"m. ",IF(VALUE(RIGHT($A735,1))=2,"gm. w. ",IF(VALUE(RIGHT($A735,1))=8,"dz. ","gm. m.-w. ")))))&amp;IF(LEN($A735)=2,TRIM(UPPER(VLOOKUP($A735,GUS_tabl_1!$A$7:$B$22,2,FALSE))),IF(ISERROR(FIND("..",TRIM(VLOOKUP(IF(AND(LEN($A735)=4,VALUE(RIGHT($A735,2))&gt;60),$A735&amp;"01 1",$A735),IF(AND(LEN($A735)=4,VALUE(RIGHT($A735,2))&lt;60),GUS_tabl_2!$A$8:$B$464,GUS_tabl_21!$A$5:$B$4886),2,FALSE)))),TRIM(VLOOKUP(IF(AND(LEN($A735)=4,VALUE(RIGHT($A735,2))&gt;60),$A735&amp;"01 1",$A735),IF(AND(LEN($A735)=4,VALUE(RIGHT($A735,2))&lt;60),GUS_tabl_2!$A$8:$B$464,GUS_tabl_21!$A$5:$B$4886),2,FALSE)),LEFT(TRIM(VLOOKUP(IF(AND(LEN($A735)=4,VALUE(RIGHT($A735,2))&gt;60),$A735&amp;"01 1",$A735),IF(AND(LEN($A735)=4,VALUE(RIGHT($A735,2))&lt;60),GUS_tabl_2!$A$8:$B$464,GUS_tabl_21!$A$5:$B$4886),2,FALSE)),SUM(FIND("..",TRIM(VLOOKUP(IF(AND(LEN($A735)=4,VALUE(RIGHT($A735,2))&gt;60),$A735&amp;"01 1",$A735),IF(AND(LEN($A735)=4,VALUE(RIGHT($A735,2))&lt;60),GUS_tabl_2!$A$8:$B$464,GUS_tabl_21!$A$5:$B$4886),2,FALSE))),-1)))))</f>
        <v>m. Bełchatów</v>
      </c>
      <c r="D735" s="141">
        <f>IF(OR($A735="",ISERROR(VALUE(LEFT($A735,6)))),"",IF(LEN($A735)=2,SUMIF($A736:$A$2965,$A735&amp;"??",$D736:$D$2965),IF(AND(LEN($A735)=4,VALUE(RIGHT($A735,2))&lt;=60),SUMIF($A736:$A$2965,$A735&amp;"????",$D736:$D$2965),VLOOKUP(IF(LEN($A735)=4,$A735&amp;"01 1",$A735),GUS_tabl_21!$A$5:$F$4886,6,FALSE))))</f>
        <v>56973</v>
      </c>
      <c r="E735" s="29"/>
    </row>
    <row r="736" spans="1:5" ht="12" customHeight="1">
      <c r="A736" s="155" t="str">
        <f>"100102 2"</f>
        <v>100102 2</v>
      </c>
      <c r="B736" s="153" t="s">
        <v>39</v>
      </c>
      <c r="C736" s="156" t="str">
        <f>IF(OR($A736="",ISERROR(VALUE(LEFT($A736,6)))),"",IF(LEN($A736)=2,"WOJ. ",IF(LEN($A736)=4,IF(VALUE(RIGHT($A736,2))&gt;60,"","Powiat "),IF(VALUE(RIGHT($A736,1))=1,"m. ",IF(VALUE(RIGHT($A736,1))=2,"gm. w. ",IF(VALUE(RIGHT($A736,1))=8,"dz. ","gm. m.-w. ")))))&amp;IF(LEN($A736)=2,TRIM(UPPER(VLOOKUP($A736,GUS_tabl_1!$A$7:$B$22,2,FALSE))),IF(ISERROR(FIND("..",TRIM(VLOOKUP(IF(AND(LEN($A736)=4,VALUE(RIGHT($A736,2))&gt;60),$A736&amp;"01 1",$A736),IF(AND(LEN($A736)=4,VALUE(RIGHT($A736,2))&lt;60),GUS_tabl_2!$A$8:$B$464,GUS_tabl_21!$A$5:$B$4886),2,FALSE)))),TRIM(VLOOKUP(IF(AND(LEN($A736)=4,VALUE(RIGHT($A736,2))&gt;60),$A736&amp;"01 1",$A736),IF(AND(LEN($A736)=4,VALUE(RIGHT($A736,2))&lt;60),GUS_tabl_2!$A$8:$B$464,GUS_tabl_21!$A$5:$B$4886),2,FALSE)),LEFT(TRIM(VLOOKUP(IF(AND(LEN($A736)=4,VALUE(RIGHT($A736,2))&gt;60),$A736&amp;"01 1",$A736),IF(AND(LEN($A736)=4,VALUE(RIGHT($A736,2))&lt;60),GUS_tabl_2!$A$8:$B$464,GUS_tabl_21!$A$5:$B$4886),2,FALSE)),SUM(FIND("..",TRIM(VLOOKUP(IF(AND(LEN($A736)=4,VALUE(RIGHT($A736,2))&gt;60),$A736&amp;"01 1",$A736),IF(AND(LEN($A736)=4,VALUE(RIGHT($A736,2))&lt;60),GUS_tabl_2!$A$8:$B$464,GUS_tabl_21!$A$5:$B$4886),2,FALSE))),-1)))))</f>
        <v>gm. w. Bełchatów</v>
      </c>
      <c r="D736" s="141">
        <f>IF(OR($A736="",ISERROR(VALUE(LEFT($A736,6)))),"",IF(LEN($A736)=2,SUMIF($A737:$A$2965,$A736&amp;"??",$D737:$D$2965),IF(AND(LEN($A736)=4,VALUE(RIGHT($A736,2))&lt;=60),SUMIF($A737:$A$2965,$A736&amp;"????",$D737:$D$2965),VLOOKUP(IF(LEN($A736)=4,$A736&amp;"01 1",$A736),GUS_tabl_21!$A$5:$F$4886,6,FALSE))))</f>
        <v>11572</v>
      </c>
      <c r="E736" s="29"/>
    </row>
    <row r="737" spans="1:5" ht="12" customHeight="1">
      <c r="A737" s="155" t="str">
        <f>"100103 2"</f>
        <v>100103 2</v>
      </c>
      <c r="B737" s="153" t="s">
        <v>39</v>
      </c>
      <c r="C737" s="156" t="str">
        <f>IF(OR($A737="",ISERROR(VALUE(LEFT($A737,6)))),"",IF(LEN($A737)=2,"WOJ. ",IF(LEN($A737)=4,IF(VALUE(RIGHT($A737,2))&gt;60,"","Powiat "),IF(VALUE(RIGHT($A737,1))=1,"m. ",IF(VALUE(RIGHT($A737,1))=2,"gm. w. ",IF(VALUE(RIGHT($A737,1))=8,"dz. ","gm. m.-w. ")))))&amp;IF(LEN($A737)=2,TRIM(UPPER(VLOOKUP($A737,GUS_tabl_1!$A$7:$B$22,2,FALSE))),IF(ISERROR(FIND("..",TRIM(VLOOKUP(IF(AND(LEN($A737)=4,VALUE(RIGHT($A737,2))&gt;60),$A737&amp;"01 1",$A737),IF(AND(LEN($A737)=4,VALUE(RIGHT($A737,2))&lt;60),GUS_tabl_2!$A$8:$B$464,GUS_tabl_21!$A$5:$B$4886),2,FALSE)))),TRIM(VLOOKUP(IF(AND(LEN($A737)=4,VALUE(RIGHT($A737,2))&gt;60),$A737&amp;"01 1",$A737),IF(AND(LEN($A737)=4,VALUE(RIGHT($A737,2))&lt;60),GUS_tabl_2!$A$8:$B$464,GUS_tabl_21!$A$5:$B$4886),2,FALSE)),LEFT(TRIM(VLOOKUP(IF(AND(LEN($A737)=4,VALUE(RIGHT($A737,2))&gt;60),$A737&amp;"01 1",$A737),IF(AND(LEN($A737)=4,VALUE(RIGHT($A737,2))&lt;60),GUS_tabl_2!$A$8:$B$464,GUS_tabl_21!$A$5:$B$4886),2,FALSE)),SUM(FIND("..",TRIM(VLOOKUP(IF(AND(LEN($A737)=4,VALUE(RIGHT($A737,2))&gt;60),$A737&amp;"01 1",$A737),IF(AND(LEN($A737)=4,VALUE(RIGHT($A737,2))&lt;60),GUS_tabl_2!$A$8:$B$464,GUS_tabl_21!$A$5:$B$4886),2,FALSE))),-1)))))</f>
        <v>gm. w. Drużbice</v>
      </c>
      <c r="D737" s="141">
        <f>IF(OR($A737="",ISERROR(VALUE(LEFT($A737,6)))),"",IF(LEN($A737)=2,SUMIF($A738:$A$2965,$A737&amp;"??",$D738:$D$2965),IF(AND(LEN($A737)=4,VALUE(RIGHT($A737,2))&lt;=60),SUMIF($A738:$A$2965,$A737&amp;"????",$D738:$D$2965),VLOOKUP(IF(LEN($A737)=4,$A737&amp;"01 1",$A737),GUS_tabl_21!$A$5:$F$4886,6,FALSE))))</f>
        <v>5237</v>
      </c>
      <c r="E737" s="29"/>
    </row>
    <row r="738" spans="1:5" ht="12" customHeight="1">
      <c r="A738" s="155" t="str">
        <f>"100104 2"</f>
        <v>100104 2</v>
      </c>
      <c r="B738" s="153" t="s">
        <v>39</v>
      </c>
      <c r="C738" s="156" t="str">
        <f>IF(OR($A738="",ISERROR(VALUE(LEFT($A738,6)))),"",IF(LEN($A738)=2,"WOJ. ",IF(LEN($A738)=4,IF(VALUE(RIGHT($A738,2))&gt;60,"","Powiat "),IF(VALUE(RIGHT($A738,1))=1,"m. ",IF(VALUE(RIGHT($A738,1))=2,"gm. w. ",IF(VALUE(RIGHT($A738,1))=8,"dz. ","gm. m.-w. ")))))&amp;IF(LEN($A738)=2,TRIM(UPPER(VLOOKUP($A738,GUS_tabl_1!$A$7:$B$22,2,FALSE))),IF(ISERROR(FIND("..",TRIM(VLOOKUP(IF(AND(LEN($A738)=4,VALUE(RIGHT($A738,2))&gt;60),$A738&amp;"01 1",$A738),IF(AND(LEN($A738)=4,VALUE(RIGHT($A738,2))&lt;60),GUS_tabl_2!$A$8:$B$464,GUS_tabl_21!$A$5:$B$4886),2,FALSE)))),TRIM(VLOOKUP(IF(AND(LEN($A738)=4,VALUE(RIGHT($A738,2))&gt;60),$A738&amp;"01 1",$A738),IF(AND(LEN($A738)=4,VALUE(RIGHT($A738,2))&lt;60),GUS_tabl_2!$A$8:$B$464,GUS_tabl_21!$A$5:$B$4886),2,FALSE)),LEFT(TRIM(VLOOKUP(IF(AND(LEN($A738)=4,VALUE(RIGHT($A738,2))&gt;60),$A738&amp;"01 1",$A738),IF(AND(LEN($A738)=4,VALUE(RIGHT($A738,2))&lt;60),GUS_tabl_2!$A$8:$B$464,GUS_tabl_21!$A$5:$B$4886),2,FALSE)),SUM(FIND("..",TRIM(VLOOKUP(IF(AND(LEN($A738)=4,VALUE(RIGHT($A738,2))&gt;60),$A738&amp;"01 1",$A738),IF(AND(LEN($A738)=4,VALUE(RIGHT($A738,2))&lt;60),GUS_tabl_2!$A$8:$B$464,GUS_tabl_21!$A$5:$B$4886),2,FALSE))),-1)))))</f>
        <v>gm. w. Kleszczów</v>
      </c>
      <c r="D738" s="141">
        <f>IF(OR($A738="",ISERROR(VALUE(LEFT($A738,6)))),"",IF(LEN($A738)=2,SUMIF($A739:$A$2965,$A738&amp;"??",$D739:$D$2965),IF(AND(LEN($A738)=4,VALUE(RIGHT($A738,2))&lt;=60),SUMIF($A739:$A$2965,$A738&amp;"????",$D739:$D$2965),VLOOKUP(IF(LEN($A738)=4,$A738&amp;"01 1",$A738),GUS_tabl_21!$A$5:$F$4886,6,FALSE))))</f>
        <v>6335</v>
      </c>
      <c r="E738" s="29"/>
    </row>
    <row r="739" spans="1:5" ht="12" customHeight="1">
      <c r="A739" s="155" t="str">
        <f>"100105 2"</f>
        <v>100105 2</v>
      </c>
      <c r="B739" s="153" t="s">
        <v>39</v>
      </c>
      <c r="C739" s="156" t="str">
        <f>IF(OR($A739="",ISERROR(VALUE(LEFT($A739,6)))),"",IF(LEN($A739)=2,"WOJ. ",IF(LEN($A739)=4,IF(VALUE(RIGHT($A739,2))&gt;60,"","Powiat "),IF(VALUE(RIGHT($A739,1))=1,"m. ",IF(VALUE(RIGHT($A739,1))=2,"gm. w. ",IF(VALUE(RIGHT($A739,1))=8,"dz. ","gm. m.-w. ")))))&amp;IF(LEN($A739)=2,TRIM(UPPER(VLOOKUP($A739,GUS_tabl_1!$A$7:$B$22,2,FALSE))),IF(ISERROR(FIND("..",TRIM(VLOOKUP(IF(AND(LEN($A739)=4,VALUE(RIGHT($A739,2))&gt;60),$A739&amp;"01 1",$A739),IF(AND(LEN($A739)=4,VALUE(RIGHT($A739,2))&lt;60),GUS_tabl_2!$A$8:$B$464,GUS_tabl_21!$A$5:$B$4886),2,FALSE)))),TRIM(VLOOKUP(IF(AND(LEN($A739)=4,VALUE(RIGHT($A739,2))&gt;60),$A739&amp;"01 1",$A739),IF(AND(LEN($A739)=4,VALUE(RIGHT($A739,2))&lt;60),GUS_tabl_2!$A$8:$B$464,GUS_tabl_21!$A$5:$B$4886),2,FALSE)),LEFT(TRIM(VLOOKUP(IF(AND(LEN($A739)=4,VALUE(RIGHT($A739,2))&gt;60),$A739&amp;"01 1",$A739),IF(AND(LEN($A739)=4,VALUE(RIGHT($A739,2))&lt;60),GUS_tabl_2!$A$8:$B$464,GUS_tabl_21!$A$5:$B$4886),2,FALSE)),SUM(FIND("..",TRIM(VLOOKUP(IF(AND(LEN($A739)=4,VALUE(RIGHT($A739,2))&gt;60),$A739&amp;"01 1",$A739),IF(AND(LEN($A739)=4,VALUE(RIGHT($A739,2))&lt;60),GUS_tabl_2!$A$8:$B$464,GUS_tabl_21!$A$5:$B$4886),2,FALSE))),-1)))))</f>
        <v>gm. w. Kluki</v>
      </c>
      <c r="D739" s="141">
        <f>IF(OR($A739="",ISERROR(VALUE(LEFT($A739,6)))),"",IF(LEN($A739)=2,SUMIF($A740:$A$2965,$A739&amp;"??",$D740:$D$2965),IF(AND(LEN($A739)=4,VALUE(RIGHT($A739,2))&lt;=60),SUMIF($A740:$A$2965,$A739&amp;"????",$D740:$D$2965),VLOOKUP(IF(LEN($A739)=4,$A739&amp;"01 1",$A739),GUS_tabl_21!$A$5:$F$4886,6,FALSE))))</f>
        <v>4372</v>
      </c>
      <c r="E739" s="29"/>
    </row>
    <row r="740" spans="1:5" ht="12" customHeight="1">
      <c r="A740" s="155" t="str">
        <f>"100106 2"</f>
        <v>100106 2</v>
      </c>
      <c r="B740" s="153" t="s">
        <v>39</v>
      </c>
      <c r="C740" s="156" t="str">
        <f>IF(OR($A740="",ISERROR(VALUE(LEFT($A740,6)))),"",IF(LEN($A740)=2,"WOJ. ",IF(LEN($A740)=4,IF(VALUE(RIGHT($A740,2))&gt;60,"","Powiat "),IF(VALUE(RIGHT($A740,1))=1,"m. ",IF(VALUE(RIGHT($A740,1))=2,"gm. w. ",IF(VALUE(RIGHT($A740,1))=8,"dz. ","gm. m.-w. ")))))&amp;IF(LEN($A740)=2,TRIM(UPPER(VLOOKUP($A740,GUS_tabl_1!$A$7:$B$22,2,FALSE))),IF(ISERROR(FIND("..",TRIM(VLOOKUP(IF(AND(LEN($A740)=4,VALUE(RIGHT($A740,2))&gt;60),$A740&amp;"01 1",$A740),IF(AND(LEN($A740)=4,VALUE(RIGHT($A740,2))&lt;60),GUS_tabl_2!$A$8:$B$464,GUS_tabl_21!$A$5:$B$4886),2,FALSE)))),TRIM(VLOOKUP(IF(AND(LEN($A740)=4,VALUE(RIGHT($A740,2))&gt;60),$A740&amp;"01 1",$A740),IF(AND(LEN($A740)=4,VALUE(RIGHT($A740,2))&lt;60),GUS_tabl_2!$A$8:$B$464,GUS_tabl_21!$A$5:$B$4886),2,FALSE)),LEFT(TRIM(VLOOKUP(IF(AND(LEN($A740)=4,VALUE(RIGHT($A740,2))&gt;60),$A740&amp;"01 1",$A740),IF(AND(LEN($A740)=4,VALUE(RIGHT($A740,2))&lt;60),GUS_tabl_2!$A$8:$B$464,GUS_tabl_21!$A$5:$B$4886),2,FALSE)),SUM(FIND("..",TRIM(VLOOKUP(IF(AND(LEN($A740)=4,VALUE(RIGHT($A740,2))&gt;60),$A740&amp;"01 1",$A740),IF(AND(LEN($A740)=4,VALUE(RIGHT($A740,2))&lt;60),GUS_tabl_2!$A$8:$B$464,GUS_tabl_21!$A$5:$B$4886),2,FALSE))),-1)))))</f>
        <v>gm. w. Rusiec</v>
      </c>
      <c r="D740" s="141">
        <f>IF(OR($A740="",ISERROR(VALUE(LEFT($A740,6)))),"",IF(LEN($A740)=2,SUMIF($A741:$A$2965,$A740&amp;"??",$D741:$D$2965),IF(AND(LEN($A740)=4,VALUE(RIGHT($A740,2))&lt;=60),SUMIF($A741:$A$2965,$A740&amp;"????",$D741:$D$2965),VLOOKUP(IF(LEN($A740)=4,$A740&amp;"01 1",$A740),GUS_tabl_21!$A$5:$F$4886,6,FALSE))))</f>
        <v>5080</v>
      </c>
      <c r="E740" s="29"/>
    </row>
    <row r="741" spans="1:5" ht="12" customHeight="1">
      <c r="A741" s="155" t="str">
        <f>"100107 2"</f>
        <v>100107 2</v>
      </c>
      <c r="B741" s="153" t="s">
        <v>39</v>
      </c>
      <c r="C741" s="156" t="str">
        <f>IF(OR($A741="",ISERROR(VALUE(LEFT($A741,6)))),"",IF(LEN($A741)=2,"WOJ. ",IF(LEN($A741)=4,IF(VALUE(RIGHT($A741,2))&gt;60,"","Powiat "),IF(VALUE(RIGHT($A741,1))=1,"m. ",IF(VALUE(RIGHT($A741,1))=2,"gm. w. ",IF(VALUE(RIGHT($A741,1))=8,"dz. ","gm. m.-w. ")))))&amp;IF(LEN($A741)=2,TRIM(UPPER(VLOOKUP($A741,GUS_tabl_1!$A$7:$B$22,2,FALSE))),IF(ISERROR(FIND("..",TRIM(VLOOKUP(IF(AND(LEN($A741)=4,VALUE(RIGHT($A741,2))&gt;60),$A741&amp;"01 1",$A741),IF(AND(LEN($A741)=4,VALUE(RIGHT($A741,2))&lt;60),GUS_tabl_2!$A$8:$B$464,GUS_tabl_21!$A$5:$B$4886),2,FALSE)))),TRIM(VLOOKUP(IF(AND(LEN($A741)=4,VALUE(RIGHT($A741,2))&gt;60),$A741&amp;"01 1",$A741),IF(AND(LEN($A741)=4,VALUE(RIGHT($A741,2))&lt;60),GUS_tabl_2!$A$8:$B$464,GUS_tabl_21!$A$5:$B$4886),2,FALSE)),LEFT(TRIM(VLOOKUP(IF(AND(LEN($A741)=4,VALUE(RIGHT($A741,2))&gt;60),$A741&amp;"01 1",$A741),IF(AND(LEN($A741)=4,VALUE(RIGHT($A741,2))&lt;60),GUS_tabl_2!$A$8:$B$464,GUS_tabl_21!$A$5:$B$4886),2,FALSE)),SUM(FIND("..",TRIM(VLOOKUP(IF(AND(LEN($A741)=4,VALUE(RIGHT($A741,2))&gt;60),$A741&amp;"01 1",$A741),IF(AND(LEN($A741)=4,VALUE(RIGHT($A741,2))&lt;60),GUS_tabl_2!$A$8:$B$464,GUS_tabl_21!$A$5:$B$4886),2,FALSE))),-1)))))</f>
        <v>gm. w. Szczerców</v>
      </c>
      <c r="D741" s="141">
        <f>IF(OR($A741="",ISERROR(VALUE(LEFT($A741,6)))),"",IF(LEN($A741)=2,SUMIF($A742:$A$2965,$A741&amp;"??",$D742:$D$2965),IF(AND(LEN($A741)=4,VALUE(RIGHT($A741,2))&lt;=60),SUMIF($A742:$A$2965,$A741&amp;"????",$D742:$D$2965),VLOOKUP(IF(LEN($A741)=4,$A741&amp;"01 1",$A741),GUS_tabl_21!$A$5:$F$4886,6,FALSE))))</f>
        <v>8255</v>
      </c>
      <c r="E741" s="29"/>
    </row>
    <row r="742" spans="1:5" ht="12" customHeight="1">
      <c r="A742" s="155" t="str">
        <f>"100108 3"</f>
        <v>100108 3</v>
      </c>
      <c r="B742" s="153" t="s">
        <v>39</v>
      </c>
      <c r="C742" s="156" t="str">
        <f>IF(OR($A742="",ISERROR(VALUE(LEFT($A742,6)))),"",IF(LEN($A742)=2,"WOJ. ",IF(LEN($A742)=4,IF(VALUE(RIGHT($A742,2))&gt;60,"","Powiat "),IF(VALUE(RIGHT($A742,1))=1,"m. ",IF(VALUE(RIGHT($A742,1))=2,"gm. w. ",IF(VALUE(RIGHT($A742,1))=8,"dz. ","gm. m.-w. ")))))&amp;IF(LEN($A742)=2,TRIM(UPPER(VLOOKUP($A742,GUS_tabl_1!$A$7:$B$22,2,FALSE))),IF(ISERROR(FIND("..",TRIM(VLOOKUP(IF(AND(LEN($A742)=4,VALUE(RIGHT($A742,2))&gt;60),$A742&amp;"01 1",$A742),IF(AND(LEN($A742)=4,VALUE(RIGHT($A742,2))&lt;60),GUS_tabl_2!$A$8:$B$464,GUS_tabl_21!$A$5:$B$4886),2,FALSE)))),TRIM(VLOOKUP(IF(AND(LEN($A742)=4,VALUE(RIGHT($A742,2))&gt;60),$A742&amp;"01 1",$A742),IF(AND(LEN($A742)=4,VALUE(RIGHT($A742,2))&lt;60),GUS_tabl_2!$A$8:$B$464,GUS_tabl_21!$A$5:$B$4886),2,FALSE)),LEFT(TRIM(VLOOKUP(IF(AND(LEN($A742)=4,VALUE(RIGHT($A742,2))&gt;60),$A742&amp;"01 1",$A742),IF(AND(LEN($A742)=4,VALUE(RIGHT($A742,2))&lt;60),GUS_tabl_2!$A$8:$B$464,GUS_tabl_21!$A$5:$B$4886),2,FALSE)),SUM(FIND("..",TRIM(VLOOKUP(IF(AND(LEN($A742)=4,VALUE(RIGHT($A742,2))&gt;60),$A742&amp;"01 1",$A742),IF(AND(LEN($A742)=4,VALUE(RIGHT($A742,2))&lt;60),GUS_tabl_2!$A$8:$B$464,GUS_tabl_21!$A$5:$B$4886),2,FALSE))),-1)))))</f>
        <v>gm. m.-w. Zelów</v>
      </c>
      <c r="D742" s="141">
        <f>IF(OR($A742="",ISERROR(VALUE(LEFT($A742,6)))),"",IF(LEN($A742)=2,SUMIF($A743:$A$2965,$A742&amp;"??",$D743:$D$2965),IF(AND(LEN($A742)=4,VALUE(RIGHT($A742,2))&lt;=60),SUMIF($A743:$A$2965,$A742&amp;"????",$D743:$D$2965),VLOOKUP(IF(LEN($A742)=4,$A742&amp;"01 1",$A742),GUS_tabl_21!$A$5:$F$4886,6,FALSE))))</f>
        <v>14955</v>
      </c>
      <c r="E742" s="29"/>
    </row>
    <row r="743" spans="1:5" ht="12" customHeight="1">
      <c r="A743" s="152" t="str">
        <f>"1021"</f>
        <v>1021</v>
      </c>
      <c r="B743" s="153" t="s">
        <v>39</v>
      </c>
      <c r="C743" s="154" t="str">
        <f>IF(OR($A743="",ISERROR(VALUE(LEFT($A743,6)))),"",IF(LEN($A743)=2,"WOJ. ",IF(LEN($A743)=4,IF(VALUE(RIGHT($A743,2))&gt;60,"","Powiat "),IF(VALUE(RIGHT($A743,1))=1,"m. ",IF(VALUE(RIGHT($A743,1))=2,"gm. w. ",IF(VALUE(RIGHT($A743,1))=8,"dz. ","gm. m.-w. ")))))&amp;IF(LEN($A743)=2,TRIM(UPPER(VLOOKUP($A743,GUS_tabl_1!$A$7:$B$22,2,FALSE))),IF(ISERROR(FIND("..",TRIM(VLOOKUP(IF(AND(LEN($A743)=4,VALUE(RIGHT($A743,2))&gt;60),$A743&amp;"01 1",$A743),IF(AND(LEN($A743)=4,VALUE(RIGHT($A743,2))&lt;60),GUS_tabl_2!$A$8:$B$464,GUS_tabl_21!$A$5:$B$4886),2,FALSE)))),TRIM(VLOOKUP(IF(AND(LEN($A743)=4,VALUE(RIGHT($A743,2))&gt;60),$A743&amp;"01 1",$A743),IF(AND(LEN($A743)=4,VALUE(RIGHT($A743,2))&lt;60),GUS_tabl_2!$A$8:$B$464,GUS_tabl_21!$A$5:$B$4886),2,FALSE)),LEFT(TRIM(VLOOKUP(IF(AND(LEN($A743)=4,VALUE(RIGHT($A743,2))&gt;60),$A743&amp;"01 1",$A743),IF(AND(LEN($A743)=4,VALUE(RIGHT($A743,2))&lt;60),GUS_tabl_2!$A$8:$B$464,GUS_tabl_21!$A$5:$B$4886),2,FALSE)),SUM(FIND("..",TRIM(VLOOKUP(IF(AND(LEN($A743)=4,VALUE(RIGHT($A743,2))&gt;60),$A743&amp;"01 1",$A743),IF(AND(LEN($A743)=4,VALUE(RIGHT($A743,2))&lt;60),GUS_tabl_2!$A$8:$B$464,GUS_tabl_21!$A$5:$B$4886),2,FALSE))),-1)))))</f>
        <v>Powiat brzeziński</v>
      </c>
      <c r="D743" s="140">
        <f>IF(OR($A743="",ISERROR(VALUE(LEFT($A743,6)))),"",IF(LEN($A743)=2,SUMIF($A744:$A$2965,$A743&amp;"??",$D744:$D$2965),IF(AND(LEN($A743)=4,VALUE(RIGHT($A743,2))&lt;=60),SUMIF($A744:$A$2965,$A743&amp;"????",$D744:$D$2965),VLOOKUP(IF(LEN($A743)=4,$A743&amp;"01 1",$A743),GUS_tabl_21!$A$5:$F$4886,6,FALSE))))</f>
        <v>30833</v>
      </c>
      <c r="E743" s="168"/>
    </row>
    <row r="744" spans="1:5" ht="12" customHeight="1">
      <c r="A744" s="155" t="str">
        <f>"102101 1"</f>
        <v>102101 1</v>
      </c>
      <c r="B744" s="153" t="s">
        <v>39</v>
      </c>
      <c r="C744" s="156" t="str">
        <f>IF(OR($A744="",ISERROR(VALUE(LEFT($A744,6)))),"",IF(LEN($A744)=2,"WOJ. ",IF(LEN($A744)=4,IF(VALUE(RIGHT($A744,2))&gt;60,"","Powiat "),IF(VALUE(RIGHT($A744,1))=1,"m. ",IF(VALUE(RIGHT($A744,1))=2,"gm. w. ",IF(VALUE(RIGHT($A744,1))=8,"dz. ","gm. m.-w. ")))))&amp;IF(LEN($A744)=2,TRIM(UPPER(VLOOKUP($A744,GUS_tabl_1!$A$7:$B$22,2,FALSE))),IF(ISERROR(FIND("..",TRIM(VLOOKUP(IF(AND(LEN($A744)=4,VALUE(RIGHT($A744,2))&gt;60),$A744&amp;"01 1",$A744),IF(AND(LEN($A744)=4,VALUE(RIGHT($A744,2))&lt;60),GUS_tabl_2!$A$8:$B$464,GUS_tabl_21!$A$5:$B$4886),2,FALSE)))),TRIM(VLOOKUP(IF(AND(LEN($A744)=4,VALUE(RIGHT($A744,2))&gt;60),$A744&amp;"01 1",$A744),IF(AND(LEN($A744)=4,VALUE(RIGHT($A744,2))&lt;60),GUS_tabl_2!$A$8:$B$464,GUS_tabl_21!$A$5:$B$4886),2,FALSE)),LEFT(TRIM(VLOOKUP(IF(AND(LEN($A744)=4,VALUE(RIGHT($A744,2))&gt;60),$A744&amp;"01 1",$A744),IF(AND(LEN($A744)=4,VALUE(RIGHT($A744,2))&lt;60),GUS_tabl_2!$A$8:$B$464,GUS_tabl_21!$A$5:$B$4886),2,FALSE)),SUM(FIND("..",TRIM(VLOOKUP(IF(AND(LEN($A744)=4,VALUE(RIGHT($A744,2))&gt;60),$A744&amp;"01 1",$A744),IF(AND(LEN($A744)=4,VALUE(RIGHT($A744,2))&lt;60),GUS_tabl_2!$A$8:$B$464,GUS_tabl_21!$A$5:$B$4886),2,FALSE))),-1)))))</f>
        <v>m. Brzeziny</v>
      </c>
      <c r="D744" s="141">
        <f>IF(OR($A744="",ISERROR(VALUE(LEFT($A744,6)))),"",IF(LEN($A744)=2,SUMIF($A745:$A$2965,$A744&amp;"??",$D745:$D$2965),IF(AND(LEN($A744)=4,VALUE(RIGHT($A744,2))&lt;=60),SUMIF($A745:$A$2965,$A744&amp;"????",$D745:$D$2965),VLOOKUP(IF(LEN($A744)=4,$A744&amp;"01 1",$A744),GUS_tabl_21!$A$5:$F$4886,6,FALSE))))</f>
        <v>12501</v>
      </c>
      <c r="E744" s="29"/>
    </row>
    <row r="745" spans="1:5" ht="12" customHeight="1">
      <c r="A745" s="155" t="str">
        <f>"102102 2"</f>
        <v>102102 2</v>
      </c>
      <c r="B745" s="153" t="s">
        <v>39</v>
      </c>
      <c r="C745" s="156" t="str">
        <f>IF(OR($A745="",ISERROR(VALUE(LEFT($A745,6)))),"",IF(LEN($A745)=2,"WOJ. ",IF(LEN($A745)=4,IF(VALUE(RIGHT($A745,2))&gt;60,"","Powiat "),IF(VALUE(RIGHT($A745,1))=1,"m. ",IF(VALUE(RIGHT($A745,1))=2,"gm. w. ",IF(VALUE(RIGHT($A745,1))=8,"dz. ","gm. m.-w. ")))))&amp;IF(LEN($A745)=2,TRIM(UPPER(VLOOKUP($A745,GUS_tabl_1!$A$7:$B$22,2,FALSE))),IF(ISERROR(FIND("..",TRIM(VLOOKUP(IF(AND(LEN($A745)=4,VALUE(RIGHT($A745,2))&gt;60),$A745&amp;"01 1",$A745),IF(AND(LEN($A745)=4,VALUE(RIGHT($A745,2))&lt;60),GUS_tabl_2!$A$8:$B$464,GUS_tabl_21!$A$5:$B$4886),2,FALSE)))),TRIM(VLOOKUP(IF(AND(LEN($A745)=4,VALUE(RIGHT($A745,2))&gt;60),$A745&amp;"01 1",$A745),IF(AND(LEN($A745)=4,VALUE(RIGHT($A745,2))&lt;60),GUS_tabl_2!$A$8:$B$464,GUS_tabl_21!$A$5:$B$4886),2,FALSE)),LEFT(TRIM(VLOOKUP(IF(AND(LEN($A745)=4,VALUE(RIGHT($A745,2))&gt;60),$A745&amp;"01 1",$A745),IF(AND(LEN($A745)=4,VALUE(RIGHT($A745,2))&lt;60),GUS_tabl_2!$A$8:$B$464,GUS_tabl_21!$A$5:$B$4886),2,FALSE)),SUM(FIND("..",TRIM(VLOOKUP(IF(AND(LEN($A745)=4,VALUE(RIGHT($A745,2))&gt;60),$A745&amp;"01 1",$A745),IF(AND(LEN($A745)=4,VALUE(RIGHT($A745,2))&lt;60),GUS_tabl_2!$A$8:$B$464,GUS_tabl_21!$A$5:$B$4886),2,FALSE))),-1)))))</f>
        <v>gm. w. Brzeziny</v>
      </c>
      <c r="D745" s="141">
        <f>IF(OR($A745="",ISERROR(VALUE(LEFT($A745,6)))),"",IF(LEN($A745)=2,SUMIF($A746:$A$2965,$A745&amp;"??",$D746:$D$2965),IF(AND(LEN($A745)=4,VALUE(RIGHT($A745,2))&lt;=60),SUMIF($A746:$A$2965,$A745&amp;"????",$D746:$D$2965),VLOOKUP(IF(LEN($A745)=4,$A745&amp;"01 1",$A745),GUS_tabl_21!$A$5:$F$4886,6,FALSE))))</f>
        <v>5783</v>
      </c>
      <c r="E745" s="29"/>
    </row>
    <row r="746" spans="1:5" ht="12" customHeight="1">
      <c r="A746" s="155" t="str">
        <f>"102103 2"</f>
        <v>102103 2</v>
      </c>
      <c r="B746" s="153" t="s">
        <v>39</v>
      </c>
      <c r="C746" s="156" t="str">
        <f>IF(OR($A746="",ISERROR(VALUE(LEFT($A746,6)))),"",IF(LEN($A746)=2,"WOJ. ",IF(LEN($A746)=4,IF(VALUE(RIGHT($A746,2))&gt;60,"","Powiat "),IF(VALUE(RIGHT($A746,1))=1,"m. ",IF(VALUE(RIGHT($A746,1))=2,"gm. w. ",IF(VALUE(RIGHT($A746,1))=8,"dz. ","gm. m.-w. ")))))&amp;IF(LEN($A746)=2,TRIM(UPPER(VLOOKUP($A746,GUS_tabl_1!$A$7:$B$22,2,FALSE))),IF(ISERROR(FIND("..",TRIM(VLOOKUP(IF(AND(LEN($A746)=4,VALUE(RIGHT($A746,2))&gt;60),$A746&amp;"01 1",$A746),IF(AND(LEN($A746)=4,VALUE(RIGHT($A746,2))&lt;60),GUS_tabl_2!$A$8:$B$464,GUS_tabl_21!$A$5:$B$4886),2,FALSE)))),TRIM(VLOOKUP(IF(AND(LEN($A746)=4,VALUE(RIGHT($A746,2))&gt;60),$A746&amp;"01 1",$A746),IF(AND(LEN($A746)=4,VALUE(RIGHT($A746,2))&lt;60),GUS_tabl_2!$A$8:$B$464,GUS_tabl_21!$A$5:$B$4886),2,FALSE)),LEFT(TRIM(VLOOKUP(IF(AND(LEN($A746)=4,VALUE(RIGHT($A746,2))&gt;60),$A746&amp;"01 1",$A746),IF(AND(LEN($A746)=4,VALUE(RIGHT($A746,2))&lt;60),GUS_tabl_2!$A$8:$B$464,GUS_tabl_21!$A$5:$B$4886),2,FALSE)),SUM(FIND("..",TRIM(VLOOKUP(IF(AND(LEN($A746)=4,VALUE(RIGHT($A746,2))&gt;60),$A746&amp;"01 1",$A746),IF(AND(LEN($A746)=4,VALUE(RIGHT($A746,2))&lt;60),GUS_tabl_2!$A$8:$B$464,GUS_tabl_21!$A$5:$B$4886),2,FALSE))),-1)))))</f>
        <v>gm. w. Dmosin</v>
      </c>
      <c r="D746" s="141">
        <f>IF(OR($A746="",ISERROR(VALUE(LEFT($A746,6)))),"",IF(LEN($A746)=2,SUMIF($A747:$A$2965,$A746&amp;"??",$D747:$D$2965),IF(AND(LEN($A746)=4,VALUE(RIGHT($A746,2))&lt;=60),SUMIF($A747:$A$2965,$A746&amp;"????",$D747:$D$2965),VLOOKUP(IF(LEN($A746)=4,$A746&amp;"01 1",$A746),GUS_tabl_21!$A$5:$F$4886,6,FALSE))))</f>
        <v>4463</v>
      </c>
      <c r="E746" s="29"/>
    </row>
    <row r="747" spans="1:5" ht="12" customHeight="1">
      <c r="A747" s="155" t="str">
        <f>"102104 2"</f>
        <v>102104 2</v>
      </c>
      <c r="B747" s="153" t="s">
        <v>39</v>
      </c>
      <c r="C747" s="156" t="str">
        <f>IF(OR($A747="",ISERROR(VALUE(LEFT($A747,6)))),"",IF(LEN($A747)=2,"WOJ. ",IF(LEN($A747)=4,IF(VALUE(RIGHT($A747,2))&gt;60,"","Powiat "),IF(VALUE(RIGHT($A747,1))=1,"m. ",IF(VALUE(RIGHT($A747,1))=2,"gm. w. ",IF(VALUE(RIGHT($A747,1))=8,"dz. ","gm. m.-w. ")))))&amp;IF(LEN($A747)=2,TRIM(UPPER(VLOOKUP($A747,GUS_tabl_1!$A$7:$B$22,2,FALSE))),IF(ISERROR(FIND("..",TRIM(VLOOKUP(IF(AND(LEN($A747)=4,VALUE(RIGHT($A747,2))&gt;60),$A747&amp;"01 1",$A747),IF(AND(LEN($A747)=4,VALUE(RIGHT($A747,2))&lt;60),GUS_tabl_2!$A$8:$B$464,GUS_tabl_21!$A$5:$B$4886),2,FALSE)))),TRIM(VLOOKUP(IF(AND(LEN($A747)=4,VALUE(RIGHT($A747,2))&gt;60),$A747&amp;"01 1",$A747),IF(AND(LEN($A747)=4,VALUE(RIGHT($A747,2))&lt;60),GUS_tabl_2!$A$8:$B$464,GUS_tabl_21!$A$5:$B$4886),2,FALSE)),LEFT(TRIM(VLOOKUP(IF(AND(LEN($A747)=4,VALUE(RIGHT($A747,2))&gt;60),$A747&amp;"01 1",$A747),IF(AND(LEN($A747)=4,VALUE(RIGHT($A747,2))&lt;60),GUS_tabl_2!$A$8:$B$464,GUS_tabl_21!$A$5:$B$4886),2,FALSE)),SUM(FIND("..",TRIM(VLOOKUP(IF(AND(LEN($A747)=4,VALUE(RIGHT($A747,2))&gt;60),$A747&amp;"01 1",$A747),IF(AND(LEN($A747)=4,VALUE(RIGHT($A747,2))&lt;60),GUS_tabl_2!$A$8:$B$464,GUS_tabl_21!$A$5:$B$4886),2,FALSE))),-1)))))</f>
        <v>gm. w. Jeżów</v>
      </c>
      <c r="D747" s="141">
        <f>IF(OR($A747="",ISERROR(VALUE(LEFT($A747,6)))),"",IF(LEN($A747)=2,SUMIF($A748:$A$2965,$A747&amp;"??",$D748:$D$2965),IF(AND(LEN($A747)=4,VALUE(RIGHT($A747,2))&lt;=60),SUMIF($A748:$A$2965,$A747&amp;"????",$D748:$D$2965),VLOOKUP(IF(LEN($A747)=4,$A747&amp;"01 1",$A747),GUS_tabl_21!$A$5:$F$4886,6,FALSE))))</f>
        <v>3375</v>
      </c>
      <c r="E747" s="29"/>
    </row>
    <row r="748" spans="1:5" ht="12" customHeight="1">
      <c r="A748" s="155" t="str">
        <f>"102105 2"</f>
        <v>102105 2</v>
      </c>
      <c r="B748" s="153" t="s">
        <v>39</v>
      </c>
      <c r="C748" s="156" t="str">
        <f>IF(OR($A748="",ISERROR(VALUE(LEFT($A748,6)))),"",IF(LEN($A748)=2,"WOJ. ",IF(LEN($A748)=4,IF(VALUE(RIGHT($A748,2))&gt;60,"","Powiat "),IF(VALUE(RIGHT($A748,1))=1,"m. ",IF(VALUE(RIGHT($A748,1))=2,"gm. w. ",IF(VALUE(RIGHT($A748,1))=8,"dz. ","gm. m.-w. ")))))&amp;IF(LEN($A748)=2,TRIM(UPPER(VLOOKUP($A748,GUS_tabl_1!$A$7:$B$22,2,FALSE))),IF(ISERROR(FIND("..",TRIM(VLOOKUP(IF(AND(LEN($A748)=4,VALUE(RIGHT($A748,2))&gt;60),$A748&amp;"01 1",$A748),IF(AND(LEN($A748)=4,VALUE(RIGHT($A748,2))&lt;60),GUS_tabl_2!$A$8:$B$464,GUS_tabl_21!$A$5:$B$4886),2,FALSE)))),TRIM(VLOOKUP(IF(AND(LEN($A748)=4,VALUE(RIGHT($A748,2))&gt;60),$A748&amp;"01 1",$A748),IF(AND(LEN($A748)=4,VALUE(RIGHT($A748,2))&lt;60),GUS_tabl_2!$A$8:$B$464,GUS_tabl_21!$A$5:$B$4886),2,FALSE)),LEFT(TRIM(VLOOKUP(IF(AND(LEN($A748)=4,VALUE(RIGHT($A748,2))&gt;60),$A748&amp;"01 1",$A748),IF(AND(LEN($A748)=4,VALUE(RIGHT($A748,2))&lt;60),GUS_tabl_2!$A$8:$B$464,GUS_tabl_21!$A$5:$B$4886),2,FALSE)),SUM(FIND("..",TRIM(VLOOKUP(IF(AND(LEN($A748)=4,VALUE(RIGHT($A748,2))&gt;60),$A748&amp;"01 1",$A748),IF(AND(LEN($A748)=4,VALUE(RIGHT($A748,2))&lt;60),GUS_tabl_2!$A$8:$B$464,GUS_tabl_21!$A$5:$B$4886),2,FALSE))),-1)))))</f>
        <v>gm. w. Rogów</v>
      </c>
      <c r="D748" s="141">
        <f>IF(OR($A748="",ISERROR(VALUE(LEFT($A748,6)))),"",IF(LEN($A748)=2,SUMIF($A749:$A$2965,$A748&amp;"??",$D749:$D$2965),IF(AND(LEN($A748)=4,VALUE(RIGHT($A748,2))&lt;=60),SUMIF($A749:$A$2965,$A748&amp;"????",$D749:$D$2965),VLOOKUP(IF(LEN($A748)=4,$A748&amp;"01 1",$A748),GUS_tabl_21!$A$5:$F$4886,6,FALSE))))</f>
        <v>4711</v>
      </c>
      <c r="E748" s="29"/>
    </row>
    <row r="749" spans="1:5" ht="12" customHeight="1">
      <c r="A749" s="152" t="str">
        <f>"1002"</f>
        <v>1002</v>
      </c>
      <c r="B749" s="153" t="s">
        <v>39</v>
      </c>
      <c r="C749" s="154" t="str">
        <f>IF(OR($A749="",ISERROR(VALUE(LEFT($A749,6)))),"",IF(LEN($A749)=2,"WOJ. ",IF(LEN($A749)=4,IF(VALUE(RIGHT($A749,2))&gt;60,"","Powiat "),IF(VALUE(RIGHT($A749,1))=1,"m. ",IF(VALUE(RIGHT($A749,1))=2,"gm. w. ",IF(VALUE(RIGHT($A749,1))=8,"dz. ","gm. m.-w. ")))))&amp;IF(LEN($A749)=2,TRIM(UPPER(VLOOKUP($A749,GUS_tabl_1!$A$7:$B$22,2,FALSE))),IF(ISERROR(FIND("..",TRIM(VLOOKUP(IF(AND(LEN($A749)=4,VALUE(RIGHT($A749,2))&gt;60),$A749&amp;"01 1",$A749),IF(AND(LEN($A749)=4,VALUE(RIGHT($A749,2))&lt;60),GUS_tabl_2!$A$8:$B$464,GUS_tabl_21!$A$5:$B$4886),2,FALSE)))),TRIM(VLOOKUP(IF(AND(LEN($A749)=4,VALUE(RIGHT($A749,2))&gt;60),$A749&amp;"01 1",$A749),IF(AND(LEN($A749)=4,VALUE(RIGHT($A749,2))&lt;60),GUS_tabl_2!$A$8:$B$464,GUS_tabl_21!$A$5:$B$4886),2,FALSE)),LEFT(TRIM(VLOOKUP(IF(AND(LEN($A749)=4,VALUE(RIGHT($A749,2))&gt;60),$A749&amp;"01 1",$A749),IF(AND(LEN($A749)=4,VALUE(RIGHT($A749,2))&lt;60),GUS_tabl_2!$A$8:$B$464,GUS_tabl_21!$A$5:$B$4886),2,FALSE)),SUM(FIND("..",TRIM(VLOOKUP(IF(AND(LEN($A749)=4,VALUE(RIGHT($A749,2))&gt;60),$A749&amp;"01 1",$A749),IF(AND(LEN($A749)=4,VALUE(RIGHT($A749,2))&lt;60),GUS_tabl_2!$A$8:$B$464,GUS_tabl_21!$A$5:$B$4886),2,FALSE))),-1)))))</f>
        <v>Powiat kutnowski</v>
      </c>
      <c r="D749" s="140">
        <f>IF(OR($A749="",ISERROR(VALUE(LEFT($A749,6)))),"",IF(LEN($A749)=2,SUMIF($A750:$A$2965,$A749&amp;"??",$D750:$D$2965),IF(AND(LEN($A749)=4,VALUE(RIGHT($A749,2))&lt;=60),SUMIF($A750:$A$2965,$A749&amp;"????",$D750:$D$2965),VLOOKUP(IF(LEN($A749)=4,$A749&amp;"01 1",$A749),GUS_tabl_21!$A$5:$F$4886,6,FALSE))))</f>
        <v>96569</v>
      </c>
      <c r="E749" s="29"/>
    </row>
    <row r="750" spans="1:5" ht="12" customHeight="1">
      <c r="A750" s="155" t="str">
        <f>"100201 1"</f>
        <v>100201 1</v>
      </c>
      <c r="B750" s="153" t="s">
        <v>39</v>
      </c>
      <c r="C750" s="156" t="str">
        <f>IF(OR($A750="",ISERROR(VALUE(LEFT($A750,6)))),"",IF(LEN($A750)=2,"WOJ. ",IF(LEN($A750)=4,IF(VALUE(RIGHT($A750,2))&gt;60,"","Powiat "),IF(VALUE(RIGHT($A750,1))=1,"m. ",IF(VALUE(RIGHT($A750,1))=2,"gm. w. ",IF(VALUE(RIGHT($A750,1))=8,"dz. ","gm. m.-w. ")))))&amp;IF(LEN($A750)=2,TRIM(UPPER(VLOOKUP($A750,GUS_tabl_1!$A$7:$B$22,2,FALSE))),IF(ISERROR(FIND("..",TRIM(VLOOKUP(IF(AND(LEN($A750)=4,VALUE(RIGHT($A750,2))&gt;60),$A750&amp;"01 1",$A750),IF(AND(LEN($A750)=4,VALUE(RIGHT($A750,2))&lt;60),GUS_tabl_2!$A$8:$B$464,GUS_tabl_21!$A$5:$B$4886),2,FALSE)))),TRIM(VLOOKUP(IF(AND(LEN($A750)=4,VALUE(RIGHT($A750,2))&gt;60),$A750&amp;"01 1",$A750),IF(AND(LEN($A750)=4,VALUE(RIGHT($A750,2))&lt;60),GUS_tabl_2!$A$8:$B$464,GUS_tabl_21!$A$5:$B$4886),2,FALSE)),LEFT(TRIM(VLOOKUP(IF(AND(LEN($A750)=4,VALUE(RIGHT($A750,2))&gt;60),$A750&amp;"01 1",$A750),IF(AND(LEN($A750)=4,VALUE(RIGHT($A750,2))&lt;60),GUS_tabl_2!$A$8:$B$464,GUS_tabl_21!$A$5:$B$4886),2,FALSE)),SUM(FIND("..",TRIM(VLOOKUP(IF(AND(LEN($A750)=4,VALUE(RIGHT($A750,2))&gt;60),$A750&amp;"01 1",$A750),IF(AND(LEN($A750)=4,VALUE(RIGHT($A750,2))&lt;60),GUS_tabl_2!$A$8:$B$464,GUS_tabl_21!$A$5:$B$4886),2,FALSE))),-1)))))</f>
        <v>m. Kutno</v>
      </c>
      <c r="D750" s="141">
        <f>IF(OR($A750="",ISERROR(VALUE(LEFT($A750,6)))),"",IF(LEN($A750)=2,SUMIF($A751:$A$2965,$A750&amp;"??",$D751:$D$2965),IF(AND(LEN($A750)=4,VALUE(RIGHT($A750,2))&lt;=60),SUMIF($A751:$A$2965,$A750&amp;"????",$D751:$D$2965),VLOOKUP(IF(LEN($A750)=4,$A750&amp;"01 1",$A750),GUS_tabl_21!$A$5:$F$4886,6,FALSE))))</f>
        <v>43911</v>
      </c>
      <c r="E750" s="29"/>
    </row>
    <row r="751" spans="1:5" ht="12" customHeight="1">
      <c r="A751" s="155" t="str">
        <f>"100202 2"</f>
        <v>100202 2</v>
      </c>
      <c r="B751" s="153" t="s">
        <v>39</v>
      </c>
      <c r="C751" s="156" t="str">
        <f>IF(OR($A751="",ISERROR(VALUE(LEFT($A751,6)))),"",IF(LEN($A751)=2,"WOJ. ",IF(LEN($A751)=4,IF(VALUE(RIGHT($A751,2))&gt;60,"","Powiat "),IF(VALUE(RIGHT($A751,1))=1,"m. ",IF(VALUE(RIGHT($A751,1))=2,"gm. w. ",IF(VALUE(RIGHT($A751,1))=8,"dz. ","gm. m.-w. ")))))&amp;IF(LEN($A751)=2,TRIM(UPPER(VLOOKUP($A751,GUS_tabl_1!$A$7:$B$22,2,FALSE))),IF(ISERROR(FIND("..",TRIM(VLOOKUP(IF(AND(LEN($A751)=4,VALUE(RIGHT($A751,2))&gt;60),$A751&amp;"01 1",$A751),IF(AND(LEN($A751)=4,VALUE(RIGHT($A751,2))&lt;60),GUS_tabl_2!$A$8:$B$464,GUS_tabl_21!$A$5:$B$4886),2,FALSE)))),TRIM(VLOOKUP(IF(AND(LEN($A751)=4,VALUE(RIGHT($A751,2))&gt;60),$A751&amp;"01 1",$A751),IF(AND(LEN($A751)=4,VALUE(RIGHT($A751,2))&lt;60),GUS_tabl_2!$A$8:$B$464,GUS_tabl_21!$A$5:$B$4886),2,FALSE)),LEFT(TRIM(VLOOKUP(IF(AND(LEN($A751)=4,VALUE(RIGHT($A751,2))&gt;60),$A751&amp;"01 1",$A751),IF(AND(LEN($A751)=4,VALUE(RIGHT($A751,2))&lt;60),GUS_tabl_2!$A$8:$B$464,GUS_tabl_21!$A$5:$B$4886),2,FALSE)),SUM(FIND("..",TRIM(VLOOKUP(IF(AND(LEN($A751)=4,VALUE(RIGHT($A751,2))&gt;60),$A751&amp;"01 1",$A751),IF(AND(LEN($A751)=4,VALUE(RIGHT($A751,2))&lt;60),GUS_tabl_2!$A$8:$B$464,GUS_tabl_21!$A$5:$B$4886),2,FALSE))),-1)))))</f>
        <v>gm. w. Bedlno</v>
      </c>
      <c r="D751" s="141">
        <f>IF(OR($A751="",ISERROR(VALUE(LEFT($A751,6)))),"",IF(LEN($A751)=2,SUMIF($A752:$A$2965,$A751&amp;"??",$D752:$D$2965),IF(AND(LEN($A751)=4,VALUE(RIGHT($A751,2))&lt;=60),SUMIF($A752:$A$2965,$A751&amp;"????",$D752:$D$2965),VLOOKUP(IF(LEN($A751)=4,$A751&amp;"01 1",$A751),GUS_tabl_21!$A$5:$F$4886,6,FALSE))))</f>
        <v>5349</v>
      </c>
      <c r="E751" s="29"/>
    </row>
    <row r="752" spans="1:5" ht="12" customHeight="1">
      <c r="A752" s="155" t="str">
        <f>"100203 2"</f>
        <v>100203 2</v>
      </c>
      <c r="B752" s="153" t="s">
        <v>39</v>
      </c>
      <c r="C752" s="156" t="str">
        <f>IF(OR($A752="",ISERROR(VALUE(LEFT($A752,6)))),"",IF(LEN($A752)=2,"WOJ. ",IF(LEN($A752)=4,IF(VALUE(RIGHT($A752,2))&gt;60,"","Powiat "),IF(VALUE(RIGHT($A752,1))=1,"m. ",IF(VALUE(RIGHT($A752,1))=2,"gm. w. ",IF(VALUE(RIGHT($A752,1))=8,"dz. ","gm. m.-w. ")))))&amp;IF(LEN($A752)=2,TRIM(UPPER(VLOOKUP($A752,GUS_tabl_1!$A$7:$B$22,2,FALSE))),IF(ISERROR(FIND("..",TRIM(VLOOKUP(IF(AND(LEN($A752)=4,VALUE(RIGHT($A752,2))&gt;60),$A752&amp;"01 1",$A752),IF(AND(LEN($A752)=4,VALUE(RIGHT($A752,2))&lt;60),GUS_tabl_2!$A$8:$B$464,GUS_tabl_21!$A$5:$B$4886),2,FALSE)))),TRIM(VLOOKUP(IF(AND(LEN($A752)=4,VALUE(RIGHT($A752,2))&gt;60),$A752&amp;"01 1",$A752),IF(AND(LEN($A752)=4,VALUE(RIGHT($A752,2))&lt;60),GUS_tabl_2!$A$8:$B$464,GUS_tabl_21!$A$5:$B$4886),2,FALSE)),LEFT(TRIM(VLOOKUP(IF(AND(LEN($A752)=4,VALUE(RIGHT($A752,2))&gt;60),$A752&amp;"01 1",$A752),IF(AND(LEN($A752)=4,VALUE(RIGHT($A752,2))&lt;60),GUS_tabl_2!$A$8:$B$464,GUS_tabl_21!$A$5:$B$4886),2,FALSE)),SUM(FIND("..",TRIM(VLOOKUP(IF(AND(LEN($A752)=4,VALUE(RIGHT($A752,2))&gt;60),$A752&amp;"01 1",$A752),IF(AND(LEN($A752)=4,VALUE(RIGHT($A752,2))&lt;60),GUS_tabl_2!$A$8:$B$464,GUS_tabl_21!$A$5:$B$4886),2,FALSE))),-1)))))</f>
        <v>gm. w. Dąbrowice</v>
      </c>
      <c r="D752" s="141">
        <f>IF(OR($A752="",ISERROR(VALUE(LEFT($A752,6)))),"",IF(LEN($A752)=2,SUMIF($A753:$A$2965,$A752&amp;"??",$D753:$D$2965),IF(AND(LEN($A752)=4,VALUE(RIGHT($A752,2))&lt;=60),SUMIF($A753:$A$2965,$A752&amp;"????",$D753:$D$2965),VLOOKUP(IF(LEN($A752)=4,$A752&amp;"01 1",$A752),GUS_tabl_21!$A$5:$F$4886,6,FALSE))))</f>
        <v>1902</v>
      </c>
      <c r="E752" s="29"/>
    </row>
    <row r="753" spans="1:5" ht="12" customHeight="1">
      <c r="A753" s="155" t="str">
        <f>"100204 3"</f>
        <v>100204 3</v>
      </c>
      <c r="B753" s="153" t="s">
        <v>39</v>
      </c>
      <c r="C753" s="156" t="str">
        <f>IF(OR($A753="",ISERROR(VALUE(LEFT($A753,6)))),"",IF(LEN($A753)=2,"WOJ. ",IF(LEN($A753)=4,IF(VALUE(RIGHT($A753,2))&gt;60,"","Powiat "),IF(VALUE(RIGHT($A753,1))=1,"m. ",IF(VALUE(RIGHT($A753,1))=2,"gm. w. ",IF(VALUE(RIGHT($A753,1))=8,"dz. ","gm. m.-w. ")))))&amp;IF(LEN($A753)=2,TRIM(UPPER(VLOOKUP($A753,GUS_tabl_1!$A$7:$B$22,2,FALSE))),IF(ISERROR(FIND("..",TRIM(VLOOKUP(IF(AND(LEN($A753)=4,VALUE(RIGHT($A753,2))&gt;60),$A753&amp;"01 1",$A753),IF(AND(LEN($A753)=4,VALUE(RIGHT($A753,2))&lt;60),GUS_tabl_2!$A$8:$B$464,GUS_tabl_21!$A$5:$B$4886),2,FALSE)))),TRIM(VLOOKUP(IF(AND(LEN($A753)=4,VALUE(RIGHT($A753,2))&gt;60),$A753&amp;"01 1",$A753),IF(AND(LEN($A753)=4,VALUE(RIGHT($A753,2))&lt;60),GUS_tabl_2!$A$8:$B$464,GUS_tabl_21!$A$5:$B$4886),2,FALSE)),LEFT(TRIM(VLOOKUP(IF(AND(LEN($A753)=4,VALUE(RIGHT($A753,2))&gt;60),$A753&amp;"01 1",$A753),IF(AND(LEN($A753)=4,VALUE(RIGHT($A753,2))&lt;60),GUS_tabl_2!$A$8:$B$464,GUS_tabl_21!$A$5:$B$4886),2,FALSE)),SUM(FIND("..",TRIM(VLOOKUP(IF(AND(LEN($A753)=4,VALUE(RIGHT($A753,2))&gt;60),$A753&amp;"01 1",$A753),IF(AND(LEN($A753)=4,VALUE(RIGHT($A753,2))&lt;60),GUS_tabl_2!$A$8:$B$464,GUS_tabl_21!$A$5:$B$4886),2,FALSE))),-1)))))</f>
        <v>gm. m.-w. Krośniewice</v>
      </c>
      <c r="D753" s="141">
        <f>IF(OR($A753="",ISERROR(VALUE(LEFT($A753,6)))),"",IF(LEN($A753)=2,SUMIF($A754:$A$2965,$A753&amp;"??",$D754:$D$2965),IF(AND(LEN($A753)=4,VALUE(RIGHT($A753,2))&lt;=60),SUMIF($A754:$A$2965,$A753&amp;"????",$D754:$D$2965),VLOOKUP(IF(LEN($A753)=4,$A753&amp;"01 1",$A753),GUS_tabl_21!$A$5:$F$4886,6,FALSE))))</f>
        <v>8343</v>
      </c>
      <c r="E753" s="29"/>
    </row>
    <row r="754" spans="1:5" ht="12" customHeight="1">
      <c r="A754" s="155" t="str">
        <f>"100205 2"</f>
        <v>100205 2</v>
      </c>
      <c r="B754" s="153" t="s">
        <v>39</v>
      </c>
      <c r="C754" s="156" t="str">
        <f>IF(OR($A754="",ISERROR(VALUE(LEFT($A754,6)))),"",IF(LEN($A754)=2,"WOJ. ",IF(LEN($A754)=4,IF(VALUE(RIGHT($A754,2))&gt;60,"","Powiat "),IF(VALUE(RIGHT($A754,1))=1,"m. ",IF(VALUE(RIGHT($A754,1))=2,"gm. w. ",IF(VALUE(RIGHT($A754,1))=8,"dz. ","gm. m.-w. ")))))&amp;IF(LEN($A754)=2,TRIM(UPPER(VLOOKUP($A754,GUS_tabl_1!$A$7:$B$22,2,FALSE))),IF(ISERROR(FIND("..",TRIM(VLOOKUP(IF(AND(LEN($A754)=4,VALUE(RIGHT($A754,2))&gt;60),$A754&amp;"01 1",$A754),IF(AND(LEN($A754)=4,VALUE(RIGHT($A754,2))&lt;60),GUS_tabl_2!$A$8:$B$464,GUS_tabl_21!$A$5:$B$4886),2,FALSE)))),TRIM(VLOOKUP(IF(AND(LEN($A754)=4,VALUE(RIGHT($A754,2))&gt;60),$A754&amp;"01 1",$A754),IF(AND(LEN($A754)=4,VALUE(RIGHT($A754,2))&lt;60),GUS_tabl_2!$A$8:$B$464,GUS_tabl_21!$A$5:$B$4886),2,FALSE)),LEFT(TRIM(VLOOKUP(IF(AND(LEN($A754)=4,VALUE(RIGHT($A754,2))&gt;60),$A754&amp;"01 1",$A754),IF(AND(LEN($A754)=4,VALUE(RIGHT($A754,2))&lt;60),GUS_tabl_2!$A$8:$B$464,GUS_tabl_21!$A$5:$B$4886),2,FALSE)),SUM(FIND("..",TRIM(VLOOKUP(IF(AND(LEN($A754)=4,VALUE(RIGHT($A754,2))&gt;60),$A754&amp;"01 1",$A754),IF(AND(LEN($A754)=4,VALUE(RIGHT($A754,2))&lt;60),GUS_tabl_2!$A$8:$B$464,GUS_tabl_21!$A$5:$B$4886),2,FALSE))),-1)))))</f>
        <v>gm. w. Krzyżanów</v>
      </c>
      <c r="D754" s="141">
        <f>IF(OR($A754="",ISERROR(VALUE(LEFT($A754,6)))),"",IF(LEN($A754)=2,SUMIF($A755:$A$2965,$A754&amp;"??",$D755:$D$2965),IF(AND(LEN($A754)=4,VALUE(RIGHT($A754,2))&lt;=60),SUMIF($A755:$A$2965,$A754&amp;"????",$D755:$D$2965),VLOOKUP(IF(LEN($A754)=4,$A754&amp;"01 1",$A754),GUS_tabl_21!$A$5:$F$4886,6,FALSE))))</f>
        <v>4231</v>
      </c>
      <c r="E754" s="29"/>
    </row>
    <row r="755" spans="1:5" ht="12" customHeight="1">
      <c r="A755" s="155" t="str">
        <f>"100206 2"</f>
        <v>100206 2</v>
      </c>
      <c r="B755" s="153" t="s">
        <v>39</v>
      </c>
      <c r="C755" s="156" t="str">
        <f>IF(OR($A755="",ISERROR(VALUE(LEFT($A755,6)))),"",IF(LEN($A755)=2,"WOJ. ",IF(LEN($A755)=4,IF(VALUE(RIGHT($A755,2))&gt;60,"","Powiat "),IF(VALUE(RIGHT($A755,1))=1,"m. ",IF(VALUE(RIGHT($A755,1))=2,"gm. w. ",IF(VALUE(RIGHT($A755,1))=8,"dz. ","gm. m.-w. ")))))&amp;IF(LEN($A755)=2,TRIM(UPPER(VLOOKUP($A755,GUS_tabl_1!$A$7:$B$22,2,FALSE))),IF(ISERROR(FIND("..",TRIM(VLOOKUP(IF(AND(LEN($A755)=4,VALUE(RIGHT($A755,2))&gt;60),$A755&amp;"01 1",$A755),IF(AND(LEN($A755)=4,VALUE(RIGHT($A755,2))&lt;60),GUS_tabl_2!$A$8:$B$464,GUS_tabl_21!$A$5:$B$4886),2,FALSE)))),TRIM(VLOOKUP(IF(AND(LEN($A755)=4,VALUE(RIGHT($A755,2))&gt;60),$A755&amp;"01 1",$A755),IF(AND(LEN($A755)=4,VALUE(RIGHT($A755,2))&lt;60),GUS_tabl_2!$A$8:$B$464,GUS_tabl_21!$A$5:$B$4886),2,FALSE)),LEFT(TRIM(VLOOKUP(IF(AND(LEN($A755)=4,VALUE(RIGHT($A755,2))&gt;60),$A755&amp;"01 1",$A755),IF(AND(LEN($A755)=4,VALUE(RIGHT($A755,2))&lt;60),GUS_tabl_2!$A$8:$B$464,GUS_tabl_21!$A$5:$B$4886),2,FALSE)),SUM(FIND("..",TRIM(VLOOKUP(IF(AND(LEN($A755)=4,VALUE(RIGHT($A755,2))&gt;60),$A755&amp;"01 1",$A755),IF(AND(LEN($A755)=4,VALUE(RIGHT($A755,2))&lt;60),GUS_tabl_2!$A$8:$B$464,GUS_tabl_21!$A$5:$B$4886),2,FALSE))),-1)))))</f>
        <v>gm. w. Kutno</v>
      </c>
      <c r="D755" s="141">
        <f>IF(OR($A755="",ISERROR(VALUE(LEFT($A755,6)))),"",IF(LEN($A755)=2,SUMIF($A756:$A$2965,$A755&amp;"??",$D756:$D$2965),IF(AND(LEN($A755)=4,VALUE(RIGHT($A755,2))&lt;=60),SUMIF($A756:$A$2965,$A755&amp;"????",$D756:$D$2965),VLOOKUP(IF(LEN($A755)=4,$A755&amp;"01 1",$A755),GUS_tabl_21!$A$5:$F$4886,6,FALSE))))</f>
        <v>8716</v>
      </c>
      <c r="E755" s="29"/>
    </row>
    <row r="756" spans="1:5" ht="12" customHeight="1">
      <c r="A756" s="155" t="str">
        <f>"100207 2"</f>
        <v>100207 2</v>
      </c>
      <c r="B756" s="153" t="s">
        <v>39</v>
      </c>
      <c r="C756" s="156" t="str">
        <f>IF(OR($A756="",ISERROR(VALUE(LEFT($A756,6)))),"",IF(LEN($A756)=2,"WOJ. ",IF(LEN($A756)=4,IF(VALUE(RIGHT($A756,2))&gt;60,"","Powiat "),IF(VALUE(RIGHT($A756,1))=1,"m. ",IF(VALUE(RIGHT($A756,1))=2,"gm. w. ",IF(VALUE(RIGHT($A756,1))=8,"dz. ","gm. m.-w. ")))))&amp;IF(LEN($A756)=2,TRIM(UPPER(VLOOKUP($A756,GUS_tabl_1!$A$7:$B$22,2,FALSE))),IF(ISERROR(FIND("..",TRIM(VLOOKUP(IF(AND(LEN($A756)=4,VALUE(RIGHT($A756,2))&gt;60),$A756&amp;"01 1",$A756),IF(AND(LEN($A756)=4,VALUE(RIGHT($A756,2))&lt;60),GUS_tabl_2!$A$8:$B$464,GUS_tabl_21!$A$5:$B$4886),2,FALSE)))),TRIM(VLOOKUP(IF(AND(LEN($A756)=4,VALUE(RIGHT($A756,2))&gt;60),$A756&amp;"01 1",$A756),IF(AND(LEN($A756)=4,VALUE(RIGHT($A756,2))&lt;60),GUS_tabl_2!$A$8:$B$464,GUS_tabl_21!$A$5:$B$4886),2,FALSE)),LEFT(TRIM(VLOOKUP(IF(AND(LEN($A756)=4,VALUE(RIGHT($A756,2))&gt;60),$A756&amp;"01 1",$A756),IF(AND(LEN($A756)=4,VALUE(RIGHT($A756,2))&lt;60),GUS_tabl_2!$A$8:$B$464,GUS_tabl_21!$A$5:$B$4886),2,FALSE)),SUM(FIND("..",TRIM(VLOOKUP(IF(AND(LEN($A756)=4,VALUE(RIGHT($A756,2))&gt;60),$A756&amp;"01 1",$A756),IF(AND(LEN($A756)=4,VALUE(RIGHT($A756,2))&lt;60),GUS_tabl_2!$A$8:$B$464,GUS_tabl_21!$A$5:$B$4886),2,FALSE))),-1)))))</f>
        <v>gm. w. Łanięta</v>
      </c>
      <c r="D756" s="141">
        <f>IF(OR($A756="",ISERROR(VALUE(LEFT($A756,6)))),"",IF(LEN($A756)=2,SUMIF($A757:$A$2965,$A756&amp;"??",$D757:$D$2965),IF(AND(LEN($A756)=4,VALUE(RIGHT($A756,2))&lt;=60),SUMIF($A757:$A$2965,$A756&amp;"????",$D757:$D$2965),VLOOKUP(IF(LEN($A756)=4,$A756&amp;"01 1",$A756),GUS_tabl_21!$A$5:$F$4886,6,FALSE))))</f>
        <v>2430</v>
      </c>
      <c r="E756" s="29"/>
    </row>
    <row r="757" spans="1:5" ht="12" customHeight="1">
      <c r="A757" s="155" t="str">
        <f>"100208 2"</f>
        <v>100208 2</v>
      </c>
      <c r="B757" s="153" t="s">
        <v>39</v>
      </c>
      <c r="C757" s="156" t="str">
        <f>IF(OR($A757="",ISERROR(VALUE(LEFT($A757,6)))),"",IF(LEN($A757)=2,"WOJ. ",IF(LEN($A757)=4,IF(VALUE(RIGHT($A757,2))&gt;60,"","Powiat "),IF(VALUE(RIGHT($A757,1))=1,"m. ",IF(VALUE(RIGHT($A757,1))=2,"gm. w. ",IF(VALUE(RIGHT($A757,1))=8,"dz. ","gm. m.-w. ")))))&amp;IF(LEN($A757)=2,TRIM(UPPER(VLOOKUP($A757,GUS_tabl_1!$A$7:$B$22,2,FALSE))),IF(ISERROR(FIND("..",TRIM(VLOOKUP(IF(AND(LEN($A757)=4,VALUE(RIGHT($A757,2))&gt;60),$A757&amp;"01 1",$A757),IF(AND(LEN($A757)=4,VALUE(RIGHT($A757,2))&lt;60),GUS_tabl_2!$A$8:$B$464,GUS_tabl_21!$A$5:$B$4886),2,FALSE)))),TRIM(VLOOKUP(IF(AND(LEN($A757)=4,VALUE(RIGHT($A757,2))&gt;60),$A757&amp;"01 1",$A757),IF(AND(LEN($A757)=4,VALUE(RIGHT($A757,2))&lt;60),GUS_tabl_2!$A$8:$B$464,GUS_tabl_21!$A$5:$B$4886),2,FALSE)),LEFT(TRIM(VLOOKUP(IF(AND(LEN($A757)=4,VALUE(RIGHT($A757,2))&gt;60),$A757&amp;"01 1",$A757),IF(AND(LEN($A757)=4,VALUE(RIGHT($A757,2))&lt;60),GUS_tabl_2!$A$8:$B$464,GUS_tabl_21!$A$5:$B$4886),2,FALSE)),SUM(FIND("..",TRIM(VLOOKUP(IF(AND(LEN($A757)=4,VALUE(RIGHT($A757,2))&gt;60),$A757&amp;"01 1",$A757),IF(AND(LEN($A757)=4,VALUE(RIGHT($A757,2))&lt;60),GUS_tabl_2!$A$8:$B$464,GUS_tabl_21!$A$5:$B$4886),2,FALSE))),-1)))))</f>
        <v>gm. w. Nowe Ostrowy</v>
      </c>
      <c r="D757" s="141">
        <f>IF(OR($A757="",ISERROR(VALUE(LEFT($A757,6)))),"",IF(LEN($A757)=2,SUMIF($A758:$A$2965,$A757&amp;"??",$D758:$D$2965),IF(AND(LEN($A757)=4,VALUE(RIGHT($A757,2))&lt;=60),SUMIF($A758:$A$2965,$A757&amp;"????",$D758:$D$2965),VLOOKUP(IF(LEN($A757)=4,$A757&amp;"01 1",$A757),GUS_tabl_21!$A$5:$F$4886,6,FALSE))))</f>
        <v>3443</v>
      </c>
      <c r="E757" s="29"/>
    </row>
    <row r="758" spans="1:5" ht="12" customHeight="1">
      <c r="A758" s="155" t="str">
        <f>"100209 2"</f>
        <v>100209 2</v>
      </c>
      <c r="B758" s="153" t="s">
        <v>39</v>
      </c>
      <c r="C758" s="156" t="str">
        <f>IF(OR($A758="",ISERROR(VALUE(LEFT($A758,6)))),"",IF(LEN($A758)=2,"WOJ. ",IF(LEN($A758)=4,IF(VALUE(RIGHT($A758,2))&gt;60,"","Powiat "),IF(VALUE(RIGHT($A758,1))=1,"m. ",IF(VALUE(RIGHT($A758,1))=2,"gm. w. ",IF(VALUE(RIGHT($A758,1))=8,"dz. ","gm. m.-w. ")))))&amp;IF(LEN($A758)=2,TRIM(UPPER(VLOOKUP($A758,GUS_tabl_1!$A$7:$B$22,2,FALSE))),IF(ISERROR(FIND("..",TRIM(VLOOKUP(IF(AND(LEN($A758)=4,VALUE(RIGHT($A758,2))&gt;60),$A758&amp;"01 1",$A758),IF(AND(LEN($A758)=4,VALUE(RIGHT($A758,2))&lt;60),GUS_tabl_2!$A$8:$B$464,GUS_tabl_21!$A$5:$B$4886),2,FALSE)))),TRIM(VLOOKUP(IF(AND(LEN($A758)=4,VALUE(RIGHT($A758,2))&gt;60),$A758&amp;"01 1",$A758),IF(AND(LEN($A758)=4,VALUE(RIGHT($A758,2))&lt;60),GUS_tabl_2!$A$8:$B$464,GUS_tabl_21!$A$5:$B$4886),2,FALSE)),LEFT(TRIM(VLOOKUP(IF(AND(LEN($A758)=4,VALUE(RIGHT($A758,2))&gt;60),$A758&amp;"01 1",$A758),IF(AND(LEN($A758)=4,VALUE(RIGHT($A758,2))&lt;60),GUS_tabl_2!$A$8:$B$464,GUS_tabl_21!$A$5:$B$4886),2,FALSE)),SUM(FIND("..",TRIM(VLOOKUP(IF(AND(LEN($A758)=4,VALUE(RIGHT($A758,2))&gt;60),$A758&amp;"01 1",$A758),IF(AND(LEN($A758)=4,VALUE(RIGHT($A758,2))&lt;60),GUS_tabl_2!$A$8:$B$464,GUS_tabl_21!$A$5:$B$4886),2,FALSE))),-1)))))</f>
        <v>gm. w. Oporów</v>
      </c>
      <c r="D758" s="141">
        <f>IF(OR($A758="",ISERROR(VALUE(LEFT($A758,6)))),"",IF(LEN($A758)=2,SUMIF($A759:$A$2965,$A758&amp;"??",$D759:$D$2965),IF(AND(LEN($A758)=4,VALUE(RIGHT($A758,2))&lt;=60),SUMIF($A759:$A$2965,$A758&amp;"????",$D759:$D$2965),VLOOKUP(IF(LEN($A758)=4,$A758&amp;"01 1",$A758),GUS_tabl_21!$A$5:$F$4886,6,FALSE))))</f>
        <v>2495</v>
      </c>
      <c r="E758" s="29"/>
    </row>
    <row r="759" spans="1:5" ht="12" customHeight="1">
      <c r="A759" s="155" t="str">
        <f>"100210 2"</f>
        <v>100210 2</v>
      </c>
      <c r="B759" s="153" t="s">
        <v>39</v>
      </c>
      <c r="C759" s="156" t="str">
        <f>IF(OR($A759="",ISERROR(VALUE(LEFT($A759,6)))),"",IF(LEN($A759)=2,"WOJ. ",IF(LEN($A759)=4,IF(VALUE(RIGHT($A759,2))&gt;60,"","Powiat "),IF(VALUE(RIGHT($A759,1))=1,"m. ",IF(VALUE(RIGHT($A759,1))=2,"gm. w. ",IF(VALUE(RIGHT($A759,1))=8,"dz. ","gm. m.-w. ")))))&amp;IF(LEN($A759)=2,TRIM(UPPER(VLOOKUP($A759,GUS_tabl_1!$A$7:$B$22,2,FALSE))),IF(ISERROR(FIND("..",TRIM(VLOOKUP(IF(AND(LEN($A759)=4,VALUE(RIGHT($A759,2))&gt;60),$A759&amp;"01 1",$A759),IF(AND(LEN($A759)=4,VALUE(RIGHT($A759,2))&lt;60),GUS_tabl_2!$A$8:$B$464,GUS_tabl_21!$A$5:$B$4886),2,FALSE)))),TRIM(VLOOKUP(IF(AND(LEN($A759)=4,VALUE(RIGHT($A759,2))&gt;60),$A759&amp;"01 1",$A759),IF(AND(LEN($A759)=4,VALUE(RIGHT($A759,2))&lt;60),GUS_tabl_2!$A$8:$B$464,GUS_tabl_21!$A$5:$B$4886),2,FALSE)),LEFT(TRIM(VLOOKUP(IF(AND(LEN($A759)=4,VALUE(RIGHT($A759,2))&gt;60),$A759&amp;"01 1",$A759),IF(AND(LEN($A759)=4,VALUE(RIGHT($A759,2))&lt;60),GUS_tabl_2!$A$8:$B$464,GUS_tabl_21!$A$5:$B$4886),2,FALSE)),SUM(FIND("..",TRIM(VLOOKUP(IF(AND(LEN($A759)=4,VALUE(RIGHT($A759,2))&gt;60),$A759&amp;"01 1",$A759),IF(AND(LEN($A759)=4,VALUE(RIGHT($A759,2))&lt;60),GUS_tabl_2!$A$8:$B$464,GUS_tabl_21!$A$5:$B$4886),2,FALSE))),-1)))))</f>
        <v>gm. w. Strzelce</v>
      </c>
      <c r="D759" s="141">
        <f>IF(OR($A759="",ISERROR(VALUE(LEFT($A759,6)))),"",IF(LEN($A759)=2,SUMIF($A760:$A$2965,$A759&amp;"??",$D760:$D$2965),IF(AND(LEN($A759)=4,VALUE(RIGHT($A759,2))&lt;=60),SUMIF($A760:$A$2965,$A759&amp;"????",$D760:$D$2965),VLOOKUP(IF(LEN($A759)=4,$A759&amp;"01 1",$A759),GUS_tabl_21!$A$5:$F$4886,6,FALSE))))</f>
        <v>3913</v>
      </c>
      <c r="E759" s="29"/>
    </row>
    <row r="760" spans="1:5" ht="12" customHeight="1">
      <c r="A760" s="155" t="str">
        <f>"100211 3"</f>
        <v>100211 3</v>
      </c>
      <c r="B760" s="153" t="s">
        <v>39</v>
      </c>
      <c r="C760" s="156" t="str">
        <f>IF(OR($A760="",ISERROR(VALUE(LEFT($A760,6)))),"",IF(LEN($A760)=2,"WOJ. ",IF(LEN($A760)=4,IF(VALUE(RIGHT($A760,2))&gt;60,"","Powiat "),IF(VALUE(RIGHT($A760,1))=1,"m. ",IF(VALUE(RIGHT($A760,1))=2,"gm. w. ",IF(VALUE(RIGHT($A760,1))=8,"dz. ","gm. m.-w. ")))))&amp;IF(LEN($A760)=2,TRIM(UPPER(VLOOKUP($A760,GUS_tabl_1!$A$7:$B$22,2,FALSE))),IF(ISERROR(FIND("..",TRIM(VLOOKUP(IF(AND(LEN($A760)=4,VALUE(RIGHT($A760,2))&gt;60),$A760&amp;"01 1",$A760),IF(AND(LEN($A760)=4,VALUE(RIGHT($A760,2))&lt;60),GUS_tabl_2!$A$8:$B$464,GUS_tabl_21!$A$5:$B$4886),2,FALSE)))),TRIM(VLOOKUP(IF(AND(LEN($A760)=4,VALUE(RIGHT($A760,2))&gt;60),$A760&amp;"01 1",$A760),IF(AND(LEN($A760)=4,VALUE(RIGHT($A760,2))&lt;60),GUS_tabl_2!$A$8:$B$464,GUS_tabl_21!$A$5:$B$4886),2,FALSE)),LEFT(TRIM(VLOOKUP(IF(AND(LEN($A760)=4,VALUE(RIGHT($A760,2))&gt;60),$A760&amp;"01 1",$A760),IF(AND(LEN($A760)=4,VALUE(RIGHT($A760,2))&lt;60),GUS_tabl_2!$A$8:$B$464,GUS_tabl_21!$A$5:$B$4886),2,FALSE)),SUM(FIND("..",TRIM(VLOOKUP(IF(AND(LEN($A760)=4,VALUE(RIGHT($A760,2))&gt;60),$A760&amp;"01 1",$A760),IF(AND(LEN($A760)=4,VALUE(RIGHT($A760,2))&lt;60),GUS_tabl_2!$A$8:$B$464,GUS_tabl_21!$A$5:$B$4886),2,FALSE))),-1)))))</f>
        <v>gm. m.-w. Żychlin</v>
      </c>
      <c r="D760" s="141">
        <f>IF(OR($A760="",ISERROR(VALUE(LEFT($A760,6)))),"",IF(LEN($A760)=2,SUMIF($A761:$A$2965,$A760&amp;"??",$D761:$D$2965),IF(AND(LEN($A760)=4,VALUE(RIGHT($A760,2))&lt;=60),SUMIF($A761:$A$2965,$A760&amp;"????",$D761:$D$2965),VLOOKUP(IF(LEN($A760)=4,$A760&amp;"01 1",$A760),GUS_tabl_21!$A$5:$F$4886,6,FALSE))))</f>
        <v>11836</v>
      </c>
      <c r="E760" s="29"/>
    </row>
    <row r="761" spans="1:5" ht="12" customHeight="1">
      <c r="A761" s="152" t="str">
        <f>"1003"</f>
        <v>1003</v>
      </c>
      <c r="B761" s="153" t="s">
        <v>39</v>
      </c>
      <c r="C761" s="154" t="str">
        <f>IF(OR($A761="",ISERROR(VALUE(LEFT($A761,6)))),"",IF(LEN($A761)=2,"WOJ. ",IF(LEN($A761)=4,IF(VALUE(RIGHT($A761,2))&gt;60,"","Powiat "),IF(VALUE(RIGHT($A761,1))=1,"m. ",IF(VALUE(RIGHT($A761,1))=2,"gm. w. ",IF(VALUE(RIGHT($A761,1))=8,"dz. ","gm. m.-w. ")))))&amp;IF(LEN($A761)=2,TRIM(UPPER(VLOOKUP($A761,GUS_tabl_1!$A$7:$B$22,2,FALSE))),IF(ISERROR(FIND("..",TRIM(VLOOKUP(IF(AND(LEN($A761)=4,VALUE(RIGHT($A761,2))&gt;60),$A761&amp;"01 1",$A761),IF(AND(LEN($A761)=4,VALUE(RIGHT($A761,2))&lt;60),GUS_tabl_2!$A$8:$B$464,GUS_tabl_21!$A$5:$B$4886),2,FALSE)))),TRIM(VLOOKUP(IF(AND(LEN($A761)=4,VALUE(RIGHT($A761,2))&gt;60),$A761&amp;"01 1",$A761),IF(AND(LEN($A761)=4,VALUE(RIGHT($A761,2))&lt;60),GUS_tabl_2!$A$8:$B$464,GUS_tabl_21!$A$5:$B$4886),2,FALSE)),LEFT(TRIM(VLOOKUP(IF(AND(LEN($A761)=4,VALUE(RIGHT($A761,2))&gt;60),$A761&amp;"01 1",$A761),IF(AND(LEN($A761)=4,VALUE(RIGHT($A761,2))&lt;60),GUS_tabl_2!$A$8:$B$464,GUS_tabl_21!$A$5:$B$4886),2,FALSE)),SUM(FIND("..",TRIM(VLOOKUP(IF(AND(LEN($A761)=4,VALUE(RIGHT($A761,2))&gt;60),$A761&amp;"01 1",$A761),IF(AND(LEN($A761)=4,VALUE(RIGHT($A761,2))&lt;60),GUS_tabl_2!$A$8:$B$464,GUS_tabl_21!$A$5:$B$4886),2,FALSE))),-1)))))</f>
        <v>Powiat łaski</v>
      </c>
      <c r="D761" s="140">
        <f>IF(OR($A761="",ISERROR(VALUE(LEFT($A761,6)))),"",IF(LEN($A761)=2,SUMIF($A762:$A$2965,$A761&amp;"??",$D762:$D$2965),IF(AND(LEN($A761)=4,VALUE(RIGHT($A761,2))&lt;=60),SUMIF($A762:$A$2965,$A761&amp;"????",$D762:$D$2965),VLOOKUP(IF(LEN($A761)=4,$A761&amp;"01 1",$A761),GUS_tabl_21!$A$5:$F$4886,6,FALSE))))</f>
        <v>49918</v>
      </c>
      <c r="E761" s="29"/>
    </row>
    <row r="762" spans="1:5" ht="12" customHeight="1">
      <c r="A762" s="155" t="str">
        <f>"100301 2"</f>
        <v>100301 2</v>
      </c>
      <c r="B762" s="153" t="s">
        <v>39</v>
      </c>
      <c r="C762" s="156" t="str">
        <f>IF(OR($A762="",ISERROR(VALUE(LEFT($A762,6)))),"",IF(LEN($A762)=2,"WOJ. ",IF(LEN($A762)=4,IF(VALUE(RIGHT($A762,2))&gt;60,"","Powiat "),IF(VALUE(RIGHT($A762,1))=1,"m. ",IF(VALUE(RIGHT($A762,1))=2,"gm. w. ",IF(VALUE(RIGHT($A762,1))=8,"dz. ","gm. m.-w. ")))))&amp;IF(LEN($A762)=2,TRIM(UPPER(VLOOKUP($A762,GUS_tabl_1!$A$7:$B$22,2,FALSE))),IF(ISERROR(FIND("..",TRIM(VLOOKUP(IF(AND(LEN($A762)=4,VALUE(RIGHT($A762,2))&gt;60),$A762&amp;"01 1",$A762),IF(AND(LEN($A762)=4,VALUE(RIGHT($A762,2))&lt;60),GUS_tabl_2!$A$8:$B$464,GUS_tabl_21!$A$5:$B$4886),2,FALSE)))),TRIM(VLOOKUP(IF(AND(LEN($A762)=4,VALUE(RIGHT($A762,2))&gt;60),$A762&amp;"01 1",$A762),IF(AND(LEN($A762)=4,VALUE(RIGHT($A762,2))&lt;60),GUS_tabl_2!$A$8:$B$464,GUS_tabl_21!$A$5:$B$4886),2,FALSE)),LEFT(TRIM(VLOOKUP(IF(AND(LEN($A762)=4,VALUE(RIGHT($A762,2))&gt;60),$A762&amp;"01 1",$A762),IF(AND(LEN($A762)=4,VALUE(RIGHT($A762,2))&lt;60),GUS_tabl_2!$A$8:$B$464,GUS_tabl_21!$A$5:$B$4886),2,FALSE)),SUM(FIND("..",TRIM(VLOOKUP(IF(AND(LEN($A762)=4,VALUE(RIGHT($A762,2))&gt;60),$A762&amp;"01 1",$A762),IF(AND(LEN($A762)=4,VALUE(RIGHT($A762,2))&lt;60),GUS_tabl_2!$A$8:$B$464,GUS_tabl_21!$A$5:$B$4886),2,FALSE))),-1)))))</f>
        <v>gm. w. Buczek</v>
      </c>
      <c r="D762" s="141">
        <f>IF(OR($A762="",ISERROR(VALUE(LEFT($A762,6)))),"",IF(LEN($A762)=2,SUMIF($A763:$A$2965,$A762&amp;"??",$D763:$D$2965),IF(AND(LEN($A762)=4,VALUE(RIGHT($A762,2))&lt;=60),SUMIF($A763:$A$2965,$A762&amp;"????",$D763:$D$2965),VLOOKUP(IF(LEN($A762)=4,$A762&amp;"01 1",$A762),GUS_tabl_21!$A$5:$F$4886,6,FALSE))))</f>
        <v>5093</v>
      </c>
      <c r="E762" s="29"/>
    </row>
    <row r="763" spans="1:5" ht="12" customHeight="1">
      <c r="A763" s="155" t="str">
        <f>"100302 3"</f>
        <v>100302 3</v>
      </c>
      <c r="B763" s="153" t="s">
        <v>39</v>
      </c>
      <c r="C763" s="156" t="str">
        <f>IF(OR($A763="",ISERROR(VALUE(LEFT($A763,6)))),"",IF(LEN($A763)=2,"WOJ. ",IF(LEN($A763)=4,IF(VALUE(RIGHT($A763,2))&gt;60,"","Powiat "),IF(VALUE(RIGHT($A763,1))=1,"m. ",IF(VALUE(RIGHT($A763,1))=2,"gm. w. ",IF(VALUE(RIGHT($A763,1))=8,"dz. ","gm. m.-w. ")))))&amp;IF(LEN($A763)=2,TRIM(UPPER(VLOOKUP($A763,GUS_tabl_1!$A$7:$B$22,2,FALSE))),IF(ISERROR(FIND("..",TRIM(VLOOKUP(IF(AND(LEN($A763)=4,VALUE(RIGHT($A763,2))&gt;60),$A763&amp;"01 1",$A763),IF(AND(LEN($A763)=4,VALUE(RIGHT($A763,2))&lt;60),GUS_tabl_2!$A$8:$B$464,GUS_tabl_21!$A$5:$B$4886),2,FALSE)))),TRIM(VLOOKUP(IF(AND(LEN($A763)=4,VALUE(RIGHT($A763,2))&gt;60),$A763&amp;"01 1",$A763),IF(AND(LEN($A763)=4,VALUE(RIGHT($A763,2))&lt;60),GUS_tabl_2!$A$8:$B$464,GUS_tabl_21!$A$5:$B$4886),2,FALSE)),LEFT(TRIM(VLOOKUP(IF(AND(LEN($A763)=4,VALUE(RIGHT($A763,2))&gt;60),$A763&amp;"01 1",$A763),IF(AND(LEN($A763)=4,VALUE(RIGHT($A763,2))&lt;60),GUS_tabl_2!$A$8:$B$464,GUS_tabl_21!$A$5:$B$4886),2,FALSE)),SUM(FIND("..",TRIM(VLOOKUP(IF(AND(LEN($A763)=4,VALUE(RIGHT($A763,2))&gt;60),$A763&amp;"01 1",$A763),IF(AND(LEN($A763)=4,VALUE(RIGHT($A763,2))&lt;60),GUS_tabl_2!$A$8:$B$464,GUS_tabl_21!$A$5:$B$4886),2,FALSE))),-1)))))</f>
        <v>gm. m.-w. Łask</v>
      </c>
      <c r="D763" s="141">
        <f>IF(OR($A763="",ISERROR(VALUE(LEFT($A763,6)))),"",IF(LEN($A763)=2,SUMIF($A764:$A$2965,$A763&amp;"??",$D764:$D$2965),IF(AND(LEN($A763)=4,VALUE(RIGHT($A763,2))&lt;=60),SUMIF($A764:$A$2965,$A763&amp;"????",$D764:$D$2965),VLOOKUP(IF(LEN($A763)=4,$A763&amp;"01 1",$A763),GUS_tabl_21!$A$5:$F$4886,6,FALSE))))</f>
        <v>27654</v>
      </c>
      <c r="E763" s="29"/>
    </row>
    <row r="764" spans="1:5" ht="12" customHeight="1">
      <c r="A764" s="155" t="str">
        <f>"100303 2"</f>
        <v>100303 2</v>
      </c>
      <c r="B764" s="153" t="s">
        <v>39</v>
      </c>
      <c r="C764" s="156" t="str">
        <f>IF(OR($A764="",ISERROR(VALUE(LEFT($A764,6)))),"",IF(LEN($A764)=2,"WOJ. ",IF(LEN($A764)=4,IF(VALUE(RIGHT($A764,2))&gt;60,"","Powiat "),IF(VALUE(RIGHT($A764,1))=1,"m. ",IF(VALUE(RIGHT($A764,1))=2,"gm. w. ",IF(VALUE(RIGHT($A764,1))=8,"dz. ","gm. m.-w. ")))))&amp;IF(LEN($A764)=2,TRIM(UPPER(VLOOKUP($A764,GUS_tabl_1!$A$7:$B$22,2,FALSE))),IF(ISERROR(FIND("..",TRIM(VLOOKUP(IF(AND(LEN($A764)=4,VALUE(RIGHT($A764,2))&gt;60),$A764&amp;"01 1",$A764),IF(AND(LEN($A764)=4,VALUE(RIGHT($A764,2))&lt;60),GUS_tabl_2!$A$8:$B$464,GUS_tabl_21!$A$5:$B$4886),2,FALSE)))),TRIM(VLOOKUP(IF(AND(LEN($A764)=4,VALUE(RIGHT($A764,2))&gt;60),$A764&amp;"01 1",$A764),IF(AND(LEN($A764)=4,VALUE(RIGHT($A764,2))&lt;60),GUS_tabl_2!$A$8:$B$464,GUS_tabl_21!$A$5:$B$4886),2,FALSE)),LEFT(TRIM(VLOOKUP(IF(AND(LEN($A764)=4,VALUE(RIGHT($A764,2))&gt;60),$A764&amp;"01 1",$A764),IF(AND(LEN($A764)=4,VALUE(RIGHT($A764,2))&lt;60),GUS_tabl_2!$A$8:$B$464,GUS_tabl_21!$A$5:$B$4886),2,FALSE)),SUM(FIND("..",TRIM(VLOOKUP(IF(AND(LEN($A764)=4,VALUE(RIGHT($A764,2))&gt;60),$A764&amp;"01 1",$A764),IF(AND(LEN($A764)=4,VALUE(RIGHT($A764,2))&lt;60),GUS_tabl_2!$A$8:$B$464,GUS_tabl_21!$A$5:$B$4886),2,FALSE))),-1)))))</f>
        <v>gm. w. Sędziejowice</v>
      </c>
      <c r="D764" s="141">
        <f>IF(OR($A764="",ISERROR(VALUE(LEFT($A764,6)))),"",IF(LEN($A764)=2,SUMIF($A765:$A$2965,$A764&amp;"??",$D765:$D$2965),IF(AND(LEN($A764)=4,VALUE(RIGHT($A764,2))&lt;=60),SUMIF($A765:$A$2965,$A764&amp;"????",$D765:$D$2965),VLOOKUP(IF(LEN($A764)=4,$A764&amp;"01 1",$A764),GUS_tabl_21!$A$5:$F$4886,6,FALSE))))</f>
        <v>6370</v>
      </c>
      <c r="E764" s="29"/>
    </row>
    <row r="765" spans="1:5" ht="12" customHeight="1">
      <c r="A765" s="155" t="str">
        <f>"100304 2"</f>
        <v>100304 2</v>
      </c>
      <c r="B765" s="153" t="s">
        <v>39</v>
      </c>
      <c r="C765" s="156" t="str">
        <f>IF(OR($A765="",ISERROR(VALUE(LEFT($A765,6)))),"",IF(LEN($A765)=2,"WOJ. ",IF(LEN($A765)=4,IF(VALUE(RIGHT($A765,2))&gt;60,"","Powiat "),IF(VALUE(RIGHT($A765,1))=1,"m. ",IF(VALUE(RIGHT($A765,1))=2,"gm. w. ",IF(VALUE(RIGHT($A765,1))=8,"dz. ","gm. m.-w. ")))))&amp;IF(LEN($A765)=2,TRIM(UPPER(VLOOKUP($A765,GUS_tabl_1!$A$7:$B$22,2,FALSE))),IF(ISERROR(FIND("..",TRIM(VLOOKUP(IF(AND(LEN($A765)=4,VALUE(RIGHT($A765,2))&gt;60),$A765&amp;"01 1",$A765),IF(AND(LEN($A765)=4,VALUE(RIGHT($A765,2))&lt;60),GUS_tabl_2!$A$8:$B$464,GUS_tabl_21!$A$5:$B$4886),2,FALSE)))),TRIM(VLOOKUP(IF(AND(LEN($A765)=4,VALUE(RIGHT($A765,2))&gt;60),$A765&amp;"01 1",$A765),IF(AND(LEN($A765)=4,VALUE(RIGHT($A765,2))&lt;60),GUS_tabl_2!$A$8:$B$464,GUS_tabl_21!$A$5:$B$4886),2,FALSE)),LEFT(TRIM(VLOOKUP(IF(AND(LEN($A765)=4,VALUE(RIGHT($A765,2))&gt;60),$A765&amp;"01 1",$A765),IF(AND(LEN($A765)=4,VALUE(RIGHT($A765,2))&lt;60),GUS_tabl_2!$A$8:$B$464,GUS_tabl_21!$A$5:$B$4886),2,FALSE)),SUM(FIND("..",TRIM(VLOOKUP(IF(AND(LEN($A765)=4,VALUE(RIGHT($A765,2))&gt;60),$A765&amp;"01 1",$A765),IF(AND(LEN($A765)=4,VALUE(RIGHT($A765,2))&lt;60),GUS_tabl_2!$A$8:$B$464,GUS_tabl_21!$A$5:$B$4886),2,FALSE))),-1)))))</f>
        <v>gm. w. Widawa</v>
      </c>
      <c r="D765" s="141">
        <f>IF(OR($A765="",ISERROR(VALUE(LEFT($A765,6)))),"",IF(LEN($A765)=2,SUMIF($A766:$A$2965,$A765&amp;"??",$D766:$D$2965),IF(AND(LEN($A765)=4,VALUE(RIGHT($A765,2))&lt;=60),SUMIF($A766:$A$2965,$A765&amp;"????",$D766:$D$2965),VLOOKUP(IF(LEN($A765)=4,$A765&amp;"01 1",$A765),GUS_tabl_21!$A$5:$F$4886,6,FALSE))))</f>
        <v>7315</v>
      </c>
      <c r="E765" s="29"/>
    </row>
    <row r="766" spans="1:5" ht="12" customHeight="1">
      <c r="A766" s="155" t="str">
        <f>"100305 2"</f>
        <v>100305 2</v>
      </c>
      <c r="B766" s="153" t="s">
        <v>39</v>
      </c>
      <c r="C766" s="156" t="str">
        <f>IF(OR($A766="",ISERROR(VALUE(LEFT($A766,6)))),"",IF(LEN($A766)=2,"WOJ. ",IF(LEN($A766)=4,IF(VALUE(RIGHT($A766,2))&gt;60,"","Powiat "),IF(VALUE(RIGHT($A766,1))=1,"m. ",IF(VALUE(RIGHT($A766,1))=2,"gm. w. ",IF(VALUE(RIGHT($A766,1))=8,"dz. ","gm. m.-w. ")))))&amp;IF(LEN($A766)=2,TRIM(UPPER(VLOOKUP($A766,GUS_tabl_1!$A$7:$B$22,2,FALSE))),IF(ISERROR(FIND("..",TRIM(VLOOKUP(IF(AND(LEN($A766)=4,VALUE(RIGHT($A766,2))&gt;60),$A766&amp;"01 1",$A766),IF(AND(LEN($A766)=4,VALUE(RIGHT($A766,2))&lt;60),GUS_tabl_2!$A$8:$B$464,GUS_tabl_21!$A$5:$B$4886),2,FALSE)))),TRIM(VLOOKUP(IF(AND(LEN($A766)=4,VALUE(RIGHT($A766,2))&gt;60),$A766&amp;"01 1",$A766),IF(AND(LEN($A766)=4,VALUE(RIGHT($A766,2))&lt;60),GUS_tabl_2!$A$8:$B$464,GUS_tabl_21!$A$5:$B$4886),2,FALSE)),LEFT(TRIM(VLOOKUP(IF(AND(LEN($A766)=4,VALUE(RIGHT($A766,2))&gt;60),$A766&amp;"01 1",$A766),IF(AND(LEN($A766)=4,VALUE(RIGHT($A766,2))&lt;60),GUS_tabl_2!$A$8:$B$464,GUS_tabl_21!$A$5:$B$4886),2,FALSE)),SUM(FIND("..",TRIM(VLOOKUP(IF(AND(LEN($A766)=4,VALUE(RIGHT($A766,2))&gt;60),$A766&amp;"01 1",$A766),IF(AND(LEN($A766)=4,VALUE(RIGHT($A766,2))&lt;60),GUS_tabl_2!$A$8:$B$464,GUS_tabl_21!$A$5:$B$4886),2,FALSE))),-1)))))</f>
        <v>gm. w. Wodzierady</v>
      </c>
      <c r="D766" s="141">
        <f>IF(OR($A766="",ISERROR(VALUE(LEFT($A766,6)))),"",IF(LEN($A766)=2,SUMIF($A767:$A$2965,$A766&amp;"??",$D767:$D$2965),IF(AND(LEN($A766)=4,VALUE(RIGHT($A766,2))&lt;=60),SUMIF($A767:$A$2965,$A766&amp;"????",$D767:$D$2965),VLOOKUP(IF(LEN($A766)=4,$A766&amp;"01 1",$A766),GUS_tabl_21!$A$5:$F$4886,6,FALSE))))</f>
        <v>3486</v>
      </c>
      <c r="E766" s="29"/>
    </row>
    <row r="767" spans="1:5" ht="12" customHeight="1">
      <c r="A767" s="152" t="str">
        <f>"1004"</f>
        <v>1004</v>
      </c>
      <c r="B767" s="153" t="s">
        <v>39</v>
      </c>
      <c r="C767" s="154" t="str">
        <f>IF(OR($A767="",ISERROR(VALUE(LEFT($A767,6)))),"",IF(LEN($A767)=2,"WOJ. ",IF(LEN($A767)=4,IF(VALUE(RIGHT($A767,2))&gt;60,"","Powiat "),IF(VALUE(RIGHT($A767,1))=1,"m. ",IF(VALUE(RIGHT($A767,1))=2,"gm. w. ",IF(VALUE(RIGHT($A767,1))=8,"dz. ","gm. m.-w. ")))))&amp;IF(LEN($A767)=2,TRIM(UPPER(VLOOKUP($A767,GUS_tabl_1!$A$7:$B$22,2,FALSE))),IF(ISERROR(FIND("..",TRIM(VLOOKUP(IF(AND(LEN($A767)=4,VALUE(RIGHT($A767,2))&gt;60),$A767&amp;"01 1",$A767),IF(AND(LEN($A767)=4,VALUE(RIGHT($A767,2))&lt;60),GUS_tabl_2!$A$8:$B$464,GUS_tabl_21!$A$5:$B$4886),2,FALSE)))),TRIM(VLOOKUP(IF(AND(LEN($A767)=4,VALUE(RIGHT($A767,2))&gt;60),$A767&amp;"01 1",$A767),IF(AND(LEN($A767)=4,VALUE(RIGHT($A767,2))&lt;60),GUS_tabl_2!$A$8:$B$464,GUS_tabl_21!$A$5:$B$4886),2,FALSE)),LEFT(TRIM(VLOOKUP(IF(AND(LEN($A767)=4,VALUE(RIGHT($A767,2))&gt;60),$A767&amp;"01 1",$A767),IF(AND(LEN($A767)=4,VALUE(RIGHT($A767,2))&lt;60),GUS_tabl_2!$A$8:$B$464,GUS_tabl_21!$A$5:$B$4886),2,FALSE)),SUM(FIND("..",TRIM(VLOOKUP(IF(AND(LEN($A767)=4,VALUE(RIGHT($A767,2))&gt;60),$A767&amp;"01 1",$A767),IF(AND(LEN($A767)=4,VALUE(RIGHT($A767,2))&lt;60),GUS_tabl_2!$A$8:$B$464,GUS_tabl_21!$A$5:$B$4886),2,FALSE))),-1)))))</f>
        <v>Powiat łęczycki</v>
      </c>
      <c r="D767" s="140">
        <f>IF(OR($A767="",ISERROR(VALUE(LEFT($A767,6)))),"",IF(LEN($A767)=2,SUMIF($A768:$A$2965,$A767&amp;"??",$D768:$D$2965),IF(AND(LEN($A767)=4,VALUE(RIGHT($A767,2))&lt;=60),SUMIF($A768:$A$2965,$A767&amp;"????",$D768:$D$2965),VLOOKUP(IF(LEN($A767)=4,$A767&amp;"01 1",$A767),GUS_tabl_21!$A$5:$F$4886,6,FALSE))))</f>
        <v>49747</v>
      </c>
      <c r="E767" s="29"/>
    </row>
    <row r="768" spans="1:5" ht="12" customHeight="1">
      <c r="A768" s="155" t="str">
        <f>"100401 1"</f>
        <v>100401 1</v>
      </c>
      <c r="B768" s="153" t="s">
        <v>39</v>
      </c>
      <c r="C768" s="156" t="str">
        <f>IF(OR($A768="",ISERROR(VALUE(LEFT($A768,6)))),"",IF(LEN($A768)=2,"WOJ. ",IF(LEN($A768)=4,IF(VALUE(RIGHT($A768,2))&gt;60,"","Powiat "),IF(VALUE(RIGHT($A768,1))=1,"m. ",IF(VALUE(RIGHT($A768,1))=2,"gm. w. ",IF(VALUE(RIGHT($A768,1))=8,"dz. ","gm. m.-w. ")))))&amp;IF(LEN($A768)=2,TRIM(UPPER(VLOOKUP($A768,GUS_tabl_1!$A$7:$B$22,2,FALSE))),IF(ISERROR(FIND("..",TRIM(VLOOKUP(IF(AND(LEN($A768)=4,VALUE(RIGHT($A768,2))&gt;60),$A768&amp;"01 1",$A768),IF(AND(LEN($A768)=4,VALUE(RIGHT($A768,2))&lt;60),GUS_tabl_2!$A$8:$B$464,GUS_tabl_21!$A$5:$B$4886),2,FALSE)))),TRIM(VLOOKUP(IF(AND(LEN($A768)=4,VALUE(RIGHT($A768,2))&gt;60),$A768&amp;"01 1",$A768),IF(AND(LEN($A768)=4,VALUE(RIGHT($A768,2))&lt;60),GUS_tabl_2!$A$8:$B$464,GUS_tabl_21!$A$5:$B$4886),2,FALSE)),LEFT(TRIM(VLOOKUP(IF(AND(LEN($A768)=4,VALUE(RIGHT($A768,2))&gt;60),$A768&amp;"01 1",$A768),IF(AND(LEN($A768)=4,VALUE(RIGHT($A768,2))&lt;60),GUS_tabl_2!$A$8:$B$464,GUS_tabl_21!$A$5:$B$4886),2,FALSE)),SUM(FIND("..",TRIM(VLOOKUP(IF(AND(LEN($A768)=4,VALUE(RIGHT($A768,2))&gt;60),$A768&amp;"01 1",$A768),IF(AND(LEN($A768)=4,VALUE(RIGHT($A768,2))&lt;60),GUS_tabl_2!$A$8:$B$464,GUS_tabl_21!$A$5:$B$4886),2,FALSE))),-1)))))</f>
        <v>m. Łęczyca</v>
      </c>
      <c r="D768" s="141">
        <f>IF(OR($A768="",ISERROR(VALUE(LEFT($A768,6)))),"",IF(LEN($A768)=2,SUMIF($A769:$A$2965,$A768&amp;"??",$D769:$D$2965),IF(AND(LEN($A768)=4,VALUE(RIGHT($A768,2))&lt;=60),SUMIF($A769:$A$2965,$A768&amp;"????",$D769:$D$2965),VLOOKUP(IF(LEN($A768)=4,$A768&amp;"01 1",$A768),GUS_tabl_21!$A$5:$F$4886,6,FALSE))))</f>
        <v>13971</v>
      </c>
      <c r="E768" s="29"/>
    </row>
    <row r="769" spans="1:5" ht="12" customHeight="1">
      <c r="A769" s="155" t="str">
        <f>"100402 2"</f>
        <v>100402 2</v>
      </c>
      <c r="B769" s="153" t="s">
        <v>39</v>
      </c>
      <c r="C769" s="156" t="str">
        <f>IF(OR($A769="",ISERROR(VALUE(LEFT($A769,6)))),"",IF(LEN($A769)=2,"WOJ. ",IF(LEN($A769)=4,IF(VALUE(RIGHT($A769,2))&gt;60,"","Powiat "),IF(VALUE(RIGHT($A769,1))=1,"m. ",IF(VALUE(RIGHT($A769,1))=2,"gm. w. ",IF(VALUE(RIGHT($A769,1))=8,"dz. ","gm. m.-w. ")))))&amp;IF(LEN($A769)=2,TRIM(UPPER(VLOOKUP($A769,GUS_tabl_1!$A$7:$B$22,2,FALSE))),IF(ISERROR(FIND("..",TRIM(VLOOKUP(IF(AND(LEN($A769)=4,VALUE(RIGHT($A769,2))&gt;60),$A769&amp;"01 1",$A769),IF(AND(LEN($A769)=4,VALUE(RIGHT($A769,2))&lt;60),GUS_tabl_2!$A$8:$B$464,GUS_tabl_21!$A$5:$B$4886),2,FALSE)))),TRIM(VLOOKUP(IF(AND(LEN($A769)=4,VALUE(RIGHT($A769,2))&gt;60),$A769&amp;"01 1",$A769),IF(AND(LEN($A769)=4,VALUE(RIGHT($A769,2))&lt;60),GUS_tabl_2!$A$8:$B$464,GUS_tabl_21!$A$5:$B$4886),2,FALSE)),LEFT(TRIM(VLOOKUP(IF(AND(LEN($A769)=4,VALUE(RIGHT($A769,2))&gt;60),$A769&amp;"01 1",$A769),IF(AND(LEN($A769)=4,VALUE(RIGHT($A769,2))&lt;60),GUS_tabl_2!$A$8:$B$464,GUS_tabl_21!$A$5:$B$4886),2,FALSE)),SUM(FIND("..",TRIM(VLOOKUP(IF(AND(LEN($A769)=4,VALUE(RIGHT($A769,2))&gt;60),$A769&amp;"01 1",$A769),IF(AND(LEN($A769)=4,VALUE(RIGHT($A769,2))&lt;60),GUS_tabl_2!$A$8:$B$464,GUS_tabl_21!$A$5:$B$4886),2,FALSE))),-1)))))</f>
        <v>gm. w. Daszyna</v>
      </c>
      <c r="D769" s="141">
        <f>IF(OR($A769="",ISERROR(VALUE(LEFT($A769,6)))),"",IF(LEN($A769)=2,SUMIF($A770:$A$2965,$A769&amp;"??",$D770:$D$2965),IF(AND(LEN($A769)=4,VALUE(RIGHT($A769,2))&lt;=60),SUMIF($A770:$A$2965,$A769&amp;"????",$D770:$D$2965),VLOOKUP(IF(LEN($A769)=4,$A769&amp;"01 1",$A769),GUS_tabl_21!$A$5:$F$4886,6,FALSE))))</f>
        <v>3878</v>
      </c>
      <c r="E769" s="29"/>
    </row>
    <row r="770" spans="1:5" ht="12" customHeight="1">
      <c r="A770" s="155" t="str">
        <f>"100403 2"</f>
        <v>100403 2</v>
      </c>
      <c r="B770" s="153" t="s">
        <v>39</v>
      </c>
      <c r="C770" s="156" t="str">
        <f>IF(OR($A770="",ISERROR(VALUE(LEFT($A770,6)))),"",IF(LEN($A770)=2,"WOJ. ",IF(LEN($A770)=4,IF(VALUE(RIGHT($A770,2))&gt;60,"","Powiat "),IF(VALUE(RIGHT($A770,1))=1,"m. ",IF(VALUE(RIGHT($A770,1))=2,"gm. w. ",IF(VALUE(RIGHT($A770,1))=8,"dz. ","gm. m.-w. ")))))&amp;IF(LEN($A770)=2,TRIM(UPPER(VLOOKUP($A770,GUS_tabl_1!$A$7:$B$22,2,FALSE))),IF(ISERROR(FIND("..",TRIM(VLOOKUP(IF(AND(LEN($A770)=4,VALUE(RIGHT($A770,2))&gt;60),$A770&amp;"01 1",$A770),IF(AND(LEN($A770)=4,VALUE(RIGHT($A770,2))&lt;60),GUS_tabl_2!$A$8:$B$464,GUS_tabl_21!$A$5:$B$4886),2,FALSE)))),TRIM(VLOOKUP(IF(AND(LEN($A770)=4,VALUE(RIGHT($A770,2))&gt;60),$A770&amp;"01 1",$A770),IF(AND(LEN($A770)=4,VALUE(RIGHT($A770,2))&lt;60),GUS_tabl_2!$A$8:$B$464,GUS_tabl_21!$A$5:$B$4886),2,FALSE)),LEFT(TRIM(VLOOKUP(IF(AND(LEN($A770)=4,VALUE(RIGHT($A770,2))&gt;60),$A770&amp;"01 1",$A770),IF(AND(LEN($A770)=4,VALUE(RIGHT($A770,2))&lt;60),GUS_tabl_2!$A$8:$B$464,GUS_tabl_21!$A$5:$B$4886),2,FALSE)),SUM(FIND("..",TRIM(VLOOKUP(IF(AND(LEN($A770)=4,VALUE(RIGHT($A770,2))&gt;60),$A770&amp;"01 1",$A770),IF(AND(LEN($A770)=4,VALUE(RIGHT($A770,2))&lt;60),GUS_tabl_2!$A$8:$B$464,GUS_tabl_21!$A$5:$B$4886),2,FALSE))),-1)))))</f>
        <v>gm. w. Góra Świętej Małgorzaty</v>
      </c>
      <c r="D770" s="141">
        <f>IF(OR($A770="",ISERROR(VALUE(LEFT($A770,6)))),"",IF(LEN($A770)=2,SUMIF($A771:$A$2965,$A770&amp;"??",$D771:$D$2965),IF(AND(LEN($A770)=4,VALUE(RIGHT($A770,2))&lt;=60),SUMIF($A771:$A$2965,$A770&amp;"????",$D771:$D$2965),VLOOKUP(IF(LEN($A770)=4,$A770&amp;"01 1",$A770),GUS_tabl_21!$A$5:$F$4886,6,FALSE))))</f>
        <v>4345</v>
      </c>
      <c r="E770" s="29"/>
    </row>
    <row r="771" spans="1:5" ht="12" customHeight="1">
      <c r="A771" s="155" t="str">
        <f>"100404 2"</f>
        <v>100404 2</v>
      </c>
      <c r="B771" s="153" t="s">
        <v>39</v>
      </c>
      <c r="C771" s="156" t="str">
        <f>IF(OR($A771="",ISERROR(VALUE(LEFT($A771,6)))),"",IF(LEN($A771)=2,"WOJ. ",IF(LEN($A771)=4,IF(VALUE(RIGHT($A771,2))&gt;60,"","Powiat "),IF(VALUE(RIGHT($A771,1))=1,"m. ",IF(VALUE(RIGHT($A771,1))=2,"gm. w. ",IF(VALUE(RIGHT($A771,1))=8,"dz. ","gm. m.-w. ")))))&amp;IF(LEN($A771)=2,TRIM(UPPER(VLOOKUP($A771,GUS_tabl_1!$A$7:$B$22,2,FALSE))),IF(ISERROR(FIND("..",TRIM(VLOOKUP(IF(AND(LEN($A771)=4,VALUE(RIGHT($A771,2))&gt;60),$A771&amp;"01 1",$A771),IF(AND(LEN($A771)=4,VALUE(RIGHT($A771,2))&lt;60),GUS_tabl_2!$A$8:$B$464,GUS_tabl_21!$A$5:$B$4886),2,FALSE)))),TRIM(VLOOKUP(IF(AND(LEN($A771)=4,VALUE(RIGHT($A771,2))&gt;60),$A771&amp;"01 1",$A771),IF(AND(LEN($A771)=4,VALUE(RIGHT($A771,2))&lt;60),GUS_tabl_2!$A$8:$B$464,GUS_tabl_21!$A$5:$B$4886),2,FALSE)),LEFT(TRIM(VLOOKUP(IF(AND(LEN($A771)=4,VALUE(RIGHT($A771,2))&gt;60),$A771&amp;"01 1",$A771),IF(AND(LEN($A771)=4,VALUE(RIGHT($A771,2))&lt;60),GUS_tabl_2!$A$8:$B$464,GUS_tabl_21!$A$5:$B$4886),2,FALSE)),SUM(FIND("..",TRIM(VLOOKUP(IF(AND(LEN($A771)=4,VALUE(RIGHT($A771,2))&gt;60),$A771&amp;"01 1",$A771),IF(AND(LEN($A771)=4,VALUE(RIGHT($A771,2))&lt;60),GUS_tabl_2!$A$8:$B$464,GUS_tabl_21!$A$5:$B$4886),2,FALSE))),-1)))))</f>
        <v>gm. w. Grabów</v>
      </c>
      <c r="D771" s="141">
        <f>IF(OR($A771="",ISERROR(VALUE(LEFT($A771,6)))),"",IF(LEN($A771)=2,SUMIF($A772:$A$2965,$A771&amp;"??",$D772:$D$2965),IF(AND(LEN($A771)=4,VALUE(RIGHT($A771,2))&lt;=60),SUMIF($A772:$A$2965,$A771&amp;"????",$D772:$D$2965),VLOOKUP(IF(LEN($A771)=4,$A771&amp;"01 1",$A771),GUS_tabl_21!$A$5:$F$4886,6,FALSE))))</f>
        <v>5892</v>
      </c>
      <c r="E771" s="29"/>
    </row>
    <row r="772" spans="1:5" ht="12" customHeight="1">
      <c r="A772" s="155" t="str">
        <f>"100405 2"</f>
        <v>100405 2</v>
      </c>
      <c r="B772" s="153" t="s">
        <v>39</v>
      </c>
      <c r="C772" s="156" t="str">
        <f>IF(OR($A772="",ISERROR(VALUE(LEFT($A772,6)))),"",IF(LEN($A772)=2,"WOJ. ",IF(LEN($A772)=4,IF(VALUE(RIGHT($A772,2))&gt;60,"","Powiat "),IF(VALUE(RIGHT($A772,1))=1,"m. ",IF(VALUE(RIGHT($A772,1))=2,"gm. w. ",IF(VALUE(RIGHT($A772,1))=8,"dz. ","gm. m.-w. ")))))&amp;IF(LEN($A772)=2,TRIM(UPPER(VLOOKUP($A772,GUS_tabl_1!$A$7:$B$22,2,FALSE))),IF(ISERROR(FIND("..",TRIM(VLOOKUP(IF(AND(LEN($A772)=4,VALUE(RIGHT($A772,2))&gt;60),$A772&amp;"01 1",$A772),IF(AND(LEN($A772)=4,VALUE(RIGHT($A772,2))&lt;60),GUS_tabl_2!$A$8:$B$464,GUS_tabl_21!$A$5:$B$4886),2,FALSE)))),TRIM(VLOOKUP(IF(AND(LEN($A772)=4,VALUE(RIGHT($A772,2))&gt;60),$A772&amp;"01 1",$A772),IF(AND(LEN($A772)=4,VALUE(RIGHT($A772,2))&lt;60),GUS_tabl_2!$A$8:$B$464,GUS_tabl_21!$A$5:$B$4886),2,FALSE)),LEFT(TRIM(VLOOKUP(IF(AND(LEN($A772)=4,VALUE(RIGHT($A772,2))&gt;60),$A772&amp;"01 1",$A772),IF(AND(LEN($A772)=4,VALUE(RIGHT($A772,2))&lt;60),GUS_tabl_2!$A$8:$B$464,GUS_tabl_21!$A$5:$B$4886),2,FALSE)),SUM(FIND("..",TRIM(VLOOKUP(IF(AND(LEN($A772)=4,VALUE(RIGHT($A772,2))&gt;60),$A772&amp;"01 1",$A772),IF(AND(LEN($A772)=4,VALUE(RIGHT($A772,2))&lt;60),GUS_tabl_2!$A$8:$B$464,GUS_tabl_21!$A$5:$B$4886),2,FALSE))),-1)))))</f>
        <v>gm. w. Łęczyca</v>
      </c>
      <c r="D772" s="141">
        <f>IF(OR($A772="",ISERROR(VALUE(LEFT($A772,6)))),"",IF(LEN($A772)=2,SUMIF($A773:$A$2965,$A772&amp;"??",$D773:$D$2965),IF(AND(LEN($A772)=4,VALUE(RIGHT($A772,2))&lt;=60),SUMIF($A773:$A$2965,$A772&amp;"????",$D773:$D$2965),VLOOKUP(IF(LEN($A772)=4,$A772&amp;"01 1",$A772),GUS_tabl_21!$A$5:$F$4886,6,FALSE))))</f>
        <v>8554</v>
      </c>
      <c r="E772" s="29"/>
    </row>
    <row r="773" spans="1:5" ht="12" customHeight="1">
      <c r="A773" s="155" t="str">
        <f>"100406 3"</f>
        <v>100406 3</v>
      </c>
      <c r="B773" s="153" t="s">
        <v>39</v>
      </c>
      <c r="C773" s="156" t="str">
        <f>IF(OR($A773="",ISERROR(VALUE(LEFT($A773,6)))),"",IF(LEN($A773)=2,"WOJ. ",IF(LEN($A773)=4,IF(VALUE(RIGHT($A773,2))&gt;60,"","Powiat "),IF(VALUE(RIGHT($A773,1))=1,"m. ",IF(VALUE(RIGHT($A773,1))=2,"gm. w. ",IF(VALUE(RIGHT($A773,1))=8,"dz. ","gm. m.-w. ")))))&amp;IF(LEN($A773)=2,TRIM(UPPER(VLOOKUP($A773,GUS_tabl_1!$A$7:$B$22,2,FALSE))),IF(ISERROR(FIND("..",TRIM(VLOOKUP(IF(AND(LEN($A773)=4,VALUE(RIGHT($A773,2))&gt;60),$A773&amp;"01 1",$A773),IF(AND(LEN($A773)=4,VALUE(RIGHT($A773,2))&lt;60),GUS_tabl_2!$A$8:$B$464,GUS_tabl_21!$A$5:$B$4886),2,FALSE)))),TRIM(VLOOKUP(IF(AND(LEN($A773)=4,VALUE(RIGHT($A773,2))&gt;60),$A773&amp;"01 1",$A773),IF(AND(LEN($A773)=4,VALUE(RIGHT($A773,2))&lt;60),GUS_tabl_2!$A$8:$B$464,GUS_tabl_21!$A$5:$B$4886),2,FALSE)),LEFT(TRIM(VLOOKUP(IF(AND(LEN($A773)=4,VALUE(RIGHT($A773,2))&gt;60),$A773&amp;"01 1",$A773),IF(AND(LEN($A773)=4,VALUE(RIGHT($A773,2))&lt;60),GUS_tabl_2!$A$8:$B$464,GUS_tabl_21!$A$5:$B$4886),2,FALSE)),SUM(FIND("..",TRIM(VLOOKUP(IF(AND(LEN($A773)=4,VALUE(RIGHT($A773,2))&gt;60),$A773&amp;"01 1",$A773),IF(AND(LEN($A773)=4,VALUE(RIGHT($A773,2))&lt;60),GUS_tabl_2!$A$8:$B$464,GUS_tabl_21!$A$5:$B$4886),2,FALSE))),-1)))))</f>
        <v>gm. m.-w. Piątek</v>
      </c>
      <c r="D773" s="141">
        <f>IF(OR($A773="",ISERROR(VALUE(LEFT($A773,6)))),"",IF(LEN($A773)=2,SUMIF($A774:$A$2965,$A773&amp;"??",$D774:$D$2965),IF(AND(LEN($A773)=4,VALUE(RIGHT($A773,2))&lt;=60),SUMIF($A774:$A$2965,$A773&amp;"????",$D774:$D$2965),VLOOKUP(IF(LEN($A773)=4,$A773&amp;"01 1",$A773),GUS_tabl_21!$A$5:$F$4886,6,FALSE))))</f>
        <v>5982</v>
      </c>
      <c r="E773" s="29"/>
    </row>
    <row r="774" spans="1:5" ht="12" customHeight="1">
      <c r="A774" s="155" t="str">
        <f>"100407 2"</f>
        <v>100407 2</v>
      </c>
      <c r="B774" s="153" t="s">
        <v>39</v>
      </c>
      <c r="C774" s="156" t="str">
        <f>IF(OR($A774="",ISERROR(VALUE(LEFT($A774,6)))),"",IF(LEN($A774)=2,"WOJ. ",IF(LEN($A774)=4,IF(VALUE(RIGHT($A774,2))&gt;60,"","Powiat "),IF(VALUE(RIGHT($A774,1))=1,"m. ",IF(VALUE(RIGHT($A774,1))=2,"gm. w. ",IF(VALUE(RIGHT($A774,1))=8,"dz. ","gm. m.-w. ")))))&amp;IF(LEN($A774)=2,TRIM(UPPER(VLOOKUP($A774,GUS_tabl_1!$A$7:$B$22,2,FALSE))),IF(ISERROR(FIND("..",TRIM(VLOOKUP(IF(AND(LEN($A774)=4,VALUE(RIGHT($A774,2))&gt;60),$A774&amp;"01 1",$A774),IF(AND(LEN($A774)=4,VALUE(RIGHT($A774,2))&lt;60),GUS_tabl_2!$A$8:$B$464,GUS_tabl_21!$A$5:$B$4886),2,FALSE)))),TRIM(VLOOKUP(IF(AND(LEN($A774)=4,VALUE(RIGHT($A774,2))&gt;60),$A774&amp;"01 1",$A774),IF(AND(LEN($A774)=4,VALUE(RIGHT($A774,2))&lt;60),GUS_tabl_2!$A$8:$B$464,GUS_tabl_21!$A$5:$B$4886),2,FALSE)),LEFT(TRIM(VLOOKUP(IF(AND(LEN($A774)=4,VALUE(RIGHT($A774,2))&gt;60),$A774&amp;"01 1",$A774),IF(AND(LEN($A774)=4,VALUE(RIGHT($A774,2))&lt;60),GUS_tabl_2!$A$8:$B$464,GUS_tabl_21!$A$5:$B$4886),2,FALSE)),SUM(FIND("..",TRIM(VLOOKUP(IF(AND(LEN($A774)=4,VALUE(RIGHT($A774,2))&gt;60),$A774&amp;"01 1",$A774),IF(AND(LEN($A774)=4,VALUE(RIGHT($A774,2))&lt;60),GUS_tabl_2!$A$8:$B$464,GUS_tabl_21!$A$5:$B$4886),2,FALSE))),-1)))))</f>
        <v>gm. w. Świnice Warckie</v>
      </c>
      <c r="D774" s="141">
        <f>IF(OR($A774="",ISERROR(VALUE(LEFT($A774,6)))),"",IF(LEN($A774)=2,SUMIF($A775:$A$2965,$A774&amp;"??",$D775:$D$2965),IF(AND(LEN($A774)=4,VALUE(RIGHT($A774,2))&lt;=60),SUMIF($A775:$A$2965,$A774&amp;"????",$D775:$D$2965),VLOOKUP(IF(LEN($A774)=4,$A774&amp;"01 1",$A774),GUS_tabl_21!$A$5:$F$4886,6,FALSE))))</f>
        <v>3888</v>
      </c>
      <c r="E774" s="29"/>
    </row>
    <row r="775" spans="1:5" ht="12" customHeight="1">
      <c r="A775" s="155" t="str">
        <f>"100408 2"</f>
        <v>100408 2</v>
      </c>
      <c r="B775" s="153" t="s">
        <v>39</v>
      </c>
      <c r="C775" s="156" t="str">
        <f>IF(OR($A775="",ISERROR(VALUE(LEFT($A775,6)))),"",IF(LEN($A775)=2,"WOJ. ",IF(LEN($A775)=4,IF(VALUE(RIGHT($A775,2))&gt;60,"","Powiat "),IF(VALUE(RIGHT($A775,1))=1,"m. ",IF(VALUE(RIGHT($A775,1))=2,"gm. w. ",IF(VALUE(RIGHT($A775,1))=8,"dz. ","gm. m.-w. ")))))&amp;IF(LEN($A775)=2,TRIM(UPPER(VLOOKUP($A775,GUS_tabl_1!$A$7:$B$22,2,FALSE))),IF(ISERROR(FIND("..",TRIM(VLOOKUP(IF(AND(LEN($A775)=4,VALUE(RIGHT($A775,2))&gt;60),$A775&amp;"01 1",$A775),IF(AND(LEN($A775)=4,VALUE(RIGHT($A775,2))&lt;60),GUS_tabl_2!$A$8:$B$464,GUS_tabl_21!$A$5:$B$4886),2,FALSE)))),TRIM(VLOOKUP(IF(AND(LEN($A775)=4,VALUE(RIGHT($A775,2))&gt;60),$A775&amp;"01 1",$A775),IF(AND(LEN($A775)=4,VALUE(RIGHT($A775,2))&lt;60),GUS_tabl_2!$A$8:$B$464,GUS_tabl_21!$A$5:$B$4886),2,FALSE)),LEFT(TRIM(VLOOKUP(IF(AND(LEN($A775)=4,VALUE(RIGHT($A775,2))&gt;60),$A775&amp;"01 1",$A775),IF(AND(LEN($A775)=4,VALUE(RIGHT($A775,2))&lt;60),GUS_tabl_2!$A$8:$B$464,GUS_tabl_21!$A$5:$B$4886),2,FALSE)),SUM(FIND("..",TRIM(VLOOKUP(IF(AND(LEN($A775)=4,VALUE(RIGHT($A775,2))&gt;60),$A775&amp;"01 1",$A775),IF(AND(LEN($A775)=4,VALUE(RIGHT($A775,2))&lt;60),GUS_tabl_2!$A$8:$B$464,GUS_tabl_21!$A$5:$B$4886),2,FALSE))),-1)))))</f>
        <v>gm. w. Witonia</v>
      </c>
      <c r="D775" s="141">
        <f>IF(OR($A775="",ISERROR(VALUE(LEFT($A775,6)))),"",IF(LEN($A775)=2,SUMIF($A776:$A$2965,$A775&amp;"??",$D776:$D$2965),IF(AND(LEN($A775)=4,VALUE(RIGHT($A775,2))&lt;=60),SUMIF($A776:$A$2965,$A775&amp;"????",$D776:$D$2965),VLOOKUP(IF(LEN($A775)=4,$A775&amp;"01 1",$A775),GUS_tabl_21!$A$5:$F$4886,6,FALSE))))</f>
        <v>3237</v>
      </c>
      <c r="E775" s="29"/>
    </row>
    <row r="776" spans="1:5" ht="12" customHeight="1">
      <c r="A776" s="152" t="str">
        <f>"1005"</f>
        <v>1005</v>
      </c>
      <c r="B776" s="153" t="s">
        <v>39</v>
      </c>
      <c r="C776" s="154" t="str">
        <f>IF(OR($A776="",ISERROR(VALUE(LEFT($A776,6)))),"",IF(LEN($A776)=2,"WOJ. ",IF(LEN($A776)=4,IF(VALUE(RIGHT($A776,2))&gt;60,"","Powiat "),IF(VALUE(RIGHT($A776,1))=1,"m. ",IF(VALUE(RIGHT($A776,1))=2,"gm. w. ",IF(VALUE(RIGHT($A776,1))=8,"dz. ","gm. m.-w. ")))))&amp;IF(LEN($A776)=2,TRIM(UPPER(VLOOKUP($A776,GUS_tabl_1!$A$7:$B$22,2,FALSE))),IF(ISERROR(FIND("..",TRIM(VLOOKUP(IF(AND(LEN($A776)=4,VALUE(RIGHT($A776,2))&gt;60),$A776&amp;"01 1",$A776),IF(AND(LEN($A776)=4,VALUE(RIGHT($A776,2))&lt;60),GUS_tabl_2!$A$8:$B$464,GUS_tabl_21!$A$5:$B$4886),2,FALSE)))),TRIM(VLOOKUP(IF(AND(LEN($A776)=4,VALUE(RIGHT($A776,2))&gt;60),$A776&amp;"01 1",$A776),IF(AND(LEN($A776)=4,VALUE(RIGHT($A776,2))&lt;60),GUS_tabl_2!$A$8:$B$464,GUS_tabl_21!$A$5:$B$4886),2,FALSE)),LEFT(TRIM(VLOOKUP(IF(AND(LEN($A776)=4,VALUE(RIGHT($A776,2))&gt;60),$A776&amp;"01 1",$A776),IF(AND(LEN($A776)=4,VALUE(RIGHT($A776,2))&lt;60),GUS_tabl_2!$A$8:$B$464,GUS_tabl_21!$A$5:$B$4886),2,FALSE)),SUM(FIND("..",TRIM(VLOOKUP(IF(AND(LEN($A776)=4,VALUE(RIGHT($A776,2))&gt;60),$A776&amp;"01 1",$A776),IF(AND(LEN($A776)=4,VALUE(RIGHT($A776,2))&lt;60),GUS_tabl_2!$A$8:$B$464,GUS_tabl_21!$A$5:$B$4886),2,FALSE))),-1)))))</f>
        <v>Powiat łowicki</v>
      </c>
      <c r="D776" s="140">
        <f>IF(OR($A776="",ISERROR(VALUE(LEFT($A776,6)))),"",IF(LEN($A776)=2,SUMIF($A777:$A$2965,$A776&amp;"??",$D777:$D$2965),IF(AND(LEN($A776)=4,VALUE(RIGHT($A776,2))&lt;=60),SUMIF($A777:$A$2965,$A776&amp;"????",$D777:$D$2965),VLOOKUP(IF(LEN($A776)=4,$A776&amp;"01 1",$A776),GUS_tabl_21!$A$5:$F$4886,6,FALSE))))</f>
        <v>78099</v>
      </c>
      <c r="E776" s="29"/>
    </row>
    <row r="777" spans="1:5" ht="12" customHeight="1">
      <c r="A777" s="155" t="str">
        <f>"100501 1"</f>
        <v>100501 1</v>
      </c>
      <c r="B777" s="153" t="s">
        <v>39</v>
      </c>
      <c r="C777" s="156" t="str">
        <f>IF(OR($A777="",ISERROR(VALUE(LEFT($A777,6)))),"",IF(LEN($A777)=2,"WOJ. ",IF(LEN($A777)=4,IF(VALUE(RIGHT($A777,2))&gt;60,"","Powiat "),IF(VALUE(RIGHT($A777,1))=1,"m. ",IF(VALUE(RIGHT($A777,1))=2,"gm. w. ",IF(VALUE(RIGHT($A777,1))=8,"dz. ","gm. m.-w. ")))))&amp;IF(LEN($A777)=2,TRIM(UPPER(VLOOKUP($A777,GUS_tabl_1!$A$7:$B$22,2,FALSE))),IF(ISERROR(FIND("..",TRIM(VLOOKUP(IF(AND(LEN($A777)=4,VALUE(RIGHT($A777,2))&gt;60),$A777&amp;"01 1",$A777),IF(AND(LEN($A777)=4,VALUE(RIGHT($A777,2))&lt;60),GUS_tabl_2!$A$8:$B$464,GUS_tabl_21!$A$5:$B$4886),2,FALSE)))),TRIM(VLOOKUP(IF(AND(LEN($A777)=4,VALUE(RIGHT($A777,2))&gt;60),$A777&amp;"01 1",$A777),IF(AND(LEN($A777)=4,VALUE(RIGHT($A777,2))&lt;60),GUS_tabl_2!$A$8:$B$464,GUS_tabl_21!$A$5:$B$4886),2,FALSE)),LEFT(TRIM(VLOOKUP(IF(AND(LEN($A777)=4,VALUE(RIGHT($A777,2))&gt;60),$A777&amp;"01 1",$A777),IF(AND(LEN($A777)=4,VALUE(RIGHT($A777,2))&lt;60),GUS_tabl_2!$A$8:$B$464,GUS_tabl_21!$A$5:$B$4886),2,FALSE)),SUM(FIND("..",TRIM(VLOOKUP(IF(AND(LEN($A777)=4,VALUE(RIGHT($A777,2))&gt;60),$A777&amp;"01 1",$A777),IF(AND(LEN($A777)=4,VALUE(RIGHT($A777,2))&lt;60),GUS_tabl_2!$A$8:$B$464,GUS_tabl_21!$A$5:$B$4886),2,FALSE))),-1)))))</f>
        <v>m. Łowicz</v>
      </c>
      <c r="D777" s="141">
        <f>IF(OR($A777="",ISERROR(VALUE(LEFT($A777,6)))),"",IF(LEN($A777)=2,SUMIF($A778:$A$2965,$A777&amp;"??",$D778:$D$2965),IF(AND(LEN($A777)=4,VALUE(RIGHT($A777,2))&lt;=60),SUMIF($A778:$A$2965,$A777&amp;"????",$D778:$D$2965),VLOOKUP(IF(LEN($A777)=4,$A777&amp;"01 1",$A777),GUS_tabl_21!$A$5:$F$4886,6,FALSE))))</f>
        <v>28224</v>
      </c>
      <c r="E777" s="29"/>
    </row>
    <row r="778" spans="1:5" ht="12" customHeight="1">
      <c r="A778" s="155" t="str">
        <f>"100502 2"</f>
        <v>100502 2</v>
      </c>
      <c r="B778" s="153" t="s">
        <v>39</v>
      </c>
      <c r="C778" s="156" t="str">
        <f>IF(OR($A778="",ISERROR(VALUE(LEFT($A778,6)))),"",IF(LEN($A778)=2,"WOJ. ",IF(LEN($A778)=4,IF(VALUE(RIGHT($A778,2))&gt;60,"","Powiat "),IF(VALUE(RIGHT($A778,1))=1,"m. ",IF(VALUE(RIGHT($A778,1))=2,"gm. w. ",IF(VALUE(RIGHT($A778,1))=8,"dz. ","gm. m.-w. ")))))&amp;IF(LEN($A778)=2,TRIM(UPPER(VLOOKUP($A778,GUS_tabl_1!$A$7:$B$22,2,FALSE))),IF(ISERROR(FIND("..",TRIM(VLOOKUP(IF(AND(LEN($A778)=4,VALUE(RIGHT($A778,2))&gt;60),$A778&amp;"01 1",$A778),IF(AND(LEN($A778)=4,VALUE(RIGHT($A778,2))&lt;60),GUS_tabl_2!$A$8:$B$464,GUS_tabl_21!$A$5:$B$4886),2,FALSE)))),TRIM(VLOOKUP(IF(AND(LEN($A778)=4,VALUE(RIGHT($A778,2))&gt;60),$A778&amp;"01 1",$A778),IF(AND(LEN($A778)=4,VALUE(RIGHT($A778,2))&lt;60),GUS_tabl_2!$A$8:$B$464,GUS_tabl_21!$A$5:$B$4886),2,FALSE)),LEFT(TRIM(VLOOKUP(IF(AND(LEN($A778)=4,VALUE(RIGHT($A778,2))&gt;60),$A778&amp;"01 1",$A778),IF(AND(LEN($A778)=4,VALUE(RIGHT($A778,2))&lt;60),GUS_tabl_2!$A$8:$B$464,GUS_tabl_21!$A$5:$B$4886),2,FALSE)),SUM(FIND("..",TRIM(VLOOKUP(IF(AND(LEN($A778)=4,VALUE(RIGHT($A778,2))&gt;60),$A778&amp;"01 1",$A778),IF(AND(LEN($A778)=4,VALUE(RIGHT($A778,2))&lt;60),GUS_tabl_2!$A$8:$B$464,GUS_tabl_21!$A$5:$B$4886),2,FALSE))),-1)))))</f>
        <v>gm. w. Bielawy</v>
      </c>
      <c r="D778" s="141">
        <f>IF(OR($A778="",ISERROR(VALUE(LEFT($A778,6)))),"",IF(LEN($A778)=2,SUMIF($A779:$A$2965,$A778&amp;"??",$D779:$D$2965),IF(AND(LEN($A778)=4,VALUE(RIGHT($A778,2))&lt;=60),SUMIF($A779:$A$2965,$A778&amp;"????",$D779:$D$2965),VLOOKUP(IF(LEN($A778)=4,$A778&amp;"01 1",$A778),GUS_tabl_21!$A$5:$F$4886,6,FALSE))))</f>
        <v>5325</v>
      </c>
      <c r="E778" s="29"/>
    </row>
    <row r="779" spans="1:5" ht="12" customHeight="1">
      <c r="A779" s="155" t="str">
        <f>"100503 2"</f>
        <v>100503 2</v>
      </c>
      <c r="B779" s="153" t="s">
        <v>39</v>
      </c>
      <c r="C779" s="156" t="str">
        <f>IF(OR($A779="",ISERROR(VALUE(LEFT($A779,6)))),"",IF(LEN($A779)=2,"WOJ. ",IF(LEN($A779)=4,IF(VALUE(RIGHT($A779,2))&gt;60,"","Powiat "),IF(VALUE(RIGHT($A779,1))=1,"m. ",IF(VALUE(RIGHT($A779,1))=2,"gm. w. ",IF(VALUE(RIGHT($A779,1))=8,"dz. ","gm. m.-w. ")))))&amp;IF(LEN($A779)=2,TRIM(UPPER(VLOOKUP($A779,GUS_tabl_1!$A$7:$B$22,2,FALSE))),IF(ISERROR(FIND("..",TRIM(VLOOKUP(IF(AND(LEN($A779)=4,VALUE(RIGHT($A779,2))&gt;60),$A779&amp;"01 1",$A779),IF(AND(LEN($A779)=4,VALUE(RIGHT($A779,2))&lt;60),GUS_tabl_2!$A$8:$B$464,GUS_tabl_21!$A$5:$B$4886),2,FALSE)))),TRIM(VLOOKUP(IF(AND(LEN($A779)=4,VALUE(RIGHT($A779,2))&gt;60),$A779&amp;"01 1",$A779),IF(AND(LEN($A779)=4,VALUE(RIGHT($A779,2))&lt;60),GUS_tabl_2!$A$8:$B$464,GUS_tabl_21!$A$5:$B$4886),2,FALSE)),LEFT(TRIM(VLOOKUP(IF(AND(LEN($A779)=4,VALUE(RIGHT($A779,2))&gt;60),$A779&amp;"01 1",$A779),IF(AND(LEN($A779)=4,VALUE(RIGHT($A779,2))&lt;60),GUS_tabl_2!$A$8:$B$464,GUS_tabl_21!$A$5:$B$4886),2,FALSE)),SUM(FIND("..",TRIM(VLOOKUP(IF(AND(LEN($A779)=4,VALUE(RIGHT($A779,2))&gt;60),$A779&amp;"01 1",$A779),IF(AND(LEN($A779)=4,VALUE(RIGHT($A779,2))&lt;60),GUS_tabl_2!$A$8:$B$464,GUS_tabl_21!$A$5:$B$4886),2,FALSE))),-1)))))</f>
        <v>gm. w. Chąśno</v>
      </c>
      <c r="D779" s="141">
        <f>IF(OR($A779="",ISERROR(VALUE(LEFT($A779,6)))),"",IF(LEN($A779)=2,SUMIF($A780:$A$2965,$A779&amp;"??",$D780:$D$2965),IF(AND(LEN($A779)=4,VALUE(RIGHT($A779,2))&lt;=60),SUMIF($A780:$A$2965,$A779&amp;"????",$D780:$D$2965),VLOOKUP(IF(LEN($A779)=4,$A779&amp;"01 1",$A779),GUS_tabl_21!$A$5:$F$4886,6,FALSE))))</f>
        <v>2907</v>
      </c>
      <c r="E779" s="29"/>
    </row>
    <row r="780" spans="1:5" ht="12" customHeight="1">
      <c r="A780" s="155" t="str">
        <f>"100504 2"</f>
        <v>100504 2</v>
      </c>
      <c r="B780" s="153" t="s">
        <v>39</v>
      </c>
      <c r="C780" s="156" t="str">
        <f>IF(OR($A780="",ISERROR(VALUE(LEFT($A780,6)))),"",IF(LEN($A780)=2,"WOJ. ",IF(LEN($A780)=4,IF(VALUE(RIGHT($A780,2))&gt;60,"","Powiat "),IF(VALUE(RIGHT($A780,1))=1,"m. ",IF(VALUE(RIGHT($A780,1))=2,"gm. w. ",IF(VALUE(RIGHT($A780,1))=8,"dz. ","gm. m.-w. ")))))&amp;IF(LEN($A780)=2,TRIM(UPPER(VLOOKUP($A780,GUS_tabl_1!$A$7:$B$22,2,FALSE))),IF(ISERROR(FIND("..",TRIM(VLOOKUP(IF(AND(LEN($A780)=4,VALUE(RIGHT($A780,2))&gt;60),$A780&amp;"01 1",$A780),IF(AND(LEN($A780)=4,VALUE(RIGHT($A780,2))&lt;60),GUS_tabl_2!$A$8:$B$464,GUS_tabl_21!$A$5:$B$4886),2,FALSE)))),TRIM(VLOOKUP(IF(AND(LEN($A780)=4,VALUE(RIGHT($A780,2))&gt;60),$A780&amp;"01 1",$A780),IF(AND(LEN($A780)=4,VALUE(RIGHT($A780,2))&lt;60),GUS_tabl_2!$A$8:$B$464,GUS_tabl_21!$A$5:$B$4886),2,FALSE)),LEFT(TRIM(VLOOKUP(IF(AND(LEN($A780)=4,VALUE(RIGHT($A780,2))&gt;60),$A780&amp;"01 1",$A780),IF(AND(LEN($A780)=4,VALUE(RIGHT($A780,2))&lt;60),GUS_tabl_2!$A$8:$B$464,GUS_tabl_21!$A$5:$B$4886),2,FALSE)),SUM(FIND("..",TRIM(VLOOKUP(IF(AND(LEN($A780)=4,VALUE(RIGHT($A780,2))&gt;60),$A780&amp;"01 1",$A780),IF(AND(LEN($A780)=4,VALUE(RIGHT($A780,2))&lt;60),GUS_tabl_2!$A$8:$B$464,GUS_tabl_21!$A$5:$B$4886),2,FALSE))),-1)))))</f>
        <v>gm. w. Domaniewice</v>
      </c>
      <c r="D780" s="141">
        <f>IF(OR($A780="",ISERROR(VALUE(LEFT($A780,6)))),"",IF(LEN($A780)=2,SUMIF($A781:$A$2965,$A780&amp;"??",$D781:$D$2965),IF(AND(LEN($A780)=4,VALUE(RIGHT($A780,2))&lt;=60),SUMIF($A781:$A$2965,$A780&amp;"????",$D781:$D$2965),VLOOKUP(IF(LEN($A780)=4,$A780&amp;"01 1",$A780),GUS_tabl_21!$A$5:$F$4886,6,FALSE))))</f>
        <v>4650</v>
      </c>
      <c r="E780" s="29"/>
    </row>
    <row r="781" spans="1:5" ht="12" customHeight="1">
      <c r="A781" s="155" t="str">
        <f>"100505 2"</f>
        <v>100505 2</v>
      </c>
      <c r="B781" s="153" t="s">
        <v>39</v>
      </c>
      <c r="C781" s="156" t="str">
        <f>IF(OR($A781="",ISERROR(VALUE(LEFT($A781,6)))),"",IF(LEN($A781)=2,"WOJ. ",IF(LEN($A781)=4,IF(VALUE(RIGHT($A781,2))&gt;60,"","Powiat "),IF(VALUE(RIGHT($A781,1))=1,"m. ",IF(VALUE(RIGHT($A781,1))=2,"gm. w. ",IF(VALUE(RIGHT($A781,1))=8,"dz. ","gm. m.-w. ")))))&amp;IF(LEN($A781)=2,TRIM(UPPER(VLOOKUP($A781,GUS_tabl_1!$A$7:$B$22,2,FALSE))),IF(ISERROR(FIND("..",TRIM(VLOOKUP(IF(AND(LEN($A781)=4,VALUE(RIGHT($A781,2))&gt;60),$A781&amp;"01 1",$A781),IF(AND(LEN($A781)=4,VALUE(RIGHT($A781,2))&lt;60),GUS_tabl_2!$A$8:$B$464,GUS_tabl_21!$A$5:$B$4886),2,FALSE)))),TRIM(VLOOKUP(IF(AND(LEN($A781)=4,VALUE(RIGHT($A781,2))&gt;60),$A781&amp;"01 1",$A781),IF(AND(LEN($A781)=4,VALUE(RIGHT($A781,2))&lt;60),GUS_tabl_2!$A$8:$B$464,GUS_tabl_21!$A$5:$B$4886),2,FALSE)),LEFT(TRIM(VLOOKUP(IF(AND(LEN($A781)=4,VALUE(RIGHT($A781,2))&gt;60),$A781&amp;"01 1",$A781),IF(AND(LEN($A781)=4,VALUE(RIGHT($A781,2))&lt;60),GUS_tabl_2!$A$8:$B$464,GUS_tabl_21!$A$5:$B$4886),2,FALSE)),SUM(FIND("..",TRIM(VLOOKUP(IF(AND(LEN($A781)=4,VALUE(RIGHT($A781,2))&gt;60),$A781&amp;"01 1",$A781),IF(AND(LEN($A781)=4,VALUE(RIGHT($A781,2))&lt;60),GUS_tabl_2!$A$8:$B$464,GUS_tabl_21!$A$5:$B$4886),2,FALSE))),-1)))))</f>
        <v>gm. w. Kiernozia</v>
      </c>
      <c r="D781" s="141">
        <f>IF(OR($A781="",ISERROR(VALUE(LEFT($A781,6)))),"",IF(LEN($A781)=2,SUMIF($A782:$A$2965,$A781&amp;"??",$D782:$D$2965),IF(AND(LEN($A781)=4,VALUE(RIGHT($A781,2))&lt;=60),SUMIF($A782:$A$2965,$A781&amp;"????",$D782:$D$2965),VLOOKUP(IF(LEN($A781)=4,$A781&amp;"01 1",$A781),GUS_tabl_21!$A$5:$F$4886,6,FALSE))))</f>
        <v>3366</v>
      </c>
      <c r="E781" s="29"/>
    </row>
    <row r="782" spans="1:5" ht="12" customHeight="1">
      <c r="A782" s="155" t="str">
        <f>"100506 2"</f>
        <v>100506 2</v>
      </c>
      <c r="B782" s="153" t="s">
        <v>39</v>
      </c>
      <c r="C782" s="156" t="str">
        <f>IF(OR($A782="",ISERROR(VALUE(LEFT($A782,6)))),"",IF(LEN($A782)=2,"WOJ. ",IF(LEN($A782)=4,IF(VALUE(RIGHT($A782,2))&gt;60,"","Powiat "),IF(VALUE(RIGHT($A782,1))=1,"m. ",IF(VALUE(RIGHT($A782,1))=2,"gm. w. ",IF(VALUE(RIGHT($A782,1))=8,"dz. ","gm. m.-w. ")))))&amp;IF(LEN($A782)=2,TRIM(UPPER(VLOOKUP($A782,GUS_tabl_1!$A$7:$B$22,2,FALSE))),IF(ISERROR(FIND("..",TRIM(VLOOKUP(IF(AND(LEN($A782)=4,VALUE(RIGHT($A782,2))&gt;60),$A782&amp;"01 1",$A782),IF(AND(LEN($A782)=4,VALUE(RIGHT($A782,2))&lt;60),GUS_tabl_2!$A$8:$B$464,GUS_tabl_21!$A$5:$B$4886),2,FALSE)))),TRIM(VLOOKUP(IF(AND(LEN($A782)=4,VALUE(RIGHT($A782,2))&gt;60),$A782&amp;"01 1",$A782),IF(AND(LEN($A782)=4,VALUE(RIGHT($A782,2))&lt;60),GUS_tabl_2!$A$8:$B$464,GUS_tabl_21!$A$5:$B$4886),2,FALSE)),LEFT(TRIM(VLOOKUP(IF(AND(LEN($A782)=4,VALUE(RIGHT($A782,2))&gt;60),$A782&amp;"01 1",$A782),IF(AND(LEN($A782)=4,VALUE(RIGHT($A782,2))&lt;60),GUS_tabl_2!$A$8:$B$464,GUS_tabl_21!$A$5:$B$4886),2,FALSE)),SUM(FIND("..",TRIM(VLOOKUP(IF(AND(LEN($A782)=4,VALUE(RIGHT($A782,2))&gt;60),$A782&amp;"01 1",$A782),IF(AND(LEN($A782)=4,VALUE(RIGHT($A782,2))&lt;60),GUS_tabl_2!$A$8:$B$464,GUS_tabl_21!$A$5:$B$4886),2,FALSE))),-1)))))</f>
        <v>gm. w. Kocierzew Południowy</v>
      </c>
      <c r="D782" s="141">
        <f>IF(OR($A782="",ISERROR(VALUE(LEFT($A782,6)))),"",IF(LEN($A782)=2,SUMIF($A783:$A$2965,$A782&amp;"??",$D783:$D$2965),IF(AND(LEN($A782)=4,VALUE(RIGHT($A782,2))&lt;=60),SUMIF($A783:$A$2965,$A782&amp;"????",$D783:$D$2965),VLOOKUP(IF(LEN($A782)=4,$A782&amp;"01 1",$A782),GUS_tabl_21!$A$5:$F$4886,6,FALSE))))</f>
        <v>4204</v>
      </c>
      <c r="E782" s="29"/>
    </row>
    <row r="783" spans="1:5" ht="12" customHeight="1">
      <c r="A783" s="155" t="str">
        <f>"100507 2"</f>
        <v>100507 2</v>
      </c>
      <c r="B783" s="153" t="s">
        <v>39</v>
      </c>
      <c r="C783" s="156" t="str">
        <f>IF(OR($A783="",ISERROR(VALUE(LEFT($A783,6)))),"",IF(LEN($A783)=2,"WOJ. ",IF(LEN($A783)=4,IF(VALUE(RIGHT($A783,2))&gt;60,"","Powiat "),IF(VALUE(RIGHT($A783,1))=1,"m. ",IF(VALUE(RIGHT($A783,1))=2,"gm. w. ",IF(VALUE(RIGHT($A783,1))=8,"dz. ","gm. m.-w. ")))))&amp;IF(LEN($A783)=2,TRIM(UPPER(VLOOKUP($A783,GUS_tabl_1!$A$7:$B$22,2,FALSE))),IF(ISERROR(FIND("..",TRIM(VLOOKUP(IF(AND(LEN($A783)=4,VALUE(RIGHT($A783,2))&gt;60),$A783&amp;"01 1",$A783),IF(AND(LEN($A783)=4,VALUE(RIGHT($A783,2))&lt;60),GUS_tabl_2!$A$8:$B$464,GUS_tabl_21!$A$5:$B$4886),2,FALSE)))),TRIM(VLOOKUP(IF(AND(LEN($A783)=4,VALUE(RIGHT($A783,2))&gt;60),$A783&amp;"01 1",$A783),IF(AND(LEN($A783)=4,VALUE(RIGHT($A783,2))&lt;60),GUS_tabl_2!$A$8:$B$464,GUS_tabl_21!$A$5:$B$4886),2,FALSE)),LEFT(TRIM(VLOOKUP(IF(AND(LEN($A783)=4,VALUE(RIGHT($A783,2))&gt;60),$A783&amp;"01 1",$A783),IF(AND(LEN($A783)=4,VALUE(RIGHT($A783,2))&lt;60),GUS_tabl_2!$A$8:$B$464,GUS_tabl_21!$A$5:$B$4886),2,FALSE)),SUM(FIND("..",TRIM(VLOOKUP(IF(AND(LEN($A783)=4,VALUE(RIGHT($A783,2))&gt;60),$A783&amp;"01 1",$A783),IF(AND(LEN($A783)=4,VALUE(RIGHT($A783,2))&lt;60),GUS_tabl_2!$A$8:$B$464,GUS_tabl_21!$A$5:$B$4886),2,FALSE))),-1)))))</f>
        <v>gm. w. Łowicz</v>
      </c>
      <c r="D783" s="141">
        <f>IF(OR($A783="",ISERROR(VALUE(LEFT($A783,6)))),"",IF(LEN($A783)=2,SUMIF($A784:$A$2965,$A783&amp;"??",$D784:$D$2965),IF(AND(LEN($A783)=4,VALUE(RIGHT($A783,2))&lt;=60),SUMIF($A784:$A$2965,$A783&amp;"????",$D784:$D$2965),VLOOKUP(IF(LEN($A783)=4,$A783&amp;"01 1",$A783),GUS_tabl_21!$A$5:$F$4886,6,FALSE))))</f>
        <v>7710</v>
      </c>
      <c r="E783" s="29"/>
    </row>
    <row r="784" spans="1:5" ht="12" customHeight="1">
      <c r="A784" s="155" t="str">
        <f>"100508 2"</f>
        <v>100508 2</v>
      </c>
      <c r="B784" s="153" t="s">
        <v>39</v>
      </c>
      <c r="C784" s="156" t="str">
        <f>IF(OR($A784="",ISERROR(VALUE(LEFT($A784,6)))),"",IF(LEN($A784)=2,"WOJ. ",IF(LEN($A784)=4,IF(VALUE(RIGHT($A784,2))&gt;60,"","Powiat "),IF(VALUE(RIGHT($A784,1))=1,"m. ",IF(VALUE(RIGHT($A784,1))=2,"gm. w. ",IF(VALUE(RIGHT($A784,1))=8,"dz. ","gm. m.-w. ")))))&amp;IF(LEN($A784)=2,TRIM(UPPER(VLOOKUP($A784,GUS_tabl_1!$A$7:$B$22,2,FALSE))),IF(ISERROR(FIND("..",TRIM(VLOOKUP(IF(AND(LEN($A784)=4,VALUE(RIGHT($A784,2))&gt;60),$A784&amp;"01 1",$A784),IF(AND(LEN($A784)=4,VALUE(RIGHT($A784,2))&lt;60),GUS_tabl_2!$A$8:$B$464,GUS_tabl_21!$A$5:$B$4886),2,FALSE)))),TRIM(VLOOKUP(IF(AND(LEN($A784)=4,VALUE(RIGHT($A784,2))&gt;60),$A784&amp;"01 1",$A784),IF(AND(LEN($A784)=4,VALUE(RIGHT($A784,2))&lt;60),GUS_tabl_2!$A$8:$B$464,GUS_tabl_21!$A$5:$B$4886),2,FALSE)),LEFT(TRIM(VLOOKUP(IF(AND(LEN($A784)=4,VALUE(RIGHT($A784,2))&gt;60),$A784&amp;"01 1",$A784),IF(AND(LEN($A784)=4,VALUE(RIGHT($A784,2))&lt;60),GUS_tabl_2!$A$8:$B$464,GUS_tabl_21!$A$5:$B$4886),2,FALSE)),SUM(FIND("..",TRIM(VLOOKUP(IF(AND(LEN($A784)=4,VALUE(RIGHT($A784,2))&gt;60),$A784&amp;"01 1",$A784),IF(AND(LEN($A784)=4,VALUE(RIGHT($A784,2))&lt;60),GUS_tabl_2!$A$8:$B$464,GUS_tabl_21!$A$5:$B$4886),2,FALSE))),-1)))))</f>
        <v>gm. w. Łyszkowice</v>
      </c>
      <c r="D784" s="141">
        <f>IF(OR($A784="",ISERROR(VALUE(LEFT($A784,6)))),"",IF(LEN($A784)=2,SUMIF($A785:$A$2965,$A784&amp;"??",$D785:$D$2965),IF(AND(LEN($A784)=4,VALUE(RIGHT($A784,2))&lt;=60),SUMIF($A785:$A$2965,$A784&amp;"????",$D785:$D$2965),VLOOKUP(IF(LEN($A784)=4,$A784&amp;"01 1",$A784),GUS_tabl_21!$A$5:$F$4886,6,FALSE))))</f>
        <v>6693</v>
      </c>
      <c r="E784" s="29"/>
    </row>
    <row r="785" spans="1:5" ht="12" customHeight="1">
      <c r="A785" s="155" t="str">
        <f>"100509 2"</f>
        <v>100509 2</v>
      </c>
      <c r="B785" s="153" t="s">
        <v>39</v>
      </c>
      <c r="C785" s="156" t="str">
        <f>IF(OR($A785="",ISERROR(VALUE(LEFT($A785,6)))),"",IF(LEN($A785)=2,"WOJ. ",IF(LEN($A785)=4,IF(VALUE(RIGHT($A785,2))&gt;60,"","Powiat "),IF(VALUE(RIGHT($A785,1))=1,"m. ",IF(VALUE(RIGHT($A785,1))=2,"gm. w. ",IF(VALUE(RIGHT($A785,1))=8,"dz. ","gm. m.-w. ")))))&amp;IF(LEN($A785)=2,TRIM(UPPER(VLOOKUP($A785,GUS_tabl_1!$A$7:$B$22,2,FALSE))),IF(ISERROR(FIND("..",TRIM(VLOOKUP(IF(AND(LEN($A785)=4,VALUE(RIGHT($A785,2))&gt;60),$A785&amp;"01 1",$A785),IF(AND(LEN($A785)=4,VALUE(RIGHT($A785,2))&lt;60),GUS_tabl_2!$A$8:$B$464,GUS_tabl_21!$A$5:$B$4886),2,FALSE)))),TRIM(VLOOKUP(IF(AND(LEN($A785)=4,VALUE(RIGHT($A785,2))&gt;60),$A785&amp;"01 1",$A785),IF(AND(LEN($A785)=4,VALUE(RIGHT($A785,2))&lt;60),GUS_tabl_2!$A$8:$B$464,GUS_tabl_21!$A$5:$B$4886),2,FALSE)),LEFT(TRIM(VLOOKUP(IF(AND(LEN($A785)=4,VALUE(RIGHT($A785,2))&gt;60),$A785&amp;"01 1",$A785),IF(AND(LEN($A785)=4,VALUE(RIGHT($A785,2))&lt;60),GUS_tabl_2!$A$8:$B$464,GUS_tabl_21!$A$5:$B$4886),2,FALSE)),SUM(FIND("..",TRIM(VLOOKUP(IF(AND(LEN($A785)=4,VALUE(RIGHT($A785,2))&gt;60),$A785&amp;"01 1",$A785),IF(AND(LEN($A785)=4,VALUE(RIGHT($A785,2))&lt;60),GUS_tabl_2!$A$8:$B$464,GUS_tabl_21!$A$5:$B$4886),2,FALSE))),-1)))))</f>
        <v>gm. w. Nieborów</v>
      </c>
      <c r="D785" s="141">
        <f>IF(OR($A785="",ISERROR(VALUE(LEFT($A785,6)))),"",IF(LEN($A785)=2,SUMIF($A786:$A$2965,$A785&amp;"??",$D786:$D$2965),IF(AND(LEN($A785)=4,VALUE(RIGHT($A785,2))&lt;=60),SUMIF($A786:$A$2965,$A785&amp;"????",$D786:$D$2965),VLOOKUP(IF(LEN($A785)=4,$A785&amp;"01 1",$A785),GUS_tabl_21!$A$5:$F$4886,6,FALSE))))</f>
        <v>9321</v>
      </c>
      <c r="E785" s="29"/>
    </row>
    <row r="786" spans="1:5" ht="12" customHeight="1">
      <c r="A786" s="155" t="str">
        <f>"100510 2"</f>
        <v>100510 2</v>
      </c>
      <c r="B786" s="153" t="s">
        <v>39</v>
      </c>
      <c r="C786" s="156" t="str">
        <f>IF(OR($A786="",ISERROR(VALUE(LEFT($A786,6)))),"",IF(LEN($A786)=2,"WOJ. ",IF(LEN($A786)=4,IF(VALUE(RIGHT($A786,2))&gt;60,"","Powiat "),IF(VALUE(RIGHT($A786,1))=1,"m. ",IF(VALUE(RIGHT($A786,1))=2,"gm. w. ",IF(VALUE(RIGHT($A786,1))=8,"dz. ","gm. m.-w. ")))))&amp;IF(LEN($A786)=2,TRIM(UPPER(VLOOKUP($A786,GUS_tabl_1!$A$7:$B$22,2,FALSE))),IF(ISERROR(FIND("..",TRIM(VLOOKUP(IF(AND(LEN($A786)=4,VALUE(RIGHT($A786,2))&gt;60),$A786&amp;"01 1",$A786),IF(AND(LEN($A786)=4,VALUE(RIGHT($A786,2))&lt;60),GUS_tabl_2!$A$8:$B$464,GUS_tabl_21!$A$5:$B$4886),2,FALSE)))),TRIM(VLOOKUP(IF(AND(LEN($A786)=4,VALUE(RIGHT($A786,2))&gt;60),$A786&amp;"01 1",$A786),IF(AND(LEN($A786)=4,VALUE(RIGHT($A786,2))&lt;60),GUS_tabl_2!$A$8:$B$464,GUS_tabl_21!$A$5:$B$4886),2,FALSE)),LEFT(TRIM(VLOOKUP(IF(AND(LEN($A786)=4,VALUE(RIGHT($A786,2))&gt;60),$A786&amp;"01 1",$A786),IF(AND(LEN($A786)=4,VALUE(RIGHT($A786,2))&lt;60),GUS_tabl_2!$A$8:$B$464,GUS_tabl_21!$A$5:$B$4886),2,FALSE)),SUM(FIND("..",TRIM(VLOOKUP(IF(AND(LEN($A786)=4,VALUE(RIGHT($A786,2))&gt;60),$A786&amp;"01 1",$A786),IF(AND(LEN($A786)=4,VALUE(RIGHT($A786,2))&lt;60),GUS_tabl_2!$A$8:$B$464,GUS_tabl_21!$A$5:$B$4886),2,FALSE))),-1)))))</f>
        <v>gm. w. Zduny</v>
      </c>
      <c r="D786" s="141">
        <f>IF(OR($A786="",ISERROR(VALUE(LEFT($A786,6)))),"",IF(LEN($A786)=2,SUMIF($A787:$A$2965,$A786&amp;"??",$D787:$D$2965),IF(AND(LEN($A786)=4,VALUE(RIGHT($A786,2))&lt;=60),SUMIF($A787:$A$2965,$A786&amp;"????",$D787:$D$2965),VLOOKUP(IF(LEN($A786)=4,$A786&amp;"01 1",$A786),GUS_tabl_21!$A$5:$F$4886,6,FALSE))))</f>
        <v>5699</v>
      </c>
      <c r="E786" s="29"/>
    </row>
    <row r="787" spans="1:5" ht="12" customHeight="1">
      <c r="A787" s="152" t="str">
        <f>"1006"</f>
        <v>1006</v>
      </c>
      <c r="B787" s="153" t="s">
        <v>39</v>
      </c>
      <c r="C787" s="154" t="str">
        <f>IF(OR($A787="",ISERROR(VALUE(LEFT($A787,6)))),"",IF(LEN($A787)=2,"WOJ. ",IF(LEN($A787)=4,IF(VALUE(RIGHT($A787,2))&gt;60,"","Powiat "),IF(VALUE(RIGHT($A787,1))=1,"m. ",IF(VALUE(RIGHT($A787,1))=2,"gm. w. ",IF(VALUE(RIGHT($A787,1))=8,"dz. ","gm. m.-w. ")))))&amp;IF(LEN($A787)=2,TRIM(UPPER(VLOOKUP($A787,GUS_tabl_1!$A$7:$B$22,2,FALSE))),IF(ISERROR(FIND("..",TRIM(VLOOKUP(IF(AND(LEN($A787)=4,VALUE(RIGHT($A787,2))&gt;60),$A787&amp;"01 1",$A787),IF(AND(LEN($A787)=4,VALUE(RIGHT($A787,2))&lt;60),GUS_tabl_2!$A$8:$B$464,GUS_tabl_21!$A$5:$B$4886),2,FALSE)))),TRIM(VLOOKUP(IF(AND(LEN($A787)=4,VALUE(RIGHT($A787,2))&gt;60),$A787&amp;"01 1",$A787),IF(AND(LEN($A787)=4,VALUE(RIGHT($A787,2))&lt;60),GUS_tabl_2!$A$8:$B$464,GUS_tabl_21!$A$5:$B$4886),2,FALSE)),LEFT(TRIM(VLOOKUP(IF(AND(LEN($A787)=4,VALUE(RIGHT($A787,2))&gt;60),$A787&amp;"01 1",$A787),IF(AND(LEN($A787)=4,VALUE(RIGHT($A787,2))&lt;60),GUS_tabl_2!$A$8:$B$464,GUS_tabl_21!$A$5:$B$4886),2,FALSE)),SUM(FIND("..",TRIM(VLOOKUP(IF(AND(LEN($A787)=4,VALUE(RIGHT($A787,2))&gt;60),$A787&amp;"01 1",$A787),IF(AND(LEN($A787)=4,VALUE(RIGHT($A787,2))&lt;60),GUS_tabl_2!$A$8:$B$464,GUS_tabl_21!$A$5:$B$4886),2,FALSE))),-1)))))</f>
        <v>Powiat łódzki wschodni</v>
      </c>
      <c r="D787" s="140">
        <f>IF(OR($A787="",ISERROR(VALUE(LEFT($A787,6)))),"",IF(LEN($A787)=2,SUMIF($A788:$A$2965,$A787&amp;"??",$D788:$D$2965),IF(AND(LEN($A787)=4,VALUE(RIGHT($A787,2))&lt;=60),SUMIF($A788:$A$2965,$A787&amp;"????",$D788:$D$2965),VLOOKUP(IF(LEN($A787)=4,$A787&amp;"01 1",$A787),GUS_tabl_21!$A$5:$F$4886,6,FALSE))))</f>
        <v>72179</v>
      </c>
      <c r="E787" s="29"/>
    </row>
    <row r="788" spans="1:5" ht="12" customHeight="1">
      <c r="A788" s="155" t="str">
        <f>"100602 2"</f>
        <v>100602 2</v>
      </c>
      <c r="B788" s="153" t="s">
        <v>39</v>
      </c>
      <c r="C788" s="156" t="str">
        <f>IF(OR($A788="",ISERROR(VALUE(LEFT($A788,6)))),"",IF(LEN($A788)=2,"WOJ. ",IF(LEN($A788)=4,IF(VALUE(RIGHT($A788,2))&gt;60,"","Powiat "),IF(VALUE(RIGHT($A788,1))=1,"m. ",IF(VALUE(RIGHT($A788,1))=2,"gm. w. ",IF(VALUE(RIGHT($A788,1))=8,"dz. ","gm. m.-w. ")))))&amp;IF(LEN($A788)=2,TRIM(UPPER(VLOOKUP($A788,GUS_tabl_1!$A$7:$B$22,2,FALSE))),IF(ISERROR(FIND("..",TRIM(VLOOKUP(IF(AND(LEN($A788)=4,VALUE(RIGHT($A788,2))&gt;60),$A788&amp;"01 1",$A788),IF(AND(LEN($A788)=4,VALUE(RIGHT($A788,2))&lt;60),GUS_tabl_2!$A$8:$B$464,GUS_tabl_21!$A$5:$B$4886),2,FALSE)))),TRIM(VLOOKUP(IF(AND(LEN($A788)=4,VALUE(RIGHT($A788,2))&gt;60),$A788&amp;"01 1",$A788),IF(AND(LEN($A788)=4,VALUE(RIGHT($A788,2))&lt;60),GUS_tabl_2!$A$8:$B$464,GUS_tabl_21!$A$5:$B$4886),2,FALSE)),LEFT(TRIM(VLOOKUP(IF(AND(LEN($A788)=4,VALUE(RIGHT($A788,2))&gt;60),$A788&amp;"01 1",$A788),IF(AND(LEN($A788)=4,VALUE(RIGHT($A788,2))&lt;60),GUS_tabl_2!$A$8:$B$464,GUS_tabl_21!$A$5:$B$4886),2,FALSE)),SUM(FIND("..",TRIM(VLOOKUP(IF(AND(LEN($A788)=4,VALUE(RIGHT($A788,2))&gt;60),$A788&amp;"01 1",$A788),IF(AND(LEN($A788)=4,VALUE(RIGHT($A788,2))&lt;60),GUS_tabl_2!$A$8:$B$464,GUS_tabl_21!$A$5:$B$4886),2,FALSE))),-1)))))</f>
        <v>gm. w. Andrespol</v>
      </c>
      <c r="D788" s="141">
        <f>IF(OR($A788="",ISERROR(VALUE(LEFT($A788,6)))),"",IF(LEN($A788)=2,SUMIF($A789:$A$2965,$A788&amp;"??",$D789:$D$2965),IF(AND(LEN($A788)=4,VALUE(RIGHT($A788,2))&lt;=60),SUMIF($A789:$A$2965,$A788&amp;"????",$D789:$D$2965),VLOOKUP(IF(LEN($A788)=4,$A788&amp;"01 1",$A788),GUS_tabl_21!$A$5:$F$4886,6,FALSE))))</f>
        <v>14205</v>
      </c>
      <c r="E788" s="29"/>
    </row>
    <row r="789" spans="1:5" ht="12" customHeight="1">
      <c r="A789" s="155" t="str">
        <f>"100603 2"</f>
        <v>100603 2</v>
      </c>
      <c r="B789" s="153" t="s">
        <v>39</v>
      </c>
      <c r="C789" s="156" t="str">
        <f>IF(OR($A789="",ISERROR(VALUE(LEFT($A789,6)))),"",IF(LEN($A789)=2,"WOJ. ",IF(LEN($A789)=4,IF(VALUE(RIGHT($A789,2))&gt;60,"","Powiat "),IF(VALUE(RIGHT($A789,1))=1,"m. ",IF(VALUE(RIGHT($A789,1))=2,"gm. w. ",IF(VALUE(RIGHT($A789,1))=8,"dz. ","gm. m.-w. ")))))&amp;IF(LEN($A789)=2,TRIM(UPPER(VLOOKUP($A789,GUS_tabl_1!$A$7:$B$22,2,FALSE))),IF(ISERROR(FIND("..",TRIM(VLOOKUP(IF(AND(LEN($A789)=4,VALUE(RIGHT($A789,2))&gt;60),$A789&amp;"01 1",$A789),IF(AND(LEN($A789)=4,VALUE(RIGHT($A789,2))&lt;60),GUS_tabl_2!$A$8:$B$464,GUS_tabl_21!$A$5:$B$4886),2,FALSE)))),TRIM(VLOOKUP(IF(AND(LEN($A789)=4,VALUE(RIGHT($A789,2))&gt;60),$A789&amp;"01 1",$A789),IF(AND(LEN($A789)=4,VALUE(RIGHT($A789,2))&lt;60),GUS_tabl_2!$A$8:$B$464,GUS_tabl_21!$A$5:$B$4886),2,FALSE)),LEFT(TRIM(VLOOKUP(IF(AND(LEN($A789)=4,VALUE(RIGHT($A789,2))&gt;60),$A789&amp;"01 1",$A789),IF(AND(LEN($A789)=4,VALUE(RIGHT($A789,2))&lt;60),GUS_tabl_2!$A$8:$B$464,GUS_tabl_21!$A$5:$B$4886),2,FALSE)),SUM(FIND("..",TRIM(VLOOKUP(IF(AND(LEN($A789)=4,VALUE(RIGHT($A789,2))&gt;60),$A789&amp;"01 1",$A789),IF(AND(LEN($A789)=4,VALUE(RIGHT($A789,2))&lt;60),GUS_tabl_2!$A$8:$B$464,GUS_tabl_21!$A$5:$B$4886),2,FALSE))),-1)))))</f>
        <v>gm. w. Brójce</v>
      </c>
      <c r="D789" s="141">
        <f>IF(OR($A789="",ISERROR(VALUE(LEFT($A789,6)))),"",IF(LEN($A789)=2,SUMIF($A790:$A$2965,$A789&amp;"??",$D790:$D$2965),IF(AND(LEN($A789)=4,VALUE(RIGHT($A789,2))&lt;=60),SUMIF($A790:$A$2965,$A789&amp;"????",$D790:$D$2965),VLOOKUP(IF(LEN($A789)=4,$A789&amp;"01 1",$A789),GUS_tabl_21!$A$5:$F$4886,6,FALSE))))</f>
        <v>6672</v>
      </c>
      <c r="E789" s="29"/>
    </row>
    <row r="790" spans="1:5" ht="12" customHeight="1">
      <c r="A790" s="155" t="str">
        <f>"100607 3"</f>
        <v>100607 3</v>
      </c>
      <c r="B790" s="153" t="s">
        <v>39</v>
      </c>
      <c r="C790" s="156" t="str">
        <f>IF(OR($A790="",ISERROR(VALUE(LEFT($A790,6)))),"",IF(LEN($A790)=2,"WOJ. ",IF(LEN($A790)=4,IF(VALUE(RIGHT($A790,2))&gt;60,"","Powiat "),IF(VALUE(RIGHT($A790,1))=1,"m. ",IF(VALUE(RIGHT($A790,1))=2,"gm. w. ",IF(VALUE(RIGHT($A790,1))=8,"dz. ","gm. m.-w. ")))))&amp;IF(LEN($A790)=2,TRIM(UPPER(VLOOKUP($A790,GUS_tabl_1!$A$7:$B$22,2,FALSE))),IF(ISERROR(FIND("..",TRIM(VLOOKUP(IF(AND(LEN($A790)=4,VALUE(RIGHT($A790,2))&gt;60),$A790&amp;"01 1",$A790),IF(AND(LEN($A790)=4,VALUE(RIGHT($A790,2))&lt;60),GUS_tabl_2!$A$8:$B$464,GUS_tabl_21!$A$5:$B$4886),2,FALSE)))),TRIM(VLOOKUP(IF(AND(LEN($A790)=4,VALUE(RIGHT($A790,2))&gt;60),$A790&amp;"01 1",$A790),IF(AND(LEN($A790)=4,VALUE(RIGHT($A790,2))&lt;60),GUS_tabl_2!$A$8:$B$464,GUS_tabl_21!$A$5:$B$4886),2,FALSE)),LEFT(TRIM(VLOOKUP(IF(AND(LEN($A790)=4,VALUE(RIGHT($A790,2))&gt;60),$A790&amp;"01 1",$A790),IF(AND(LEN($A790)=4,VALUE(RIGHT($A790,2))&lt;60),GUS_tabl_2!$A$8:$B$464,GUS_tabl_21!$A$5:$B$4886),2,FALSE)),SUM(FIND("..",TRIM(VLOOKUP(IF(AND(LEN($A790)=4,VALUE(RIGHT($A790,2))&gt;60),$A790&amp;"01 1",$A790),IF(AND(LEN($A790)=4,VALUE(RIGHT($A790,2))&lt;60),GUS_tabl_2!$A$8:$B$464,GUS_tabl_21!$A$5:$B$4886),2,FALSE))),-1)))))</f>
        <v>gm. m.-w. Koluszki</v>
      </c>
      <c r="D790" s="141">
        <f>IF(OR($A790="",ISERROR(VALUE(LEFT($A790,6)))),"",IF(LEN($A790)=2,SUMIF($A791:$A$2965,$A790&amp;"??",$D791:$D$2965),IF(AND(LEN($A790)=4,VALUE(RIGHT($A790,2))&lt;=60),SUMIF($A791:$A$2965,$A790&amp;"????",$D791:$D$2965),VLOOKUP(IF(LEN($A790)=4,$A790&amp;"01 1",$A790),GUS_tabl_21!$A$5:$F$4886,6,FALSE))))</f>
        <v>23368</v>
      </c>
      <c r="E790" s="29"/>
    </row>
    <row r="791" spans="1:5" ht="12" customHeight="1">
      <c r="A791" s="155" t="str">
        <f>"100608 2"</f>
        <v>100608 2</v>
      </c>
      <c r="B791" s="153" t="s">
        <v>39</v>
      </c>
      <c r="C791" s="156" t="str">
        <f>IF(OR($A791="",ISERROR(VALUE(LEFT($A791,6)))),"",IF(LEN($A791)=2,"WOJ. ",IF(LEN($A791)=4,IF(VALUE(RIGHT($A791,2))&gt;60,"","Powiat "),IF(VALUE(RIGHT($A791,1))=1,"m. ",IF(VALUE(RIGHT($A791,1))=2,"gm. w. ",IF(VALUE(RIGHT($A791,1))=8,"dz. ","gm. m.-w. ")))))&amp;IF(LEN($A791)=2,TRIM(UPPER(VLOOKUP($A791,GUS_tabl_1!$A$7:$B$22,2,FALSE))),IF(ISERROR(FIND("..",TRIM(VLOOKUP(IF(AND(LEN($A791)=4,VALUE(RIGHT($A791,2))&gt;60),$A791&amp;"01 1",$A791),IF(AND(LEN($A791)=4,VALUE(RIGHT($A791,2))&lt;60),GUS_tabl_2!$A$8:$B$464,GUS_tabl_21!$A$5:$B$4886),2,FALSE)))),TRIM(VLOOKUP(IF(AND(LEN($A791)=4,VALUE(RIGHT($A791,2))&gt;60),$A791&amp;"01 1",$A791),IF(AND(LEN($A791)=4,VALUE(RIGHT($A791,2))&lt;60),GUS_tabl_2!$A$8:$B$464,GUS_tabl_21!$A$5:$B$4886),2,FALSE)),LEFT(TRIM(VLOOKUP(IF(AND(LEN($A791)=4,VALUE(RIGHT($A791,2))&gt;60),$A791&amp;"01 1",$A791),IF(AND(LEN($A791)=4,VALUE(RIGHT($A791,2))&lt;60),GUS_tabl_2!$A$8:$B$464,GUS_tabl_21!$A$5:$B$4886),2,FALSE)),SUM(FIND("..",TRIM(VLOOKUP(IF(AND(LEN($A791)=4,VALUE(RIGHT($A791,2))&gt;60),$A791&amp;"01 1",$A791),IF(AND(LEN($A791)=4,VALUE(RIGHT($A791,2))&lt;60),GUS_tabl_2!$A$8:$B$464,GUS_tabl_21!$A$5:$B$4886),2,FALSE))),-1)))))</f>
        <v>gm. w. Nowosolna</v>
      </c>
      <c r="D791" s="141">
        <f>IF(OR($A791="",ISERROR(VALUE(LEFT($A791,6)))),"",IF(LEN($A791)=2,SUMIF($A792:$A$2965,$A791&amp;"??",$D792:$D$2965),IF(AND(LEN($A791)=4,VALUE(RIGHT($A791,2))&lt;=60),SUMIF($A792:$A$2965,$A791&amp;"????",$D792:$D$2965),VLOOKUP(IF(LEN($A791)=4,$A791&amp;"01 1",$A791),GUS_tabl_21!$A$5:$F$4886,6,FALSE))))</f>
        <v>5084</v>
      </c>
      <c r="E791" s="29"/>
    </row>
    <row r="792" spans="1:5" ht="12" customHeight="1">
      <c r="A792" s="155" t="str">
        <f>"100610 3"</f>
        <v>100610 3</v>
      </c>
      <c r="B792" s="153" t="s">
        <v>39</v>
      </c>
      <c r="C792" s="156" t="str">
        <f>IF(OR($A792="",ISERROR(VALUE(LEFT($A792,6)))),"",IF(LEN($A792)=2,"WOJ. ",IF(LEN($A792)=4,IF(VALUE(RIGHT($A792,2))&gt;60,"","Powiat "),IF(VALUE(RIGHT($A792,1))=1,"m. ",IF(VALUE(RIGHT($A792,1))=2,"gm. w. ",IF(VALUE(RIGHT($A792,1))=8,"dz. ","gm. m.-w. ")))))&amp;IF(LEN($A792)=2,TRIM(UPPER(VLOOKUP($A792,GUS_tabl_1!$A$7:$B$22,2,FALSE))),IF(ISERROR(FIND("..",TRIM(VLOOKUP(IF(AND(LEN($A792)=4,VALUE(RIGHT($A792,2))&gt;60),$A792&amp;"01 1",$A792),IF(AND(LEN($A792)=4,VALUE(RIGHT($A792,2))&lt;60),GUS_tabl_2!$A$8:$B$464,GUS_tabl_21!$A$5:$B$4886),2,FALSE)))),TRIM(VLOOKUP(IF(AND(LEN($A792)=4,VALUE(RIGHT($A792,2))&gt;60),$A792&amp;"01 1",$A792),IF(AND(LEN($A792)=4,VALUE(RIGHT($A792,2))&lt;60),GUS_tabl_2!$A$8:$B$464,GUS_tabl_21!$A$5:$B$4886),2,FALSE)),LEFT(TRIM(VLOOKUP(IF(AND(LEN($A792)=4,VALUE(RIGHT($A792,2))&gt;60),$A792&amp;"01 1",$A792),IF(AND(LEN($A792)=4,VALUE(RIGHT($A792,2))&lt;60),GUS_tabl_2!$A$8:$B$464,GUS_tabl_21!$A$5:$B$4886),2,FALSE)),SUM(FIND("..",TRIM(VLOOKUP(IF(AND(LEN($A792)=4,VALUE(RIGHT($A792,2))&gt;60),$A792&amp;"01 1",$A792),IF(AND(LEN($A792)=4,VALUE(RIGHT($A792,2))&lt;60),GUS_tabl_2!$A$8:$B$464,GUS_tabl_21!$A$5:$B$4886),2,FALSE))),-1)))))</f>
        <v>gm. m.-w. Rzgów</v>
      </c>
      <c r="D792" s="141">
        <f>IF(OR($A792="",ISERROR(VALUE(LEFT($A792,6)))),"",IF(LEN($A792)=2,SUMIF($A793:$A$2965,$A792&amp;"??",$D793:$D$2965),IF(AND(LEN($A792)=4,VALUE(RIGHT($A792,2))&lt;=60),SUMIF($A793:$A$2965,$A792&amp;"????",$D793:$D$2965),VLOOKUP(IF(LEN($A792)=4,$A792&amp;"01 1",$A792),GUS_tabl_21!$A$5:$F$4886,6,FALSE))))</f>
        <v>10459</v>
      </c>
      <c r="E792" s="29"/>
    </row>
    <row r="793" spans="1:5" ht="12" customHeight="1">
      <c r="A793" s="155" t="str">
        <f>"100611 3"</f>
        <v>100611 3</v>
      </c>
      <c r="B793" s="153" t="s">
        <v>39</v>
      </c>
      <c r="C793" s="156" t="str">
        <f>IF(OR($A793="",ISERROR(VALUE(LEFT($A793,6)))),"",IF(LEN($A793)=2,"WOJ. ",IF(LEN($A793)=4,IF(VALUE(RIGHT($A793,2))&gt;60,"","Powiat "),IF(VALUE(RIGHT($A793,1))=1,"m. ",IF(VALUE(RIGHT($A793,1))=2,"gm. w. ",IF(VALUE(RIGHT($A793,1))=8,"dz. ","gm. m.-w. ")))))&amp;IF(LEN($A793)=2,TRIM(UPPER(VLOOKUP($A793,GUS_tabl_1!$A$7:$B$22,2,FALSE))),IF(ISERROR(FIND("..",TRIM(VLOOKUP(IF(AND(LEN($A793)=4,VALUE(RIGHT($A793,2))&gt;60),$A793&amp;"01 1",$A793),IF(AND(LEN($A793)=4,VALUE(RIGHT($A793,2))&lt;60),GUS_tabl_2!$A$8:$B$464,GUS_tabl_21!$A$5:$B$4886),2,FALSE)))),TRIM(VLOOKUP(IF(AND(LEN($A793)=4,VALUE(RIGHT($A793,2))&gt;60),$A793&amp;"01 1",$A793),IF(AND(LEN($A793)=4,VALUE(RIGHT($A793,2))&lt;60),GUS_tabl_2!$A$8:$B$464,GUS_tabl_21!$A$5:$B$4886),2,FALSE)),LEFT(TRIM(VLOOKUP(IF(AND(LEN($A793)=4,VALUE(RIGHT($A793,2))&gt;60),$A793&amp;"01 1",$A793),IF(AND(LEN($A793)=4,VALUE(RIGHT($A793,2))&lt;60),GUS_tabl_2!$A$8:$B$464,GUS_tabl_21!$A$5:$B$4886),2,FALSE)),SUM(FIND("..",TRIM(VLOOKUP(IF(AND(LEN($A793)=4,VALUE(RIGHT($A793,2))&gt;60),$A793&amp;"01 1",$A793),IF(AND(LEN($A793)=4,VALUE(RIGHT($A793,2))&lt;60),GUS_tabl_2!$A$8:$B$464,GUS_tabl_21!$A$5:$B$4886),2,FALSE))),-1)))))</f>
        <v>gm. m.-w. Tuszyn</v>
      </c>
      <c r="D793" s="141">
        <f>IF(OR($A793="",ISERROR(VALUE(LEFT($A793,6)))),"",IF(LEN($A793)=2,SUMIF($A794:$A$2965,$A793&amp;"??",$D794:$D$2965),IF(AND(LEN($A793)=4,VALUE(RIGHT($A793,2))&lt;=60),SUMIF($A794:$A$2965,$A793&amp;"????",$D794:$D$2965),VLOOKUP(IF(LEN($A793)=4,$A793&amp;"01 1",$A793),GUS_tabl_21!$A$5:$F$4886,6,FALSE))))</f>
        <v>12391</v>
      </c>
      <c r="E793" s="29"/>
    </row>
    <row r="794" spans="1:5" ht="12" customHeight="1">
      <c r="A794" s="152" t="str">
        <f>"1007"</f>
        <v>1007</v>
      </c>
      <c r="B794" s="153" t="s">
        <v>39</v>
      </c>
      <c r="C794" s="154" t="str">
        <f>IF(OR($A794="",ISERROR(VALUE(LEFT($A794,6)))),"",IF(LEN($A794)=2,"WOJ. ",IF(LEN($A794)=4,IF(VALUE(RIGHT($A794,2))&gt;60,"","Powiat "),IF(VALUE(RIGHT($A794,1))=1,"m. ",IF(VALUE(RIGHT($A794,1))=2,"gm. w. ",IF(VALUE(RIGHT($A794,1))=8,"dz. ","gm. m.-w. ")))))&amp;IF(LEN($A794)=2,TRIM(UPPER(VLOOKUP($A794,GUS_tabl_1!$A$7:$B$22,2,FALSE))),IF(ISERROR(FIND("..",TRIM(VLOOKUP(IF(AND(LEN($A794)=4,VALUE(RIGHT($A794,2))&gt;60),$A794&amp;"01 1",$A794),IF(AND(LEN($A794)=4,VALUE(RIGHT($A794,2))&lt;60),GUS_tabl_2!$A$8:$B$464,GUS_tabl_21!$A$5:$B$4886),2,FALSE)))),TRIM(VLOOKUP(IF(AND(LEN($A794)=4,VALUE(RIGHT($A794,2))&gt;60),$A794&amp;"01 1",$A794),IF(AND(LEN($A794)=4,VALUE(RIGHT($A794,2))&lt;60),GUS_tabl_2!$A$8:$B$464,GUS_tabl_21!$A$5:$B$4886),2,FALSE)),LEFT(TRIM(VLOOKUP(IF(AND(LEN($A794)=4,VALUE(RIGHT($A794,2))&gt;60),$A794&amp;"01 1",$A794),IF(AND(LEN($A794)=4,VALUE(RIGHT($A794,2))&lt;60),GUS_tabl_2!$A$8:$B$464,GUS_tabl_21!$A$5:$B$4886),2,FALSE)),SUM(FIND("..",TRIM(VLOOKUP(IF(AND(LEN($A794)=4,VALUE(RIGHT($A794,2))&gt;60),$A794&amp;"01 1",$A794),IF(AND(LEN($A794)=4,VALUE(RIGHT($A794,2))&lt;60),GUS_tabl_2!$A$8:$B$464,GUS_tabl_21!$A$5:$B$4886),2,FALSE))),-1)))))</f>
        <v>Powiat opoczyński</v>
      </c>
      <c r="D794" s="140">
        <f>IF(OR($A794="",ISERROR(VALUE(LEFT($A794,6)))),"",IF(LEN($A794)=2,SUMIF($A795:$A$2965,$A794&amp;"??",$D795:$D$2965),IF(AND(LEN($A794)=4,VALUE(RIGHT($A794,2))&lt;=60),SUMIF($A795:$A$2965,$A794&amp;"????",$D795:$D$2965),VLOOKUP(IF(LEN($A794)=4,$A794&amp;"01 1",$A794),GUS_tabl_21!$A$5:$F$4886,6,FALSE))))</f>
        <v>76106</v>
      </c>
      <c r="E794" s="29"/>
    </row>
    <row r="795" spans="1:5" ht="12" customHeight="1">
      <c r="A795" s="155" t="str">
        <f>"100701 2"</f>
        <v>100701 2</v>
      </c>
      <c r="B795" s="153" t="s">
        <v>39</v>
      </c>
      <c r="C795" s="156" t="str">
        <f>IF(OR($A795="",ISERROR(VALUE(LEFT($A795,6)))),"",IF(LEN($A795)=2,"WOJ. ",IF(LEN($A795)=4,IF(VALUE(RIGHT($A795,2))&gt;60,"","Powiat "),IF(VALUE(RIGHT($A795,1))=1,"m. ",IF(VALUE(RIGHT($A795,1))=2,"gm. w. ",IF(VALUE(RIGHT($A795,1))=8,"dz. ","gm. m.-w. ")))))&amp;IF(LEN($A795)=2,TRIM(UPPER(VLOOKUP($A795,GUS_tabl_1!$A$7:$B$22,2,FALSE))),IF(ISERROR(FIND("..",TRIM(VLOOKUP(IF(AND(LEN($A795)=4,VALUE(RIGHT($A795,2))&gt;60),$A795&amp;"01 1",$A795),IF(AND(LEN($A795)=4,VALUE(RIGHT($A795,2))&lt;60),GUS_tabl_2!$A$8:$B$464,GUS_tabl_21!$A$5:$B$4886),2,FALSE)))),TRIM(VLOOKUP(IF(AND(LEN($A795)=4,VALUE(RIGHT($A795,2))&gt;60),$A795&amp;"01 1",$A795),IF(AND(LEN($A795)=4,VALUE(RIGHT($A795,2))&lt;60),GUS_tabl_2!$A$8:$B$464,GUS_tabl_21!$A$5:$B$4886),2,FALSE)),LEFT(TRIM(VLOOKUP(IF(AND(LEN($A795)=4,VALUE(RIGHT($A795,2))&gt;60),$A795&amp;"01 1",$A795),IF(AND(LEN($A795)=4,VALUE(RIGHT($A795,2))&lt;60),GUS_tabl_2!$A$8:$B$464,GUS_tabl_21!$A$5:$B$4886),2,FALSE)),SUM(FIND("..",TRIM(VLOOKUP(IF(AND(LEN($A795)=4,VALUE(RIGHT($A795,2))&gt;60),$A795&amp;"01 1",$A795),IF(AND(LEN($A795)=4,VALUE(RIGHT($A795,2))&lt;60),GUS_tabl_2!$A$8:$B$464,GUS_tabl_21!$A$5:$B$4886),2,FALSE))),-1)))))</f>
        <v>gm. w. Białaczów</v>
      </c>
      <c r="D795" s="141">
        <f>IF(OR($A795="",ISERROR(VALUE(LEFT($A795,6)))),"",IF(LEN($A795)=2,SUMIF($A796:$A$2965,$A795&amp;"??",$D796:$D$2965),IF(AND(LEN($A795)=4,VALUE(RIGHT($A795,2))&lt;=60),SUMIF($A796:$A$2965,$A795&amp;"????",$D796:$D$2965),VLOOKUP(IF(LEN($A795)=4,$A795&amp;"01 1",$A795),GUS_tabl_21!$A$5:$F$4886,6,FALSE))))</f>
        <v>5767</v>
      </c>
      <c r="E795" s="29"/>
    </row>
    <row r="796" spans="1:5" ht="12" customHeight="1">
      <c r="A796" s="155" t="str">
        <f>"100702 3"</f>
        <v>100702 3</v>
      </c>
      <c r="B796" s="153" t="s">
        <v>39</v>
      </c>
      <c r="C796" s="156" t="str">
        <f>IF(OR($A796="",ISERROR(VALUE(LEFT($A796,6)))),"",IF(LEN($A796)=2,"WOJ. ",IF(LEN($A796)=4,IF(VALUE(RIGHT($A796,2))&gt;60,"","Powiat "),IF(VALUE(RIGHT($A796,1))=1,"m. ",IF(VALUE(RIGHT($A796,1))=2,"gm. w. ",IF(VALUE(RIGHT($A796,1))=8,"dz. ","gm. m.-w. ")))))&amp;IF(LEN($A796)=2,TRIM(UPPER(VLOOKUP($A796,GUS_tabl_1!$A$7:$B$22,2,FALSE))),IF(ISERROR(FIND("..",TRIM(VLOOKUP(IF(AND(LEN($A796)=4,VALUE(RIGHT($A796,2))&gt;60),$A796&amp;"01 1",$A796),IF(AND(LEN($A796)=4,VALUE(RIGHT($A796,2))&lt;60),GUS_tabl_2!$A$8:$B$464,GUS_tabl_21!$A$5:$B$4886),2,FALSE)))),TRIM(VLOOKUP(IF(AND(LEN($A796)=4,VALUE(RIGHT($A796,2))&gt;60),$A796&amp;"01 1",$A796),IF(AND(LEN($A796)=4,VALUE(RIGHT($A796,2))&lt;60),GUS_tabl_2!$A$8:$B$464,GUS_tabl_21!$A$5:$B$4886),2,FALSE)),LEFT(TRIM(VLOOKUP(IF(AND(LEN($A796)=4,VALUE(RIGHT($A796,2))&gt;60),$A796&amp;"01 1",$A796),IF(AND(LEN($A796)=4,VALUE(RIGHT($A796,2))&lt;60),GUS_tabl_2!$A$8:$B$464,GUS_tabl_21!$A$5:$B$4886),2,FALSE)),SUM(FIND("..",TRIM(VLOOKUP(IF(AND(LEN($A796)=4,VALUE(RIGHT($A796,2))&gt;60),$A796&amp;"01 1",$A796),IF(AND(LEN($A796)=4,VALUE(RIGHT($A796,2))&lt;60),GUS_tabl_2!$A$8:$B$464,GUS_tabl_21!$A$5:$B$4886),2,FALSE))),-1)))))</f>
        <v>gm. m.-w. Drzewica</v>
      </c>
      <c r="D796" s="141">
        <f>IF(OR($A796="",ISERROR(VALUE(LEFT($A796,6)))),"",IF(LEN($A796)=2,SUMIF($A797:$A$2965,$A796&amp;"??",$D797:$D$2965),IF(AND(LEN($A796)=4,VALUE(RIGHT($A796,2))&lt;=60),SUMIF($A797:$A$2965,$A796&amp;"????",$D797:$D$2965),VLOOKUP(IF(LEN($A796)=4,$A796&amp;"01 1",$A796),GUS_tabl_21!$A$5:$F$4886,6,FALSE))))</f>
        <v>10424</v>
      </c>
      <c r="E796" s="29"/>
    </row>
    <row r="797" spans="1:5" ht="12" customHeight="1">
      <c r="A797" s="155" t="str">
        <f>"100703 2"</f>
        <v>100703 2</v>
      </c>
      <c r="B797" s="153" t="s">
        <v>39</v>
      </c>
      <c r="C797" s="156" t="str">
        <f>IF(OR($A797="",ISERROR(VALUE(LEFT($A797,6)))),"",IF(LEN($A797)=2,"WOJ. ",IF(LEN($A797)=4,IF(VALUE(RIGHT($A797,2))&gt;60,"","Powiat "),IF(VALUE(RIGHT($A797,1))=1,"m. ",IF(VALUE(RIGHT($A797,1))=2,"gm. w. ",IF(VALUE(RIGHT($A797,1))=8,"dz. ","gm. m.-w. ")))))&amp;IF(LEN($A797)=2,TRIM(UPPER(VLOOKUP($A797,GUS_tabl_1!$A$7:$B$22,2,FALSE))),IF(ISERROR(FIND("..",TRIM(VLOOKUP(IF(AND(LEN($A797)=4,VALUE(RIGHT($A797,2))&gt;60),$A797&amp;"01 1",$A797),IF(AND(LEN($A797)=4,VALUE(RIGHT($A797,2))&lt;60),GUS_tabl_2!$A$8:$B$464,GUS_tabl_21!$A$5:$B$4886),2,FALSE)))),TRIM(VLOOKUP(IF(AND(LEN($A797)=4,VALUE(RIGHT($A797,2))&gt;60),$A797&amp;"01 1",$A797),IF(AND(LEN($A797)=4,VALUE(RIGHT($A797,2))&lt;60),GUS_tabl_2!$A$8:$B$464,GUS_tabl_21!$A$5:$B$4886),2,FALSE)),LEFT(TRIM(VLOOKUP(IF(AND(LEN($A797)=4,VALUE(RIGHT($A797,2))&gt;60),$A797&amp;"01 1",$A797),IF(AND(LEN($A797)=4,VALUE(RIGHT($A797,2))&lt;60),GUS_tabl_2!$A$8:$B$464,GUS_tabl_21!$A$5:$B$4886),2,FALSE)),SUM(FIND("..",TRIM(VLOOKUP(IF(AND(LEN($A797)=4,VALUE(RIGHT($A797,2))&gt;60),$A797&amp;"01 1",$A797),IF(AND(LEN($A797)=4,VALUE(RIGHT($A797,2))&lt;60),GUS_tabl_2!$A$8:$B$464,GUS_tabl_21!$A$5:$B$4886),2,FALSE))),-1)))))</f>
        <v>gm. w. Mniszków</v>
      </c>
      <c r="D797" s="141">
        <f>IF(OR($A797="",ISERROR(VALUE(LEFT($A797,6)))),"",IF(LEN($A797)=2,SUMIF($A798:$A$2965,$A797&amp;"??",$D798:$D$2965),IF(AND(LEN($A797)=4,VALUE(RIGHT($A797,2))&lt;=60),SUMIF($A798:$A$2965,$A797&amp;"????",$D798:$D$2965),VLOOKUP(IF(LEN($A797)=4,$A797&amp;"01 1",$A797),GUS_tabl_21!$A$5:$F$4886,6,FALSE))))</f>
        <v>4770</v>
      </c>
      <c r="E797" s="29"/>
    </row>
    <row r="798" spans="1:5" ht="12" customHeight="1">
      <c r="A798" s="155" t="str">
        <f>"100704 3"</f>
        <v>100704 3</v>
      </c>
      <c r="B798" s="153" t="s">
        <v>39</v>
      </c>
      <c r="C798" s="156" t="str">
        <f>IF(OR($A798="",ISERROR(VALUE(LEFT($A798,6)))),"",IF(LEN($A798)=2,"WOJ. ",IF(LEN($A798)=4,IF(VALUE(RIGHT($A798,2))&gt;60,"","Powiat "),IF(VALUE(RIGHT($A798,1))=1,"m. ",IF(VALUE(RIGHT($A798,1))=2,"gm. w. ",IF(VALUE(RIGHT($A798,1))=8,"dz. ","gm. m.-w. ")))))&amp;IF(LEN($A798)=2,TRIM(UPPER(VLOOKUP($A798,GUS_tabl_1!$A$7:$B$22,2,FALSE))),IF(ISERROR(FIND("..",TRIM(VLOOKUP(IF(AND(LEN($A798)=4,VALUE(RIGHT($A798,2))&gt;60),$A798&amp;"01 1",$A798),IF(AND(LEN($A798)=4,VALUE(RIGHT($A798,2))&lt;60),GUS_tabl_2!$A$8:$B$464,GUS_tabl_21!$A$5:$B$4886),2,FALSE)))),TRIM(VLOOKUP(IF(AND(LEN($A798)=4,VALUE(RIGHT($A798,2))&gt;60),$A798&amp;"01 1",$A798),IF(AND(LEN($A798)=4,VALUE(RIGHT($A798,2))&lt;60),GUS_tabl_2!$A$8:$B$464,GUS_tabl_21!$A$5:$B$4886),2,FALSE)),LEFT(TRIM(VLOOKUP(IF(AND(LEN($A798)=4,VALUE(RIGHT($A798,2))&gt;60),$A798&amp;"01 1",$A798),IF(AND(LEN($A798)=4,VALUE(RIGHT($A798,2))&lt;60),GUS_tabl_2!$A$8:$B$464,GUS_tabl_21!$A$5:$B$4886),2,FALSE)),SUM(FIND("..",TRIM(VLOOKUP(IF(AND(LEN($A798)=4,VALUE(RIGHT($A798,2))&gt;60),$A798&amp;"01 1",$A798),IF(AND(LEN($A798)=4,VALUE(RIGHT($A798,2))&lt;60),GUS_tabl_2!$A$8:$B$464,GUS_tabl_21!$A$5:$B$4886),2,FALSE))),-1)))))</f>
        <v>gm. m.-w. Opoczno</v>
      </c>
      <c r="D798" s="141">
        <f>IF(OR($A798="",ISERROR(VALUE(LEFT($A798,6)))),"",IF(LEN($A798)=2,SUMIF($A799:$A$2965,$A798&amp;"??",$D799:$D$2965),IF(AND(LEN($A798)=4,VALUE(RIGHT($A798,2))&lt;=60),SUMIF($A799:$A$2965,$A798&amp;"????",$D799:$D$2965),VLOOKUP(IF(LEN($A798)=4,$A798&amp;"01 1",$A798),GUS_tabl_21!$A$5:$F$4886,6,FALSE))))</f>
        <v>34108</v>
      </c>
      <c r="E798" s="29"/>
    </row>
    <row r="799" spans="1:5" ht="12" customHeight="1">
      <c r="A799" s="155" t="str">
        <f>"100705 2"</f>
        <v>100705 2</v>
      </c>
      <c r="B799" s="153" t="s">
        <v>39</v>
      </c>
      <c r="C799" s="156" t="str">
        <f>IF(OR($A799="",ISERROR(VALUE(LEFT($A799,6)))),"",IF(LEN($A799)=2,"WOJ. ",IF(LEN($A799)=4,IF(VALUE(RIGHT($A799,2))&gt;60,"","Powiat "),IF(VALUE(RIGHT($A799,1))=1,"m. ",IF(VALUE(RIGHT($A799,1))=2,"gm. w. ",IF(VALUE(RIGHT($A799,1))=8,"dz. ","gm. m.-w. ")))))&amp;IF(LEN($A799)=2,TRIM(UPPER(VLOOKUP($A799,GUS_tabl_1!$A$7:$B$22,2,FALSE))),IF(ISERROR(FIND("..",TRIM(VLOOKUP(IF(AND(LEN($A799)=4,VALUE(RIGHT($A799,2))&gt;60),$A799&amp;"01 1",$A799),IF(AND(LEN($A799)=4,VALUE(RIGHT($A799,2))&lt;60),GUS_tabl_2!$A$8:$B$464,GUS_tabl_21!$A$5:$B$4886),2,FALSE)))),TRIM(VLOOKUP(IF(AND(LEN($A799)=4,VALUE(RIGHT($A799,2))&gt;60),$A799&amp;"01 1",$A799),IF(AND(LEN($A799)=4,VALUE(RIGHT($A799,2))&lt;60),GUS_tabl_2!$A$8:$B$464,GUS_tabl_21!$A$5:$B$4886),2,FALSE)),LEFT(TRIM(VLOOKUP(IF(AND(LEN($A799)=4,VALUE(RIGHT($A799,2))&gt;60),$A799&amp;"01 1",$A799),IF(AND(LEN($A799)=4,VALUE(RIGHT($A799,2))&lt;60),GUS_tabl_2!$A$8:$B$464,GUS_tabl_21!$A$5:$B$4886),2,FALSE)),SUM(FIND("..",TRIM(VLOOKUP(IF(AND(LEN($A799)=4,VALUE(RIGHT($A799,2))&gt;60),$A799&amp;"01 1",$A799),IF(AND(LEN($A799)=4,VALUE(RIGHT($A799,2))&lt;60),GUS_tabl_2!$A$8:$B$464,GUS_tabl_21!$A$5:$B$4886),2,FALSE))),-1)))))</f>
        <v>gm. w. Paradyż</v>
      </c>
      <c r="D799" s="141">
        <f>IF(OR($A799="",ISERROR(VALUE(LEFT($A799,6)))),"",IF(LEN($A799)=2,SUMIF($A800:$A$2965,$A799&amp;"??",$D800:$D$2965),IF(AND(LEN($A799)=4,VALUE(RIGHT($A799,2))&lt;=60),SUMIF($A800:$A$2965,$A799&amp;"????",$D800:$D$2965),VLOOKUP(IF(LEN($A799)=4,$A799&amp;"01 1",$A799),GUS_tabl_21!$A$5:$F$4886,6,FALSE))))</f>
        <v>4354</v>
      </c>
      <c r="E799" s="29"/>
    </row>
    <row r="800" spans="1:5" ht="12" customHeight="1">
      <c r="A800" s="155" t="str">
        <f>"100706 2"</f>
        <v>100706 2</v>
      </c>
      <c r="B800" s="153" t="s">
        <v>39</v>
      </c>
      <c r="C800" s="156" t="str">
        <f>IF(OR($A800="",ISERROR(VALUE(LEFT($A800,6)))),"",IF(LEN($A800)=2,"WOJ. ",IF(LEN($A800)=4,IF(VALUE(RIGHT($A800,2))&gt;60,"","Powiat "),IF(VALUE(RIGHT($A800,1))=1,"m. ",IF(VALUE(RIGHT($A800,1))=2,"gm. w. ",IF(VALUE(RIGHT($A800,1))=8,"dz. ","gm. m.-w. ")))))&amp;IF(LEN($A800)=2,TRIM(UPPER(VLOOKUP($A800,GUS_tabl_1!$A$7:$B$22,2,FALSE))),IF(ISERROR(FIND("..",TRIM(VLOOKUP(IF(AND(LEN($A800)=4,VALUE(RIGHT($A800,2))&gt;60),$A800&amp;"01 1",$A800),IF(AND(LEN($A800)=4,VALUE(RIGHT($A800,2))&lt;60),GUS_tabl_2!$A$8:$B$464,GUS_tabl_21!$A$5:$B$4886),2,FALSE)))),TRIM(VLOOKUP(IF(AND(LEN($A800)=4,VALUE(RIGHT($A800,2))&gt;60),$A800&amp;"01 1",$A800),IF(AND(LEN($A800)=4,VALUE(RIGHT($A800,2))&lt;60),GUS_tabl_2!$A$8:$B$464,GUS_tabl_21!$A$5:$B$4886),2,FALSE)),LEFT(TRIM(VLOOKUP(IF(AND(LEN($A800)=4,VALUE(RIGHT($A800,2))&gt;60),$A800&amp;"01 1",$A800),IF(AND(LEN($A800)=4,VALUE(RIGHT($A800,2))&lt;60),GUS_tabl_2!$A$8:$B$464,GUS_tabl_21!$A$5:$B$4886),2,FALSE)),SUM(FIND("..",TRIM(VLOOKUP(IF(AND(LEN($A800)=4,VALUE(RIGHT($A800,2))&gt;60),$A800&amp;"01 1",$A800),IF(AND(LEN($A800)=4,VALUE(RIGHT($A800,2))&lt;60),GUS_tabl_2!$A$8:$B$464,GUS_tabl_21!$A$5:$B$4886),2,FALSE))),-1)))))</f>
        <v>gm. w. Poświętne</v>
      </c>
      <c r="D800" s="141">
        <f>IF(OR($A800="",ISERROR(VALUE(LEFT($A800,6)))),"",IF(LEN($A800)=2,SUMIF($A801:$A$2965,$A800&amp;"??",$D801:$D$2965),IF(AND(LEN($A800)=4,VALUE(RIGHT($A800,2))&lt;=60),SUMIF($A801:$A$2965,$A800&amp;"????",$D801:$D$2965),VLOOKUP(IF(LEN($A800)=4,$A800&amp;"01 1",$A800),GUS_tabl_21!$A$5:$F$4886,6,FALSE))))</f>
        <v>3148</v>
      </c>
      <c r="E800" s="29"/>
    </row>
    <row r="801" spans="1:5" ht="12" customHeight="1">
      <c r="A801" s="155" t="str">
        <f>"100707 2"</f>
        <v>100707 2</v>
      </c>
      <c r="B801" s="153" t="s">
        <v>39</v>
      </c>
      <c r="C801" s="156" t="str">
        <f>IF(OR($A801="",ISERROR(VALUE(LEFT($A801,6)))),"",IF(LEN($A801)=2,"WOJ. ",IF(LEN($A801)=4,IF(VALUE(RIGHT($A801,2))&gt;60,"","Powiat "),IF(VALUE(RIGHT($A801,1))=1,"m. ",IF(VALUE(RIGHT($A801,1))=2,"gm. w. ",IF(VALUE(RIGHT($A801,1))=8,"dz. ","gm. m.-w. ")))))&amp;IF(LEN($A801)=2,TRIM(UPPER(VLOOKUP($A801,GUS_tabl_1!$A$7:$B$22,2,FALSE))),IF(ISERROR(FIND("..",TRIM(VLOOKUP(IF(AND(LEN($A801)=4,VALUE(RIGHT($A801,2))&gt;60),$A801&amp;"01 1",$A801),IF(AND(LEN($A801)=4,VALUE(RIGHT($A801,2))&lt;60),GUS_tabl_2!$A$8:$B$464,GUS_tabl_21!$A$5:$B$4886),2,FALSE)))),TRIM(VLOOKUP(IF(AND(LEN($A801)=4,VALUE(RIGHT($A801,2))&gt;60),$A801&amp;"01 1",$A801),IF(AND(LEN($A801)=4,VALUE(RIGHT($A801,2))&lt;60),GUS_tabl_2!$A$8:$B$464,GUS_tabl_21!$A$5:$B$4886),2,FALSE)),LEFT(TRIM(VLOOKUP(IF(AND(LEN($A801)=4,VALUE(RIGHT($A801,2))&gt;60),$A801&amp;"01 1",$A801),IF(AND(LEN($A801)=4,VALUE(RIGHT($A801,2))&lt;60),GUS_tabl_2!$A$8:$B$464,GUS_tabl_21!$A$5:$B$4886),2,FALSE)),SUM(FIND("..",TRIM(VLOOKUP(IF(AND(LEN($A801)=4,VALUE(RIGHT($A801,2))&gt;60),$A801&amp;"01 1",$A801),IF(AND(LEN($A801)=4,VALUE(RIGHT($A801,2))&lt;60),GUS_tabl_2!$A$8:$B$464,GUS_tabl_21!$A$5:$B$4886),2,FALSE))),-1)))))</f>
        <v>gm. w. Sławno</v>
      </c>
      <c r="D801" s="141">
        <f>IF(OR($A801="",ISERROR(VALUE(LEFT($A801,6)))),"",IF(LEN($A801)=2,SUMIF($A802:$A$2965,$A801&amp;"??",$D802:$D$2965),IF(AND(LEN($A801)=4,VALUE(RIGHT($A801,2))&lt;=60),SUMIF($A802:$A$2965,$A801&amp;"????",$D802:$D$2965),VLOOKUP(IF(LEN($A801)=4,$A801&amp;"01 1",$A801),GUS_tabl_21!$A$5:$F$4886,6,FALSE))))</f>
        <v>7627</v>
      </c>
      <c r="E801" s="29"/>
    </row>
    <row r="802" spans="1:5" ht="12" customHeight="1">
      <c r="A802" s="155" t="str">
        <f>"100708 2"</f>
        <v>100708 2</v>
      </c>
      <c r="B802" s="153" t="s">
        <v>39</v>
      </c>
      <c r="C802" s="156" t="str">
        <f>IF(OR($A802="",ISERROR(VALUE(LEFT($A802,6)))),"",IF(LEN($A802)=2,"WOJ. ",IF(LEN($A802)=4,IF(VALUE(RIGHT($A802,2))&gt;60,"","Powiat "),IF(VALUE(RIGHT($A802,1))=1,"m. ",IF(VALUE(RIGHT($A802,1))=2,"gm. w. ",IF(VALUE(RIGHT($A802,1))=8,"dz. ","gm. m.-w. ")))))&amp;IF(LEN($A802)=2,TRIM(UPPER(VLOOKUP($A802,GUS_tabl_1!$A$7:$B$22,2,FALSE))),IF(ISERROR(FIND("..",TRIM(VLOOKUP(IF(AND(LEN($A802)=4,VALUE(RIGHT($A802,2))&gt;60),$A802&amp;"01 1",$A802),IF(AND(LEN($A802)=4,VALUE(RIGHT($A802,2))&lt;60),GUS_tabl_2!$A$8:$B$464,GUS_tabl_21!$A$5:$B$4886),2,FALSE)))),TRIM(VLOOKUP(IF(AND(LEN($A802)=4,VALUE(RIGHT($A802,2))&gt;60),$A802&amp;"01 1",$A802),IF(AND(LEN($A802)=4,VALUE(RIGHT($A802,2))&lt;60),GUS_tabl_2!$A$8:$B$464,GUS_tabl_21!$A$5:$B$4886),2,FALSE)),LEFT(TRIM(VLOOKUP(IF(AND(LEN($A802)=4,VALUE(RIGHT($A802,2))&gt;60),$A802&amp;"01 1",$A802),IF(AND(LEN($A802)=4,VALUE(RIGHT($A802,2))&lt;60),GUS_tabl_2!$A$8:$B$464,GUS_tabl_21!$A$5:$B$4886),2,FALSE)),SUM(FIND("..",TRIM(VLOOKUP(IF(AND(LEN($A802)=4,VALUE(RIGHT($A802,2))&gt;60),$A802&amp;"01 1",$A802),IF(AND(LEN($A802)=4,VALUE(RIGHT($A802,2))&lt;60),GUS_tabl_2!$A$8:$B$464,GUS_tabl_21!$A$5:$B$4886),2,FALSE))),-1)))))</f>
        <v>gm. w. Żarnów</v>
      </c>
      <c r="D802" s="141">
        <f>IF(OR($A802="",ISERROR(VALUE(LEFT($A802,6)))),"",IF(LEN($A802)=2,SUMIF($A803:$A$2965,$A802&amp;"??",$D803:$D$2965),IF(AND(LEN($A802)=4,VALUE(RIGHT($A802,2))&lt;=60),SUMIF($A803:$A$2965,$A802&amp;"????",$D803:$D$2965),VLOOKUP(IF(LEN($A802)=4,$A802&amp;"01 1",$A802),GUS_tabl_21!$A$5:$F$4886,6,FALSE))))</f>
        <v>5908</v>
      </c>
      <c r="E802" s="29"/>
    </row>
    <row r="803" spans="1:5" ht="12" customHeight="1">
      <c r="A803" s="152" t="str">
        <f>"1008"</f>
        <v>1008</v>
      </c>
      <c r="B803" s="153" t="s">
        <v>39</v>
      </c>
      <c r="C803" s="154" t="str">
        <f>IF(OR($A803="",ISERROR(VALUE(LEFT($A803,6)))),"",IF(LEN($A803)=2,"WOJ. ",IF(LEN($A803)=4,IF(VALUE(RIGHT($A803,2))&gt;60,"","Powiat "),IF(VALUE(RIGHT($A803,1))=1,"m. ",IF(VALUE(RIGHT($A803,1))=2,"gm. w. ",IF(VALUE(RIGHT($A803,1))=8,"dz. ","gm. m.-w. ")))))&amp;IF(LEN($A803)=2,TRIM(UPPER(VLOOKUP($A803,GUS_tabl_1!$A$7:$B$22,2,FALSE))),IF(ISERROR(FIND("..",TRIM(VLOOKUP(IF(AND(LEN($A803)=4,VALUE(RIGHT($A803,2))&gt;60),$A803&amp;"01 1",$A803),IF(AND(LEN($A803)=4,VALUE(RIGHT($A803,2))&lt;60),GUS_tabl_2!$A$8:$B$464,GUS_tabl_21!$A$5:$B$4886),2,FALSE)))),TRIM(VLOOKUP(IF(AND(LEN($A803)=4,VALUE(RIGHT($A803,2))&gt;60),$A803&amp;"01 1",$A803),IF(AND(LEN($A803)=4,VALUE(RIGHT($A803,2))&lt;60),GUS_tabl_2!$A$8:$B$464,GUS_tabl_21!$A$5:$B$4886),2,FALSE)),LEFT(TRIM(VLOOKUP(IF(AND(LEN($A803)=4,VALUE(RIGHT($A803,2))&gt;60),$A803&amp;"01 1",$A803),IF(AND(LEN($A803)=4,VALUE(RIGHT($A803,2))&lt;60),GUS_tabl_2!$A$8:$B$464,GUS_tabl_21!$A$5:$B$4886),2,FALSE)),SUM(FIND("..",TRIM(VLOOKUP(IF(AND(LEN($A803)=4,VALUE(RIGHT($A803,2))&gt;60),$A803&amp;"01 1",$A803),IF(AND(LEN($A803)=4,VALUE(RIGHT($A803,2))&lt;60),GUS_tabl_2!$A$8:$B$464,GUS_tabl_21!$A$5:$B$4886),2,FALSE))),-1)))))</f>
        <v>Powiat pabianicki</v>
      </c>
      <c r="D803" s="140">
        <f>IF(OR($A803="",ISERROR(VALUE(LEFT($A803,6)))),"",IF(LEN($A803)=2,SUMIF($A804:$A$2965,$A803&amp;"??",$D804:$D$2965),IF(AND(LEN($A803)=4,VALUE(RIGHT($A803,2))&lt;=60),SUMIF($A804:$A$2965,$A803&amp;"????",$D804:$D$2965),VLOOKUP(IF(LEN($A803)=4,$A803&amp;"01 1",$A803),GUS_tabl_21!$A$5:$F$4886,6,FALSE))))</f>
        <v>119291</v>
      </c>
      <c r="E803" s="29"/>
    </row>
    <row r="804" spans="1:5" ht="12" customHeight="1">
      <c r="A804" s="155" t="str">
        <f>"100801 1"</f>
        <v>100801 1</v>
      </c>
      <c r="B804" s="153" t="s">
        <v>39</v>
      </c>
      <c r="C804" s="156" t="str">
        <f>IF(OR($A804="",ISERROR(VALUE(LEFT($A804,6)))),"",IF(LEN($A804)=2,"WOJ. ",IF(LEN($A804)=4,IF(VALUE(RIGHT($A804,2))&gt;60,"","Powiat "),IF(VALUE(RIGHT($A804,1))=1,"m. ",IF(VALUE(RIGHT($A804,1))=2,"gm. w. ",IF(VALUE(RIGHT($A804,1))=8,"dz. ","gm. m.-w. ")))))&amp;IF(LEN($A804)=2,TRIM(UPPER(VLOOKUP($A804,GUS_tabl_1!$A$7:$B$22,2,FALSE))),IF(ISERROR(FIND("..",TRIM(VLOOKUP(IF(AND(LEN($A804)=4,VALUE(RIGHT($A804,2))&gt;60),$A804&amp;"01 1",$A804),IF(AND(LEN($A804)=4,VALUE(RIGHT($A804,2))&lt;60),GUS_tabl_2!$A$8:$B$464,GUS_tabl_21!$A$5:$B$4886),2,FALSE)))),TRIM(VLOOKUP(IF(AND(LEN($A804)=4,VALUE(RIGHT($A804,2))&gt;60),$A804&amp;"01 1",$A804),IF(AND(LEN($A804)=4,VALUE(RIGHT($A804,2))&lt;60),GUS_tabl_2!$A$8:$B$464,GUS_tabl_21!$A$5:$B$4886),2,FALSE)),LEFT(TRIM(VLOOKUP(IF(AND(LEN($A804)=4,VALUE(RIGHT($A804,2))&gt;60),$A804&amp;"01 1",$A804),IF(AND(LEN($A804)=4,VALUE(RIGHT($A804,2))&lt;60),GUS_tabl_2!$A$8:$B$464,GUS_tabl_21!$A$5:$B$4886),2,FALSE)),SUM(FIND("..",TRIM(VLOOKUP(IF(AND(LEN($A804)=4,VALUE(RIGHT($A804,2))&gt;60),$A804&amp;"01 1",$A804),IF(AND(LEN($A804)=4,VALUE(RIGHT($A804,2))&lt;60),GUS_tabl_2!$A$8:$B$464,GUS_tabl_21!$A$5:$B$4886),2,FALSE))),-1)))))</f>
        <v>m. Konstantynów Łódzki</v>
      </c>
      <c r="D804" s="141">
        <f>IF(OR($A804="",ISERROR(VALUE(LEFT($A804,6)))),"",IF(LEN($A804)=2,SUMIF($A805:$A$2965,$A804&amp;"??",$D805:$D$2965),IF(AND(LEN($A804)=4,VALUE(RIGHT($A804,2))&lt;=60),SUMIF($A805:$A$2965,$A804&amp;"????",$D805:$D$2965),VLOOKUP(IF(LEN($A804)=4,$A804&amp;"01 1",$A804),GUS_tabl_21!$A$5:$F$4886,6,FALSE))))</f>
        <v>18206</v>
      </c>
      <c r="E804" s="29"/>
    </row>
    <row r="805" spans="1:5" ht="12" customHeight="1">
      <c r="A805" s="155" t="str">
        <f>"100802 1"</f>
        <v>100802 1</v>
      </c>
      <c r="B805" s="153" t="s">
        <v>39</v>
      </c>
      <c r="C805" s="156" t="str">
        <f>IF(OR($A805="",ISERROR(VALUE(LEFT($A805,6)))),"",IF(LEN($A805)=2,"WOJ. ",IF(LEN($A805)=4,IF(VALUE(RIGHT($A805,2))&gt;60,"","Powiat "),IF(VALUE(RIGHT($A805,1))=1,"m. ",IF(VALUE(RIGHT($A805,1))=2,"gm. w. ",IF(VALUE(RIGHT($A805,1))=8,"dz. ","gm. m.-w. ")))))&amp;IF(LEN($A805)=2,TRIM(UPPER(VLOOKUP($A805,GUS_tabl_1!$A$7:$B$22,2,FALSE))),IF(ISERROR(FIND("..",TRIM(VLOOKUP(IF(AND(LEN($A805)=4,VALUE(RIGHT($A805,2))&gt;60),$A805&amp;"01 1",$A805),IF(AND(LEN($A805)=4,VALUE(RIGHT($A805,2))&lt;60),GUS_tabl_2!$A$8:$B$464,GUS_tabl_21!$A$5:$B$4886),2,FALSE)))),TRIM(VLOOKUP(IF(AND(LEN($A805)=4,VALUE(RIGHT($A805,2))&gt;60),$A805&amp;"01 1",$A805),IF(AND(LEN($A805)=4,VALUE(RIGHT($A805,2))&lt;60),GUS_tabl_2!$A$8:$B$464,GUS_tabl_21!$A$5:$B$4886),2,FALSE)),LEFT(TRIM(VLOOKUP(IF(AND(LEN($A805)=4,VALUE(RIGHT($A805,2))&gt;60),$A805&amp;"01 1",$A805),IF(AND(LEN($A805)=4,VALUE(RIGHT($A805,2))&lt;60),GUS_tabl_2!$A$8:$B$464,GUS_tabl_21!$A$5:$B$4886),2,FALSE)),SUM(FIND("..",TRIM(VLOOKUP(IF(AND(LEN($A805)=4,VALUE(RIGHT($A805,2))&gt;60),$A805&amp;"01 1",$A805),IF(AND(LEN($A805)=4,VALUE(RIGHT($A805,2))&lt;60),GUS_tabl_2!$A$8:$B$464,GUS_tabl_21!$A$5:$B$4886),2,FALSE))),-1)))))</f>
        <v>m. Pabianice</v>
      </c>
      <c r="D805" s="141">
        <f>IF(OR($A805="",ISERROR(VALUE(LEFT($A805,6)))),"",IF(LEN($A805)=2,SUMIF($A806:$A$2965,$A805&amp;"??",$D806:$D$2965),IF(AND(LEN($A805)=4,VALUE(RIGHT($A805,2))&lt;=60),SUMIF($A806:$A$2965,$A805&amp;"????",$D806:$D$2965),VLOOKUP(IF(LEN($A805)=4,$A805&amp;"01 1",$A805),GUS_tabl_21!$A$5:$F$4886,6,FALSE))))</f>
        <v>64757</v>
      </c>
      <c r="E805" s="29"/>
    </row>
    <row r="806" spans="1:5" ht="12" customHeight="1">
      <c r="A806" s="155" t="str">
        <f>"100803 2"</f>
        <v>100803 2</v>
      </c>
      <c r="B806" s="153" t="s">
        <v>39</v>
      </c>
      <c r="C806" s="156" t="str">
        <f>IF(OR($A806="",ISERROR(VALUE(LEFT($A806,6)))),"",IF(LEN($A806)=2,"WOJ. ",IF(LEN($A806)=4,IF(VALUE(RIGHT($A806,2))&gt;60,"","Powiat "),IF(VALUE(RIGHT($A806,1))=1,"m. ",IF(VALUE(RIGHT($A806,1))=2,"gm. w. ",IF(VALUE(RIGHT($A806,1))=8,"dz. ","gm. m.-w. ")))))&amp;IF(LEN($A806)=2,TRIM(UPPER(VLOOKUP($A806,GUS_tabl_1!$A$7:$B$22,2,FALSE))),IF(ISERROR(FIND("..",TRIM(VLOOKUP(IF(AND(LEN($A806)=4,VALUE(RIGHT($A806,2))&gt;60),$A806&amp;"01 1",$A806),IF(AND(LEN($A806)=4,VALUE(RIGHT($A806,2))&lt;60),GUS_tabl_2!$A$8:$B$464,GUS_tabl_21!$A$5:$B$4886),2,FALSE)))),TRIM(VLOOKUP(IF(AND(LEN($A806)=4,VALUE(RIGHT($A806,2))&gt;60),$A806&amp;"01 1",$A806),IF(AND(LEN($A806)=4,VALUE(RIGHT($A806,2))&lt;60),GUS_tabl_2!$A$8:$B$464,GUS_tabl_21!$A$5:$B$4886),2,FALSE)),LEFT(TRIM(VLOOKUP(IF(AND(LEN($A806)=4,VALUE(RIGHT($A806,2))&gt;60),$A806&amp;"01 1",$A806),IF(AND(LEN($A806)=4,VALUE(RIGHT($A806,2))&lt;60),GUS_tabl_2!$A$8:$B$464,GUS_tabl_21!$A$5:$B$4886),2,FALSE)),SUM(FIND("..",TRIM(VLOOKUP(IF(AND(LEN($A806)=4,VALUE(RIGHT($A806,2))&gt;60),$A806&amp;"01 1",$A806),IF(AND(LEN($A806)=4,VALUE(RIGHT($A806,2))&lt;60),GUS_tabl_2!$A$8:$B$464,GUS_tabl_21!$A$5:$B$4886),2,FALSE))),-1)))))</f>
        <v>gm. w. Dłutów</v>
      </c>
      <c r="D806" s="141">
        <f>IF(OR($A806="",ISERROR(VALUE(LEFT($A806,6)))),"",IF(LEN($A806)=2,SUMIF($A807:$A$2965,$A806&amp;"??",$D807:$D$2965),IF(AND(LEN($A806)=4,VALUE(RIGHT($A806,2))&lt;=60),SUMIF($A807:$A$2965,$A806&amp;"????",$D807:$D$2965),VLOOKUP(IF(LEN($A806)=4,$A806&amp;"01 1",$A806),GUS_tabl_21!$A$5:$F$4886,6,FALSE))))</f>
        <v>4657</v>
      </c>
      <c r="E806" s="29"/>
    </row>
    <row r="807" spans="1:5" ht="12" customHeight="1">
      <c r="A807" s="155" t="str">
        <f>"100804 2"</f>
        <v>100804 2</v>
      </c>
      <c r="B807" s="153" t="s">
        <v>39</v>
      </c>
      <c r="C807" s="156" t="str">
        <f>IF(OR($A807="",ISERROR(VALUE(LEFT($A807,6)))),"",IF(LEN($A807)=2,"WOJ. ",IF(LEN($A807)=4,IF(VALUE(RIGHT($A807,2))&gt;60,"","Powiat "),IF(VALUE(RIGHT($A807,1))=1,"m. ",IF(VALUE(RIGHT($A807,1))=2,"gm. w. ",IF(VALUE(RIGHT($A807,1))=8,"dz. ","gm. m.-w. ")))))&amp;IF(LEN($A807)=2,TRIM(UPPER(VLOOKUP($A807,GUS_tabl_1!$A$7:$B$22,2,FALSE))),IF(ISERROR(FIND("..",TRIM(VLOOKUP(IF(AND(LEN($A807)=4,VALUE(RIGHT($A807,2))&gt;60),$A807&amp;"01 1",$A807),IF(AND(LEN($A807)=4,VALUE(RIGHT($A807,2))&lt;60),GUS_tabl_2!$A$8:$B$464,GUS_tabl_21!$A$5:$B$4886),2,FALSE)))),TRIM(VLOOKUP(IF(AND(LEN($A807)=4,VALUE(RIGHT($A807,2))&gt;60),$A807&amp;"01 1",$A807),IF(AND(LEN($A807)=4,VALUE(RIGHT($A807,2))&lt;60),GUS_tabl_2!$A$8:$B$464,GUS_tabl_21!$A$5:$B$4886),2,FALSE)),LEFT(TRIM(VLOOKUP(IF(AND(LEN($A807)=4,VALUE(RIGHT($A807,2))&gt;60),$A807&amp;"01 1",$A807),IF(AND(LEN($A807)=4,VALUE(RIGHT($A807,2))&lt;60),GUS_tabl_2!$A$8:$B$464,GUS_tabl_21!$A$5:$B$4886),2,FALSE)),SUM(FIND("..",TRIM(VLOOKUP(IF(AND(LEN($A807)=4,VALUE(RIGHT($A807,2))&gt;60),$A807&amp;"01 1",$A807),IF(AND(LEN($A807)=4,VALUE(RIGHT($A807,2))&lt;60),GUS_tabl_2!$A$8:$B$464,GUS_tabl_21!$A$5:$B$4886),2,FALSE))),-1)))))</f>
        <v>gm. w. Dobroń</v>
      </c>
      <c r="D807" s="141">
        <f>IF(OR($A807="",ISERROR(VALUE(LEFT($A807,6)))),"",IF(LEN($A807)=2,SUMIF($A808:$A$2965,$A807&amp;"??",$D808:$D$2965),IF(AND(LEN($A807)=4,VALUE(RIGHT($A807,2))&lt;=60),SUMIF($A808:$A$2965,$A807&amp;"????",$D808:$D$2965),VLOOKUP(IF(LEN($A807)=4,$A807&amp;"01 1",$A807),GUS_tabl_21!$A$5:$F$4886,6,FALSE))))</f>
        <v>7728</v>
      </c>
      <c r="E807" s="29"/>
    </row>
    <row r="808" spans="1:5" ht="12" customHeight="1">
      <c r="A808" s="155" t="str">
        <f>"100805 2"</f>
        <v>100805 2</v>
      </c>
      <c r="B808" s="153" t="s">
        <v>39</v>
      </c>
      <c r="C808" s="156" t="str">
        <f>IF(OR($A808="",ISERROR(VALUE(LEFT($A808,6)))),"",IF(LEN($A808)=2,"WOJ. ",IF(LEN($A808)=4,IF(VALUE(RIGHT($A808,2))&gt;60,"","Powiat "),IF(VALUE(RIGHT($A808,1))=1,"m. ",IF(VALUE(RIGHT($A808,1))=2,"gm. w. ",IF(VALUE(RIGHT($A808,1))=8,"dz. ","gm. m.-w. ")))))&amp;IF(LEN($A808)=2,TRIM(UPPER(VLOOKUP($A808,GUS_tabl_1!$A$7:$B$22,2,FALSE))),IF(ISERROR(FIND("..",TRIM(VLOOKUP(IF(AND(LEN($A808)=4,VALUE(RIGHT($A808,2))&gt;60),$A808&amp;"01 1",$A808),IF(AND(LEN($A808)=4,VALUE(RIGHT($A808,2))&lt;60),GUS_tabl_2!$A$8:$B$464,GUS_tabl_21!$A$5:$B$4886),2,FALSE)))),TRIM(VLOOKUP(IF(AND(LEN($A808)=4,VALUE(RIGHT($A808,2))&gt;60),$A808&amp;"01 1",$A808),IF(AND(LEN($A808)=4,VALUE(RIGHT($A808,2))&lt;60),GUS_tabl_2!$A$8:$B$464,GUS_tabl_21!$A$5:$B$4886),2,FALSE)),LEFT(TRIM(VLOOKUP(IF(AND(LEN($A808)=4,VALUE(RIGHT($A808,2))&gt;60),$A808&amp;"01 1",$A808),IF(AND(LEN($A808)=4,VALUE(RIGHT($A808,2))&lt;60),GUS_tabl_2!$A$8:$B$464,GUS_tabl_21!$A$5:$B$4886),2,FALSE)),SUM(FIND("..",TRIM(VLOOKUP(IF(AND(LEN($A808)=4,VALUE(RIGHT($A808,2))&gt;60),$A808&amp;"01 1",$A808),IF(AND(LEN($A808)=4,VALUE(RIGHT($A808,2))&lt;60),GUS_tabl_2!$A$8:$B$464,GUS_tabl_21!$A$5:$B$4886),2,FALSE))),-1)))))</f>
        <v>gm. w. Ksawerów</v>
      </c>
      <c r="D808" s="141">
        <f>IF(OR($A808="",ISERROR(VALUE(LEFT($A808,6)))),"",IF(LEN($A808)=2,SUMIF($A809:$A$2965,$A808&amp;"??",$D809:$D$2965),IF(AND(LEN($A808)=4,VALUE(RIGHT($A808,2))&lt;=60),SUMIF($A809:$A$2965,$A808&amp;"????",$D809:$D$2965),VLOOKUP(IF(LEN($A808)=4,$A808&amp;"01 1",$A808),GUS_tabl_21!$A$5:$F$4886,6,FALSE))))</f>
        <v>7668</v>
      </c>
      <c r="E808" s="29"/>
    </row>
    <row r="809" spans="1:5" ht="12" customHeight="1">
      <c r="A809" s="155" t="str">
        <f>"100806 2"</f>
        <v>100806 2</v>
      </c>
      <c r="B809" s="153" t="s">
        <v>39</v>
      </c>
      <c r="C809" s="156" t="str">
        <f>IF(OR($A809="",ISERROR(VALUE(LEFT($A809,6)))),"",IF(LEN($A809)=2,"WOJ. ",IF(LEN($A809)=4,IF(VALUE(RIGHT($A809,2))&gt;60,"","Powiat "),IF(VALUE(RIGHT($A809,1))=1,"m. ",IF(VALUE(RIGHT($A809,1))=2,"gm. w. ",IF(VALUE(RIGHT($A809,1))=8,"dz. ","gm. m.-w. ")))))&amp;IF(LEN($A809)=2,TRIM(UPPER(VLOOKUP($A809,GUS_tabl_1!$A$7:$B$22,2,FALSE))),IF(ISERROR(FIND("..",TRIM(VLOOKUP(IF(AND(LEN($A809)=4,VALUE(RIGHT($A809,2))&gt;60),$A809&amp;"01 1",$A809),IF(AND(LEN($A809)=4,VALUE(RIGHT($A809,2))&lt;60),GUS_tabl_2!$A$8:$B$464,GUS_tabl_21!$A$5:$B$4886),2,FALSE)))),TRIM(VLOOKUP(IF(AND(LEN($A809)=4,VALUE(RIGHT($A809,2))&gt;60),$A809&amp;"01 1",$A809),IF(AND(LEN($A809)=4,VALUE(RIGHT($A809,2))&lt;60),GUS_tabl_2!$A$8:$B$464,GUS_tabl_21!$A$5:$B$4886),2,FALSE)),LEFT(TRIM(VLOOKUP(IF(AND(LEN($A809)=4,VALUE(RIGHT($A809,2))&gt;60),$A809&amp;"01 1",$A809),IF(AND(LEN($A809)=4,VALUE(RIGHT($A809,2))&lt;60),GUS_tabl_2!$A$8:$B$464,GUS_tabl_21!$A$5:$B$4886),2,FALSE)),SUM(FIND("..",TRIM(VLOOKUP(IF(AND(LEN($A809)=4,VALUE(RIGHT($A809,2))&gt;60),$A809&amp;"01 1",$A809),IF(AND(LEN($A809)=4,VALUE(RIGHT($A809,2))&lt;60),GUS_tabl_2!$A$8:$B$464,GUS_tabl_21!$A$5:$B$4886),2,FALSE))),-1)))))</f>
        <v>gm. w. Lutomiersk</v>
      </c>
      <c r="D809" s="141">
        <f>IF(OR($A809="",ISERROR(VALUE(LEFT($A809,6)))),"",IF(LEN($A809)=2,SUMIF($A810:$A$2965,$A809&amp;"??",$D810:$D$2965),IF(AND(LEN($A809)=4,VALUE(RIGHT($A809,2))&lt;=60),SUMIF($A810:$A$2965,$A809&amp;"????",$D810:$D$2965),VLOOKUP(IF(LEN($A809)=4,$A809&amp;"01 1",$A809),GUS_tabl_21!$A$5:$F$4886,6,FALSE))))</f>
        <v>8639</v>
      </c>
      <c r="E809" s="29"/>
    </row>
    <row r="810" spans="1:5" ht="12" customHeight="1">
      <c r="A810" s="155" t="str">
        <f>"100807 2"</f>
        <v>100807 2</v>
      </c>
      <c r="B810" s="153" t="s">
        <v>39</v>
      </c>
      <c r="C810" s="156" t="str">
        <f>IF(OR($A810="",ISERROR(VALUE(LEFT($A810,6)))),"",IF(LEN($A810)=2,"WOJ. ",IF(LEN($A810)=4,IF(VALUE(RIGHT($A810,2))&gt;60,"","Powiat "),IF(VALUE(RIGHT($A810,1))=1,"m. ",IF(VALUE(RIGHT($A810,1))=2,"gm. w. ",IF(VALUE(RIGHT($A810,1))=8,"dz. ","gm. m.-w. ")))))&amp;IF(LEN($A810)=2,TRIM(UPPER(VLOOKUP($A810,GUS_tabl_1!$A$7:$B$22,2,FALSE))),IF(ISERROR(FIND("..",TRIM(VLOOKUP(IF(AND(LEN($A810)=4,VALUE(RIGHT($A810,2))&gt;60),$A810&amp;"01 1",$A810),IF(AND(LEN($A810)=4,VALUE(RIGHT($A810,2))&lt;60),GUS_tabl_2!$A$8:$B$464,GUS_tabl_21!$A$5:$B$4886),2,FALSE)))),TRIM(VLOOKUP(IF(AND(LEN($A810)=4,VALUE(RIGHT($A810,2))&gt;60),$A810&amp;"01 1",$A810),IF(AND(LEN($A810)=4,VALUE(RIGHT($A810,2))&lt;60),GUS_tabl_2!$A$8:$B$464,GUS_tabl_21!$A$5:$B$4886),2,FALSE)),LEFT(TRIM(VLOOKUP(IF(AND(LEN($A810)=4,VALUE(RIGHT($A810,2))&gt;60),$A810&amp;"01 1",$A810),IF(AND(LEN($A810)=4,VALUE(RIGHT($A810,2))&lt;60),GUS_tabl_2!$A$8:$B$464,GUS_tabl_21!$A$5:$B$4886),2,FALSE)),SUM(FIND("..",TRIM(VLOOKUP(IF(AND(LEN($A810)=4,VALUE(RIGHT($A810,2))&gt;60),$A810&amp;"01 1",$A810),IF(AND(LEN($A810)=4,VALUE(RIGHT($A810,2))&lt;60),GUS_tabl_2!$A$8:$B$464,GUS_tabl_21!$A$5:$B$4886),2,FALSE))),-1)))))</f>
        <v>gm. w. Pabianice</v>
      </c>
      <c r="D810" s="141">
        <f>IF(OR($A810="",ISERROR(VALUE(LEFT($A810,6)))),"",IF(LEN($A810)=2,SUMIF($A811:$A$2965,$A810&amp;"??",$D811:$D$2965),IF(AND(LEN($A810)=4,VALUE(RIGHT($A810,2))&lt;=60),SUMIF($A811:$A$2965,$A810&amp;"????",$D811:$D$2965),VLOOKUP(IF(LEN($A810)=4,$A810&amp;"01 1",$A810),GUS_tabl_21!$A$5:$F$4886,6,FALSE))))</f>
        <v>7636</v>
      </c>
      <c r="E810" s="29"/>
    </row>
    <row r="811" spans="1:5" ht="12" customHeight="1">
      <c r="A811" s="152" t="str">
        <f>"1009"</f>
        <v>1009</v>
      </c>
      <c r="B811" s="153" t="s">
        <v>39</v>
      </c>
      <c r="C811" s="154" t="str">
        <f>IF(OR($A811="",ISERROR(VALUE(LEFT($A811,6)))),"",IF(LEN($A811)=2,"WOJ. ",IF(LEN($A811)=4,IF(VALUE(RIGHT($A811,2))&gt;60,"","Powiat "),IF(VALUE(RIGHT($A811,1))=1,"m. ",IF(VALUE(RIGHT($A811,1))=2,"gm. w. ",IF(VALUE(RIGHT($A811,1))=8,"dz. ","gm. m.-w. ")))))&amp;IF(LEN($A811)=2,TRIM(UPPER(VLOOKUP($A811,GUS_tabl_1!$A$7:$B$22,2,FALSE))),IF(ISERROR(FIND("..",TRIM(VLOOKUP(IF(AND(LEN($A811)=4,VALUE(RIGHT($A811,2))&gt;60),$A811&amp;"01 1",$A811),IF(AND(LEN($A811)=4,VALUE(RIGHT($A811,2))&lt;60),GUS_tabl_2!$A$8:$B$464,GUS_tabl_21!$A$5:$B$4886),2,FALSE)))),TRIM(VLOOKUP(IF(AND(LEN($A811)=4,VALUE(RIGHT($A811,2))&gt;60),$A811&amp;"01 1",$A811),IF(AND(LEN($A811)=4,VALUE(RIGHT($A811,2))&lt;60),GUS_tabl_2!$A$8:$B$464,GUS_tabl_21!$A$5:$B$4886),2,FALSE)),LEFT(TRIM(VLOOKUP(IF(AND(LEN($A811)=4,VALUE(RIGHT($A811,2))&gt;60),$A811&amp;"01 1",$A811),IF(AND(LEN($A811)=4,VALUE(RIGHT($A811,2))&lt;60),GUS_tabl_2!$A$8:$B$464,GUS_tabl_21!$A$5:$B$4886),2,FALSE)),SUM(FIND("..",TRIM(VLOOKUP(IF(AND(LEN($A811)=4,VALUE(RIGHT($A811,2))&gt;60),$A811&amp;"01 1",$A811),IF(AND(LEN($A811)=4,VALUE(RIGHT($A811,2))&lt;60),GUS_tabl_2!$A$8:$B$464,GUS_tabl_21!$A$5:$B$4886),2,FALSE))),-1)))))</f>
        <v>Powiat pajęczański</v>
      </c>
      <c r="D811" s="140">
        <f>IF(OR($A811="",ISERROR(VALUE(LEFT($A811,6)))),"",IF(LEN($A811)=2,SUMIF($A812:$A$2965,$A811&amp;"??",$D812:$D$2965),IF(AND(LEN($A811)=4,VALUE(RIGHT($A811,2))&lt;=60),SUMIF($A812:$A$2965,$A811&amp;"????",$D812:$D$2965),VLOOKUP(IF(LEN($A811)=4,$A811&amp;"01 1",$A811),GUS_tabl_21!$A$5:$F$4886,6,FALSE))))</f>
        <v>51220</v>
      </c>
      <c r="E811" s="29"/>
    </row>
    <row r="812" spans="1:5" ht="12" customHeight="1">
      <c r="A812" s="155" t="str">
        <f>"100901 3"</f>
        <v>100901 3</v>
      </c>
      <c r="B812" s="153" t="s">
        <v>39</v>
      </c>
      <c r="C812" s="156" t="str">
        <f>IF(OR($A812="",ISERROR(VALUE(LEFT($A812,6)))),"",IF(LEN($A812)=2,"WOJ. ",IF(LEN($A812)=4,IF(VALUE(RIGHT($A812,2))&gt;60,"","Powiat "),IF(VALUE(RIGHT($A812,1))=1,"m. ",IF(VALUE(RIGHT($A812,1))=2,"gm. w. ",IF(VALUE(RIGHT($A812,1))=8,"dz. ","gm. m.-w. ")))))&amp;IF(LEN($A812)=2,TRIM(UPPER(VLOOKUP($A812,GUS_tabl_1!$A$7:$B$22,2,FALSE))),IF(ISERROR(FIND("..",TRIM(VLOOKUP(IF(AND(LEN($A812)=4,VALUE(RIGHT($A812,2))&gt;60),$A812&amp;"01 1",$A812),IF(AND(LEN($A812)=4,VALUE(RIGHT($A812,2))&lt;60),GUS_tabl_2!$A$8:$B$464,GUS_tabl_21!$A$5:$B$4886),2,FALSE)))),TRIM(VLOOKUP(IF(AND(LEN($A812)=4,VALUE(RIGHT($A812,2))&gt;60),$A812&amp;"01 1",$A812),IF(AND(LEN($A812)=4,VALUE(RIGHT($A812,2))&lt;60),GUS_tabl_2!$A$8:$B$464,GUS_tabl_21!$A$5:$B$4886),2,FALSE)),LEFT(TRIM(VLOOKUP(IF(AND(LEN($A812)=4,VALUE(RIGHT($A812,2))&gt;60),$A812&amp;"01 1",$A812),IF(AND(LEN($A812)=4,VALUE(RIGHT($A812,2))&lt;60),GUS_tabl_2!$A$8:$B$464,GUS_tabl_21!$A$5:$B$4886),2,FALSE)),SUM(FIND("..",TRIM(VLOOKUP(IF(AND(LEN($A812)=4,VALUE(RIGHT($A812,2))&gt;60),$A812&amp;"01 1",$A812),IF(AND(LEN($A812)=4,VALUE(RIGHT($A812,2))&lt;60),GUS_tabl_2!$A$8:$B$464,GUS_tabl_21!$A$5:$B$4886),2,FALSE))),-1)))))</f>
        <v>gm. m.-w. Działoszyn</v>
      </c>
      <c r="D812" s="141">
        <f>IF(OR($A812="",ISERROR(VALUE(LEFT($A812,6)))),"",IF(LEN($A812)=2,SUMIF($A813:$A$2965,$A812&amp;"??",$D813:$D$2965),IF(AND(LEN($A812)=4,VALUE(RIGHT($A812,2))&lt;=60),SUMIF($A813:$A$2965,$A812&amp;"????",$D813:$D$2965),VLOOKUP(IF(LEN($A812)=4,$A812&amp;"01 1",$A812),GUS_tabl_21!$A$5:$F$4886,6,FALSE))))</f>
        <v>12444</v>
      </c>
      <c r="E812" s="29"/>
    </row>
    <row r="813" spans="1:5" ht="12" customHeight="1">
      <c r="A813" s="155" t="str">
        <f>"100902 2"</f>
        <v>100902 2</v>
      </c>
      <c r="B813" s="153" t="s">
        <v>39</v>
      </c>
      <c r="C813" s="156" t="str">
        <f>IF(OR($A813="",ISERROR(VALUE(LEFT($A813,6)))),"",IF(LEN($A813)=2,"WOJ. ",IF(LEN($A813)=4,IF(VALUE(RIGHT($A813,2))&gt;60,"","Powiat "),IF(VALUE(RIGHT($A813,1))=1,"m. ",IF(VALUE(RIGHT($A813,1))=2,"gm. w. ",IF(VALUE(RIGHT($A813,1))=8,"dz. ","gm. m.-w. ")))))&amp;IF(LEN($A813)=2,TRIM(UPPER(VLOOKUP($A813,GUS_tabl_1!$A$7:$B$22,2,FALSE))),IF(ISERROR(FIND("..",TRIM(VLOOKUP(IF(AND(LEN($A813)=4,VALUE(RIGHT($A813,2))&gt;60),$A813&amp;"01 1",$A813),IF(AND(LEN($A813)=4,VALUE(RIGHT($A813,2))&lt;60),GUS_tabl_2!$A$8:$B$464,GUS_tabl_21!$A$5:$B$4886),2,FALSE)))),TRIM(VLOOKUP(IF(AND(LEN($A813)=4,VALUE(RIGHT($A813,2))&gt;60),$A813&amp;"01 1",$A813),IF(AND(LEN($A813)=4,VALUE(RIGHT($A813,2))&lt;60),GUS_tabl_2!$A$8:$B$464,GUS_tabl_21!$A$5:$B$4886),2,FALSE)),LEFT(TRIM(VLOOKUP(IF(AND(LEN($A813)=4,VALUE(RIGHT($A813,2))&gt;60),$A813&amp;"01 1",$A813),IF(AND(LEN($A813)=4,VALUE(RIGHT($A813,2))&lt;60),GUS_tabl_2!$A$8:$B$464,GUS_tabl_21!$A$5:$B$4886),2,FALSE)),SUM(FIND("..",TRIM(VLOOKUP(IF(AND(LEN($A813)=4,VALUE(RIGHT($A813,2))&gt;60),$A813&amp;"01 1",$A813),IF(AND(LEN($A813)=4,VALUE(RIGHT($A813,2))&lt;60),GUS_tabl_2!$A$8:$B$464,GUS_tabl_21!$A$5:$B$4886),2,FALSE))),-1)))))</f>
        <v>gm. w. Kiełczygłów</v>
      </c>
      <c r="D813" s="141">
        <f>IF(OR($A813="",ISERROR(VALUE(LEFT($A813,6)))),"",IF(LEN($A813)=2,SUMIF($A814:$A$2965,$A813&amp;"??",$D814:$D$2965),IF(AND(LEN($A813)=4,VALUE(RIGHT($A813,2))&lt;=60),SUMIF($A814:$A$2965,$A813&amp;"????",$D814:$D$2965),VLOOKUP(IF(LEN($A813)=4,$A813&amp;"01 1",$A813),GUS_tabl_21!$A$5:$F$4886,6,FALSE))))</f>
        <v>3981</v>
      </c>
      <c r="E813" s="29"/>
    </row>
    <row r="814" spans="1:5" ht="12" customHeight="1">
      <c r="A814" s="155" t="str">
        <f>"100903 2"</f>
        <v>100903 2</v>
      </c>
      <c r="B814" s="153" t="s">
        <v>39</v>
      </c>
      <c r="C814" s="156" t="str">
        <f>IF(OR($A814="",ISERROR(VALUE(LEFT($A814,6)))),"",IF(LEN($A814)=2,"WOJ. ",IF(LEN($A814)=4,IF(VALUE(RIGHT($A814,2))&gt;60,"","Powiat "),IF(VALUE(RIGHT($A814,1))=1,"m. ",IF(VALUE(RIGHT($A814,1))=2,"gm. w. ",IF(VALUE(RIGHT($A814,1))=8,"dz. ","gm. m.-w. ")))))&amp;IF(LEN($A814)=2,TRIM(UPPER(VLOOKUP($A814,GUS_tabl_1!$A$7:$B$22,2,FALSE))),IF(ISERROR(FIND("..",TRIM(VLOOKUP(IF(AND(LEN($A814)=4,VALUE(RIGHT($A814,2))&gt;60),$A814&amp;"01 1",$A814),IF(AND(LEN($A814)=4,VALUE(RIGHT($A814,2))&lt;60),GUS_tabl_2!$A$8:$B$464,GUS_tabl_21!$A$5:$B$4886),2,FALSE)))),TRIM(VLOOKUP(IF(AND(LEN($A814)=4,VALUE(RIGHT($A814,2))&gt;60),$A814&amp;"01 1",$A814),IF(AND(LEN($A814)=4,VALUE(RIGHT($A814,2))&lt;60),GUS_tabl_2!$A$8:$B$464,GUS_tabl_21!$A$5:$B$4886),2,FALSE)),LEFT(TRIM(VLOOKUP(IF(AND(LEN($A814)=4,VALUE(RIGHT($A814,2))&gt;60),$A814&amp;"01 1",$A814),IF(AND(LEN($A814)=4,VALUE(RIGHT($A814,2))&lt;60),GUS_tabl_2!$A$8:$B$464,GUS_tabl_21!$A$5:$B$4886),2,FALSE)),SUM(FIND("..",TRIM(VLOOKUP(IF(AND(LEN($A814)=4,VALUE(RIGHT($A814,2))&gt;60),$A814&amp;"01 1",$A814),IF(AND(LEN($A814)=4,VALUE(RIGHT($A814,2))&lt;60),GUS_tabl_2!$A$8:$B$464,GUS_tabl_21!$A$5:$B$4886),2,FALSE))),-1)))))</f>
        <v>gm. w. Nowa Brzeźnica</v>
      </c>
      <c r="D814" s="141">
        <f>IF(OR($A814="",ISERROR(VALUE(LEFT($A814,6)))),"",IF(LEN($A814)=2,SUMIF($A815:$A$2965,$A814&amp;"??",$D815:$D$2965),IF(AND(LEN($A814)=4,VALUE(RIGHT($A814,2))&lt;=60),SUMIF($A815:$A$2965,$A814&amp;"????",$D815:$D$2965),VLOOKUP(IF(LEN($A814)=4,$A814&amp;"01 1",$A814),GUS_tabl_21!$A$5:$F$4886,6,FALSE))))</f>
        <v>4558</v>
      </c>
      <c r="E814" s="29"/>
    </row>
    <row r="815" spans="1:5" ht="12" customHeight="1">
      <c r="A815" s="155" t="str">
        <f>"100904 3"</f>
        <v>100904 3</v>
      </c>
      <c r="B815" s="153" t="s">
        <v>39</v>
      </c>
      <c r="C815" s="156" t="str">
        <f>IF(OR($A815="",ISERROR(VALUE(LEFT($A815,6)))),"",IF(LEN($A815)=2,"WOJ. ",IF(LEN($A815)=4,IF(VALUE(RIGHT($A815,2))&gt;60,"","Powiat "),IF(VALUE(RIGHT($A815,1))=1,"m. ",IF(VALUE(RIGHT($A815,1))=2,"gm. w. ",IF(VALUE(RIGHT($A815,1))=8,"dz. ","gm. m.-w. ")))))&amp;IF(LEN($A815)=2,TRIM(UPPER(VLOOKUP($A815,GUS_tabl_1!$A$7:$B$22,2,FALSE))),IF(ISERROR(FIND("..",TRIM(VLOOKUP(IF(AND(LEN($A815)=4,VALUE(RIGHT($A815,2))&gt;60),$A815&amp;"01 1",$A815),IF(AND(LEN($A815)=4,VALUE(RIGHT($A815,2))&lt;60),GUS_tabl_2!$A$8:$B$464,GUS_tabl_21!$A$5:$B$4886),2,FALSE)))),TRIM(VLOOKUP(IF(AND(LEN($A815)=4,VALUE(RIGHT($A815,2))&gt;60),$A815&amp;"01 1",$A815),IF(AND(LEN($A815)=4,VALUE(RIGHT($A815,2))&lt;60),GUS_tabl_2!$A$8:$B$464,GUS_tabl_21!$A$5:$B$4886),2,FALSE)),LEFT(TRIM(VLOOKUP(IF(AND(LEN($A815)=4,VALUE(RIGHT($A815,2))&gt;60),$A815&amp;"01 1",$A815),IF(AND(LEN($A815)=4,VALUE(RIGHT($A815,2))&lt;60),GUS_tabl_2!$A$8:$B$464,GUS_tabl_21!$A$5:$B$4886),2,FALSE)),SUM(FIND("..",TRIM(VLOOKUP(IF(AND(LEN($A815)=4,VALUE(RIGHT($A815,2))&gt;60),$A815&amp;"01 1",$A815),IF(AND(LEN($A815)=4,VALUE(RIGHT($A815,2))&lt;60),GUS_tabl_2!$A$8:$B$464,GUS_tabl_21!$A$5:$B$4886),2,FALSE))),-1)))))</f>
        <v>gm. m.-w. Pajęczno</v>
      </c>
      <c r="D815" s="141">
        <f>IF(OR($A815="",ISERROR(VALUE(LEFT($A815,6)))),"",IF(LEN($A815)=2,SUMIF($A816:$A$2965,$A815&amp;"??",$D816:$D$2965),IF(AND(LEN($A815)=4,VALUE(RIGHT($A815,2))&lt;=60),SUMIF($A816:$A$2965,$A815&amp;"????",$D816:$D$2965),VLOOKUP(IF(LEN($A815)=4,$A815&amp;"01 1",$A815),GUS_tabl_21!$A$5:$F$4886,6,FALSE))))</f>
        <v>11510</v>
      </c>
      <c r="E815" s="29"/>
    </row>
    <row r="816" spans="1:5" ht="12" customHeight="1">
      <c r="A816" s="155" t="str">
        <f>"100905 2"</f>
        <v>100905 2</v>
      </c>
      <c r="B816" s="153" t="s">
        <v>39</v>
      </c>
      <c r="C816" s="156" t="str">
        <f>IF(OR($A816="",ISERROR(VALUE(LEFT($A816,6)))),"",IF(LEN($A816)=2,"WOJ. ",IF(LEN($A816)=4,IF(VALUE(RIGHT($A816,2))&gt;60,"","Powiat "),IF(VALUE(RIGHT($A816,1))=1,"m. ",IF(VALUE(RIGHT($A816,1))=2,"gm. w. ",IF(VALUE(RIGHT($A816,1))=8,"dz. ","gm. m.-w. ")))))&amp;IF(LEN($A816)=2,TRIM(UPPER(VLOOKUP($A816,GUS_tabl_1!$A$7:$B$22,2,FALSE))),IF(ISERROR(FIND("..",TRIM(VLOOKUP(IF(AND(LEN($A816)=4,VALUE(RIGHT($A816,2))&gt;60),$A816&amp;"01 1",$A816),IF(AND(LEN($A816)=4,VALUE(RIGHT($A816,2))&lt;60),GUS_tabl_2!$A$8:$B$464,GUS_tabl_21!$A$5:$B$4886),2,FALSE)))),TRIM(VLOOKUP(IF(AND(LEN($A816)=4,VALUE(RIGHT($A816,2))&gt;60),$A816&amp;"01 1",$A816),IF(AND(LEN($A816)=4,VALUE(RIGHT($A816,2))&lt;60),GUS_tabl_2!$A$8:$B$464,GUS_tabl_21!$A$5:$B$4886),2,FALSE)),LEFT(TRIM(VLOOKUP(IF(AND(LEN($A816)=4,VALUE(RIGHT($A816,2))&gt;60),$A816&amp;"01 1",$A816),IF(AND(LEN($A816)=4,VALUE(RIGHT($A816,2))&lt;60),GUS_tabl_2!$A$8:$B$464,GUS_tabl_21!$A$5:$B$4886),2,FALSE)),SUM(FIND("..",TRIM(VLOOKUP(IF(AND(LEN($A816)=4,VALUE(RIGHT($A816,2))&gt;60),$A816&amp;"01 1",$A816),IF(AND(LEN($A816)=4,VALUE(RIGHT($A816,2))&lt;60),GUS_tabl_2!$A$8:$B$464,GUS_tabl_21!$A$5:$B$4886),2,FALSE))),-1)))))</f>
        <v>gm. w. Rząśnia</v>
      </c>
      <c r="D816" s="141">
        <f>IF(OR($A816="",ISERROR(VALUE(LEFT($A816,6)))),"",IF(LEN($A816)=2,SUMIF($A817:$A$2965,$A816&amp;"??",$D817:$D$2965),IF(AND(LEN($A816)=4,VALUE(RIGHT($A816,2))&lt;=60),SUMIF($A817:$A$2965,$A816&amp;"????",$D817:$D$2965),VLOOKUP(IF(LEN($A816)=4,$A816&amp;"01 1",$A816),GUS_tabl_21!$A$5:$F$4886,6,FALSE))))</f>
        <v>4939</v>
      </c>
      <c r="E816" s="29"/>
    </row>
    <row r="817" spans="1:5" ht="12" customHeight="1">
      <c r="A817" s="155" t="str">
        <f>"100906 2"</f>
        <v>100906 2</v>
      </c>
      <c r="B817" s="153" t="s">
        <v>39</v>
      </c>
      <c r="C817" s="156" t="str">
        <f>IF(OR($A817="",ISERROR(VALUE(LEFT($A817,6)))),"",IF(LEN($A817)=2,"WOJ. ",IF(LEN($A817)=4,IF(VALUE(RIGHT($A817,2))&gt;60,"","Powiat "),IF(VALUE(RIGHT($A817,1))=1,"m. ",IF(VALUE(RIGHT($A817,1))=2,"gm. w. ",IF(VALUE(RIGHT($A817,1))=8,"dz. ","gm. m.-w. ")))))&amp;IF(LEN($A817)=2,TRIM(UPPER(VLOOKUP($A817,GUS_tabl_1!$A$7:$B$22,2,FALSE))),IF(ISERROR(FIND("..",TRIM(VLOOKUP(IF(AND(LEN($A817)=4,VALUE(RIGHT($A817,2))&gt;60),$A817&amp;"01 1",$A817),IF(AND(LEN($A817)=4,VALUE(RIGHT($A817,2))&lt;60),GUS_tabl_2!$A$8:$B$464,GUS_tabl_21!$A$5:$B$4886),2,FALSE)))),TRIM(VLOOKUP(IF(AND(LEN($A817)=4,VALUE(RIGHT($A817,2))&gt;60),$A817&amp;"01 1",$A817),IF(AND(LEN($A817)=4,VALUE(RIGHT($A817,2))&lt;60),GUS_tabl_2!$A$8:$B$464,GUS_tabl_21!$A$5:$B$4886),2,FALSE)),LEFT(TRIM(VLOOKUP(IF(AND(LEN($A817)=4,VALUE(RIGHT($A817,2))&gt;60),$A817&amp;"01 1",$A817),IF(AND(LEN($A817)=4,VALUE(RIGHT($A817,2))&lt;60),GUS_tabl_2!$A$8:$B$464,GUS_tabl_21!$A$5:$B$4886),2,FALSE)),SUM(FIND("..",TRIM(VLOOKUP(IF(AND(LEN($A817)=4,VALUE(RIGHT($A817,2))&gt;60),$A817&amp;"01 1",$A817),IF(AND(LEN($A817)=4,VALUE(RIGHT($A817,2))&lt;60),GUS_tabl_2!$A$8:$B$464,GUS_tabl_21!$A$5:$B$4886),2,FALSE))),-1)))))</f>
        <v>gm. w. Siemkowice</v>
      </c>
      <c r="D817" s="141">
        <f>IF(OR($A817="",ISERROR(VALUE(LEFT($A817,6)))),"",IF(LEN($A817)=2,SUMIF($A818:$A$2965,$A817&amp;"??",$D818:$D$2965),IF(AND(LEN($A817)=4,VALUE(RIGHT($A817,2))&lt;=60),SUMIF($A818:$A$2965,$A817&amp;"????",$D818:$D$2965),VLOOKUP(IF(LEN($A817)=4,$A817&amp;"01 1",$A817),GUS_tabl_21!$A$5:$F$4886,6,FALSE))))</f>
        <v>4773</v>
      </c>
      <c r="E817" s="29"/>
    </row>
    <row r="818" spans="1:5" ht="12" customHeight="1">
      <c r="A818" s="155" t="str">
        <f>"100907 2"</f>
        <v>100907 2</v>
      </c>
      <c r="B818" s="153" t="s">
        <v>39</v>
      </c>
      <c r="C818" s="156" t="str">
        <f>IF(OR($A818="",ISERROR(VALUE(LEFT($A818,6)))),"",IF(LEN($A818)=2,"WOJ. ",IF(LEN($A818)=4,IF(VALUE(RIGHT($A818,2))&gt;60,"","Powiat "),IF(VALUE(RIGHT($A818,1))=1,"m. ",IF(VALUE(RIGHT($A818,1))=2,"gm. w. ",IF(VALUE(RIGHT($A818,1))=8,"dz. ","gm. m.-w. ")))))&amp;IF(LEN($A818)=2,TRIM(UPPER(VLOOKUP($A818,GUS_tabl_1!$A$7:$B$22,2,FALSE))),IF(ISERROR(FIND("..",TRIM(VLOOKUP(IF(AND(LEN($A818)=4,VALUE(RIGHT($A818,2))&gt;60),$A818&amp;"01 1",$A818),IF(AND(LEN($A818)=4,VALUE(RIGHT($A818,2))&lt;60),GUS_tabl_2!$A$8:$B$464,GUS_tabl_21!$A$5:$B$4886),2,FALSE)))),TRIM(VLOOKUP(IF(AND(LEN($A818)=4,VALUE(RIGHT($A818,2))&gt;60),$A818&amp;"01 1",$A818),IF(AND(LEN($A818)=4,VALUE(RIGHT($A818,2))&lt;60),GUS_tabl_2!$A$8:$B$464,GUS_tabl_21!$A$5:$B$4886),2,FALSE)),LEFT(TRIM(VLOOKUP(IF(AND(LEN($A818)=4,VALUE(RIGHT($A818,2))&gt;60),$A818&amp;"01 1",$A818),IF(AND(LEN($A818)=4,VALUE(RIGHT($A818,2))&lt;60),GUS_tabl_2!$A$8:$B$464,GUS_tabl_21!$A$5:$B$4886),2,FALSE)),SUM(FIND("..",TRIM(VLOOKUP(IF(AND(LEN($A818)=4,VALUE(RIGHT($A818,2))&gt;60),$A818&amp;"01 1",$A818),IF(AND(LEN($A818)=4,VALUE(RIGHT($A818,2))&lt;60),GUS_tabl_2!$A$8:$B$464,GUS_tabl_21!$A$5:$B$4886),2,FALSE))),-1)))))</f>
        <v>gm. w. Strzelce Wielkie</v>
      </c>
      <c r="D818" s="141">
        <f>IF(OR($A818="",ISERROR(VALUE(LEFT($A818,6)))),"",IF(LEN($A818)=2,SUMIF($A819:$A$2965,$A818&amp;"??",$D819:$D$2965),IF(AND(LEN($A818)=4,VALUE(RIGHT($A818,2))&lt;=60),SUMIF($A819:$A$2965,$A818&amp;"????",$D819:$D$2965),VLOOKUP(IF(LEN($A818)=4,$A818&amp;"01 1",$A818),GUS_tabl_21!$A$5:$F$4886,6,FALSE))))</f>
        <v>4571</v>
      </c>
      <c r="E818" s="29"/>
    </row>
    <row r="819" spans="1:5" ht="12" customHeight="1">
      <c r="A819" s="155" t="str">
        <f>"100908 2"</f>
        <v>100908 2</v>
      </c>
      <c r="B819" s="153" t="s">
        <v>39</v>
      </c>
      <c r="C819" s="156" t="str">
        <f>IF(OR($A819="",ISERROR(VALUE(LEFT($A819,6)))),"",IF(LEN($A819)=2,"WOJ. ",IF(LEN($A819)=4,IF(VALUE(RIGHT($A819,2))&gt;60,"","Powiat "),IF(VALUE(RIGHT($A819,1))=1,"m. ",IF(VALUE(RIGHT($A819,1))=2,"gm. w. ",IF(VALUE(RIGHT($A819,1))=8,"dz. ","gm. m.-w. ")))))&amp;IF(LEN($A819)=2,TRIM(UPPER(VLOOKUP($A819,GUS_tabl_1!$A$7:$B$22,2,FALSE))),IF(ISERROR(FIND("..",TRIM(VLOOKUP(IF(AND(LEN($A819)=4,VALUE(RIGHT($A819,2))&gt;60),$A819&amp;"01 1",$A819),IF(AND(LEN($A819)=4,VALUE(RIGHT($A819,2))&lt;60),GUS_tabl_2!$A$8:$B$464,GUS_tabl_21!$A$5:$B$4886),2,FALSE)))),TRIM(VLOOKUP(IF(AND(LEN($A819)=4,VALUE(RIGHT($A819,2))&gt;60),$A819&amp;"01 1",$A819),IF(AND(LEN($A819)=4,VALUE(RIGHT($A819,2))&lt;60),GUS_tabl_2!$A$8:$B$464,GUS_tabl_21!$A$5:$B$4886),2,FALSE)),LEFT(TRIM(VLOOKUP(IF(AND(LEN($A819)=4,VALUE(RIGHT($A819,2))&gt;60),$A819&amp;"01 1",$A819),IF(AND(LEN($A819)=4,VALUE(RIGHT($A819,2))&lt;60),GUS_tabl_2!$A$8:$B$464,GUS_tabl_21!$A$5:$B$4886),2,FALSE)),SUM(FIND("..",TRIM(VLOOKUP(IF(AND(LEN($A819)=4,VALUE(RIGHT($A819,2))&gt;60),$A819&amp;"01 1",$A819),IF(AND(LEN($A819)=4,VALUE(RIGHT($A819,2))&lt;60),GUS_tabl_2!$A$8:$B$464,GUS_tabl_21!$A$5:$B$4886),2,FALSE))),-1)))))</f>
        <v>gm. w. Sulmierzyce</v>
      </c>
      <c r="D819" s="141">
        <f>IF(OR($A819="",ISERROR(VALUE(LEFT($A819,6)))),"",IF(LEN($A819)=2,SUMIF($A820:$A$2965,$A819&amp;"??",$D820:$D$2965),IF(AND(LEN($A819)=4,VALUE(RIGHT($A819,2))&lt;=60),SUMIF($A820:$A$2965,$A819&amp;"????",$D820:$D$2965),VLOOKUP(IF(LEN($A819)=4,$A819&amp;"01 1",$A819),GUS_tabl_21!$A$5:$F$4886,6,FALSE))))</f>
        <v>4444</v>
      </c>
      <c r="E819" s="29"/>
    </row>
    <row r="820" spans="1:5" ht="12" customHeight="1">
      <c r="A820" s="152" t="str">
        <f>"1010"</f>
        <v>1010</v>
      </c>
      <c r="B820" s="153" t="s">
        <v>39</v>
      </c>
      <c r="C820" s="154" t="str">
        <f>IF(OR($A820="",ISERROR(VALUE(LEFT($A820,6)))),"",IF(LEN($A820)=2,"WOJ. ",IF(LEN($A820)=4,IF(VALUE(RIGHT($A820,2))&gt;60,"","Powiat "),IF(VALUE(RIGHT($A820,1))=1,"m. ",IF(VALUE(RIGHT($A820,1))=2,"gm. w. ",IF(VALUE(RIGHT($A820,1))=8,"dz. ","gm. m.-w. ")))))&amp;IF(LEN($A820)=2,TRIM(UPPER(VLOOKUP($A820,GUS_tabl_1!$A$7:$B$22,2,FALSE))),IF(ISERROR(FIND("..",TRIM(VLOOKUP(IF(AND(LEN($A820)=4,VALUE(RIGHT($A820,2))&gt;60),$A820&amp;"01 1",$A820),IF(AND(LEN($A820)=4,VALUE(RIGHT($A820,2))&lt;60),GUS_tabl_2!$A$8:$B$464,GUS_tabl_21!$A$5:$B$4886),2,FALSE)))),TRIM(VLOOKUP(IF(AND(LEN($A820)=4,VALUE(RIGHT($A820,2))&gt;60),$A820&amp;"01 1",$A820),IF(AND(LEN($A820)=4,VALUE(RIGHT($A820,2))&lt;60),GUS_tabl_2!$A$8:$B$464,GUS_tabl_21!$A$5:$B$4886),2,FALSE)),LEFT(TRIM(VLOOKUP(IF(AND(LEN($A820)=4,VALUE(RIGHT($A820,2))&gt;60),$A820&amp;"01 1",$A820),IF(AND(LEN($A820)=4,VALUE(RIGHT($A820,2))&lt;60),GUS_tabl_2!$A$8:$B$464,GUS_tabl_21!$A$5:$B$4886),2,FALSE)),SUM(FIND("..",TRIM(VLOOKUP(IF(AND(LEN($A820)=4,VALUE(RIGHT($A820,2))&gt;60),$A820&amp;"01 1",$A820),IF(AND(LEN($A820)=4,VALUE(RIGHT($A820,2))&lt;60),GUS_tabl_2!$A$8:$B$464,GUS_tabl_21!$A$5:$B$4886),2,FALSE))),-1)))))</f>
        <v>Powiat piotrkowski</v>
      </c>
      <c r="D820" s="140">
        <f>IF(OR($A820="",ISERROR(VALUE(LEFT($A820,6)))),"",IF(LEN($A820)=2,SUMIF($A821:$A$2965,$A820&amp;"??",$D821:$D$2965),IF(AND(LEN($A820)=4,VALUE(RIGHT($A820,2))&lt;=60),SUMIF($A821:$A$2965,$A820&amp;"????",$D821:$D$2965),VLOOKUP(IF(LEN($A820)=4,$A820&amp;"01 1",$A820),GUS_tabl_21!$A$5:$F$4886,6,FALSE))))</f>
        <v>91353</v>
      </c>
      <c r="E820" s="29"/>
    </row>
    <row r="821" spans="1:5" ht="12" customHeight="1">
      <c r="A821" s="155" t="str">
        <f>"101001 2"</f>
        <v>101001 2</v>
      </c>
      <c r="B821" s="153" t="s">
        <v>39</v>
      </c>
      <c r="C821" s="156" t="str">
        <f>IF(OR($A821="",ISERROR(VALUE(LEFT($A821,6)))),"",IF(LEN($A821)=2,"WOJ. ",IF(LEN($A821)=4,IF(VALUE(RIGHT($A821,2))&gt;60,"","Powiat "),IF(VALUE(RIGHT($A821,1))=1,"m. ",IF(VALUE(RIGHT($A821,1))=2,"gm. w. ",IF(VALUE(RIGHT($A821,1))=8,"dz. ","gm. m.-w. ")))))&amp;IF(LEN($A821)=2,TRIM(UPPER(VLOOKUP($A821,GUS_tabl_1!$A$7:$B$22,2,FALSE))),IF(ISERROR(FIND("..",TRIM(VLOOKUP(IF(AND(LEN($A821)=4,VALUE(RIGHT($A821,2))&gt;60),$A821&amp;"01 1",$A821),IF(AND(LEN($A821)=4,VALUE(RIGHT($A821,2))&lt;60),GUS_tabl_2!$A$8:$B$464,GUS_tabl_21!$A$5:$B$4886),2,FALSE)))),TRIM(VLOOKUP(IF(AND(LEN($A821)=4,VALUE(RIGHT($A821,2))&gt;60),$A821&amp;"01 1",$A821),IF(AND(LEN($A821)=4,VALUE(RIGHT($A821,2))&lt;60),GUS_tabl_2!$A$8:$B$464,GUS_tabl_21!$A$5:$B$4886),2,FALSE)),LEFT(TRIM(VLOOKUP(IF(AND(LEN($A821)=4,VALUE(RIGHT($A821,2))&gt;60),$A821&amp;"01 1",$A821),IF(AND(LEN($A821)=4,VALUE(RIGHT($A821,2))&lt;60),GUS_tabl_2!$A$8:$B$464,GUS_tabl_21!$A$5:$B$4886),2,FALSE)),SUM(FIND("..",TRIM(VLOOKUP(IF(AND(LEN($A821)=4,VALUE(RIGHT($A821,2))&gt;60),$A821&amp;"01 1",$A821),IF(AND(LEN($A821)=4,VALUE(RIGHT($A821,2))&lt;60),GUS_tabl_2!$A$8:$B$464,GUS_tabl_21!$A$5:$B$4886),2,FALSE))),-1)))))</f>
        <v>gm. w. Aleksandrów</v>
      </c>
      <c r="D821" s="141">
        <f>IF(OR($A821="",ISERROR(VALUE(LEFT($A821,6)))),"",IF(LEN($A821)=2,SUMIF($A822:$A$2965,$A821&amp;"??",$D822:$D$2965),IF(AND(LEN($A821)=4,VALUE(RIGHT($A821,2))&lt;=60),SUMIF($A822:$A$2965,$A821&amp;"????",$D822:$D$2965),VLOOKUP(IF(LEN($A821)=4,$A821&amp;"01 1",$A821),GUS_tabl_21!$A$5:$F$4886,6,FALSE))))</f>
        <v>4326</v>
      </c>
      <c r="E821" s="29"/>
    </row>
    <row r="822" spans="1:5" ht="12" customHeight="1">
      <c r="A822" s="155" t="str">
        <f>"101002 2"</f>
        <v>101002 2</v>
      </c>
      <c r="B822" s="153" t="s">
        <v>39</v>
      </c>
      <c r="C822" s="156" t="str">
        <f>IF(OR($A822="",ISERROR(VALUE(LEFT($A822,6)))),"",IF(LEN($A822)=2,"WOJ. ",IF(LEN($A822)=4,IF(VALUE(RIGHT($A822,2))&gt;60,"","Powiat "),IF(VALUE(RIGHT($A822,1))=1,"m. ",IF(VALUE(RIGHT($A822,1))=2,"gm. w. ",IF(VALUE(RIGHT($A822,1))=8,"dz. ","gm. m.-w. ")))))&amp;IF(LEN($A822)=2,TRIM(UPPER(VLOOKUP($A822,GUS_tabl_1!$A$7:$B$22,2,FALSE))),IF(ISERROR(FIND("..",TRIM(VLOOKUP(IF(AND(LEN($A822)=4,VALUE(RIGHT($A822,2))&gt;60),$A822&amp;"01 1",$A822),IF(AND(LEN($A822)=4,VALUE(RIGHT($A822,2))&lt;60),GUS_tabl_2!$A$8:$B$464,GUS_tabl_21!$A$5:$B$4886),2,FALSE)))),TRIM(VLOOKUP(IF(AND(LEN($A822)=4,VALUE(RIGHT($A822,2))&gt;60),$A822&amp;"01 1",$A822),IF(AND(LEN($A822)=4,VALUE(RIGHT($A822,2))&lt;60),GUS_tabl_2!$A$8:$B$464,GUS_tabl_21!$A$5:$B$4886),2,FALSE)),LEFT(TRIM(VLOOKUP(IF(AND(LEN($A822)=4,VALUE(RIGHT($A822,2))&gt;60),$A822&amp;"01 1",$A822),IF(AND(LEN($A822)=4,VALUE(RIGHT($A822,2))&lt;60),GUS_tabl_2!$A$8:$B$464,GUS_tabl_21!$A$5:$B$4886),2,FALSE)),SUM(FIND("..",TRIM(VLOOKUP(IF(AND(LEN($A822)=4,VALUE(RIGHT($A822,2))&gt;60),$A822&amp;"01 1",$A822),IF(AND(LEN($A822)=4,VALUE(RIGHT($A822,2))&lt;60),GUS_tabl_2!$A$8:$B$464,GUS_tabl_21!$A$5:$B$4886),2,FALSE))),-1)))))</f>
        <v>gm. w. Czarnocin</v>
      </c>
      <c r="D822" s="141">
        <f>IF(OR($A822="",ISERROR(VALUE(LEFT($A822,6)))),"",IF(LEN($A822)=2,SUMIF($A823:$A$2965,$A822&amp;"??",$D823:$D$2965),IF(AND(LEN($A822)=4,VALUE(RIGHT($A822,2))&lt;=60),SUMIF($A823:$A$2965,$A822&amp;"????",$D823:$D$2965),VLOOKUP(IF(LEN($A822)=4,$A822&amp;"01 1",$A822),GUS_tabl_21!$A$5:$F$4886,6,FALSE))))</f>
        <v>4131</v>
      </c>
      <c r="E822" s="29"/>
    </row>
    <row r="823" spans="1:5" ht="12" customHeight="1">
      <c r="A823" s="155" t="str">
        <f>"101003 2"</f>
        <v>101003 2</v>
      </c>
      <c r="B823" s="153" t="s">
        <v>39</v>
      </c>
      <c r="C823" s="156" t="str">
        <f>IF(OR($A823="",ISERROR(VALUE(LEFT($A823,6)))),"",IF(LEN($A823)=2,"WOJ. ",IF(LEN($A823)=4,IF(VALUE(RIGHT($A823,2))&gt;60,"","Powiat "),IF(VALUE(RIGHT($A823,1))=1,"m. ",IF(VALUE(RIGHT($A823,1))=2,"gm. w. ",IF(VALUE(RIGHT($A823,1))=8,"dz. ","gm. m.-w. ")))))&amp;IF(LEN($A823)=2,TRIM(UPPER(VLOOKUP($A823,GUS_tabl_1!$A$7:$B$22,2,FALSE))),IF(ISERROR(FIND("..",TRIM(VLOOKUP(IF(AND(LEN($A823)=4,VALUE(RIGHT($A823,2))&gt;60),$A823&amp;"01 1",$A823),IF(AND(LEN($A823)=4,VALUE(RIGHT($A823,2))&lt;60),GUS_tabl_2!$A$8:$B$464,GUS_tabl_21!$A$5:$B$4886),2,FALSE)))),TRIM(VLOOKUP(IF(AND(LEN($A823)=4,VALUE(RIGHT($A823,2))&gt;60),$A823&amp;"01 1",$A823),IF(AND(LEN($A823)=4,VALUE(RIGHT($A823,2))&lt;60),GUS_tabl_2!$A$8:$B$464,GUS_tabl_21!$A$5:$B$4886),2,FALSE)),LEFT(TRIM(VLOOKUP(IF(AND(LEN($A823)=4,VALUE(RIGHT($A823,2))&gt;60),$A823&amp;"01 1",$A823),IF(AND(LEN($A823)=4,VALUE(RIGHT($A823,2))&lt;60),GUS_tabl_2!$A$8:$B$464,GUS_tabl_21!$A$5:$B$4886),2,FALSE)),SUM(FIND("..",TRIM(VLOOKUP(IF(AND(LEN($A823)=4,VALUE(RIGHT($A823,2))&gt;60),$A823&amp;"01 1",$A823),IF(AND(LEN($A823)=4,VALUE(RIGHT($A823,2))&lt;60),GUS_tabl_2!$A$8:$B$464,GUS_tabl_21!$A$5:$B$4886),2,FALSE))),-1)))))</f>
        <v>gm. w. Gorzkowice</v>
      </c>
      <c r="D823" s="141">
        <f>IF(OR($A823="",ISERROR(VALUE(LEFT($A823,6)))),"",IF(LEN($A823)=2,SUMIF($A824:$A$2965,$A823&amp;"??",$D824:$D$2965),IF(AND(LEN($A823)=4,VALUE(RIGHT($A823,2))&lt;=60),SUMIF($A824:$A$2965,$A823&amp;"????",$D824:$D$2965),VLOOKUP(IF(LEN($A823)=4,$A823&amp;"01 1",$A823),GUS_tabl_21!$A$5:$F$4886,6,FALSE))))</f>
        <v>8506</v>
      </c>
      <c r="E823" s="29"/>
    </row>
    <row r="824" spans="1:5" ht="12" customHeight="1">
      <c r="A824" s="155" t="str">
        <f>"101004 2"</f>
        <v>101004 2</v>
      </c>
      <c r="B824" s="153" t="s">
        <v>39</v>
      </c>
      <c r="C824" s="156" t="str">
        <f>IF(OR($A824="",ISERROR(VALUE(LEFT($A824,6)))),"",IF(LEN($A824)=2,"WOJ. ",IF(LEN($A824)=4,IF(VALUE(RIGHT($A824,2))&gt;60,"","Powiat "),IF(VALUE(RIGHT($A824,1))=1,"m. ",IF(VALUE(RIGHT($A824,1))=2,"gm. w. ",IF(VALUE(RIGHT($A824,1))=8,"dz. ","gm. m.-w. ")))))&amp;IF(LEN($A824)=2,TRIM(UPPER(VLOOKUP($A824,GUS_tabl_1!$A$7:$B$22,2,FALSE))),IF(ISERROR(FIND("..",TRIM(VLOOKUP(IF(AND(LEN($A824)=4,VALUE(RIGHT($A824,2))&gt;60),$A824&amp;"01 1",$A824),IF(AND(LEN($A824)=4,VALUE(RIGHT($A824,2))&lt;60),GUS_tabl_2!$A$8:$B$464,GUS_tabl_21!$A$5:$B$4886),2,FALSE)))),TRIM(VLOOKUP(IF(AND(LEN($A824)=4,VALUE(RIGHT($A824,2))&gt;60),$A824&amp;"01 1",$A824),IF(AND(LEN($A824)=4,VALUE(RIGHT($A824,2))&lt;60),GUS_tabl_2!$A$8:$B$464,GUS_tabl_21!$A$5:$B$4886),2,FALSE)),LEFT(TRIM(VLOOKUP(IF(AND(LEN($A824)=4,VALUE(RIGHT($A824,2))&gt;60),$A824&amp;"01 1",$A824),IF(AND(LEN($A824)=4,VALUE(RIGHT($A824,2))&lt;60),GUS_tabl_2!$A$8:$B$464,GUS_tabl_21!$A$5:$B$4886),2,FALSE)),SUM(FIND("..",TRIM(VLOOKUP(IF(AND(LEN($A824)=4,VALUE(RIGHT($A824,2))&gt;60),$A824&amp;"01 1",$A824),IF(AND(LEN($A824)=4,VALUE(RIGHT($A824,2))&lt;60),GUS_tabl_2!$A$8:$B$464,GUS_tabl_21!$A$5:$B$4886),2,FALSE))),-1)))))</f>
        <v>gm. w. Grabica</v>
      </c>
      <c r="D824" s="141">
        <f>IF(OR($A824="",ISERROR(VALUE(LEFT($A824,6)))),"",IF(LEN($A824)=2,SUMIF($A825:$A$2965,$A824&amp;"??",$D825:$D$2965),IF(AND(LEN($A824)=4,VALUE(RIGHT($A824,2))&lt;=60),SUMIF($A825:$A$2965,$A824&amp;"????",$D825:$D$2965),VLOOKUP(IF(LEN($A824)=4,$A824&amp;"01 1",$A824),GUS_tabl_21!$A$5:$F$4886,6,FALSE))))</f>
        <v>6053</v>
      </c>
      <c r="E824" s="29"/>
    </row>
    <row r="825" spans="1:5" ht="12" customHeight="1">
      <c r="A825" s="155" t="str">
        <f>"101005 2"</f>
        <v>101005 2</v>
      </c>
      <c r="B825" s="153" t="s">
        <v>39</v>
      </c>
      <c r="C825" s="156" t="str">
        <f>IF(OR($A825="",ISERROR(VALUE(LEFT($A825,6)))),"",IF(LEN($A825)=2,"WOJ. ",IF(LEN($A825)=4,IF(VALUE(RIGHT($A825,2))&gt;60,"","Powiat "),IF(VALUE(RIGHT($A825,1))=1,"m. ",IF(VALUE(RIGHT($A825,1))=2,"gm. w. ",IF(VALUE(RIGHT($A825,1))=8,"dz. ","gm. m.-w. ")))))&amp;IF(LEN($A825)=2,TRIM(UPPER(VLOOKUP($A825,GUS_tabl_1!$A$7:$B$22,2,FALSE))),IF(ISERROR(FIND("..",TRIM(VLOOKUP(IF(AND(LEN($A825)=4,VALUE(RIGHT($A825,2))&gt;60),$A825&amp;"01 1",$A825),IF(AND(LEN($A825)=4,VALUE(RIGHT($A825,2))&lt;60),GUS_tabl_2!$A$8:$B$464,GUS_tabl_21!$A$5:$B$4886),2,FALSE)))),TRIM(VLOOKUP(IF(AND(LEN($A825)=4,VALUE(RIGHT($A825,2))&gt;60),$A825&amp;"01 1",$A825),IF(AND(LEN($A825)=4,VALUE(RIGHT($A825,2))&lt;60),GUS_tabl_2!$A$8:$B$464,GUS_tabl_21!$A$5:$B$4886),2,FALSE)),LEFT(TRIM(VLOOKUP(IF(AND(LEN($A825)=4,VALUE(RIGHT($A825,2))&gt;60),$A825&amp;"01 1",$A825),IF(AND(LEN($A825)=4,VALUE(RIGHT($A825,2))&lt;60),GUS_tabl_2!$A$8:$B$464,GUS_tabl_21!$A$5:$B$4886),2,FALSE)),SUM(FIND("..",TRIM(VLOOKUP(IF(AND(LEN($A825)=4,VALUE(RIGHT($A825,2))&gt;60),$A825&amp;"01 1",$A825),IF(AND(LEN($A825)=4,VALUE(RIGHT($A825,2))&lt;60),GUS_tabl_2!$A$8:$B$464,GUS_tabl_21!$A$5:$B$4886),2,FALSE))),-1)))))</f>
        <v>gm. w. Łęki Szlacheckie</v>
      </c>
      <c r="D825" s="141">
        <f>IF(OR($A825="",ISERROR(VALUE(LEFT($A825,6)))),"",IF(LEN($A825)=2,SUMIF($A826:$A$2965,$A825&amp;"??",$D826:$D$2965),IF(AND(LEN($A825)=4,VALUE(RIGHT($A825,2))&lt;=60),SUMIF($A826:$A$2965,$A825&amp;"????",$D826:$D$2965),VLOOKUP(IF(LEN($A825)=4,$A825&amp;"01 1",$A825),GUS_tabl_21!$A$5:$F$4886,6,FALSE))))</f>
        <v>3452</v>
      </c>
      <c r="E825" s="29"/>
    </row>
    <row r="826" spans="1:5" ht="12" customHeight="1">
      <c r="A826" s="155" t="str">
        <f>"101006 2"</f>
        <v>101006 2</v>
      </c>
      <c r="B826" s="153" t="s">
        <v>39</v>
      </c>
      <c r="C826" s="156" t="str">
        <f>IF(OR($A826="",ISERROR(VALUE(LEFT($A826,6)))),"",IF(LEN($A826)=2,"WOJ. ",IF(LEN($A826)=4,IF(VALUE(RIGHT($A826,2))&gt;60,"","Powiat "),IF(VALUE(RIGHT($A826,1))=1,"m. ",IF(VALUE(RIGHT($A826,1))=2,"gm. w. ",IF(VALUE(RIGHT($A826,1))=8,"dz. ","gm. m.-w. ")))))&amp;IF(LEN($A826)=2,TRIM(UPPER(VLOOKUP($A826,GUS_tabl_1!$A$7:$B$22,2,FALSE))),IF(ISERROR(FIND("..",TRIM(VLOOKUP(IF(AND(LEN($A826)=4,VALUE(RIGHT($A826,2))&gt;60),$A826&amp;"01 1",$A826),IF(AND(LEN($A826)=4,VALUE(RIGHT($A826,2))&lt;60),GUS_tabl_2!$A$8:$B$464,GUS_tabl_21!$A$5:$B$4886),2,FALSE)))),TRIM(VLOOKUP(IF(AND(LEN($A826)=4,VALUE(RIGHT($A826,2))&gt;60),$A826&amp;"01 1",$A826),IF(AND(LEN($A826)=4,VALUE(RIGHT($A826,2))&lt;60),GUS_tabl_2!$A$8:$B$464,GUS_tabl_21!$A$5:$B$4886),2,FALSE)),LEFT(TRIM(VLOOKUP(IF(AND(LEN($A826)=4,VALUE(RIGHT($A826,2))&gt;60),$A826&amp;"01 1",$A826),IF(AND(LEN($A826)=4,VALUE(RIGHT($A826,2))&lt;60),GUS_tabl_2!$A$8:$B$464,GUS_tabl_21!$A$5:$B$4886),2,FALSE)),SUM(FIND("..",TRIM(VLOOKUP(IF(AND(LEN($A826)=4,VALUE(RIGHT($A826,2))&gt;60),$A826&amp;"01 1",$A826),IF(AND(LEN($A826)=4,VALUE(RIGHT($A826,2))&lt;60),GUS_tabl_2!$A$8:$B$464,GUS_tabl_21!$A$5:$B$4886),2,FALSE))),-1)))))</f>
        <v>gm. w. Moszczenica</v>
      </c>
      <c r="D826" s="141">
        <f>IF(OR($A826="",ISERROR(VALUE(LEFT($A826,6)))),"",IF(LEN($A826)=2,SUMIF($A827:$A$2965,$A826&amp;"??",$D827:$D$2965),IF(AND(LEN($A826)=4,VALUE(RIGHT($A826,2))&lt;=60),SUMIF($A827:$A$2965,$A826&amp;"????",$D827:$D$2965),VLOOKUP(IF(LEN($A826)=4,$A826&amp;"01 1",$A826),GUS_tabl_21!$A$5:$F$4886,6,FALSE))))</f>
        <v>12930</v>
      </c>
      <c r="E826" s="29"/>
    </row>
    <row r="827" spans="1:5" ht="12" customHeight="1">
      <c r="A827" s="155" t="str">
        <f>"101007 2"</f>
        <v>101007 2</v>
      </c>
      <c r="B827" s="153" t="s">
        <v>39</v>
      </c>
      <c r="C827" s="156" t="str">
        <f>IF(OR($A827="",ISERROR(VALUE(LEFT($A827,6)))),"",IF(LEN($A827)=2,"WOJ. ",IF(LEN($A827)=4,IF(VALUE(RIGHT($A827,2))&gt;60,"","Powiat "),IF(VALUE(RIGHT($A827,1))=1,"m. ",IF(VALUE(RIGHT($A827,1))=2,"gm. w. ",IF(VALUE(RIGHT($A827,1))=8,"dz. ","gm. m.-w. ")))))&amp;IF(LEN($A827)=2,TRIM(UPPER(VLOOKUP($A827,GUS_tabl_1!$A$7:$B$22,2,FALSE))),IF(ISERROR(FIND("..",TRIM(VLOOKUP(IF(AND(LEN($A827)=4,VALUE(RIGHT($A827,2))&gt;60),$A827&amp;"01 1",$A827),IF(AND(LEN($A827)=4,VALUE(RIGHT($A827,2))&lt;60),GUS_tabl_2!$A$8:$B$464,GUS_tabl_21!$A$5:$B$4886),2,FALSE)))),TRIM(VLOOKUP(IF(AND(LEN($A827)=4,VALUE(RIGHT($A827,2))&gt;60),$A827&amp;"01 1",$A827),IF(AND(LEN($A827)=4,VALUE(RIGHT($A827,2))&lt;60),GUS_tabl_2!$A$8:$B$464,GUS_tabl_21!$A$5:$B$4886),2,FALSE)),LEFT(TRIM(VLOOKUP(IF(AND(LEN($A827)=4,VALUE(RIGHT($A827,2))&gt;60),$A827&amp;"01 1",$A827),IF(AND(LEN($A827)=4,VALUE(RIGHT($A827,2))&lt;60),GUS_tabl_2!$A$8:$B$464,GUS_tabl_21!$A$5:$B$4886),2,FALSE)),SUM(FIND("..",TRIM(VLOOKUP(IF(AND(LEN($A827)=4,VALUE(RIGHT($A827,2))&gt;60),$A827&amp;"01 1",$A827),IF(AND(LEN($A827)=4,VALUE(RIGHT($A827,2))&lt;60),GUS_tabl_2!$A$8:$B$464,GUS_tabl_21!$A$5:$B$4886),2,FALSE))),-1)))))</f>
        <v>gm. w. Ręczno</v>
      </c>
      <c r="D827" s="141">
        <f>IF(OR($A827="",ISERROR(VALUE(LEFT($A827,6)))),"",IF(LEN($A827)=2,SUMIF($A828:$A$2965,$A827&amp;"??",$D828:$D$2965),IF(AND(LEN($A827)=4,VALUE(RIGHT($A827,2))&lt;=60),SUMIF($A828:$A$2965,$A827&amp;"????",$D828:$D$2965),VLOOKUP(IF(LEN($A827)=4,$A827&amp;"01 1",$A827),GUS_tabl_21!$A$5:$F$4886,6,FALSE))))</f>
        <v>3523</v>
      </c>
      <c r="E827" s="29"/>
    </row>
    <row r="828" spans="1:5" ht="12" customHeight="1">
      <c r="A828" s="155" t="str">
        <f>"101008 2"</f>
        <v>101008 2</v>
      </c>
      <c r="B828" s="153" t="s">
        <v>39</v>
      </c>
      <c r="C828" s="156" t="str">
        <f>IF(OR($A828="",ISERROR(VALUE(LEFT($A828,6)))),"",IF(LEN($A828)=2,"WOJ. ",IF(LEN($A828)=4,IF(VALUE(RIGHT($A828,2))&gt;60,"","Powiat "),IF(VALUE(RIGHT($A828,1))=1,"m. ",IF(VALUE(RIGHT($A828,1))=2,"gm. w. ",IF(VALUE(RIGHT($A828,1))=8,"dz. ","gm. m.-w. ")))))&amp;IF(LEN($A828)=2,TRIM(UPPER(VLOOKUP($A828,GUS_tabl_1!$A$7:$B$22,2,FALSE))),IF(ISERROR(FIND("..",TRIM(VLOOKUP(IF(AND(LEN($A828)=4,VALUE(RIGHT($A828,2))&gt;60),$A828&amp;"01 1",$A828),IF(AND(LEN($A828)=4,VALUE(RIGHT($A828,2))&lt;60),GUS_tabl_2!$A$8:$B$464,GUS_tabl_21!$A$5:$B$4886),2,FALSE)))),TRIM(VLOOKUP(IF(AND(LEN($A828)=4,VALUE(RIGHT($A828,2))&gt;60),$A828&amp;"01 1",$A828),IF(AND(LEN($A828)=4,VALUE(RIGHT($A828,2))&lt;60),GUS_tabl_2!$A$8:$B$464,GUS_tabl_21!$A$5:$B$4886),2,FALSE)),LEFT(TRIM(VLOOKUP(IF(AND(LEN($A828)=4,VALUE(RIGHT($A828,2))&gt;60),$A828&amp;"01 1",$A828),IF(AND(LEN($A828)=4,VALUE(RIGHT($A828,2))&lt;60),GUS_tabl_2!$A$8:$B$464,GUS_tabl_21!$A$5:$B$4886),2,FALSE)),SUM(FIND("..",TRIM(VLOOKUP(IF(AND(LEN($A828)=4,VALUE(RIGHT($A828,2))&gt;60),$A828&amp;"01 1",$A828),IF(AND(LEN($A828)=4,VALUE(RIGHT($A828,2))&lt;60),GUS_tabl_2!$A$8:$B$464,GUS_tabl_21!$A$5:$B$4886),2,FALSE))),-1)))))</f>
        <v>gm. w. Rozprza</v>
      </c>
      <c r="D828" s="141">
        <f>IF(OR($A828="",ISERROR(VALUE(LEFT($A828,6)))),"",IF(LEN($A828)=2,SUMIF($A829:$A$2965,$A828&amp;"??",$D829:$D$2965),IF(AND(LEN($A828)=4,VALUE(RIGHT($A828,2))&lt;=60),SUMIF($A829:$A$2965,$A828&amp;"????",$D829:$D$2965),VLOOKUP(IF(LEN($A828)=4,$A828&amp;"01 1",$A828),GUS_tabl_21!$A$5:$F$4886,6,FALSE))))</f>
        <v>12297</v>
      </c>
      <c r="E828" s="29"/>
    </row>
    <row r="829" spans="1:5" ht="12" customHeight="1">
      <c r="A829" s="155" t="str">
        <f>"101009 3"</f>
        <v>101009 3</v>
      </c>
      <c r="B829" s="153" t="s">
        <v>39</v>
      </c>
      <c r="C829" s="156" t="str">
        <f>IF(OR($A829="",ISERROR(VALUE(LEFT($A829,6)))),"",IF(LEN($A829)=2,"WOJ. ",IF(LEN($A829)=4,IF(VALUE(RIGHT($A829,2))&gt;60,"","Powiat "),IF(VALUE(RIGHT($A829,1))=1,"m. ",IF(VALUE(RIGHT($A829,1))=2,"gm. w. ",IF(VALUE(RIGHT($A829,1))=8,"dz. ","gm. m.-w. ")))))&amp;IF(LEN($A829)=2,TRIM(UPPER(VLOOKUP($A829,GUS_tabl_1!$A$7:$B$22,2,FALSE))),IF(ISERROR(FIND("..",TRIM(VLOOKUP(IF(AND(LEN($A829)=4,VALUE(RIGHT($A829,2))&gt;60),$A829&amp;"01 1",$A829),IF(AND(LEN($A829)=4,VALUE(RIGHT($A829,2))&lt;60),GUS_tabl_2!$A$8:$B$464,GUS_tabl_21!$A$5:$B$4886),2,FALSE)))),TRIM(VLOOKUP(IF(AND(LEN($A829)=4,VALUE(RIGHT($A829,2))&gt;60),$A829&amp;"01 1",$A829),IF(AND(LEN($A829)=4,VALUE(RIGHT($A829,2))&lt;60),GUS_tabl_2!$A$8:$B$464,GUS_tabl_21!$A$5:$B$4886),2,FALSE)),LEFT(TRIM(VLOOKUP(IF(AND(LEN($A829)=4,VALUE(RIGHT($A829,2))&gt;60),$A829&amp;"01 1",$A829),IF(AND(LEN($A829)=4,VALUE(RIGHT($A829,2))&lt;60),GUS_tabl_2!$A$8:$B$464,GUS_tabl_21!$A$5:$B$4886),2,FALSE)),SUM(FIND("..",TRIM(VLOOKUP(IF(AND(LEN($A829)=4,VALUE(RIGHT($A829,2))&gt;60),$A829&amp;"01 1",$A829),IF(AND(LEN($A829)=4,VALUE(RIGHT($A829,2))&lt;60),GUS_tabl_2!$A$8:$B$464,GUS_tabl_21!$A$5:$B$4886),2,FALSE))),-1)))))</f>
        <v>gm. m.-w. Sulejów</v>
      </c>
      <c r="D829" s="141">
        <f>IF(OR($A829="",ISERROR(VALUE(LEFT($A829,6)))),"",IF(LEN($A829)=2,SUMIF($A830:$A$2965,$A829&amp;"??",$D830:$D$2965),IF(AND(LEN($A829)=4,VALUE(RIGHT($A829,2))&lt;=60),SUMIF($A830:$A$2965,$A829&amp;"????",$D830:$D$2965),VLOOKUP(IF(LEN($A829)=4,$A829&amp;"01 1",$A829),GUS_tabl_21!$A$5:$F$4886,6,FALSE))))</f>
        <v>16329</v>
      </c>
      <c r="E829" s="29"/>
    </row>
    <row r="830" spans="1:5" ht="12" customHeight="1">
      <c r="A830" s="155" t="str">
        <f>"101010 2"</f>
        <v>101010 2</v>
      </c>
      <c r="B830" s="153" t="s">
        <v>39</v>
      </c>
      <c r="C830" s="156" t="str">
        <f>IF(OR($A830="",ISERROR(VALUE(LEFT($A830,6)))),"",IF(LEN($A830)=2,"WOJ. ",IF(LEN($A830)=4,IF(VALUE(RIGHT($A830,2))&gt;60,"","Powiat "),IF(VALUE(RIGHT($A830,1))=1,"m. ",IF(VALUE(RIGHT($A830,1))=2,"gm. w. ",IF(VALUE(RIGHT($A830,1))=8,"dz. ","gm. m.-w. ")))))&amp;IF(LEN($A830)=2,TRIM(UPPER(VLOOKUP($A830,GUS_tabl_1!$A$7:$B$22,2,FALSE))),IF(ISERROR(FIND("..",TRIM(VLOOKUP(IF(AND(LEN($A830)=4,VALUE(RIGHT($A830,2))&gt;60),$A830&amp;"01 1",$A830),IF(AND(LEN($A830)=4,VALUE(RIGHT($A830,2))&lt;60),GUS_tabl_2!$A$8:$B$464,GUS_tabl_21!$A$5:$B$4886),2,FALSE)))),TRIM(VLOOKUP(IF(AND(LEN($A830)=4,VALUE(RIGHT($A830,2))&gt;60),$A830&amp;"01 1",$A830),IF(AND(LEN($A830)=4,VALUE(RIGHT($A830,2))&lt;60),GUS_tabl_2!$A$8:$B$464,GUS_tabl_21!$A$5:$B$4886),2,FALSE)),LEFT(TRIM(VLOOKUP(IF(AND(LEN($A830)=4,VALUE(RIGHT($A830,2))&gt;60),$A830&amp;"01 1",$A830),IF(AND(LEN($A830)=4,VALUE(RIGHT($A830,2))&lt;60),GUS_tabl_2!$A$8:$B$464,GUS_tabl_21!$A$5:$B$4886),2,FALSE)),SUM(FIND("..",TRIM(VLOOKUP(IF(AND(LEN($A830)=4,VALUE(RIGHT($A830,2))&gt;60),$A830&amp;"01 1",$A830),IF(AND(LEN($A830)=4,VALUE(RIGHT($A830,2))&lt;60),GUS_tabl_2!$A$8:$B$464,GUS_tabl_21!$A$5:$B$4886),2,FALSE))),-1)))))</f>
        <v>gm. w. Wola Krzysztoporska</v>
      </c>
      <c r="D830" s="141">
        <f>IF(OR($A830="",ISERROR(VALUE(LEFT($A830,6)))),"",IF(LEN($A830)=2,SUMIF($A831:$A$2965,$A830&amp;"??",$D831:$D$2965),IF(AND(LEN($A830)=4,VALUE(RIGHT($A830,2))&lt;=60),SUMIF($A831:$A$2965,$A830&amp;"????",$D831:$D$2965),VLOOKUP(IF(LEN($A830)=4,$A830&amp;"01 1",$A830),GUS_tabl_21!$A$5:$F$4886,6,FALSE))))</f>
        <v>11965</v>
      </c>
      <c r="E830" s="29"/>
    </row>
    <row r="831" spans="1:5" ht="12" customHeight="1">
      <c r="A831" s="155" t="str">
        <f>"101011 3"</f>
        <v>101011 3</v>
      </c>
      <c r="B831" s="153" t="s">
        <v>39</v>
      </c>
      <c r="C831" s="156" t="str">
        <f>IF(OR($A831="",ISERROR(VALUE(LEFT($A831,6)))),"",IF(LEN($A831)=2,"WOJ. ",IF(LEN($A831)=4,IF(VALUE(RIGHT($A831,2))&gt;60,"","Powiat "),IF(VALUE(RIGHT($A831,1))=1,"m. ",IF(VALUE(RIGHT($A831,1))=2,"gm. w. ",IF(VALUE(RIGHT($A831,1))=8,"dz. ","gm. m.-w. ")))))&amp;IF(LEN($A831)=2,TRIM(UPPER(VLOOKUP($A831,GUS_tabl_1!$A$7:$B$22,2,FALSE))),IF(ISERROR(FIND("..",TRIM(VLOOKUP(IF(AND(LEN($A831)=4,VALUE(RIGHT($A831,2))&gt;60),$A831&amp;"01 1",$A831),IF(AND(LEN($A831)=4,VALUE(RIGHT($A831,2))&lt;60),GUS_tabl_2!$A$8:$B$464,GUS_tabl_21!$A$5:$B$4886),2,FALSE)))),TRIM(VLOOKUP(IF(AND(LEN($A831)=4,VALUE(RIGHT($A831,2))&gt;60),$A831&amp;"01 1",$A831),IF(AND(LEN($A831)=4,VALUE(RIGHT($A831,2))&lt;60),GUS_tabl_2!$A$8:$B$464,GUS_tabl_21!$A$5:$B$4886),2,FALSE)),LEFT(TRIM(VLOOKUP(IF(AND(LEN($A831)=4,VALUE(RIGHT($A831,2))&gt;60),$A831&amp;"01 1",$A831),IF(AND(LEN($A831)=4,VALUE(RIGHT($A831,2))&lt;60),GUS_tabl_2!$A$8:$B$464,GUS_tabl_21!$A$5:$B$4886),2,FALSE)),SUM(FIND("..",TRIM(VLOOKUP(IF(AND(LEN($A831)=4,VALUE(RIGHT($A831,2))&gt;60),$A831&amp;"01 1",$A831),IF(AND(LEN($A831)=4,VALUE(RIGHT($A831,2))&lt;60),GUS_tabl_2!$A$8:$B$464,GUS_tabl_21!$A$5:$B$4886),2,FALSE))),-1)))))</f>
        <v>gm. m.-w. Wolbórz</v>
      </c>
      <c r="D831" s="141">
        <f>IF(OR($A831="",ISERROR(VALUE(LEFT($A831,6)))),"",IF(LEN($A831)=2,SUMIF($A832:$A$2965,$A831&amp;"??",$D832:$D$2965),IF(AND(LEN($A831)=4,VALUE(RIGHT($A831,2))&lt;=60),SUMIF($A832:$A$2965,$A831&amp;"????",$D832:$D$2965),VLOOKUP(IF(LEN($A831)=4,$A831&amp;"01 1",$A831),GUS_tabl_21!$A$5:$F$4886,6,FALSE))))</f>
        <v>7841</v>
      </c>
      <c r="E831" s="29"/>
    </row>
    <row r="832" spans="1:5" ht="12" customHeight="1">
      <c r="A832" s="152" t="str">
        <f>"1011"</f>
        <v>1011</v>
      </c>
      <c r="B832" s="153" t="s">
        <v>39</v>
      </c>
      <c r="C832" s="154" t="str">
        <f>IF(OR($A832="",ISERROR(VALUE(LEFT($A832,6)))),"",IF(LEN($A832)=2,"WOJ. ",IF(LEN($A832)=4,IF(VALUE(RIGHT($A832,2))&gt;60,"","Powiat "),IF(VALUE(RIGHT($A832,1))=1,"m. ",IF(VALUE(RIGHT($A832,1))=2,"gm. w. ",IF(VALUE(RIGHT($A832,1))=8,"dz. ","gm. m.-w. ")))))&amp;IF(LEN($A832)=2,TRIM(UPPER(VLOOKUP($A832,GUS_tabl_1!$A$7:$B$22,2,FALSE))),IF(ISERROR(FIND("..",TRIM(VLOOKUP(IF(AND(LEN($A832)=4,VALUE(RIGHT($A832,2))&gt;60),$A832&amp;"01 1",$A832),IF(AND(LEN($A832)=4,VALUE(RIGHT($A832,2))&lt;60),GUS_tabl_2!$A$8:$B$464,GUS_tabl_21!$A$5:$B$4886),2,FALSE)))),TRIM(VLOOKUP(IF(AND(LEN($A832)=4,VALUE(RIGHT($A832,2))&gt;60),$A832&amp;"01 1",$A832),IF(AND(LEN($A832)=4,VALUE(RIGHT($A832,2))&lt;60),GUS_tabl_2!$A$8:$B$464,GUS_tabl_21!$A$5:$B$4886),2,FALSE)),LEFT(TRIM(VLOOKUP(IF(AND(LEN($A832)=4,VALUE(RIGHT($A832,2))&gt;60),$A832&amp;"01 1",$A832),IF(AND(LEN($A832)=4,VALUE(RIGHT($A832,2))&lt;60),GUS_tabl_2!$A$8:$B$464,GUS_tabl_21!$A$5:$B$4886),2,FALSE)),SUM(FIND("..",TRIM(VLOOKUP(IF(AND(LEN($A832)=4,VALUE(RIGHT($A832,2))&gt;60),$A832&amp;"01 1",$A832),IF(AND(LEN($A832)=4,VALUE(RIGHT($A832,2))&lt;60),GUS_tabl_2!$A$8:$B$464,GUS_tabl_21!$A$5:$B$4886),2,FALSE))),-1)))))</f>
        <v>Powiat poddębicki</v>
      </c>
      <c r="D832" s="140">
        <f>IF(OR($A832="",ISERROR(VALUE(LEFT($A832,6)))),"",IF(LEN($A832)=2,SUMIF($A833:$A$2965,$A832&amp;"??",$D833:$D$2965),IF(AND(LEN($A832)=4,VALUE(RIGHT($A832,2))&lt;=60),SUMIF($A833:$A$2965,$A832&amp;"????",$D833:$D$2965),VLOOKUP(IF(LEN($A832)=4,$A832&amp;"01 1",$A832),GUS_tabl_21!$A$5:$F$4886,6,FALSE))))</f>
        <v>41108</v>
      </c>
      <c r="E832" s="29"/>
    </row>
    <row r="833" spans="1:5" ht="12" customHeight="1">
      <c r="A833" s="155" t="str">
        <f>"101101 2"</f>
        <v>101101 2</v>
      </c>
      <c r="B833" s="153" t="s">
        <v>39</v>
      </c>
      <c r="C833" s="156" t="str">
        <f>IF(OR($A833="",ISERROR(VALUE(LEFT($A833,6)))),"",IF(LEN($A833)=2,"WOJ. ",IF(LEN($A833)=4,IF(VALUE(RIGHT($A833,2))&gt;60,"","Powiat "),IF(VALUE(RIGHT($A833,1))=1,"m. ",IF(VALUE(RIGHT($A833,1))=2,"gm. w. ",IF(VALUE(RIGHT($A833,1))=8,"dz. ","gm. m.-w. ")))))&amp;IF(LEN($A833)=2,TRIM(UPPER(VLOOKUP($A833,GUS_tabl_1!$A$7:$B$22,2,FALSE))),IF(ISERROR(FIND("..",TRIM(VLOOKUP(IF(AND(LEN($A833)=4,VALUE(RIGHT($A833,2))&gt;60),$A833&amp;"01 1",$A833),IF(AND(LEN($A833)=4,VALUE(RIGHT($A833,2))&lt;60),GUS_tabl_2!$A$8:$B$464,GUS_tabl_21!$A$5:$B$4886),2,FALSE)))),TRIM(VLOOKUP(IF(AND(LEN($A833)=4,VALUE(RIGHT($A833,2))&gt;60),$A833&amp;"01 1",$A833),IF(AND(LEN($A833)=4,VALUE(RIGHT($A833,2))&lt;60),GUS_tabl_2!$A$8:$B$464,GUS_tabl_21!$A$5:$B$4886),2,FALSE)),LEFT(TRIM(VLOOKUP(IF(AND(LEN($A833)=4,VALUE(RIGHT($A833,2))&gt;60),$A833&amp;"01 1",$A833),IF(AND(LEN($A833)=4,VALUE(RIGHT($A833,2))&lt;60),GUS_tabl_2!$A$8:$B$464,GUS_tabl_21!$A$5:$B$4886),2,FALSE)),SUM(FIND("..",TRIM(VLOOKUP(IF(AND(LEN($A833)=4,VALUE(RIGHT($A833,2))&gt;60),$A833&amp;"01 1",$A833),IF(AND(LEN($A833)=4,VALUE(RIGHT($A833,2))&lt;60),GUS_tabl_2!$A$8:$B$464,GUS_tabl_21!$A$5:$B$4886),2,FALSE))),-1)))))</f>
        <v>gm. w. Dalików</v>
      </c>
      <c r="D833" s="141">
        <f>IF(OR($A833="",ISERROR(VALUE(LEFT($A833,6)))),"",IF(LEN($A833)=2,SUMIF($A834:$A$2965,$A833&amp;"??",$D834:$D$2965),IF(AND(LEN($A833)=4,VALUE(RIGHT($A833,2))&lt;=60),SUMIF($A834:$A$2965,$A833&amp;"????",$D834:$D$2965),VLOOKUP(IF(LEN($A833)=4,$A833&amp;"01 1",$A833),GUS_tabl_21!$A$5:$F$4886,6,FALSE))))</f>
        <v>3920</v>
      </c>
      <c r="E833" s="29"/>
    </row>
    <row r="834" spans="1:5" ht="12" customHeight="1">
      <c r="A834" s="155" t="str">
        <f>"101102 2"</f>
        <v>101102 2</v>
      </c>
      <c r="B834" s="153" t="s">
        <v>39</v>
      </c>
      <c r="C834" s="156" t="str">
        <f>IF(OR($A834="",ISERROR(VALUE(LEFT($A834,6)))),"",IF(LEN($A834)=2,"WOJ. ",IF(LEN($A834)=4,IF(VALUE(RIGHT($A834,2))&gt;60,"","Powiat "),IF(VALUE(RIGHT($A834,1))=1,"m. ",IF(VALUE(RIGHT($A834,1))=2,"gm. w. ",IF(VALUE(RIGHT($A834,1))=8,"dz. ","gm. m.-w. ")))))&amp;IF(LEN($A834)=2,TRIM(UPPER(VLOOKUP($A834,GUS_tabl_1!$A$7:$B$22,2,FALSE))),IF(ISERROR(FIND("..",TRIM(VLOOKUP(IF(AND(LEN($A834)=4,VALUE(RIGHT($A834,2))&gt;60),$A834&amp;"01 1",$A834),IF(AND(LEN($A834)=4,VALUE(RIGHT($A834,2))&lt;60),GUS_tabl_2!$A$8:$B$464,GUS_tabl_21!$A$5:$B$4886),2,FALSE)))),TRIM(VLOOKUP(IF(AND(LEN($A834)=4,VALUE(RIGHT($A834,2))&gt;60),$A834&amp;"01 1",$A834),IF(AND(LEN($A834)=4,VALUE(RIGHT($A834,2))&lt;60),GUS_tabl_2!$A$8:$B$464,GUS_tabl_21!$A$5:$B$4886),2,FALSE)),LEFT(TRIM(VLOOKUP(IF(AND(LEN($A834)=4,VALUE(RIGHT($A834,2))&gt;60),$A834&amp;"01 1",$A834),IF(AND(LEN($A834)=4,VALUE(RIGHT($A834,2))&lt;60),GUS_tabl_2!$A$8:$B$464,GUS_tabl_21!$A$5:$B$4886),2,FALSE)),SUM(FIND("..",TRIM(VLOOKUP(IF(AND(LEN($A834)=4,VALUE(RIGHT($A834,2))&gt;60),$A834&amp;"01 1",$A834),IF(AND(LEN($A834)=4,VALUE(RIGHT($A834,2))&lt;60),GUS_tabl_2!$A$8:$B$464,GUS_tabl_21!$A$5:$B$4886),2,FALSE))),-1)))))</f>
        <v>gm. w. Pęczniew</v>
      </c>
      <c r="D834" s="141">
        <f>IF(OR($A834="",ISERROR(VALUE(LEFT($A834,6)))),"",IF(LEN($A834)=2,SUMIF($A835:$A$2965,$A834&amp;"??",$D835:$D$2965),IF(AND(LEN($A834)=4,VALUE(RIGHT($A834,2))&lt;=60),SUMIF($A835:$A$2965,$A834&amp;"????",$D835:$D$2965),VLOOKUP(IF(LEN($A834)=4,$A834&amp;"01 1",$A834),GUS_tabl_21!$A$5:$F$4886,6,FALSE))))</f>
        <v>3478</v>
      </c>
      <c r="E834" s="29"/>
    </row>
    <row r="835" spans="1:5" ht="12" customHeight="1">
      <c r="A835" s="155" t="str">
        <f>"101103 3"</f>
        <v>101103 3</v>
      </c>
      <c r="B835" s="153" t="s">
        <v>39</v>
      </c>
      <c r="C835" s="156" t="str">
        <f>IF(OR($A835="",ISERROR(VALUE(LEFT($A835,6)))),"",IF(LEN($A835)=2,"WOJ. ",IF(LEN($A835)=4,IF(VALUE(RIGHT($A835,2))&gt;60,"","Powiat "),IF(VALUE(RIGHT($A835,1))=1,"m. ",IF(VALUE(RIGHT($A835,1))=2,"gm. w. ",IF(VALUE(RIGHT($A835,1))=8,"dz. ","gm. m.-w. ")))))&amp;IF(LEN($A835)=2,TRIM(UPPER(VLOOKUP($A835,GUS_tabl_1!$A$7:$B$22,2,FALSE))),IF(ISERROR(FIND("..",TRIM(VLOOKUP(IF(AND(LEN($A835)=4,VALUE(RIGHT($A835,2))&gt;60),$A835&amp;"01 1",$A835),IF(AND(LEN($A835)=4,VALUE(RIGHT($A835,2))&lt;60),GUS_tabl_2!$A$8:$B$464,GUS_tabl_21!$A$5:$B$4886),2,FALSE)))),TRIM(VLOOKUP(IF(AND(LEN($A835)=4,VALUE(RIGHT($A835,2))&gt;60),$A835&amp;"01 1",$A835),IF(AND(LEN($A835)=4,VALUE(RIGHT($A835,2))&lt;60),GUS_tabl_2!$A$8:$B$464,GUS_tabl_21!$A$5:$B$4886),2,FALSE)),LEFT(TRIM(VLOOKUP(IF(AND(LEN($A835)=4,VALUE(RIGHT($A835,2))&gt;60),$A835&amp;"01 1",$A835),IF(AND(LEN($A835)=4,VALUE(RIGHT($A835,2))&lt;60),GUS_tabl_2!$A$8:$B$464,GUS_tabl_21!$A$5:$B$4886),2,FALSE)),SUM(FIND("..",TRIM(VLOOKUP(IF(AND(LEN($A835)=4,VALUE(RIGHT($A835,2))&gt;60),$A835&amp;"01 1",$A835),IF(AND(LEN($A835)=4,VALUE(RIGHT($A835,2))&lt;60),GUS_tabl_2!$A$8:$B$464,GUS_tabl_21!$A$5:$B$4886),2,FALSE))),-1)))))</f>
        <v>gm. m.-w. Poddębice</v>
      </c>
      <c r="D835" s="141">
        <f>IF(OR($A835="",ISERROR(VALUE(LEFT($A835,6)))),"",IF(LEN($A835)=2,SUMIF($A836:$A$2965,$A835&amp;"??",$D836:$D$2965),IF(AND(LEN($A835)=4,VALUE(RIGHT($A835,2))&lt;=60),SUMIF($A836:$A$2965,$A835&amp;"????",$D836:$D$2965),VLOOKUP(IF(LEN($A835)=4,$A835&amp;"01 1",$A835),GUS_tabl_21!$A$5:$F$4886,6,FALSE))))</f>
        <v>15505</v>
      </c>
      <c r="E835" s="29"/>
    </row>
    <row r="836" spans="1:5" ht="12" customHeight="1">
      <c r="A836" s="155" t="str">
        <f>"101104 3"</f>
        <v>101104 3</v>
      </c>
      <c r="B836" s="153" t="s">
        <v>39</v>
      </c>
      <c r="C836" s="156" t="str">
        <f>IF(OR($A836="",ISERROR(VALUE(LEFT($A836,6)))),"",IF(LEN($A836)=2,"WOJ. ",IF(LEN($A836)=4,IF(VALUE(RIGHT($A836,2))&gt;60,"","Powiat "),IF(VALUE(RIGHT($A836,1))=1,"m. ",IF(VALUE(RIGHT($A836,1))=2,"gm. w. ",IF(VALUE(RIGHT($A836,1))=8,"dz. ","gm. m.-w. ")))))&amp;IF(LEN($A836)=2,TRIM(UPPER(VLOOKUP($A836,GUS_tabl_1!$A$7:$B$22,2,FALSE))),IF(ISERROR(FIND("..",TRIM(VLOOKUP(IF(AND(LEN($A836)=4,VALUE(RIGHT($A836,2))&gt;60),$A836&amp;"01 1",$A836),IF(AND(LEN($A836)=4,VALUE(RIGHT($A836,2))&lt;60),GUS_tabl_2!$A$8:$B$464,GUS_tabl_21!$A$5:$B$4886),2,FALSE)))),TRIM(VLOOKUP(IF(AND(LEN($A836)=4,VALUE(RIGHT($A836,2))&gt;60),$A836&amp;"01 1",$A836),IF(AND(LEN($A836)=4,VALUE(RIGHT($A836,2))&lt;60),GUS_tabl_2!$A$8:$B$464,GUS_tabl_21!$A$5:$B$4886),2,FALSE)),LEFT(TRIM(VLOOKUP(IF(AND(LEN($A836)=4,VALUE(RIGHT($A836,2))&gt;60),$A836&amp;"01 1",$A836),IF(AND(LEN($A836)=4,VALUE(RIGHT($A836,2))&lt;60),GUS_tabl_2!$A$8:$B$464,GUS_tabl_21!$A$5:$B$4886),2,FALSE)),SUM(FIND("..",TRIM(VLOOKUP(IF(AND(LEN($A836)=4,VALUE(RIGHT($A836,2))&gt;60),$A836&amp;"01 1",$A836),IF(AND(LEN($A836)=4,VALUE(RIGHT($A836,2))&lt;60),GUS_tabl_2!$A$8:$B$464,GUS_tabl_21!$A$5:$B$4886),2,FALSE))),-1)))))</f>
        <v>gm. m.-w. Uniejów</v>
      </c>
      <c r="D836" s="141">
        <f>IF(OR($A836="",ISERROR(VALUE(LEFT($A836,6)))),"",IF(LEN($A836)=2,SUMIF($A837:$A$2965,$A836&amp;"??",$D837:$D$2965),IF(AND(LEN($A836)=4,VALUE(RIGHT($A836,2))&lt;=60),SUMIF($A837:$A$2965,$A836&amp;"????",$D837:$D$2965),VLOOKUP(IF(LEN($A836)=4,$A836&amp;"01 1",$A836),GUS_tabl_21!$A$5:$F$4886,6,FALSE))))</f>
        <v>7010</v>
      </c>
      <c r="E836" s="29"/>
    </row>
    <row r="837" spans="1:5" ht="12" customHeight="1">
      <c r="A837" s="155" t="str">
        <f>"101105 2"</f>
        <v>101105 2</v>
      </c>
      <c r="B837" s="153" t="s">
        <v>39</v>
      </c>
      <c r="C837" s="156" t="str">
        <f>IF(OR($A837="",ISERROR(VALUE(LEFT($A837,6)))),"",IF(LEN($A837)=2,"WOJ. ",IF(LEN($A837)=4,IF(VALUE(RIGHT($A837,2))&gt;60,"","Powiat "),IF(VALUE(RIGHT($A837,1))=1,"m. ",IF(VALUE(RIGHT($A837,1))=2,"gm. w. ",IF(VALUE(RIGHT($A837,1))=8,"dz. ","gm. m.-w. ")))))&amp;IF(LEN($A837)=2,TRIM(UPPER(VLOOKUP($A837,GUS_tabl_1!$A$7:$B$22,2,FALSE))),IF(ISERROR(FIND("..",TRIM(VLOOKUP(IF(AND(LEN($A837)=4,VALUE(RIGHT($A837,2))&gt;60),$A837&amp;"01 1",$A837),IF(AND(LEN($A837)=4,VALUE(RIGHT($A837,2))&lt;60),GUS_tabl_2!$A$8:$B$464,GUS_tabl_21!$A$5:$B$4886),2,FALSE)))),TRIM(VLOOKUP(IF(AND(LEN($A837)=4,VALUE(RIGHT($A837,2))&gt;60),$A837&amp;"01 1",$A837),IF(AND(LEN($A837)=4,VALUE(RIGHT($A837,2))&lt;60),GUS_tabl_2!$A$8:$B$464,GUS_tabl_21!$A$5:$B$4886),2,FALSE)),LEFT(TRIM(VLOOKUP(IF(AND(LEN($A837)=4,VALUE(RIGHT($A837,2))&gt;60),$A837&amp;"01 1",$A837),IF(AND(LEN($A837)=4,VALUE(RIGHT($A837,2))&lt;60),GUS_tabl_2!$A$8:$B$464,GUS_tabl_21!$A$5:$B$4886),2,FALSE)),SUM(FIND("..",TRIM(VLOOKUP(IF(AND(LEN($A837)=4,VALUE(RIGHT($A837,2))&gt;60),$A837&amp;"01 1",$A837),IF(AND(LEN($A837)=4,VALUE(RIGHT($A837,2))&lt;60),GUS_tabl_2!$A$8:$B$464,GUS_tabl_21!$A$5:$B$4886),2,FALSE))),-1)))))</f>
        <v>gm. w. Wartkowice</v>
      </c>
      <c r="D837" s="141">
        <f>IF(OR($A837="",ISERROR(VALUE(LEFT($A837,6)))),"",IF(LEN($A837)=2,SUMIF($A838:$A$2965,$A837&amp;"??",$D838:$D$2965),IF(AND(LEN($A837)=4,VALUE(RIGHT($A837,2))&lt;=60),SUMIF($A838:$A$2965,$A837&amp;"????",$D838:$D$2965),VLOOKUP(IF(LEN($A837)=4,$A837&amp;"01 1",$A837),GUS_tabl_21!$A$5:$F$4886,6,FALSE))))</f>
        <v>6228</v>
      </c>
      <c r="E837" s="29"/>
    </row>
    <row r="838" spans="1:5" ht="12" customHeight="1">
      <c r="A838" s="155" t="str">
        <f>"101106 2"</f>
        <v>101106 2</v>
      </c>
      <c r="B838" s="153" t="s">
        <v>39</v>
      </c>
      <c r="C838" s="156" t="str">
        <f>IF(OR($A838="",ISERROR(VALUE(LEFT($A838,6)))),"",IF(LEN($A838)=2,"WOJ. ",IF(LEN($A838)=4,IF(VALUE(RIGHT($A838,2))&gt;60,"","Powiat "),IF(VALUE(RIGHT($A838,1))=1,"m. ",IF(VALUE(RIGHT($A838,1))=2,"gm. w. ",IF(VALUE(RIGHT($A838,1))=8,"dz. ","gm. m.-w. ")))))&amp;IF(LEN($A838)=2,TRIM(UPPER(VLOOKUP($A838,GUS_tabl_1!$A$7:$B$22,2,FALSE))),IF(ISERROR(FIND("..",TRIM(VLOOKUP(IF(AND(LEN($A838)=4,VALUE(RIGHT($A838,2))&gt;60),$A838&amp;"01 1",$A838),IF(AND(LEN($A838)=4,VALUE(RIGHT($A838,2))&lt;60),GUS_tabl_2!$A$8:$B$464,GUS_tabl_21!$A$5:$B$4886),2,FALSE)))),TRIM(VLOOKUP(IF(AND(LEN($A838)=4,VALUE(RIGHT($A838,2))&gt;60),$A838&amp;"01 1",$A838),IF(AND(LEN($A838)=4,VALUE(RIGHT($A838,2))&lt;60),GUS_tabl_2!$A$8:$B$464,GUS_tabl_21!$A$5:$B$4886),2,FALSE)),LEFT(TRIM(VLOOKUP(IF(AND(LEN($A838)=4,VALUE(RIGHT($A838,2))&gt;60),$A838&amp;"01 1",$A838),IF(AND(LEN($A838)=4,VALUE(RIGHT($A838,2))&lt;60),GUS_tabl_2!$A$8:$B$464,GUS_tabl_21!$A$5:$B$4886),2,FALSE)),SUM(FIND("..",TRIM(VLOOKUP(IF(AND(LEN($A838)=4,VALUE(RIGHT($A838,2))&gt;60),$A838&amp;"01 1",$A838),IF(AND(LEN($A838)=4,VALUE(RIGHT($A838,2))&lt;60),GUS_tabl_2!$A$8:$B$464,GUS_tabl_21!$A$5:$B$4886),2,FALSE))),-1)))))</f>
        <v>gm. w. Zadzim</v>
      </c>
      <c r="D838" s="141">
        <f>IF(OR($A838="",ISERROR(VALUE(LEFT($A838,6)))),"",IF(LEN($A838)=2,SUMIF($A839:$A$2965,$A838&amp;"??",$D839:$D$2965),IF(AND(LEN($A838)=4,VALUE(RIGHT($A838,2))&lt;=60),SUMIF($A839:$A$2965,$A838&amp;"????",$D839:$D$2965),VLOOKUP(IF(LEN($A838)=4,$A838&amp;"01 1",$A838),GUS_tabl_21!$A$5:$F$4886,6,FALSE))))</f>
        <v>4967</v>
      </c>
      <c r="E838" s="29"/>
    </row>
    <row r="839" spans="1:5" ht="12" customHeight="1">
      <c r="A839" s="152" t="str">
        <f>"1012"</f>
        <v>1012</v>
      </c>
      <c r="B839" s="153" t="s">
        <v>39</v>
      </c>
      <c r="C839" s="154" t="str">
        <f>IF(OR($A839="",ISERROR(VALUE(LEFT($A839,6)))),"",IF(LEN($A839)=2,"WOJ. ",IF(LEN($A839)=4,IF(VALUE(RIGHT($A839,2))&gt;60,"","Powiat "),IF(VALUE(RIGHT($A839,1))=1,"m. ",IF(VALUE(RIGHT($A839,1))=2,"gm. w. ",IF(VALUE(RIGHT($A839,1))=8,"dz. ","gm. m.-w. ")))))&amp;IF(LEN($A839)=2,TRIM(UPPER(VLOOKUP($A839,GUS_tabl_1!$A$7:$B$22,2,FALSE))),IF(ISERROR(FIND("..",TRIM(VLOOKUP(IF(AND(LEN($A839)=4,VALUE(RIGHT($A839,2))&gt;60),$A839&amp;"01 1",$A839),IF(AND(LEN($A839)=4,VALUE(RIGHT($A839,2))&lt;60),GUS_tabl_2!$A$8:$B$464,GUS_tabl_21!$A$5:$B$4886),2,FALSE)))),TRIM(VLOOKUP(IF(AND(LEN($A839)=4,VALUE(RIGHT($A839,2))&gt;60),$A839&amp;"01 1",$A839),IF(AND(LEN($A839)=4,VALUE(RIGHT($A839,2))&lt;60),GUS_tabl_2!$A$8:$B$464,GUS_tabl_21!$A$5:$B$4886),2,FALSE)),LEFT(TRIM(VLOOKUP(IF(AND(LEN($A839)=4,VALUE(RIGHT($A839,2))&gt;60),$A839&amp;"01 1",$A839),IF(AND(LEN($A839)=4,VALUE(RIGHT($A839,2))&lt;60),GUS_tabl_2!$A$8:$B$464,GUS_tabl_21!$A$5:$B$4886),2,FALSE)),SUM(FIND("..",TRIM(VLOOKUP(IF(AND(LEN($A839)=4,VALUE(RIGHT($A839,2))&gt;60),$A839&amp;"01 1",$A839),IF(AND(LEN($A839)=4,VALUE(RIGHT($A839,2))&lt;60),GUS_tabl_2!$A$8:$B$464,GUS_tabl_21!$A$5:$B$4886),2,FALSE))),-1)))))</f>
        <v>Powiat radomszczański</v>
      </c>
      <c r="D839" s="140">
        <f>IF(OR($A839="",ISERROR(VALUE(LEFT($A839,6)))),"",IF(LEN($A839)=2,SUMIF($A840:$A$2965,$A839&amp;"??",$D840:$D$2965),IF(AND(LEN($A839)=4,VALUE(RIGHT($A839,2))&lt;=60),SUMIF($A840:$A$2965,$A839&amp;"????",$D840:$D$2965),VLOOKUP(IF(LEN($A839)=4,$A839&amp;"01 1",$A839),GUS_tabl_21!$A$5:$F$4886,6,FALSE))))</f>
        <v>112644</v>
      </c>
      <c r="E839" s="29"/>
    </row>
    <row r="840" spans="1:5" ht="12" customHeight="1">
      <c r="A840" s="155" t="str">
        <f>"101201 1"</f>
        <v>101201 1</v>
      </c>
      <c r="B840" s="153" t="s">
        <v>39</v>
      </c>
      <c r="C840" s="156" t="str">
        <f>IF(OR($A840="",ISERROR(VALUE(LEFT($A840,6)))),"",IF(LEN($A840)=2,"WOJ. ",IF(LEN($A840)=4,IF(VALUE(RIGHT($A840,2))&gt;60,"","Powiat "),IF(VALUE(RIGHT($A840,1))=1,"m. ",IF(VALUE(RIGHT($A840,1))=2,"gm. w. ",IF(VALUE(RIGHT($A840,1))=8,"dz. ","gm. m.-w. ")))))&amp;IF(LEN($A840)=2,TRIM(UPPER(VLOOKUP($A840,GUS_tabl_1!$A$7:$B$22,2,FALSE))),IF(ISERROR(FIND("..",TRIM(VLOOKUP(IF(AND(LEN($A840)=4,VALUE(RIGHT($A840,2))&gt;60),$A840&amp;"01 1",$A840),IF(AND(LEN($A840)=4,VALUE(RIGHT($A840,2))&lt;60),GUS_tabl_2!$A$8:$B$464,GUS_tabl_21!$A$5:$B$4886),2,FALSE)))),TRIM(VLOOKUP(IF(AND(LEN($A840)=4,VALUE(RIGHT($A840,2))&gt;60),$A840&amp;"01 1",$A840),IF(AND(LEN($A840)=4,VALUE(RIGHT($A840,2))&lt;60),GUS_tabl_2!$A$8:$B$464,GUS_tabl_21!$A$5:$B$4886),2,FALSE)),LEFT(TRIM(VLOOKUP(IF(AND(LEN($A840)=4,VALUE(RIGHT($A840,2))&gt;60),$A840&amp;"01 1",$A840),IF(AND(LEN($A840)=4,VALUE(RIGHT($A840,2))&lt;60),GUS_tabl_2!$A$8:$B$464,GUS_tabl_21!$A$5:$B$4886),2,FALSE)),SUM(FIND("..",TRIM(VLOOKUP(IF(AND(LEN($A840)=4,VALUE(RIGHT($A840,2))&gt;60),$A840&amp;"01 1",$A840),IF(AND(LEN($A840)=4,VALUE(RIGHT($A840,2))&lt;60),GUS_tabl_2!$A$8:$B$464,GUS_tabl_21!$A$5:$B$4886),2,FALSE))),-1)))))</f>
        <v>m. Radomsko</v>
      </c>
      <c r="D840" s="141">
        <f>IF(OR($A840="",ISERROR(VALUE(LEFT($A840,6)))),"",IF(LEN($A840)=2,SUMIF($A841:$A$2965,$A840&amp;"??",$D841:$D$2965),IF(AND(LEN($A840)=4,VALUE(RIGHT($A840,2))&lt;=60),SUMIF($A841:$A$2965,$A840&amp;"????",$D841:$D$2965),VLOOKUP(IF(LEN($A840)=4,$A840&amp;"01 1",$A840),GUS_tabl_21!$A$5:$F$4886,6,FALSE))))</f>
        <v>45843</v>
      </c>
      <c r="E840" s="29"/>
    </row>
    <row r="841" spans="1:5" ht="12" customHeight="1">
      <c r="A841" s="155" t="str">
        <f>"101202 2"</f>
        <v>101202 2</v>
      </c>
      <c r="B841" s="153" t="s">
        <v>39</v>
      </c>
      <c r="C841" s="156" t="str">
        <f>IF(OR($A841="",ISERROR(VALUE(LEFT($A841,6)))),"",IF(LEN($A841)=2,"WOJ. ",IF(LEN($A841)=4,IF(VALUE(RIGHT($A841,2))&gt;60,"","Powiat "),IF(VALUE(RIGHT($A841,1))=1,"m. ",IF(VALUE(RIGHT($A841,1))=2,"gm. w. ",IF(VALUE(RIGHT($A841,1))=8,"dz. ","gm. m.-w. ")))))&amp;IF(LEN($A841)=2,TRIM(UPPER(VLOOKUP($A841,GUS_tabl_1!$A$7:$B$22,2,FALSE))),IF(ISERROR(FIND("..",TRIM(VLOOKUP(IF(AND(LEN($A841)=4,VALUE(RIGHT($A841,2))&gt;60),$A841&amp;"01 1",$A841),IF(AND(LEN($A841)=4,VALUE(RIGHT($A841,2))&lt;60),GUS_tabl_2!$A$8:$B$464,GUS_tabl_21!$A$5:$B$4886),2,FALSE)))),TRIM(VLOOKUP(IF(AND(LEN($A841)=4,VALUE(RIGHT($A841,2))&gt;60),$A841&amp;"01 1",$A841),IF(AND(LEN($A841)=4,VALUE(RIGHT($A841,2))&lt;60),GUS_tabl_2!$A$8:$B$464,GUS_tabl_21!$A$5:$B$4886),2,FALSE)),LEFT(TRIM(VLOOKUP(IF(AND(LEN($A841)=4,VALUE(RIGHT($A841,2))&gt;60),$A841&amp;"01 1",$A841),IF(AND(LEN($A841)=4,VALUE(RIGHT($A841,2))&lt;60),GUS_tabl_2!$A$8:$B$464,GUS_tabl_21!$A$5:$B$4886),2,FALSE)),SUM(FIND("..",TRIM(VLOOKUP(IF(AND(LEN($A841)=4,VALUE(RIGHT($A841,2))&gt;60),$A841&amp;"01 1",$A841),IF(AND(LEN($A841)=4,VALUE(RIGHT($A841,2))&lt;60),GUS_tabl_2!$A$8:$B$464,GUS_tabl_21!$A$5:$B$4886),2,FALSE))),-1)))))</f>
        <v>gm. w. Dobryszyce</v>
      </c>
      <c r="D841" s="141">
        <f>IF(OR($A841="",ISERROR(VALUE(LEFT($A841,6)))),"",IF(LEN($A841)=2,SUMIF($A842:$A$2965,$A841&amp;"??",$D842:$D$2965),IF(AND(LEN($A841)=4,VALUE(RIGHT($A841,2))&lt;=60),SUMIF($A842:$A$2965,$A841&amp;"????",$D842:$D$2965),VLOOKUP(IF(LEN($A841)=4,$A841&amp;"01 1",$A841),GUS_tabl_21!$A$5:$F$4886,6,FALSE))))</f>
        <v>4502</v>
      </c>
      <c r="E841" s="29"/>
    </row>
    <row r="842" spans="1:5" ht="12" customHeight="1">
      <c r="A842" s="155" t="str">
        <f>"101203 2"</f>
        <v>101203 2</v>
      </c>
      <c r="B842" s="153" t="s">
        <v>39</v>
      </c>
      <c r="C842" s="156" t="str">
        <f>IF(OR($A842="",ISERROR(VALUE(LEFT($A842,6)))),"",IF(LEN($A842)=2,"WOJ. ",IF(LEN($A842)=4,IF(VALUE(RIGHT($A842,2))&gt;60,"","Powiat "),IF(VALUE(RIGHT($A842,1))=1,"m. ",IF(VALUE(RIGHT($A842,1))=2,"gm. w. ",IF(VALUE(RIGHT($A842,1))=8,"dz. ","gm. m.-w. ")))))&amp;IF(LEN($A842)=2,TRIM(UPPER(VLOOKUP($A842,GUS_tabl_1!$A$7:$B$22,2,FALSE))),IF(ISERROR(FIND("..",TRIM(VLOOKUP(IF(AND(LEN($A842)=4,VALUE(RIGHT($A842,2))&gt;60),$A842&amp;"01 1",$A842),IF(AND(LEN($A842)=4,VALUE(RIGHT($A842,2))&lt;60),GUS_tabl_2!$A$8:$B$464,GUS_tabl_21!$A$5:$B$4886),2,FALSE)))),TRIM(VLOOKUP(IF(AND(LEN($A842)=4,VALUE(RIGHT($A842,2))&gt;60),$A842&amp;"01 1",$A842),IF(AND(LEN($A842)=4,VALUE(RIGHT($A842,2))&lt;60),GUS_tabl_2!$A$8:$B$464,GUS_tabl_21!$A$5:$B$4886),2,FALSE)),LEFT(TRIM(VLOOKUP(IF(AND(LEN($A842)=4,VALUE(RIGHT($A842,2))&gt;60),$A842&amp;"01 1",$A842),IF(AND(LEN($A842)=4,VALUE(RIGHT($A842,2))&lt;60),GUS_tabl_2!$A$8:$B$464,GUS_tabl_21!$A$5:$B$4886),2,FALSE)),SUM(FIND("..",TRIM(VLOOKUP(IF(AND(LEN($A842)=4,VALUE(RIGHT($A842,2))&gt;60),$A842&amp;"01 1",$A842),IF(AND(LEN($A842)=4,VALUE(RIGHT($A842,2))&lt;60),GUS_tabl_2!$A$8:$B$464,GUS_tabl_21!$A$5:$B$4886),2,FALSE))),-1)))))</f>
        <v>gm. w. Gidle</v>
      </c>
      <c r="D842" s="141">
        <f>IF(OR($A842="",ISERROR(VALUE(LEFT($A842,6)))),"",IF(LEN($A842)=2,SUMIF($A843:$A$2965,$A842&amp;"??",$D843:$D$2965),IF(AND(LEN($A842)=4,VALUE(RIGHT($A842,2))&lt;=60),SUMIF($A843:$A$2965,$A842&amp;"????",$D843:$D$2965),VLOOKUP(IF(LEN($A842)=4,$A842&amp;"01 1",$A842),GUS_tabl_21!$A$5:$F$4886,6,FALSE))))</f>
        <v>6062</v>
      </c>
      <c r="E842" s="29"/>
    </row>
    <row r="843" spans="1:5" ht="12" customHeight="1">
      <c r="A843" s="155" t="str">
        <f>"101204 2"</f>
        <v>101204 2</v>
      </c>
      <c r="B843" s="153" t="s">
        <v>39</v>
      </c>
      <c r="C843" s="156" t="str">
        <f>IF(OR($A843="",ISERROR(VALUE(LEFT($A843,6)))),"",IF(LEN($A843)=2,"WOJ. ",IF(LEN($A843)=4,IF(VALUE(RIGHT($A843,2))&gt;60,"","Powiat "),IF(VALUE(RIGHT($A843,1))=1,"m. ",IF(VALUE(RIGHT($A843,1))=2,"gm. w. ",IF(VALUE(RIGHT($A843,1))=8,"dz. ","gm. m.-w. ")))))&amp;IF(LEN($A843)=2,TRIM(UPPER(VLOOKUP($A843,GUS_tabl_1!$A$7:$B$22,2,FALSE))),IF(ISERROR(FIND("..",TRIM(VLOOKUP(IF(AND(LEN($A843)=4,VALUE(RIGHT($A843,2))&gt;60),$A843&amp;"01 1",$A843),IF(AND(LEN($A843)=4,VALUE(RIGHT($A843,2))&lt;60),GUS_tabl_2!$A$8:$B$464,GUS_tabl_21!$A$5:$B$4886),2,FALSE)))),TRIM(VLOOKUP(IF(AND(LEN($A843)=4,VALUE(RIGHT($A843,2))&gt;60),$A843&amp;"01 1",$A843),IF(AND(LEN($A843)=4,VALUE(RIGHT($A843,2))&lt;60),GUS_tabl_2!$A$8:$B$464,GUS_tabl_21!$A$5:$B$4886),2,FALSE)),LEFT(TRIM(VLOOKUP(IF(AND(LEN($A843)=4,VALUE(RIGHT($A843,2))&gt;60),$A843&amp;"01 1",$A843),IF(AND(LEN($A843)=4,VALUE(RIGHT($A843,2))&lt;60),GUS_tabl_2!$A$8:$B$464,GUS_tabl_21!$A$5:$B$4886),2,FALSE)),SUM(FIND("..",TRIM(VLOOKUP(IF(AND(LEN($A843)=4,VALUE(RIGHT($A843,2))&gt;60),$A843&amp;"01 1",$A843),IF(AND(LEN($A843)=4,VALUE(RIGHT($A843,2))&lt;60),GUS_tabl_2!$A$8:$B$464,GUS_tabl_21!$A$5:$B$4886),2,FALSE))),-1)))))</f>
        <v>gm. w. Gomunice</v>
      </c>
      <c r="D843" s="141">
        <f>IF(OR($A843="",ISERROR(VALUE(LEFT($A843,6)))),"",IF(LEN($A843)=2,SUMIF($A844:$A$2965,$A843&amp;"??",$D844:$D$2965),IF(AND(LEN($A843)=4,VALUE(RIGHT($A843,2))&lt;=60),SUMIF($A844:$A$2965,$A843&amp;"????",$D844:$D$2965),VLOOKUP(IF(LEN($A843)=4,$A843&amp;"01 1",$A843),GUS_tabl_21!$A$5:$F$4886,6,FALSE))))</f>
        <v>5860</v>
      </c>
      <c r="E843" s="29"/>
    </row>
    <row r="844" spans="1:5" ht="12" customHeight="1">
      <c r="A844" s="155" t="str">
        <f>"101205 3"</f>
        <v>101205 3</v>
      </c>
      <c r="B844" s="153" t="s">
        <v>39</v>
      </c>
      <c r="C844" s="156" t="str">
        <f>IF(OR($A844="",ISERROR(VALUE(LEFT($A844,6)))),"",IF(LEN($A844)=2,"WOJ. ",IF(LEN($A844)=4,IF(VALUE(RIGHT($A844,2))&gt;60,"","Powiat "),IF(VALUE(RIGHT($A844,1))=1,"m. ",IF(VALUE(RIGHT($A844,1))=2,"gm. w. ",IF(VALUE(RIGHT($A844,1))=8,"dz. ","gm. m.-w. ")))))&amp;IF(LEN($A844)=2,TRIM(UPPER(VLOOKUP($A844,GUS_tabl_1!$A$7:$B$22,2,FALSE))),IF(ISERROR(FIND("..",TRIM(VLOOKUP(IF(AND(LEN($A844)=4,VALUE(RIGHT($A844,2))&gt;60),$A844&amp;"01 1",$A844),IF(AND(LEN($A844)=4,VALUE(RIGHT($A844,2))&lt;60),GUS_tabl_2!$A$8:$B$464,GUS_tabl_21!$A$5:$B$4886),2,FALSE)))),TRIM(VLOOKUP(IF(AND(LEN($A844)=4,VALUE(RIGHT($A844,2))&gt;60),$A844&amp;"01 1",$A844),IF(AND(LEN($A844)=4,VALUE(RIGHT($A844,2))&lt;60),GUS_tabl_2!$A$8:$B$464,GUS_tabl_21!$A$5:$B$4886),2,FALSE)),LEFT(TRIM(VLOOKUP(IF(AND(LEN($A844)=4,VALUE(RIGHT($A844,2))&gt;60),$A844&amp;"01 1",$A844),IF(AND(LEN($A844)=4,VALUE(RIGHT($A844,2))&lt;60),GUS_tabl_2!$A$8:$B$464,GUS_tabl_21!$A$5:$B$4886),2,FALSE)),SUM(FIND("..",TRIM(VLOOKUP(IF(AND(LEN($A844)=4,VALUE(RIGHT($A844,2))&gt;60),$A844&amp;"01 1",$A844),IF(AND(LEN($A844)=4,VALUE(RIGHT($A844,2))&lt;60),GUS_tabl_2!$A$8:$B$464,GUS_tabl_21!$A$5:$B$4886),2,FALSE))),-1)))))</f>
        <v>gm. m.-w. Kamieńsk</v>
      </c>
      <c r="D844" s="141">
        <f>IF(OR($A844="",ISERROR(VALUE(LEFT($A844,6)))),"",IF(LEN($A844)=2,SUMIF($A845:$A$2965,$A844&amp;"??",$D845:$D$2965),IF(AND(LEN($A844)=4,VALUE(RIGHT($A844,2))&lt;=60),SUMIF($A845:$A$2965,$A844&amp;"????",$D845:$D$2965),VLOOKUP(IF(LEN($A844)=4,$A844&amp;"01 1",$A844),GUS_tabl_21!$A$5:$F$4886,6,FALSE))))</f>
        <v>5877</v>
      </c>
      <c r="E844" s="29"/>
    </row>
    <row r="845" spans="1:5" ht="12" customHeight="1">
      <c r="A845" s="155" t="str">
        <f>"101206 2"</f>
        <v>101206 2</v>
      </c>
      <c r="B845" s="153" t="s">
        <v>39</v>
      </c>
      <c r="C845" s="156" t="str">
        <f>IF(OR($A845="",ISERROR(VALUE(LEFT($A845,6)))),"",IF(LEN($A845)=2,"WOJ. ",IF(LEN($A845)=4,IF(VALUE(RIGHT($A845,2))&gt;60,"","Powiat "),IF(VALUE(RIGHT($A845,1))=1,"m. ",IF(VALUE(RIGHT($A845,1))=2,"gm. w. ",IF(VALUE(RIGHT($A845,1))=8,"dz. ","gm. m.-w. ")))))&amp;IF(LEN($A845)=2,TRIM(UPPER(VLOOKUP($A845,GUS_tabl_1!$A$7:$B$22,2,FALSE))),IF(ISERROR(FIND("..",TRIM(VLOOKUP(IF(AND(LEN($A845)=4,VALUE(RIGHT($A845,2))&gt;60),$A845&amp;"01 1",$A845),IF(AND(LEN($A845)=4,VALUE(RIGHT($A845,2))&lt;60),GUS_tabl_2!$A$8:$B$464,GUS_tabl_21!$A$5:$B$4886),2,FALSE)))),TRIM(VLOOKUP(IF(AND(LEN($A845)=4,VALUE(RIGHT($A845,2))&gt;60),$A845&amp;"01 1",$A845),IF(AND(LEN($A845)=4,VALUE(RIGHT($A845,2))&lt;60),GUS_tabl_2!$A$8:$B$464,GUS_tabl_21!$A$5:$B$4886),2,FALSE)),LEFT(TRIM(VLOOKUP(IF(AND(LEN($A845)=4,VALUE(RIGHT($A845,2))&gt;60),$A845&amp;"01 1",$A845),IF(AND(LEN($A845)=4,VALUE(RIGHT($A845,2))&lt;60),GUS_tabl_2!$A$8:$B$464,GUS_tabl_21!$A$5:$B$4886),2,FALSE)),SUM(FIND("..",TRIM(VLOOKUP(IF(AND(LEN($A845)=4,VALUE(RIGHT($A845,2))&gt;60),$A845&amp;"01 1",$A845),IF(AND(LEN($A845)=4,VALUE(RIGHT($A845,2))&lt;60),GUS_tabl_2!$A$8:$B$464,GUS_tabl_21!$A$5:$B$4886),2,FALSE))),-1)))))</f>
        <v>gm. w. Kobiele Wielkie</v>
      </c>
      <c r="D845" s="141">
        <f>IF(OR($A845="",ISERROR(VALUE(LEFT($A845,6)))),"",IF(LEN($A845)=2,SUMIF($A846:$A$2965,$A845&amp;"??",$D846:$D$2965),IF(AND(LEN($A845)=4,VALUE(RIGHT($A845,2))&lt;=60),SUMIF($A846:$A$2965,$A845&amp;"????",$D846:$D$2965),VLOOKUP(IF(LEN($A845)=4,$A845&amp;"01 1",$A845),GUS_tabl_21!$A$5:$F$4886,6,FALSE))))</f>
        <v>4444</v>
      </c>
      <c r="E845" s="29"/>
    </row>
    <row r="846" spans="1:5" ht="12" customHeight="1">
      <c r="A846" s="155" t="str">
        <f>"101207 2"</f>
        <v>101207 2</v>
      </c>
      <c r="B846" s="153" t="s">
        <v>39</v>
      </c>
      <c r="C846" s="156" t="str">
        <f>IF(OR($A846="",ISERROR(VALUE(LEFT($A846,6)))),"",IF(LEN($A846)=2,"WOJ. ",IF(LEN($A846)=4,IF(VALUE(RIGHT($A846,2))&gt;60,"","Powiat "),IF(VALUE(RIGHT($A846,1))=1,"m. ",IF(VALUE(RIGHT($A846,1))=2,"gm. w. ",IF(VALUE(RIGHT($A846,1))=8,"dz. ","gm. m.-w. ")))))&amp;IF(LEN($A846)=2,TRIM(UPPER(VLOOKUP($A846,GUS_tabl_1!$A$7:$B$22,2,FALSE))),IF(ISERROR(FIND("..",TRIM(VLOOKUP(IF(AND(LEN($A846)=4,VALUE(RIGHT($A846,2))&gt;60),$A846&amp;"01 1",$A846),IF(AND(LEN($A846)=4,VALUE(RIGHT($A846,2))&lt;60),GUS_tabl_2!$A$8:$B$464,GUS_tabl_21!$A$5:$B$4886),2,FALSE)))),TRIM(VLOOKUP(IF(AND(LEN($A846)=4,VALUE(RIGHT($A846,2))&gt;60),$A846&amp;"01 1",$A846),IF(AND(LEN($A846)=4,VALUE(RIGHT($A846,2))&lt;60),GUS_tabl_2!$A$8:$B$464,GUS_tabl_21!$A$5:$B$4886),2,FALSE)),LEFT(TRIM(VLOOKUP(IF(AND(LEN($A846)=4,VALUE(RIGHT($A846,2))&gt;60),$A846&amp;"01 1",$A846),IF(AND(LEN($A846)=4,VALUE(RIGHT($A846,2))&lt;60),GUS_tabl_2!$A$8:$B$464,GUS_tabl_21!$A$5:$B$4886),2,FALSE)),SUM(FIND("..",TRIM(VLOOKUP(IF(AND(LEN($A846)=4,VALUE(RIGHT($A846,2))&gt;60),$A846&amp;"01 1",$A846),IF(AND(LEN($A846)=4,VALUE(RIGHT($A846,2))&lt;60),GUS_tabl_2!$A$8:$B$464,GUS_tabl_21!$A$5:$B$4886),2,FALSE))),-1)))))</f>
        <v>gm. w. Kodrąb</v>
      </c>
      <c r="D846" s="141">
        <f>IF(OR($A846="",ISERROR(VALUE(LEFT($A846,6)))),"",IF(LEN($A846)=2,SUMIF($A847:$A$2965,$A846&amp;"??",$D847:$D$2965),IF(AND(LEN($A846)=4,VALUE(RIGHT($A846,2))&lt;=60),SUMIF($A847:$A$2965,$A846&amp;"????",$D847:$D$2965),VLOOKUP(IF(LEN($A846)=4,$A846&amp;"01 1",$A846),GUS_tabl_21!$A$5:$F$4886,6,FALSE))))</f>
        <v>4514</v>
      </c>
      <c r="E846" s="29"/>
    </row>
    <row r="847" spans="1:5" ht="12" customHeight="1">
      <c r="A847" s="155" t="str">
        <f>"101208 2"</f>
        <v>101208 2</v>
      </c>
      <c r="B847" s="153" t="s">
        <v>39</v>
      </c>
      <c r="C847" s="156" t="str">
        <f>IF(OR($A847="",ISERROR(VALUE(LEFT($A847,6)))),"",IF(LEN($A847)=2,"WOJ. ",IF(LEN($A847)=4,IF(VALUE(RIGHT($A847,2))&gt;60,"","Powiat "),IF(VALUE(RIGHT($A847,1))=1,"m. ",IF(VALUE(RIGHT($A847,1))=2,"gm. w. ",IF(VALUE(RIGHT($A847,1))=8,"dz. ","gm. m.-w. ")))))&amp;IF(LEN($A847)=2,TRIM(UPPER(VLOOKUP($A847,GUS_tabl_1!$A$7:$B$22,2,FALSE))),IF(ISERROR(FIND("..",TRIM(VLOOKUP(IF(AND(LEN($A847)=4,VALUE(RIGHT($A847,2))&gt;60),$A847&amp;"01 1",$A847),IF(AND(LEN($A847)=4,VALUE(RIGHT($A847,2))&lt;60),GUS_tabl_2!$A$8:$B$464,GUS_tabl_21!$A$5:$B$4886),2,FALSE)))),TRIM(VLOOKUP(IF(AND(LEN($A847)=4,VALUE(RIGHT($A847,2))&gt;60),$A847&amp;"01 1",$A847),IF(AND(LEN($A847)=4,VALUE(RIGHT($A847,2))&lt;60),GUS_tabl_2!$A$8:$B$464,GUS_tabl_21!$A$5:$B$4886),2,FALSE)),LEFT(TRIM(VLOOKUP(IF(AND(LEN($A847)=4,VALUE(RIGHT($A847,2))&gt;60),$A847&amp;"01 1",$A847),IF(AND(LEN($A847)=4,VALUE(RIGHT($A847,2))&lt;60),GUS_tabl_2!$A$8:$B$464,GUS_tabl_21!$A$5:$B$4886),2,FALSE)),SUM(FIND("..",TRIM(VLOOKUP(IF(AND(LEN($A847)=4,VALUE(RIGHT($A847,2))&gt;60),$A847&amp;"01 1",$A847),IF(AND(LEN($A847)=4,VALUE(RIGHT($A847,2))&lt;60),GUS_tabl_2!$A$8:$B$464,GUS_tabl_21!$A$5:$B$4886),2,FALSE))),-1)))))</f>
        <v>gm. w. Lgota Wielka</v>
      </c>
      <c r="D847" s="141">
        <f>IF(OR($A847="",ISERROR(VALUE(LEFT($A847,6)))),"",IF(LEN($A847)=2,SUMIF($A848:$A$2965,$A847&amp;"??",$D848:$D$2965),IF(AND(LEN($A847)=4,VALUE(RIGHT($A847,2))&lt;=60),SUMIF($A848:$A$2965,$A847&amp;"????",$D848:$D$2965),VLOOKUP(IF(LEN($A847)=4,$A847&amp;"01 1",$A847),GUS_tabl_21!$A$5:$F$4886,6,FALSE))))</f>
        <v>4278</v>
      </c>
      <c r="E847" s="29"/>
    </row>
    <row r="848" spans="1:5" ht="12" customHeight="1">
      <c r="A848" s="155" t="str">
        <f>"101209 2"</f>
        <v>101209 2</v>
      </c>
      <c r="B848" s="153" t="s">
        <v>39</v>
      </c>
      <c r="C848" s="156" t="str">
        <f>IF(OR($A848="",ISERROR(VALUE(LEFT($A848,6)))),"",IF(LEN($A848)=2,"WOJ. ",IF(LEN($A848)=4,IF(VALUE(RIGHT($A848,2))&gt;60,"","Powiat "),IF(VALUE(RIGHT($A848,1))=1,"m. ",IF(VALUE(RIGHT($A848,1))=2,"gm. w. ",IF(VALUE(RIGHT($A848,1))=8,"dz. ","gm. m.-w. ")))))&amp;IF(LEN($A848)=2,TRIM(UPPER(VLOOKUP($A848,GUS_tabl_1!$A$7:$B$22,2,FALSE))),IF(ISERROR(FIND("..",TRIM(VLOOKUP(IF(AND(LEN($A848)=4,VALUE(RIGHT($A848,2))&gt;60),$A848&amp;"01 1",$A848),IF(AND(LEN($A848)=4,VALUE(RIGHT($A848,2))&lt;60),GUS_tabl_2!$A$8:$B$464,GUS_tabl_21!$A$5:$B$4886),2,FALSE)))),TRIM(VLOOKUP(IF(AND(LEN($A848)=4,VALUE(RIGHT($A848,2))&gt;60),$A848&amp;"01 1",$A848),IF(AND(LEN($A848)=4,VALUE(RIGHT($A848,2))&lt;60),GUS_tabl_2!$A$8:$B$464,GUS_tabl_21!$A$5:$B$4886),2,FALSE)),LEFT(TRIM(VLOOKUP(IF(AND(LEN($A848)=4,VALUE(RIGHT($A848,2))&gt;60),$A848&amp;"01 1",$A848),IF(AND(LEN($A848)=4,VALUE(RIGHT($A848,2))&lt;60),GUS_tabl_2!$A$8:$B$464,GUS_tabl_21!$A$5:$B$4886),2,FALSE)),SUM(FIND("..",TRIM(VLOOKUP(IF(AND(LEN($A848)=4,VALUE(RIGHT($A848,2))&gt;60),$A848&amp;"01 1",$A848),IF(AND(LEN($A848)=4,VALUE(RIGHT($A848,2))&lt;60),GUS_tabl_2!$A$8:$B$464,GUS_tabl_21!$A$5:$B$4886),2,FALSE))),-1)))))</f>
        <v>gm. w. Ładzice</v>
      </c>
      <c r="D848" s="141">
        <f>IF(OR($A848="",ISERROR(VALUE(LEFT($A848,6)))),"",IF(LEN($A848)=2,SUMIF($A849:$A$2965,$A848&amp;"??",$D849:$D$2965),IF(AND(LEN($A848)=4,VALUE(RIGHT($A848,2))&lt;=60),SUMIF($A849:$A$2965,$A848&amp;"????",$D849:$D$2965),VLOOKUP(IF(LEN($A848)=4,$A848&amp;"01 1",$A848),GUS_tabl_21!$A$5:$F$4886,6,FALSE))))</f>
        <v>4757</v>
      </c>
      <c r="E848" s="29"/>
    </row>
    <row r="849" spans="1:5" ht="12" customHeight="1">
      <c r="A849" s="155" t="str">
        <f>"101210 2"</f>
        <v>101210 2</v>
      </c>
      <c r="B849" s="153" t="s">
        <v>39</v>
      </c>
      <c r="C849" s="156" t="str">
        <f>IF(OR($A849="",ISERROR(VALUE(LEFT($A849,6)))),"",IF(LEN($A849)=2,"WOJ. ",IF(LEN($A849)=4,IF(VALUE(RIGHT($A849,2))&gt;60,"","Powiat "),IF(VALUE(RIGHT($A849,1))=1,"m. ",IF(VALUE(RIGHT($A849,1))=2,"gm. w. ",IF(VALUE(RIGHT($A849,1))=8,"dz. ","gm. m.-w. ")))))&amp;IF(LEN($A849)=2,TRIM(UPPER(VLOOKUP($A849,GUS_tabl_1!$A$7:$B$22,2,FALSE))),IF(ISERROR(FIND("..",TRIM(VLOOKUP(IF(AND(LEN($A849)=4,VALUE(RIGHT($A849,2))&gt;60),$A849&amp;"01 1",$A849),IF(AND(LEN($A849)=4,VALUE(RIGHT($A849,2))&lt;60),GUS_tabl_2!$A$8:$B$464,GUS_tabl_21!$A$5:$B$4886),2,FALSE)))),TRIM(VLOOKUP(IF(AND(LEN($A849)=4,VALUE(RIGHT($A849,2))&gt;60),$A849&amp;"01 1",$A849),IF(AND(LEN($A849)=4,VALUE(RIGHT($A849,2))&lt;60),GUS_tabl_2!$A$8:$B$464,GUS_tabl_21!$A$5:$B$4886),2,FALSE)),LEFT(TRIM(VLOOKUP(IF(AND(LEN($A849)=4,VALUE(RIGHT($A849,2))&gt;60),$A849&amp;"01 1",$A849),IF(AND(LEN($A849)=4,VALUE(RIGHT($A849,2))&lt;60),GUS_tabl_2!$A$8:$B$464,GUS_tabl_21!$A$5:$B$4886),2,FALSE)),SUM(FIND("..",TRIM(VLOOKUP(IF(AND(LEN($A849)=4,VALUE(RIGHT($A849,2))&gt;60),$A849&amp;"01 1",$A849),IF(AND(LEN($A849)=4,VALUE(RIGHT($A849,2))&lt;60),GUS_tabl_2!$A$8:$B$464,GUS_tabl_21!$A$5:$B$4886),2,FALSE))),-1)))))</f>
        <v>gm. w. Masłowice</v>
      </c>
      <c r="D849" s="141">
        <f>IF(OR($A849="",ISERROR(VALUE(LEFT($A849,6)))),"",IF(LEN($A849)=2,SUMIF($A850:$A$2965,$A849&amp;"??",$D850:$D$2965),IF(AND(LEN($A849)=4,VALUE(RIGHT($A849,2))&lt;=60),SUMIF($A850:$A$2965,$A849&amp;"????",$D850:$D$2965),VLOOKUP(IF(LEN($A849)=4,$A849&amp;"01 1",$A849),GUS_tabl_21!$A$5:$F$4886,6,FALSE))))</f>
        <v>4161</v>
      </c>
      <c r="E849" s="29"/>
    </row>
    <row r="850" spans="1:5" ht="12" customHeight="1">
      <c r="A850" s="155" t="str">
        <f>"101211 3"</f>
        <v>101211 3</v>
      </c>
      <c r="B850" s="153" t="s">
        <v>39</v>
      </c>
      <c r="C850" s="156" t="str">
        <f>IF(OR($A850="",ISERROR(VALUE(LEFT($A850,6)))),"",IF(LEN($A850)=2,"WOJ. ",IF(LEN($A850)=4,IF(VALUE(RIGHT($A850,2))&gt;60,"","Powiat "),IF(VALUE(RIGHT($A850,1))=1,"m. ",IF(VALUE(RIGHT($A850,1))=2,"gm. w. ",IF(VALUE(RIGHT($A850,1))=8,"dz. ","gm. m.-w. ")))))&amp;IF(LEN($A850)=2,TRIM(UPPER(VLOOKUP($A850,GUS_tabl_1!$A$7:$B$22,2,FALSE))),IF(ISERROR(FIND("..",TRIM(VLOOKUP(IF(AND(LEN($A850)=4,VALUE(RIGHT($A850,2))&gt;60),$A850&amp;"01 1",$A850),IF(AND(LEN($A850)=4,VALUE(RIGHT($A850,2))&lt;60),GUS_tabl_2!$A$8:$B$464,GUS_tabl_21!$A$5:$B$4886),2,FALSE)))),TRIM(VLOOKUP(IF(AND(LEN($A850)=4,VALUE(RIGHT($A850,2))&gt;60),$A850&amp;"01 1",$A850),IF(AND(LEN($A850)=4,VALUE(RIGHT($A850,2))&lt;60),GUS_tabl_2!$A$8:$B$464,GUS_tabl_21!$A$5:$B$4886),2,FALSE)),LEFT(TRIM(VLOOKUP(IF(AND(LEN($A850)=4,VALUE(RIGHT($A850,2))&gt;60),$A850&amp;"01 1",$A850),IF(AND(LEN($A850)=4,VALUE(RIGHT($A850,2))&lt;60),GUS_tabl_2!$A$8:$B$464,GUS_tabl_21!$A$5:$B$4886),2,FALSE)),SUM(FIND("..",TRIM(VLOOKUP(IF(AND(LEN($A850)=4,VALUE(RIGHT($A850,2))&gt;60),$A850&amp;"01 1",$A850),IF(AND(LEN($A850)=4,VALUE(RIGHT($A850,2))&lt;60),GUS_tabl_2!$A$8:$B$464,GUS_tabl_21!$A$5:$B$4886),2,FALSE))),-1)))))</f>
        <v>gm. m.-w. Przedbórz</v>
      </c>
      <c r="D850" s="141">
        <f>IF(OR($A850="",ISERROR(VALUE(LEFT($A850,6)))),"",IF(LEN($A850)=2,SUMIF($A851:$A$2965,$A850&amp;"??",$D851:$D$2965),IF(AND(LEN($A850)=4,VALUE(RIGHT($A850,2))&lt;=60),SUMIF($A851:$A$2965,$A850&amp;"????",$D851:$D$2965),VLOOKUP(IF(LEN($A850)=4,$A850&amp;"01 1",$A850),GUS_tabl_21!$A$5:$F$4886,6,FALSE))))</f>
        <v>7122</v>
      </c>
      <c r="E850" s="29"/>
    </row>
    <row r="851" spans="1:5" ht="12" customHeight="1">
      <c r="A851" s="155" t="str">
        <f>"101212 2"</f>
        <v>101212 2</v>
      </c>
      <c r="B851" s="153" t="s">
        <v>39</v>
      </c>
      <c r="C851" s="156" t="str">
        <f>IF(OR($A851="",ISERROR(VALUE(LEFT($A851,6)))),"",IF(LEN($A851)=2,"WOJ. ",IF(LEN($A851)=4,IF(VALUE(RIGHT($A851,2))&gt;60,"","Powiat "),IF(VALUE(RIGHT($A851,1))=1,"m. ",IF(VALUE(RIGHT($A851,1))=2,"gm. w. ",IF(VALUE(RIGHT($A851,1))=8,"dz. ","gm. m.-w. ")))))&amp;IF(LEN($A851)=2,TRIM(UPPER(VLOOKUP($A851,GUS_tabl_1!$A$7:$B$22,2,FALSE))),IF(ISERROR(FIND("..",TRIM(VLOOKUP(IF(AND(LEN($A851)=4,VALUE(RIGHT($A851,2))&gt;60),$A851&amp;"01 1",$A851),IF(AND(LEN($A851)=4,VALUE(RIGHT($A851,2))&lt;60),GUS_tabl_2!$A$8:$B$464,GUS_tabl_21!$A$5:$B$4886),2,FALSE)))),TRIM(VLOOKUP(IF(AND(LEN($A851)=4,VALUE(RIGHT($A851,2))&gt;60),$A851&amp;"01 1",$A851),IF(AND(LEN($A851)=4,VALUE(RIGHT($A851,2))&lt;60),GUS_tabl_2!$A$8:$B$464,GUS_tabl_21!$A$5:$B$4886),2,FALSE)),LEFT(TRIM(VLOOKUP(IF(AND(LEN($A851)=4,VALUE(RIGHT($A851,2))&gt;60),$A851&amp;"01 1",$A851),IF(AND(LEN($A851)=4,VALUE(RIGHT($A851,2))&lt;60),GUS_tabl_2!$A$8:$B$464,GUS_tabl_21!$A$5:$B$4886),2,FALSE)),SUM(FIND("..",TRIM(VLOOKUP(IF(AND(LEN($A851)=4,VALUE(RIGHT($A851,2))&gt;60),$A851&amp;"01 1",$A851),IF(AND(LEN($A851)=4,VALUE(RIGHT($A851,2))&lt;60),GUS_tabl_2!$A$8:$B$464,GUS_tabl_21!$A$5:$B$4886),2,FALSE))),-1)))))</f>
        <v>gm. w. Radomsko</v>
      </c>
      <c r="D851" s="141">
        <f>IF(OR($A851="",ISERROR(VALUE(LEFT($A851,6)))),"",IF(LEN($A851)=2,SUMIF($A852:$A$2965,$A851&amp;"??",$D852:$D$2965),IF(AND(LEN($A851)=4,VALUE(RIGHT($A851,2))&lt;=60),SUMIF($A852:$A$2965,$A851&amp;"????",$D852:$D$2965),VLOOKUP(IF(LEN($A851)=4,$A851&amp;"01 1",$A851),GUS_tabl_21!$A$5:$F$4886,6,FALSE))))</f>
        <v>5582</v>
      </c>
      <c r="E851" s="29"/>
    </row>
    <row r="852" spans="1:5" ht="12" customHeight="1">
      <c r="A852" s="155" t="str">
        <f>"101213 2"</f>
        <v>101213 2</v>
      </c>
      <c r="B852" s="153" t="s">
        <v>39</v>
      </c>
      <c r="C852" s="156" t="str">
        <f>IF(OR($A852="",ISERROR(VALUE(LEFT($A852,6)))),"",IF(LEN($A852)=2,"WOJ. ",IF(LEN($A852)=4,IF(VALUE(RIGHT($A852,2))&gt;60,"","Powiat "),IF(VALUE(RIGHT($A852,1))=1,"m. ",IF(VALUE(RIGHT($A852,1))=2,"gm. w. ",IF(VALUE(RIGHT($A852,1))=8,"dz. ","gm. m.-w. ")))))&amp;IF(LEN($A852)=2,TRIM(UPPER(VLOOKUP($A852,GUS_tabl_1!$A$7:$B$22,2,FALSE))),IF(ISERROR(FIND("..",TRIM(VLOOKUP(IF(AND(LEN($A852)=4,VALUE(RIGHT($A852,2))&gt;60),$A852&amp;"01 1",$A852),IF(AND(LEN($A852)=4,VALUE(RIGHT($A852,2))&lt;60),GUS_tabl_2!$A$8:$B$464,GUS_tabl_21!$A$5:$B$4886),2,FALSE)))),TRIM(VLOOKUP(IF(AND(LEN($A852)=4,VALUE(RIGHT($A852,2))&gt;60),$A852&amp;"01 1",$A852),IF(AND(LEN($A852)=4,VALUE(RIGHT($A852,2))&lt;60),GUS_tabl_2!$A$8:$B$464,GUS_tabl_21!$A$5:$B$4886),2,FALSE)),LEFT(TRIM(VLOOKUP(IF(AND(LEN($A852)=4,VALUE(RIGHT($A852,2))&gt;60),$A852&amp;"01 1",$A852),IF(AND(LEN($A852)=4,VALUE(RIGHT($A852,2))&lt;60),GUS_tabl_2!$A$8:$B$464,GUS_tabl_21!$A$5:$B$4886),2,FALSE)),SUM(FIND("..",TRIM(VLOOKUP(IF(AND(LEN($A852)=4,VALUE(RIGHT($A852,2))&gt;60),$A852&amp;"01 1",$A852),IF(AND(LEN($A852)=4,VALUE(RIGHT($A852,2))&lt;60),GUS_tabl_2!$A$8:$B$464,GUS_tabl_21!$A$5:$B$4886),2,FALSE))),-1)))))</f>
        <v>gm. w. Wielgomłyny</v>
      </c>
      <c r="D852" s="141">
        <f>IF(OR($A852="",ISERROR(VALUE(LEFT($A852,6)))),"",IF(LEN($A852)=2,SUMIF($A853:$A$2965,$A852&amp;"??",$D853:$D$2965),IF(AND(LEN($A852)=4,VALUE(RIGHT($A852,2))&lt;=60),SUMIF($A853:$A$2965,$A852&amp;"????",$D853:$D$2965),VLOOKUP(IF(LEN($A852)=4,$A852&amp;"01 1",$A852),GUS_tabl_21!$A$5:$F$4886,6,FALSE))))</f>
        <v>4546</v>
      </c>
      <c r="E852" s="29"/>
    </row>
    <row r="853" spans="1:5" ht="12" customHeight="1">
      <c r="A853" s="155" t="str">
        <f>"101214 2"</f>
        <v>101214 2</v>
      </c>
      <c r="B853" s="153" t="s">
        <v>39</v>
      </c>
      <c r="C853" s="156" t="str">
        <f>IF(OR($A853="",ISERROR(VALUE(LEFT($A853,6)))),"",IF(LEN($A853)=2,"WOJ. ",IF(LEN($A853)=4,IF(VALUE(RIGHT($A853,2))&gt;60,"","Powiat "),IF(VALUE(RIGHT($A853,1))=1,"m. ",IF(VALUE(RIGHT($A853,1))=2,"gm. w. ",IF(VALUE(RIGHT($A853,1))=8,"dz. ","gm. m.-w. ")))))&amp;IF(LEN($A853)=2,TRIM(UPPER(VLOOKUP($A853,GUS_tabl_1!$A$7:$B$22,2,FALSE))),IF(ISERROR(FIND("..",TRIM(VLOOKUP(IF(AND(LEN($A853)=4,VALUE(RIGHT($A853,2))&gt;60),$A853&amp;"01 1",$A853),IF(AND(LEN($A853)=4,VALUE(RIGHT($A853,2))&lt;60),GUS_tabl_2!$A$8:$B$464,GUS_tabl_21!$A$5:$B$4886),2,FALSE)))),TRIM(VLOOKUP(IF(AND(LEN($A853)=4,VALUE(RIGHT($A853,2))&gt;60),$A853&amp;"01 1",$A853),IF(AND(LEN($A853)=4,VALUE(RIGHT($A853,2))&lt;60),GUS_tabl_2!$A$8:$B$464,GUS_tabl_21!$A$5:$B$4886),2,FALSE)),LEFT(TRIM(VLOOKUP(IF(AND(LEN($A853)=4,VALUE(RIGHT($A853,2))&gt;60),$A853&amp;"01 1",$A853),IF(AND(LEN($A853)=4,VALUE(RIGHT($A853,2))&lt;60),GUS_tabl_2!$A$8:$B$464,GUS_tabl_21!$A$5:$B$4886),2,FALSE)),SUM(FIND("..",TRIM(VLOOKUP(IF(AND(LEN($A853)=4,VALUE(RIGHT($A853,2))&gt;60),$A853&amp;"01 1",$A853),IF(AND(LEN($A853)=4,VALUE(RIGHT($A853,2))&lt;60),GUS_tabl_2!$A$8:$B$464,GUS_tabl_21!$A$5:$B$4886),2,FALSE))),-1)))))</f>
        <v>gm. w. Żytno</v>
      </c>
      <c r="D853" s="141">
        <f>IF(OR($A853="",ISERROR(VALUE(LEFT($A853,6)))),"",IF(LEN($A853)=2,SUMIF($A854:$A$2965,$A853&amp;"??",$D854:$D$2965),IF(AND(LEN($A853)=4,VALUE(RIGHT($A853,2))&lt;=60),SUMIF($A854:$A$2965,$A853&amp;"????",$D854:$D$2965),VLOOKUP(IF(LEN($A853)=4,$A853&amp;"01 1",$A853),GUS_tabl_21!$A$5:$F$4886,6,FALSE))))</f>
        <v>5096</v>
      </c>
      <c r="E853" s="29"/>
    </row>
    <row r="854" spans="1:5" ht="12" customHeight="1">
      <c r="A854" s="152" t="str">
        <f>"1013"</f>
        <v>1013</v>
      </c>
      <c r="B854" s="153" t="s">
        <v>39</v>
      </c>
      <c r="C854" s="154" t="str">
        <f>IF(OR($A854="",ISERROR(VALUE(LEFT($A854,6)))),"",IF(LEN($A854)=2,"WOJ. ",IF(LEN($A854)=4,IF(VALUE(RIGHT($A854,2))&gt;60,"","Powiat "),IF(VALUE(RIGHT($A854,1))=1,"m. ",IF(VALUE(RIGHT($A854,1))=2,"gm. w. ",IF(VALUE(RIGHT($A854,1))=8,"dz. ","gm. m.-w. ")))))&amp;IF(LEN($A854)=2,TRIM(UPPER(VLOOKUP($A854,GUS_tabl_1!$A$7:$B$22,2,FALSE))),IF(ISERROR(FIND("..",TRIM(VLOOKUP(IF(AND(LEN($A854)=4,VALUE(RIGHT($A854,2))&gt;60),$A854&amp;"01 1",$A854),IF(AND(LEN($A854)=4,VALUE(RIGHT($A854,2))&lt;60),GUS_tabl_2!$A$8:$B$464,GUS_tabl_21!$A$5:$B$4886),2,FALSE)))),TRIM(VLOOKUP(IF(AND(LEN($A854)=4,VALUE(RIGHT($A854,2))&gt;60),$A854&amp;"01 1",$A854),IF(AND(LEN($A854)=4,VALUE(RIGHT($A854,2))&lt;60),GUS_tabl_2!$A$8:$B$464,GUS_tabl_21!$A$5:$B$4886),2,FALSE)),LEFT(TRIM(VLOOKUP(IF(AND(LEN($A854)=4,VALUE(RIGHT($A854,2))&gt;60),$A854&amp;"01 1",$A854),IF(AND(LEN($A854)=4,VALUE(RIGHT($A854,2))&lt;60),GUS_tabl_2!$A$8:$B$464,GUS_tabl_21!$A$5:$B$4886),2,FALSE)),SUM(FIND("..",TRIM(VLOOKUP(IF(AND(LEN($A854)=4,VALUE(RIGHT($A854,2))&gt;60),$A854&amp;"01 1",$A854),IF(AND(LEN($A854)=4,VALUE(RIGHT($A854,2))&lt;60),GUS_tabl_2!$A$8:$B$464,GUS_tabl_21!$A$5:$B$4886),2,FALSE))),-1)))))</f>
        <v>Powiat rawski</v>
      </c>
      <c r="D854" s="140">
        <f>IF(OR($A854="",ISERROR(VALUE(LEFT($A854,6)))),"",IF(LEN($A854)=2,SUMIF($A855:$A$2965,$A854&amp;"??",$D855:$D$2965),IF(AND(LEN($A854)=4,VALUE(RIGHT($A854,2))&lt;=60),SUMIF($A855:$A$2965,$A854&amp;"????",$D855:$D$2965),VLOOKUP(IF(LEN($A854)=4,$A854&amp;"01 1",$A854),GUS_tabl_21!$A$5:$F$4886,6,FALSE))))</f>
        <v>48592</v>
      </c>
      <c r="E854" s="29"/>
    </row>
    <row r="855" spans="1:5" ht="12" customHeight="1">
      <c r="A855" s="155" t="str">
        <f>"101301 1"</f>
        <v>101301 1</v>
      </c>
      <c r="B855" s="153" t="s">
        <v>39</v>
      </c>
      <c r="C855" s="156" t="str">
        <f>IF(OR($A855="",ISERROR(VALUE(LEFT($A855,6)))),"",IF(LEN($A855)=2,"WOJ. ",IF(LEN($A855)=4,IF(VALUE(RIGHT($A855,2))&gt;60,"","Powiat "),IF(VALUE(RIGHT($A855,1))=1,"m. ",IF(VALUE(RIGHT($A855,1))=2,"gm. w. ",IF(VALUE(RIGHT($A855,1))=8,"dz. ","gm. m.-w. ")))))&amp;IF(LEN($A855)=2,TRIM(UPPER(VLOOKUP($A855,GUS_tabl_1!$A$7:$B$22,2,FALSE))),IF(ISERROR(FIND("..",TRIM(VLOOKUP(IF(AND(LEN($A855)=4,VALUE(RIGHT($A855,2))&gt;60),$A855&amp;"01 1",$A855),IF(AND(LEN($A855)=4,VALUE(RIGHT($A855,2))&lt;60),GUS_tabl_2!$A$8:$B$464,GUS_tabl_21!$A$5:$B$4886),2,FALSE)))),TRIM(VLOOKUP(IF(AND(LEN($A855)=4,VALUE(RIGHT($A855,2))&gt;60),$A855&amp;"01 1",$A855),IF(AND(LEN($A855)=4,VALUE(RIGHT($A855,2))&lt;60),GUS_tabl_2!$A$8:$B$464,GUS_tabl_21!$A$5:$B$4886),2,FALSE)),LEFT(TRIM(VLOOKUP(IF(AND(LEN($A855)=4,VALUE(RIGHT($A855,2))&gt;60),$A855&amp;"01 1",$A855),IF(AND(LEN($A855)=4,VALUE(RIGHT($A855,2))&lt;60),GUS_tabl_2!$A$8:$B$464,GUS_tabl_21!$A$5:$B$4886),2,FALSE)),SUM(FIND("..",TRIM(VLOOKUP(IF(AND(LEN($A855)=4,VALUE(RIGHT($A855,2))&gt;60),$A855&amp;"01 1",$A855),IF(AND(LEN($A855)=4,VALUE(RIGHT($A855,2))&lt;60),GUS_tabl_2!$A$8:$B$464,GUS_tabl_21!$A$5:$B$4886),2,FALSE))),-1)))))</f>
        <v>m. Rawa Mazowiecka</v>
      </c>
      <c r="D855" s="141">
        <f>IF(OR($A855="",ISERROR(VALUE(LEFT($A855,6)))),"",IF(LEN($A855)=2,SUMIF($A856:$A$2965,$A855&amp;"??",$D856:$D$2965),IF(AND(LEN($A855)=4,VALUE(RIGHT($A855,2))&lt;=60),SUMIF($A856:$A$2965,$A855&amp;"????",$D856:$D$2965),VLOOKUP(IF(LEN($A855)=4,$A855&amp;"01 1",$A855),GUS_tabl_21!$A$5:$F$4886,6,FALSE))))</f>
        <v>17324</v>
      </c>
      <c r="E855" s="29"/>
    </row>
    <row r="856" spans="1:5" ht="12" customHeight="1">
      <c r="A856" s="155" t="str">
        <f>"101302 3"</f>
        <v>101302 3</v>
      </c>
      <c r="B856" s="153" t="s">
        <v>39</v>
      </c>
      <c r="C856" s="156" t="str">
        <f>IF(OR($A856="",ISERROR(VALUE(LEFT($A856,6)))),"",IF(LEN($A856)=2,"WOJ. ",IF(LEN($A856)=4,IF(VALUE(RIGHT($A856,2))&gt;60,"","Powiat "),IF(VALUE(RIGHT($A856,1))=1,"m. ",IF(VALUE(RIGHT($A856,1))=2,"gm. w. ",IF(VALUE(RIGHT($A856,1))=8,"dz. ","gm. m.-w. ")))))&amp;IF(LEN($A856)=2,TRIM(UPPER(VLOOKUP($A856,GUS_tabl_1!$A$7:$B$22,2,FALSE))),IF(ISERROR(FIND("..",TRIM(VLOOKUP(IF(AND(LEN($A856)=4,VALUE(RIGHT($A856,2))&gt;60),$A856&amp;"01 1",$A856),IF(AND(LEN($A856)=4,VALUE(RIGHT($A856,2))&lt;60),GUS_tabl_2!$A$8:$B$464,GUS_tabl_21!$A$5:$B$4886),2,FALSE)))),TRIM(VLOOKUP(IF(AND(LEN($A856)=4,VALUE(RIGHT($A856,2))&gt;60),$A856&amp;"01 1",$A856),IF(AND(LEN($A856)=4,VALUE(RIGHT($A856,2))&lt;60),GUS_tabl_2!$A$8:$B$464,GUS_tabl_21!$A$5:$B$4886),2,FALSE)),LEFT(TRIM(VLOOKUP(IF(AND(LEN($A856)=4,VALUE(RIGHT($A856,2))&gt;60),$A856&amp;"01 1",$A856),IF(AND(LEN($A856)=4,VALUE(RIGHT($A856,2))&lt;60),GUS_tabl_2!$A$8:$B$464,GUS_tabl_21!$A$5:$B$4886),2,FALSE)),SUM(FIND("..",TRIM(VLOOKUP(IF(AND(LEN($A856)=4,VALUE(RIGHT($A856,2))&gt;60),$A856&amp;"01 1",$A856),IF(AND(LEN($A856)=4,VALUE(RIGHT($A856,2))&lt;60),GUS_tabl_2!$A$8:$B$464,GUS_tabl_21!$A$5:$B$4886),2,FALSE))),-1)))))</f>
        <v>gm. m.-w. Biała Rawska</v>
      </c>
      <c r="D856" s="141">
        <f>IF(OR($A856="",ISERROR(VALUE(LEFT($A856,6)))),"",IF(LEN($A856)=2,SUMIF($A857:$A$2965,$A856&amp;"??",$D857:$D$2965),IF(AND(LEN($A856)=4,VALUE(RIGHT($A856,2))&lt;=60),SUMIF($A857:$A$2965,$A856&amp;"????",$D857:$D$2965),VLOOKUP(IF(LEN($A856)=4,$A856&amp;"01 1",$A856),GUS_tabl_21!$A$5:$F$4886,6,FALSE))))</f>
        <v>11285</v>
      </c>
      <c r="E856" s="29"/>
    </row>
    <row r="857" spans="1:5" ht="12" customHeight="1">
      <c r="A857" s="155" t="str">
        <f>"101303 2"</f>
        <v>101303 2</v>
      </c>
      <c r="B857" s="153" t="s">
        <v>39</v>
      </c>
      <c r="C857" s="156" t="str">
        <f>IF(OR($A857="",ISERROR(VALUE(LEFT($A857,6)))),"",IF(LEN($A857)=2,"WOJ. ",IF(LEN($A857)=4,IF(VALUE(RIGHT($A857,2))&gt;60,"","Powiat "),IF(VALUE(RIGHT($A857,1))=1,"m. ",IF(VALUE(RIGHT($A857,1))=2,"gm. w. ",IF(VALUE(RIGHT($A857,1))=8,"dz. ","gm. m.-w. ")))))&amp;IF(LEN($A857)=2,TRIM(UPPER(VLOOKUP($A857,GUS_tabl_1!$A$7:$B$22,2,FALSE))),IF(ISERROR(FIND("..",TRIM(VLOOKUP(IF(AND(LEN($A857)=4,VALUE(RIGHT($A857,2))&gt;60),$A857&amp;"01 1",$A857),IF(AND(LEN($A857)=4,VALUE(RIGHT($A857,2))&lt;60),GUS_tabl_2!$A$8:$B$464,GUS_tabl_21!$A$5:$B$4886),2,FALSE)))),TRIM(VLOOKUP(IF(AND(LEN($A857)=4,VALUE(RIGHT($A857,2))&gt;60),$A857&amp;"01 1",$A857),IF(AND(LEN($A857)=4,VALUE(RIGHT($A857,2))&lt;60),GUS_tabl_2!$A$8:$B$464,GUS_tabl_21!$A$5:$B$4886),2,FALSE)),LEFT(TRIM(VLOOKUP(IF(AND(LEN($A857)=4,VALUE(RIGHT($A857,2))&gt;60),$A857&amp;"01 1",$A857),IF(AND(LEN($A857)=4,VALUE(RIGHT($A857,2))&lt;60),GUS_tabl_2!$A$8:$B$464,GUS_tabl_21!$A$5:$B$4886),2,FALSE)),SUM(FIND("..",TRIM(VLOOKUP(IF(AND(LEN($A857)=4,VALUE(RIGHT($A857,2))&gt;60),$A857&amp;"01 1",$A857),IF(AND(LEN($A857)=4,VALUE(RIGHT($A857,2))&lt;60),GUS_tabl_2!$A$8:$B$464,GUS_tabl_21!$A$5:$B$4886),2,FALSE))),-1)))))</f>
        <v>gm. w. Cielądz</v>
      </c>
      <c r="D857" s="141">
        <f>IF(OR($A857="",ISERROR(VALUE(LEFT($A857,6)))),"",IF(LEN($A857)=2,SUMIF($A858:$A$2965,$A857&amp;"??",$D858:$D$2965),IF(AND(LEN($A857)=4,VALUE(RIGHT($A857,2))&lt;=60),SUMIF($A858:$A$2965,$A857&amp;"????",$D858:$D$2965),VLOOKUP(IF(LEN($A857)=4,$A857&amp;"01 1",$A857),GUS_tabl_21!$A$5:$F$4886,6,FALSE))))</f>
        <v>3965</v>
      </c>
      <c r="E857" s="29"/>
    </row>
    <row r="858" spans="1:5" ht="12" customHeight="1">
      <c r="A858" s="155" t="str">
        <f>"101304 2"</f>
        <v>101304 2</v>
      </c>
      <c r="B858" s="153" t="s">
        <v>39</v>
      </c>
      <c r="C858" s="156" t="str">
        <f>IF(OR($A858="",ISERROR(VALUE(LEFT($A858,6)))),"",IF(LEN($A858)=2,"WOJ. ",IF(LEN($A858)=4,IF(VALUE(RIGHT($A858,2))&gt;60,"","Powiat "),IF(VALUE(RIGHT($A858,1))=1,"m. ",IF(VALUE(RIGHT($A858,1))=2,"gm. w. ",IF(VALUE(RIGHT($A858,1))=8,"dz. ","gm. m.-w. ")))))&amp;IF(LEN($A858)=2,TRIM(UPPER(VLOOKUP($A858,GUS_tabl_1!$A$7:$B$22,2,FALSE))),IF(ISERROR(FIND("..",TRIM(VLOOKUP(IF(AND(LEN($A858)=4,VALUE(RIGHT($A858,2))&gt;60),$A858&amp;"01 1",$A858),IF(AND(LEN($A858)=4,VALUE(RIGHT($A858,2))&lt;60),GUS_tabl_2!$A$8:$B$464,GUS_tabl_21!$A$5:$B$4886),2,FALSE)))),TRIM(VLOOKUP(IF(AND(LEN($A858)=4,VALUE(RIGHT($A858,2))&gt;60),$A858&amp;"01 1",$A858),IF(AND(LEN($A858)=4,VALUE(RIGHT($A858,2))&lt;60),GUS_tabl_2!$A$8:$B$464,GUS_tabl_21!$A$5:$B$4886),2,FALSE)),LEFT(TRIM(VLOOKUP(IF(AND(LEN($A858)=4,VALUE(RIGHT($A858,2))&gt;60),$A858&amp;"01 1",$A858),IF(AND(LEN($A858)=4,VALUE(RIGHT($A858,2))&lt;60),GUS_tabl_2!$A$8:$B$464,GUS_tabl_21!$A$5:$B$4886),2,FALSE)),SUM(FIND("..",TRIM(VLOOKUP(IF(AND(LEN($A858)=4,VALUE(RIGHT($A858,2))&gt;60),$A858&amp;"01 1",$A858),IF(AND(LEN($A858)=4,VALUE(RIGHT($A858,2))&lt;60),GUS_tabl_2!$A$8:$B$464,GUS_tabl_21!$A$5:$B$4886),2,FALSE))),-1)))))</f>
        <v>gm. w. Rawa Mazowiecka</v>
      </c>
      <c r="D858" s="141">
        <f>IF(OR($A858="",ISERROR(VALUE(LEFT($A858,6)))),"",IF(LEN($A858)=2,SUMIF($A859:$A$2965,$A858&amp;"??",$D859:$D$2965),IF(AND(LEN($A858)=4,VALUE(RIGHT($A858,2))&lt;=60),SUMIF($A859:$A$2965,$A858&amp;"????",$D859:$D$2965),VLOOKUP(IF(LEN($A858)=4,$A858&amp;"01 1",$A858),GUS_tabl_21!$A$5:$F$4886,6,FALSE))))</f>
        <v>8788</v>
      </c>
      <c r="E858" s="29"/>
    </row>
    <row r="859" spans="1:5" ht="12" customHeight="1">
      <c r="A859" s="155" t="str">
        <f>"101305 2"</f>
        <v>101305 2</v>
      </c>
      <c r="B859" s="153" t="s">
        <v>39</v>
      </c>
      <c r="C859" s="156" t="str">
        <f>IF(OR($A859="",ISERROR(VALUE(LEFT($A859,6)))),"",IF(LEN($A859)=2,"WOJ. ",IF(LEN($A859)=4,IF(VALUE(RIGHT($A859,2))&gt;60,"","Powiat "),IF(VALUE(RIGHT($A859,1))=1,"m. ",IF(VALUE(RIGHT($A859,1))=2,"gm. w. ",IF(VALUE(RIGHT($A859,1))=8,"dz. ","gm. m.-w. ")))))&amp;IF(LEN($A859)=2,TRIM(UPPER(VLOOKUP($A859,GUS_tabl_1!$A$7:$B$22,2,FALSE))),IF(ISERROR(FIND("..",TRIM(VLOOKUP(IF(AND(LEN($A859)=4,VALUE(RIGHT($A859,2))&gt;60),$A859&amp;"01 1",$A859),IF(AND(LEN($A859)=4,VALUE(RIGHT($A859,2))&lt;60),GUS_tabl_2!$A$8:$B$464,GUS_tabl_21!$A$5:$B$4886),2,FALSE)))),TRIM(VLOOKUP(IF(AND(LEN($A859)=4,VALUE(RIGHT($A859,2))&gt;60),$A859&amp;"01 1",$A859),IF(AND(LEN($A859)=4,VALUE(RIGHT($A859,2))&lt;60),GUS_tabl_2!$A$8:$B$464,GUS_tabl_21!$A$5:$B$4886),2,FALSE)),LEFT(TRIM(VLOOKUP(IF(AND(LEN($A859)=4,VALUE(RIGHT($A859,2))&gt;60),$A859&amp;"01 1",$A859),IF(AND(LEN($A859)=4,VALUE(RIGHT($A859,2))&lt;60),GUS_tabl_2!$A$8:$B$464,GUS_tabl_21!$A$5:$B$4886),2,FALSE)),SUM(FIND("..",TRIM(VLOOKUP(IF(AND(LEN($A859)=4,VALUE(RIGHT($A859,2))&gt;60),$A859&amp;"01 1",$A859),IF(AND(LEN($A859)=4,VALUE(RIGHT($A859,2))&lt;60),GUS_tabl_2!$A$8:$B$464,GUS_tabl_21!$A$5:$B$4886),2,FALSE))),-1)))))</f>
        <v>gm. w. Regnów</v>
      </c>
      <c r="D859" s="141">
        <f>IF(OR($A859="",ISERROR(VALUE(LEFT($A859,6)))),"",IF(LEN($A859)=2,SUMIF($A860:$A$2965,$A859&amp;"??",$D860:$D$2965),IF(AND(LEN($A859)=4,VALUE(RIGHT($A859,2))&lt;=60),SUMIF($A860:$A$2965,$A859&amp;"????",$D860:$D$2965),VLOOKUP(IF(LEN($A859)=4,$A859&amp;"01 1",$A859),GUS_tabl_21!$A$5:$F$4886,6,FALSE))))</f>
        <v>1818</v>
      </c>
      <c r="E859" s="29"/>
    </row>
    <row r="860" spans="1:5" ht="12" customHeight="1">
      <c r="A860" s="155" t="str">
        <f>"101306 2"</f>
        <v>101306 2</v>
      </c>
      <c r="B860" s="153" t="s">
        <v>39</v>
      </c>
      <c r="C860" s="156" t="str">
        <f>IF(OR($A860="",ISERROR(VALUE(LEFT($A860,6)))),"",IF(LEN($A860)=2,"WOJ. ",IF(LEN($A860)=4,IF(VALUE(RIGHT($A860,2))&gt;60,"","Powiat "),IF(VALUE(RIGHT($A860,1))=1,"m. ",IF(VALUE(RIGHT($A860,1))=2,"gm. w. ",IF(VALUE(RIGHT($A860,1))=8,"dz. ","gm. m.-w. ")))))&amp;IF(LEN($A860)=2,TRIM(UPPER(VLOOKUP($A860,GUS_tabl_1!$A$7:$B$22,2,FALSE))),IF(ISERROR(FIND("..",TRIM(VLOOKUP(IF(AND(LEN($A860)=4,VALUE(RIGHT($A860,2))&gt;60),$A860&amp;"01 1",$A860),IF(AND(LEN($A860)=4,VALUE(RIGHT($A860,2))&lt;60),GUS_tabl_2!$A$8:$B$464,GUS_tabl_21!$A$5:$B$4886),2,FALSE)))),TRIM(VLOOKUP(IF(AND(LEN($A860)=4,VALUE(RIGHT($A860,2))&gt;60),$A860&amp;"01 1",$A860),IF(AND(LEN($A860)=4,VALUE(RIGHT($A860,2))&lt;60),GUS_tabl_2!$A$8:$B$464,GUS_tabl_21!$A$5:$B$4886),2,FALSE)),LEFT(TRIM(VLOOKUP(IF(AND(LEN($A860)=4,VALUE(RIGHT($A860,2))&gt;60),$A860&amp;"01 1",$A860),IF(AND(LEN($A860)=4,VALUE(RIGHT($A860,2))&lt;60),GUS_tabl_2!$A$8:$B$464,GUS_tabl_21!$A$5:$B$4886),2,FALSE)),SUM(FIND("..",TRIM(VLOOKUP(IF(AND(LEN($A860)=4,VALUE(RIGHT($A860,2))&gt;60),$A860&amp;"01 1",$A860),IF(AND(LEN($A860)=4,VALUE(RIGHT($A860,2))&lt;60),GUS_tabl_2!$A$8:$B$464,GUS_tabl_21!$A$5:$B$4886),2,FALSE))),-1)))))</f>
        <v>gm. w. Sadkowice</v>
      </c>
      <c r="D860" s="141">
        <f>IF(OR($A860="",ISERROR(VALUE(LEFT($A860,6)))),"",IF(LEN($A860)=2,SUMIF($A861:$A$2965,$A860&amp;"??",$D861:$D$2965),IF(AND(LEN($A860)=4,VALUE(RIGHT($A860,2))&lt;=60),SUMIF($A861:$A$2965,$A860&amp;"????",$D861:$D$2965),VLOOKUP(IF(LEN($A860)=4,$A860&amp;"01 1",$A860),GUS_tabl_21!$A$5:$F$4886,6,FALSE))))</f>
        <v>5412</v>
      </c>
      <c r="E860" s="29"/>
    </row>
    <row r="861" spans="1:5" ht="12" customHeight="1">
      <c r="A861" s="152" t="str">
        <f>"1014"</f>
        <v>1014</v>
      </c>
      <c r="B861" s="153" t="s">
        <v>39</v>
      </c>
      <c r="C861" s="154" t="str">
        <f>IF(OR($A861="",ISERROR(VALUE(LEFT($A861,6)))),"",IF(LEN($A861)=2,"WOJ. ",IF(LEN($A861)=4,IF(VALUE(RIGHT($A861,2))&gt;60,"","Powiat "),IF(VALUE(RIGHT($A861,1))=1,"m. ",IF(VALUE(RIGHT($A861,1))=2,"gm. w. ",IF(VALUE(RIGHT($A861,1))=8,"dz. ","gm. m.-w. ")))))&amp;IF(LEN($A861)=2,TRIM(UPPER(VLOOKUP($A861,GUS_tabl_1!$A$7:$B$22,2,FALSE))),IF(ISERROR(FIND("..",TRIM(VLOOKUP(IF(AND(LEN($A861)=4,VALUE(RIGHT($A861,2))&gt;60),$A861&amp;"01 1",$A861),IF(AND(LEN($A861)=4,VALUE(RIGHT($A861,2))&lt;60),GUS_tabl_2!$A$8:$B$464,GUS_tabl_21!$A$5:$B$4886),2,FALSE)))),TRIM(VLOOKUP(IF(AND(LEN($A861)=4,VALUE(RIGHT($A861,2))&gt;60),$A861&amp;"01 1",$A861),IF(AND(LEN($A861)=4,VALUE(RIGHT($A861,2))&lt;60),GUS_tabl_2!$A$8:$B$464,GUS_tabl_21!$A$5:$B$4886),2,FALSE)),LEFT(TRIM(VLOOKUP(IF(AND(LEN($A861)=4,VALUE(RIGHT($A861,2))&gt;60),$A861&amp;"01 1",$A861),IF(AND(LEN($A861)=4,VALUE(RIGHT($A861,2))&lt;60),GUS_tabl_2!$A$8:$B$464,GUS_tabl_21!$A$5:$B$4886),2,FALSE)),SUM(FIND("..",TRIM(VLOOKUP(IF(AND(LEN($A861)=4,VALUE(RIGHT($A861,2))&gt;60),$A861&amp;"01 1",$A861),IF(AND(LEN($A861)=4,VALUE(RIGHT($A861,2))&lt;60),GUS_tabl_2!$A$8:$B$464,GUS_tabl_21!$A$5:$B$4886),2,FALSE))),-1)))))</f>
        <v>Powiat sieradzki</v>
      </c>
      <c r="D861" s="140">
        <f>IF(OR($A861="",ISERROR(VALUE(LEFT($A861,6)))),"",IF(LEN($A861)=2,SUMIF($A862:$A$2965,$A861&amp;"??",$D862:$D$2965),IF(AND(LEN($A861)=4,VALUE(RIGHT($A861,2))&lt;=60),SUMIF($A862:$A$2965,$A861&amp;"????",$D862:$D$2965),VLOOKUP(IF(LEN($A861)=4,$A861&amp;"01 1",$A861),GUS_tabl_21!$A$5:$F$4886,6,FALSE))))</f>
        <v>117674</v>
      </c>
      <c r="E861" s="29"/>
    </row>
    <row r="862" spans="1:5" ht="12" customHeight="1">
      <c r="A862" s="155" t="str">
        <f>"101401 1"</f>
        <v>101401 1</v>
      </c>
      <c r="B862" s="153" t="s">
        <v>39</v>
      </c>
      <c r="C862" s="156" t="str">
        <f>IF(OR($A862="",ISERROR(VALUE(LEFT($A862,6)))),"",IF(LEN($A862)=2,"WOJ. ",IF(LEN($A862)=4,IF(VALUE(RIGHT($A862,2))&gt;60,"","Powiat "),IF(VALUE(RIGHT($A862,1))=1,"m. ",IF(VALUE(RIGHT($A862,1))=2,"gm. w. ",IF(VALUE(RIGHT($A862,1))=8,"dz. ","gm. m.-w. ")))))&amp;IF(LEN($A862)=2,TRIM(UPPER(VLOOKUP($A862,GUS_tabl_1!$A$7:$B$22,2,FALSE))),IF(ISERROR(FIND("..",TRIM(VLOOKUP(IF(AND(LEN($A862)=4,VALUE(RIGHT($A862,2))&gt;60),$A862&amp;"01 1",$A862),IF(AND(LEN($A862)=4,VALUE(RIGHT($A862,2))&lt;60),GUS_tabl_2!$A$8:$B$464,GUS_tabl_21!$A$5:$B$4886),2,FALSE)))),TRIM(VLOOKUP(IF(AND(LEN($A862)=4,VALUE(RIGHT($A862,2))&gt;60),$A862&amp;"01 1",$A862),IF(AND(LEN($A862)=4,VALUE(RIGHT($A862,2))&lt;60),GUS_tabl_2!$A$8:$B$464,GUS_tabl_21!$A$5:$B$4886),2,FALSE)),LEFT(TRIM(VLOOKUP(IF(AND(LEN($A862)=4,VALUE(RIGHT($A862,2))&gt;60),$A862&amp;"01 1",$A862),IF(AND(LEN($A862)=4,VALUE(RIGHT($A862,2))&lt;60),GUS_tabl_2!$A$8:$B$464,GUS_tabl_21!$A$5:$B$4886),2,FALSE)),SUM(FIND("..",TRIM(VLOOKUP(IF(AND(LEN($A862)=4,VALUE(RIGHT($A862,2))&gt;60),$A862&amp;"01 1",$A862),IF(AND(LEN($A862)=4,VALUE(RIGHT($A862,2))&lt;60),GUS_tabl_2!$A$8:$B$464,GUS_tabl_21!$A$5:$B$4886),2,FALSE))),-1)))))</f>
        <v>m. Sieradz</v>
      </c>
      <c r="D862" s="141">
        <f>IF(OR($A862="",ISERROR(VALUE(LEFT($A862,6)))),"",IF(LEN($A862)=2,SUMIF($A863:$A$2965,$A862&amp;"??",$D863:$D$2965),IF(AND(LEN($A862)=4,VALUE(RIGHT($A862,2))&lt;=60),SUMIF($A863:$A$2965,$A862&amp;"????",$D863:$D$2965),VLOOKUP(IF(LEN($A862)=4,$A862&amp;"01 1",$A862),GUS_tabl_21!$A$5:$F$4886,6,FALSE))))</f>
        <v>41953</v>
      </c>
      <c r="E862" s="29"/>
    </row>
    <row r="863" spans="1:5" ht="12" customHeight="1">
      <c r="A863" s="155" t="str">
        <f>"101402 3"</f>
        <v>101402 3</v>
      </c>
      <c r="B863" s="153" t="s">
        <v>39</v>
      </c>
      <c r="C863" s="156" t="str">
        <f>IF(OR($A863="",ISERROR(VALUE(LEFT($A863,6)))),"",IF(LEN($A863)=2,"WOJ. ",IF(LEN($A863)=4,IF(VALUE(RIGHT($A863,2))&gt;60,"","Powiat "),IF(VALUE(RIGHT($A863,1))=1,"m. ",IF(VALUE(RIGHT($A863,1))=2,"gm. w. ",IF(VALUE(RIGHT($A863,1))=8,"dz. ","gm. m.-w. ")))))&amp;IF(LEN($A863)=2,TRIM(UPPER(VLOOKUP($A863,GUS_tabl_1!$A$7:$B$22,2,FALSE))),IF(ISERROR(FIND("..",TRIM(VLOOKUP(IF(AND(LEN($A863)=4,VALUE(RIGHT($A863,2))&gt;60),$A863&amp;"01 1",$A863),IF(AND(LEN($A863)=4,VALUE(RIGHT($A863,2))&lt;60),GUS_tabl_2!$A$8:$B$464,GUS_tabl_21!$A$5:$B$4886),2,FALSE)))),TRIM(VLOOKUP(IF(AND(LEN($A863)=4,VALUE(RIGHT($A863,2))&gt;60),$A863&amp;"01 1",$A863),IF(AND(LEN($A863)=4,VALUE(RIGHT($A863,2))&lt;60),GUS_tabl_2!$A$8:$B$464,GUS_tabl_21!$A$5:$B$4886),2,FALSE)),LEFT(TRIM(VLOOKUP(IF(AND(LEN($A863)=4,VALUE(RIGHT($A863,2))&gt;60),$A863&amp;"01 1",$A863),IF(AND(LEN($A863)=4,VALUE(RIGHT($A863,2))&lt;60),GUS_tabl_2!$A$8:$B$464,GUS_tabl_21!$A$5:$B$4886),2,FALSE)),SUM(FIND("..",TRIM(VLOOKUP(IF(AND(LEN($A863)=4,VALUE(RIGHT($A863,2))&gt;60),$A863&amp;"01 1",$A863),IF(AND(LEN($A863)=4,VALUE(RIGHT($A863,2))&lt;60),GUS_tabl_2!$A$8:$B$464,GUS_tabl_21!$A$5:$B$4886),2,FALSE))),-1)))))</f>
        <v>gm. m.-w. Błaszki</v>
      </c>
      <c r="D863" s="141">
        <f>IF(OR($A863="",ISERROR(VALUE(LEFT($A863,6)))),"",IF(LEN($A863)=2,SUMIF($A864:$A$2965,$A863&amp;"??",$D864:$D$2965),IF(AND(LEN($A863)=4,VALUE(RIGHT($A863,2))&lt;=60),SUMIF($A864:$A$2965,$A863&amp;"????",$D864:$D$2965),VLOOKUP(IF(LEN($A863)=4,$A863&amp;"01 1",$A863),GUS_tabl_21!$A$5:$F$4886,6,FALSE))))</f>
        <v>14458</v>
      </c>
      <c r="E863" s="29"/>
    </row>
    <row r="864" spans="1:5" ht="12" customHeight="1">
      <c r="A864" s="155" t="str">
        <f>"101403 2"</f>
        <v>101403 2</v>
      </c>
      <c r="B864" s="153" t="s">
        <v>39</v>
      </c>
      <c r="C864" s="156" t="str">
        <f>IF(OR($A864="",ISERROR(VALUE(LEFT($A864,6)))),"",IF(LEN($A864)=2,"WOJ. ",IF(LEN($A864)=4,IF(VALUE(RIGHT($A864,2))&gt;60,"","Powiat "),IF(VALUE(RIGHT($A864,1))=1,"m. ",IF(VALUE(RIGHT($A864,1))=2,"gm. w. ",IF(VALUE(RIGHT($A864,1))=8,"dz. ","gm. m.-w. ")))))&amp;IF(LEN($A864)=2,TRIM(UPPER(VLOOKUP($A864,GUS_tabl_1!$A$7:$B$22,2,FALSE))),IF(ISERROR(FIND("..",TRIM(VLOOKUP(IF(AND(LEN($A864)=4,VALUE(RIGHT($A864,2))&gt;60),$A864&amp;"01 1",$A864),IF(AND(LEN($A864)=4,VALUE(RIGHT($A864,2))&lt;60),GUS_tabl_2!$A$8:$B$464,GUS_tabl_21!$A$5:$B$4886),2,FALSE)))),TRIM(VLOOKUP(IF(AND(LEN($A864)=4,VALUE(RIGHT($A864,2))&gt;60),$A864&amp;"01 1",$A864),IF(AND(LEN($A864)=4,VALUE(RIGHT($A864,2))&lt;60),GUS_tabl_2!$A$8:$B$464,GUS_tabl_21!$A$5:$B$4886),2,FALSE)),LEFT(TRIM(VLOOKUP(IF(AND(LEN($A864)=4,VALUE(RIGHT($A864,2))&gt;60),$A864&amp;"01 1",$A864),IF(AND(LEN($A864)=4,VALUE(RIGHT($A864,2))&lt;60),GUS_tabl_2!$A$8:$B$464,GUS_tabl_21!$A$5:$B$4886),2,FALSE)),SUM(FIND("..",TRIM(VLOOKUP(IF(AND(LEN($A864)=4,VALUE(RIGHT($A864,2))&gt;60),$A864&amp;"01 1",$A864),IF(AND(LEN($A864)=4,VALUE(RIGHT($A864,2))&lt;60),GUS_tabl_2!$A$8:$B$464,GUS_tabl_21!$A$5:$B$4886),2,FALSE))),-1)))))</f>
        <v>gm. w. Brąszewice</v>
      </c>
      <c r="D864" s="141">
        <f>IF(OR($A864="",ISERROR(VALUE(LEFT($A864,6)))),"",IF(LEN($A864)=2,SUMIF($A865:$A$2965,$A864&amp;"??",$D865:$D$2965),IF(AND(LEN($A864)=4,VALUE(RIGHT($A864,2))&lt;=60),SUMIF($A865:$A$2965,$A864&amp;"????",$D865:$D$2965),VLOOKUP(IF(LEN($A864)=4,$A864&amp;"01 1",$A864),GUS_tabl_21!$A$5:$F$4886,6,FALSE))))</f>
        <v>4471</v>
      </c>
      <c r="E864" s="29"/>
    </row>
    <row r="865" spans="1:5" ht="12" customHeight="1">
      <c r="A865" s="155" t="str">
        <f>"101404 2"</f>
        <v>101404 2</v>
      </c>
      <c r="B865" s="153" t="s">
        <v>39</v>
      </c>
      <c r="C865" s="156" t="str">
        <f>IF(OR($A865="",ISERROR(VALUE(LEFT($A865,6)))),"",IF(LEN($A865)=2,"WOJ. ",IF(LEN($A865)=4,IF(VALUE(RIGHT($A865,2))&gt;60,"","Powiat "),IF(VALUE(RIGHT($A865,1))=1,"m. ",IF(VALUE(RIGHT($A865,1))=2,"gm. w. ",IF(VALUE(RIGHT($A865,1))=8,"dz. ","gm. m.-w. ")))))&amp;IF(LEN($A865)=2,TRIM(UPPER(VLOOKUP($A865,GUS_tabl_1!$A$7:$B$22,2,FALSE))),IF(ISERROR(FIND("..",TRIM(VLOOKUP(IF(AND(LEN($A865)=4,VALUE(RIGHT($A865,2))&gt;60),$A865&amp;"01 1",$A865),IF(AND(LEN($A865)=4,VALUE(RIGHT($A865,2))&lt;60),GUS_tabl_2!$A$8:$B$464,GUS_tabl_21!$A$5:$B$4886),2,FALSE)))),TRIM(VLOOKUP(IF(AND(LEN($A865)=4,VALUE(RIGHT($A865,2))&gt;60),$A865&amp;"01 1",$A865),IF(AND(LEN($A865)=4,VALUE(RIGHT($A865,2))&lt;60),GUS_tabl_2!$A$8:$B$464,GUS_tabl_21!$A$5:$B$4886),2,FALSE)),LEFT(TRIM(VLOOKUP(IF(AND(LEN($A865)=4,VALUE(RIGHT($A865,2))&gt;60),$A865&amp;"01 1",$A865),IF(AND(LEN($A865)=4,VALUE(RIGHT($A865,2))&lt;60),GUS_tabl_2!$A$8:$B$464,GUS_tabl_21!$A$5:$B$4886),2,FALSE)),SUM(FIND("..",TRIM(VLOOKUP(IF(AND(LEN($A865)=4,VALUE(RIGHT($A865,2))&gt;60),$A865&amp;"01 1",$A865),IF(AND(LEN($A865)=4,VALUE(RIGHT($A865,2))&lt;60),GUS_tabl_2!$A$8:$B$464,GUS_tabl_21!$A$5:$B$4886),2,FALSE))),-1)))))</f>
        <v>gm. w. Brzeźnio</v>
      </c>
      <c r="D865" s="141">
        <f>IF(OR($A865="",ISERROR(VALUE(LEFT($A865,6)))),"",IF(LEN($A865)=2,SUMIF($A866:$A$2965,$A865&amp;"??",$D866:$D$2965),IF(AND(LEN($A865)=4,VALUE(RIGHT($A865,2))&lt;=60),SUMIF($A866:$A$2965,$A865&amp;"????",$D866:$D$2965),VLOOKUP(IF(LEN($A865)=4,$A865&amp;"01 1",$A865),GUS_tabl_21!$A$5:$F$4886,6,FALSE))))</f>
        <v>6384</v>
      </c>
      <c r="E865" s="29"/>
    </row>
    <row r="866" spans="1:5" ht="12" customHeight="1">
      <c r="A866" s="155" t="str">
        <f>"101405 2"</f>
        <v>101405 2</v>
      </c>
      <c r="B866" s="153" t="s">
        <v>39</v>
      </c>
      <c r="C866" s="156" t="str">
        <f>IF(OR($A866="",ISERROR(VALUE(LEFT($A866,6)))),"",IF(LEN($A866)=2,"WOJ. ",IF(LEN($A866)=4,IF(VALUE(RIGHT($A866,2))&gt;60,"","Powiat "),IF(VALUE(RIGHT($A866,1))=1,"m. ",IF(VALUE(RIGHT($A866,1))=2,"gm. w. ",IF(VALUE(RIGHT($A866,1))=8,"dz. ","gm. m.-w. ")))))&amp;IF(LEN($A866)=2,TRIM(UPPER(VLOOKUP($A866,GUS_tabl_1!$A$7:$B$22,2,FALSE))),IF(ISERROR(FIND("..",TRIM(VLOOKUP(IF(AND(LEN($A866)=4,VALUE(RIGHT($A866,2))&gt;60),$A866&amp;"01 1",$A866),IF(AND(LEN($A866)=4,VALUE(RIGHT($A866,2))&lt;60),GUS_tabl_2!$A$8:$B$464,GUS_tabl_21!$A$5:$B$4886),2,FALSE)))),TRIM(VLOOKUP(IF(AND(LEN($A866)=4,VALUE(RIGHT($A866,2))&gt;60),$A866&amp;"01 1",$A866),IF(AND(LEN($A866)=4,VALUE(RIGHT($A866,2))&lt;60),GUS_tabl_2!$A$8:$B$464,GUS_tabl_21!$A$5:$B$4886),2,FALSE)),LEFT(TRIM(VLOOKUP(IF(AND(LEN($A866)=4,VALUE(RIGHT($A866,2))&gt;60),$A866&amp;"01 1",$A866),IF(AND(LEN($A866)=4,VALUE(RIGHT($A866,2))&lt;60),GUS_tabl_2!$A$8:$B$464,GUS_tabl_21!$A$5:$B$4886),2,FALSE)),SUM(FIND("..",TRIM(VLOOKUP(IF(AND(LEN($A866)=4,VALUE(RIGHT($A866,2))&gt;60),$A866&amp;"01 1",$A866),IF(AND(LEN($A866)=4,VALUE(RIGHT($A866,2))&lt;60),GUS_tabl_2!$A$8:$B$464,GUS_tabl_21!$A$5:$B$4886),2,FALSE))),-1)))))</f>
        <v>gm. w. Burzenin</v>
      </c>
      <c r="D866" s="141">
        <f>IF(OR($A866="",ISERROR(VALUE(LEFT($A866,6)))),"",IF(LEN($A866)=2,SUMIF($A867:$A$2965,$A866&amp;"??",$D867:$D$2965),IF(AND(LEN($A866)=4,VALUE(RIGHT($A866,2))&lt;=60),SUMIF($A867:$A$2965,$A866&amp;"????",$D867:$D$2965),VLOOKUP(IF(LEN($A866)=4,$A866&amp;"01 1",$A866),GUS_tabl_21!$A$5:$F$4886,6,FALSE))))</f>
        <v>5512</v>
      </c>
      <c r="E866" s="29"/>
    </row>
    <row r="867" spans="1:5" ht="12" customHeight="1">
      <c r="A867" s="155" t="str">
        <f>"101406 2"</f>
        <v>101406 2</v>
      </c>
      <c r="B867" s="153" t="s">
        <v>39</v>
      </c>
      <c r="C867" s="156" t="str">
        <f>IF(OR($A867="",ISERROR(VALUE(LEFT($A867,6)))),"",IF(LEN($A867)=2,"WOJ. ",IF(LEN($A867)=4,IF(VALUE(RIGHT($A867,2))&gt;60,"","Powiat "),IF(VALUE(RIGHT($A867,1))=1,"m. ",IF(VALUE(RIGHT($A867,1))=2,"gm. w. ",IF(VALUE(RIGHT($A867,1))=8,"dz. ","gm. m.-w. ")))))&amp;IF(LEN($A867)=2,TRIM(UPPER(VLOOKUP($A867,GUS_tabl_1!$A$7:$B$22,2,FALSE))),IF(ISERROR(FIND("..",TRIM(VLOOKUP(IF(AND(LEN($A867)=4,VALUE(RIGHT($A867,2))&gt;60),$A867&amp;"01 1",$A867),IF(AND(LEN($A867)=4,VALUE(RIGHT($A867,2))&lt;60),GUS_tabl_2!$A$8:$B$464,GUS_tabl_21!$A$5:$B$4886),2,FALSE)))),TRIM(VLOOKUP(IF(AND(LEN($A867)=4,VALUE(RIGHT($A867,2))&gt;60),$A867&amp;"01 1",$A867),IF(AND(LEN($A867)=4,VALUE(RIGHT($A867,2))&lt;60),GUS_tabl_2!$A$8:$B$464,GUS_tabl_21!$A$5:$B$4886),2,FALSE)),LEFT(TRIM(VLOOKUP(IF(AND(LEN($A867)=4,VALUE(RIGHT($A867,2))&gt;60),$A867&amp;"01 1",$A867),IF(AND(LEN($A867)=4,VALUE(RIGHT($A867,2))&lt;60),GUS_tabl_2!$A$8:$B$464,GUS_tabl_21!$A$5:$B$4886),2,FALSE)),SUM(FIND("..",TRIM(VLOOKUP(IF(AND(LEN($A867)=4,VALUE(RIGHT($A867,2))&gt;60),$A867&amp;"01 1",$A867),IF(AND(LEN($A867)=4,VALUE(RIGHT($A867,2))&lt;60),GUS_tabl_2!$A$8:$B$464,GUS_tabl_21!$A$5:$B$4886),2,FALSE))),-1)))))</f>
        <v>gm. w. Goszczanów</v>
      </c>
      <c r="D867" s="141">
        <f>IF(OR($A867="",ISERROR(VALUE(LEFT($A867,6)))),"",IF(LEN($A867)=2,SUMIF($A868:$A$2965,$A867&amp;"??",$D868:$D$2965),IF(AND(LEN($A867)=4,VALUE(RIGHT($A867,2))&lt;=60),SUMIF($A868:$A$2965,$A867&amp;"????",$D868:$D$2965),VLOOKUP(IF(LEN($A867)=4,$A867&amp;"01 1",$A867),GUS_tabl_21!$A$5:$F$4886,6,FALSE))))</f>
        <v>5466</v>
      </c>
      <c r="E867" s="29"/>
    </row>
    <row r="868" spans="1:5" ht="12" customHeight="1">
      <c r="A868" s="155" t="str">
        <f>"101407 2"</f>
        <v>101407 2</v>
      </c>
      <c r="B868" s="153" t="s">
        <v>39</v>
      </c>
      <c r="C868" s="156" t="str">
        <f>IF(OR($A868="",ISERROR(VALUE(LEFT($A868,6)))),"",IF(LEN($A868)=2,"WOJ. ",IF(LEN($A868)=4,IF(VALUE(RIGHT($A868,2))&gt;60,"","Powiat "),IF(VALUE(RIGHT($A868,1))=1,"m. ",IF(VALUE(RIGHT($A868,1))=2,"gm. w. ",IF(VALUE(RIGHT($A868,1))=8,"dz. ","gm. m.-w. ")))))&amp;IF(LEN($A868)=2,TRIM(UPPER(VLOOKUP($A868,GUS_tabl_1!$A$7:$B$22,2,FALSE))),IF(ISERROR(FIND("..",TRIM(VLOOKUP(IF(AND(LEN($A868)=4,VALUE(RIGHT($A868,2))&gt;60),$A868&amp;"01 1",$A868),IF(AND(LEN($A868)=4,VALUE(RIGHT($A868,2))&lt;60),GUS_tabl_2!$A$8:$B$464,GUS_tabl_21!$A$5:$B$4886),2,FALSE)))),TRIM(VLOOKUP(IF(AND(LEN($A868)=4,VALUE(RIGHT($A868,2))&gt;60),$A868&amp;"01 1",$A868),IF(AND(LEN($A868)=4,VALUE(RIGHT($A868,2))&lt;60),GUS_tabl_2!$A$8:$B$464,GUS_tabl_21!$A$5:$B$4886),2,FALSE)),LEFT(TRIM(VLOOKUP(IF(AND(LEN($A868)=4,VALUE(RIGHT($A868,2))&gt;60),$A868&amp;"01 1",$A868),IF(AND(LEN($A868)=4,VALUE(RIGHT($A868,2))&lt;60),GUS_tabl_2!$A$8:$B$464,GUS_tabl_21!$A$5:$B$4886),2,FALSE)),SUM(FIND("..",TRIM(VLOOKUP(IF(AND(LEN($A868)=4,VALUE(RIGHT($A868,2))&gt;60),$A868&amp;"01 1",$A868),IF(AND(LEN($A868)=4,VALUE(RIGHT($A868,2))&lt;60),GUS_tabl_2!$A$8:$B$464,GUS_tabl_21!$A$5:$B$4886),2,FALSE))),-1)))))</f>
        <v>gm. w. Klonowa</v>
      </c>
      <c r="D868" s="141">
        <f>IF(OR($A868="",ISERROR(VALUE(LEFT($A868,6)))),"",IF(LEN($A868)=2,SUMIF($A869:$A$2965,$A868&amp;"??",$D869:$D$2965),IF(AND(LEN($A868)=4,VALUE(RIGHT($A868,2))&lt;=60),SUMIF($A869:$A$2965,$A868&amp;"????",$D869:$D$2965),VLOOKUP(IF(LEN($A868)=4,$A868&amp;"01 1",$A868),GUS_tabl_21!$A$5:$F$4886,6,FALSE))))</f>
        <v>2870</v>
      </c>
      <c r="E868" s="29"/>
    </row>
    <row r="869" spans="1:5" ht="12" customHeight="1">
      <c r="A869" s="155" t="str">
        <f>"101408 2"</f>
        <v>101408 2</v>
      </c>
      <c r="B869" s="153" t="s">
        <v>39</v>
      </c>
      <c r="C869" s="156" t="str">
        <f>IF(OR($A869="",ISERROR(VALUE(LEFT($A869,6)))),"",IF(LEN($A869)=2,"WOJ. ",IF(LEN($A869)=4,IF(VALUE(RIGHT($A869,2))&gt;60,"","Powiat "),IF(VALUE(RIGHT($A869,1))=1,"m. ",IF(VALUE(RIGHT($A869,1))=2,"gm. w. ",IF(VALUE(RIGHT($A869,1))=8,"dz. ","gm. m.-w. ")))))&amp;IF(LEN($A869)=2,TRIM(UPPER(VLOOKUP($A869,GUS_tabl_1!$A$7:$B$22,2,FALSE))),IF(ISERROR(FIND("..",TRIM(VLOOKUP(IF(AND(LEN($A869)=4,VALUE(RIGHT($A869,2))&gt;60),$A869&amp;"01 1",$A869),IF(AND(LEN($A869)=4,VALUE(RIGHT($A869,2))&lt;60),GUS_tabl_2!$A$8:$B$464,GUS_tabl_21!$A$5:$B$4886),2,FALSE)))),TRIM(VLOOKUP(IF(AND(LEN($A869)=4,VALUE(RIGHT($A869,2))&gt;60),$A869&amp;"01 1",$A869),IF(AND(LEN($A869)=4,VALUE(RIGHT($A869,2))&lt;60),GUS_tabl_2!$A$8:$B$464,GUS_tabl_21!$A$5:$B$4886),2,FALSE)),LEFT(TRIM(VLOOKUP(IF(AND(LEN($A869)=4,VALUE(RIGHT($A869,2))&gt;60),$A869&amp;"01 1",$A869),IF(AND(LEN($A869)=4,VALUE(RIGHT($A869,2))&lt;60),GUS_tabl_2!$A$8:$B$464,GUS_tabl_21!$A$5:$B$4886),2,FALSE)),SUM(FIND("..",TRIM(VLOOKUP(IF(AND(LEN($A869)=4,VALUE(RIGHT($A869,2))&gt;60),$A869&amp;"01 1",$A869),IF(AND(LEN($A869)=4,VALUE(RIGHT($A869,2))&lt;60),GUS_tabl_2!$A$8:$B$464,GUS_tabl_21!$A$5:$B$4886),2,FALSE))),-1)))))</f>
        <v>gm. w. Sieradz</v>
      </c>
      <c r="D869" s="141">
        <f>IF(OR($A869="",ISERROR(VALUE(LEFT($A869,6)))),"",IF(LEN($A869)=2,SUMIF($A870:$A$2965,$A869&amp;"??",$D870:$D$2965),IF(AND(LEN($A869)=4,VALUE(RIGHT($A869,2))&lt;=60),SUMIF($A870:$A$2965,$A869&amp;"????",$D870:$D$2965),VLOOKUP(IF(LEN($A869)=4,$A869&amp;"01 1",$A869),GUS_tabl_21!$A$5:$F$4886,6,FALSE))))</f>
        <v>10706</v>
      </c>
      <c r="E869" s="29"/>
    </row>
    <row r="870" spans="1:5" ht="12" customHeight="1">
      <c r="A870" s="155" t="str">
        <f>"101409 3"</f>
        <v>101409 3</v>
      </c>
      <c r="B870" s="153" t="s">
        <v>39</v>
      </c>
      <c r="C870" s="156" t="str">
        <f>IF(OR($A870="",ISERROR(VALUE(LEFT($A870,6)))),"",IF(LEN($A870)=2,"WOJ. ",IF(LEN($A870)=4,IF(VALUE(RIGHT($A870,2))&gt;60,"","Powiat "),IF(VALUE(RIGHT($A870,1))=1,"m. ",IF(VALUE(RIGHT($A870,1))=2,"gm. w. ",IF(VALUE(RIGHT($A870,1))=8,"dz. ","gm. m.-w. ")))))&amp;IF(LEN($A870)=2,TRIM(UPPER(VLOOKUP($A870,GUS_tabl_1!$A$7:$B$22,2,FALSE))),IF(ISERROR(FIND("..",TRIM(VLOOKUP(IF(AND(LEN($A870)=4,VALUE(RIGHT($A870,2))&gt;60),$A870&amp;"01 1",$A870),IF(AND(LEN($A870)=4,VALUE(RIGHT($A870,2))&lt;60),GUS_tabl_2!$A$8:$B$464,GUS_tabl_21!$A$5:$B$4886),2,FALSE)))),TRIM(VLOOKUP(IF(AND(LEN($A870)=4,VALUE(RIGHT($A870,2))&gt;60),$A870&amp;"01 1",$A870),IF(AND(LEN($A870)=4,VALUE(RIGHT($A870,2))&lt;60),GUS_tabl_2!$A$8:$B$464,GUS_tabl_21!$A$5:$B$4886),2,FALSE)),LEFT(TRIM(VLOOKUP(IF(AND(LEN($A870)=4,VALUE(RIGHT($A870,2))&gt;60),$A870&amp;"01 1",$A870),IF(AND(LEN($A870)=4,VALUE(RIGHT($A870,2))&lt;60),GUS_tabl_2!$A$8:$B$464,GUS_tabl_21!$A$5:$B$4886),2,FALSE)),SUM(FIND("..",TRIM(VLOOKUP(IF(AND(LEN($A870)=4,VALUE(RIGHT($A870,2))&gt;60),$A870&amp;"01 1",$A870),IF(AND(LEN($A870)=4,VALUE(RIGHT($A870,2))&lt;60),GUS_tabl_2!$A$8:$B$464,GUS_tabl_21!$A$5:$B$4886),2,FALSE))),-1)))))</f>
        <v>gm. m.-w. Warta</v>
      </c>
      <c r="D870" s="141">
        <f>IF(OR($A870="",ISERROR(VALUE(LEFT($A870,6)))),"",IF(LEN($A870)=2,SUMIF($A871:$A$2965,$A870&amp;"??",$D871:$D$2965),IF(AND(LEN($A870)=4,VALUE(RIGHT($A870,2))&lt;=60),SUMIF($A871:$A$2965,$A870&amp;"????",$D871:$D$2965),VLOOKUP(IF(LEN($A870)=4,$A870&amp;"01 1",$A870),GUS_tabl_21!$A$5:$F$4886,6,FALSE))))</f>
        <v>12636</v>
      </c>
      <c r="E870" s="29"/>
    </row>
    <row r="871" spans="1:5" ht="12" customHeight="1">
      <c r="A871" s="155" t="str">
        <f>"101410 2"</f>
        <v>101410 2</v>
      </c>
      <c r="B871" s="153" t="s">
        <v>39</v>
      </c>
      <c r="C871" s="156" t="str">
        <f>IF(OR($A871="",ISERROR(VALUE(LEFT($A871,6)))),"",IF(LEN($A871)=2,"WOJ. ",IF(LEN($A871)=4,IF(VALUE(RIGHT($A871,2))&gt;60,"","Powiat "),IF(VALUE(RIGHT($A871,1))=1,"m. ",IF(VALUE(RIGHT($A871,1))=2,"gm. w. ",IF(VALUE(RIGHT($A871,1))=8,"dz. ","gm. m.-w. ")))))&amp;IF(LEN($A871)=2,TRIM(UPPER(VLOOKUP($A871,GUS_tabl_1!$A$7:$B$22,2,FALSE))),IF(ISERROR(FIND("..",TRIM(VLOOKUP(IF(AND(LEN($A871)=4,VALUE(RIGHT($A871,2))&gt;60),$A871&amp;"01 1",$A871),IF(AND(LEN($A871)=4,VALUE(RIGHT($A871,2))&lt;60),GUS_tabl_2!$A$8:$B$464,GUS_tabl_21!$A$5:$B$4886),2,FALSE)))),TRIM(VLOOKUP(IF(AND(LEN($A871)=4,VALUE(RIGHT($A871,2))&gt;60),$A871&amp;"01 1",$A871),IF(AND(LEN($A871)=4,VALUE(RIGHT($A871,2))&lt;60),GUS_tabl_2!$A$8:$B$464,GUS_tabl_21!$A$5:$B$4886),2,FALSE)),LEFT(TRIM(VLOOKUP(IF(AND(LEN($A871)=4,VALUE(RIGHT($A871,2))&gt;60),$A871&amp;"01 1",$A871),IF(AND(LEN($A871)=4,VALUE(RIGHT($A871,2))&lt;60),GUS_tabl_2!$A$8:$B$464,GUS_tabl_21!$A$5:$B$4886),2,FALSE)),SUM(FIND("..",TRIM(VLOOKUP(IF(AND(LEN($A871)=4,VALUE(RIGHT($A871,2))&gt;60),$A871&amp;"01 1",$A871),IF(AND(LEN($A871)=4,VALUE(RIGHT($A871,2))&lt;60),GUS_tabl_2!$A$8:$B$464,GUS_tabl_21!$A$5:$B$4886),2,FALSE))),-1)))))</f>
        <v>gm. w. Wróblew</v>
      </c>
      <c r="D871" s="141">
        <f>IF(OR($A871="",ISERROR(VALUE(LEFT($A871,6)))),"",IF(LEN($A871)=2,SUMIF($A872:$A$2965,$A871&amp;"??",$D872:$D$2965),IF(AND(LEN($A871)=4,VALUE(RIGHT($A871,2))&lt;=60),SUMIF($A872:$A$2965,$A871&amp;"????",$D872:$D$2965),VLOOKUP(IF(LEN($A871)=4,$A871&amp;"01 1",$A871),GUS_tabl_21!$A$5:$F$4886,6,FALSE))))</f>
        <v>6054</v>
      </c>
      <c r="E871" s="29"/>
    </row>
    <row r="872" spans="1:5" ht="12" customHeight="1">
      <c r="A872" s="155" t="str">
        <f>"101411 3"</f>
        <v>101411 3</v>
      </c>
      <c r="B872" s="153" t="s">
        <v>39</v>
      </c>
      <c r="C872" s="156" t="str">
        <f>IF(OR($A872="",ISERROR(VALUE(LEFT($A872,6)))),"",IF(LEN($A872)=2,"WOJ. ",IF(LEN($A872)=4,IF(VALUE(RIGHT($A872,2))&gt;60,"","Powiat "),IF(VALUE(RIGHT($A872,1))=1,"m. ",IF(VALUE(RIGHT($A872,1))=2,"gm. w. ",IF(VALUE(RIGHT($A872,1))=8,"dz. ","gm. m.-w. ")))))&amp;IF(LEN($A872)=2,TRIM(UPPER(VLOOKUP($A872,GUS_tabl_1!$A$7:$B$22,2,FALSE))),IF(ISERROR(FIND("..",TRIM(VLOOKUP(IF(AND(LEN($A872)=4,VALUE(RIGHT($A872,2))&gt;60),$A872&amp;"01 1",$A872),IF(AND(LEN($A872)=4,VALUE(RIGHT($A872,2))&lt;60),GUS_tabl_2!$A$8:$B$464,GUS_tabl_21!$A$5:$B$4886),2,FALSE)))),TRIM(VLOOKUP(IF(AND(LEN($A872)=4,VALUE(RIGHT($A872,2))&gt;60),$A872&amp;"01 1",$A872),IF(AND(LEN($A872)=4,VALUE(RIGHT($A872,2))&lt;60),GUS_tabl_2!$A$8:$B$464,GUS_tabl_21!$A$5:$B$4886),2,FALSE)),LEFT(TRIM(VLOOKUP(IF(AND(LEN($A872)=4,VALUE(RIGHT($A872,2))&gt;60),$A872&amp;"01 1",$A872),IF(AND(LEN($A872)=4,VALUE(RIGHT($A872,2))&lt;60),GUS_tabl_2!$A$8:$B$464,GUS_tabl_21!$A$5:$B$4886),2,FALSE)),SUM(FIND("..",TRIM(VLOOKUP(IF(AND(LEN($A872)=4,VALUE(RIGHT($A872,2))&gt;60),$A872&amp;"01 1",$A872),IF(AND(LEN($A872)=4,VALUE(RIGHT($A872,2))&lt;60),GUS_tabl_2!$A$8:$B$464,GUS_tabl_21!$A$5:$B$4886),2,FALSE))),-1)))))</f>
        <v>gm. m.-w. Złoczew</v>
      </c>
      <c r="D872" s="141">
        <f>IF(OR($A872="",ISERROR(VALUE(LEFT($A872,6)))),"",IF(LEN($A872)=2,SUMIF($A873:$A$2965,$A872&amp;"??",$D873:$D$2965),IF(AND(LEN($A872)=4,VALUE(RIGHT($A872,2))&lt;=60),SUMIF($A873:$A$2965,$A872&amp;"????",$D873:$D$2965),VLOOKUP(IF(LEN($A872)=4,$A872&amp;"01 1",$A872),GUS_tabl_21!$A$5:$F$4886,6,FALSE))))</f>
        <v>7164</v>
      </c>
      <c r="E872" s="29"/>
    </row>
    <row r="873" spans="1:5" ht="12" customHeight="1">
      <c r="A873" s="152" t="str">
        <f>"1015"</f>
        <v>1015</v>
      </c>
      <c r="B873" s="153" t="s">
        <v>39</v>
      </c>
      <c r="C873" s="154" t="str">
        <f>IF(OR($A873="",ISERROR(VALUE(LEFT($A873,6)))),"",IF(LEN($A873)=2,"WOJ. ",IF(LEN($A873)=4,IF(VALUE(RIGHT($A873,2))&gt;60,"","Powiat "),IF(VALUE(RIGHT($A873,1))=1,"m. ",IF(VALUE(RIGHT($A873,1))=2,"gm. w. ",IF(VALUE(RIGHT($A873,1))=8,"dz. ","gm. m.-w. ")))))&amp;IF(LEN($A873)=2,TRIM(UPPER(VLOOKUP($A873,GUS_tabl_1!$A$7:$B$22,2,FALSE))),IF(ISERROR(FIND("..",TRIM(VLOOKUP(IF(AND(LEN($A873)=4,VALUE(RIGHT($A873,2))&gt;60),$A873&amp;"01 1",$A873),IF(AND(LEN($A873)=4,VALUE(RIGHT($A873,2))&lt;60),GUS_tabl_2!$A$8:$B$464,GUS_tabl_21!$A$5:$B$4886),2,FALSE)))),TRIM(VLOOKUP(IF(AND(LEN($A873)=4,VALUE(RIGHT($A873,2))&gt;60),$A873&amp;"01 1",$A873),IF(AND(LEN($A873)=4,VALUE(RIGHT($A873,2))&lt;60),GUS_tabl_2!$A$8:$B$464,GUS_tabl_21!$A$5:$B$4886),2,FALSE)),LEFT(TRIM(VLOOKUP(IF(AND(LEN($A873)=4,VALUE(RIGHT($A873,2))&gt;60),$A873&amp;"01 1",$A873),IF(AND(LEN($A873)=4,VALUE(RIGHT($A873,2))&lt;60),GUS_tabl_2!$A$8:$B$464,GUS_tabl_21!$A$5:$B$4886),2,FALSE)),SUM(FIND("..",TRIM(VLOOKUP(IF(AND(LEN($A873)=4,VALUE(RIGHT($A873,2))&gt;60),$A873&amp;"01 1",$A873),IF(AND(LEN($A873)=4,VALUE(RIGHT($A873,2))&lt;60),GUS_tabl_2!$A$8:$B$464,GUS_tabl_21!$A$5:$B$4886),2,FALSE))),-1)))))</f>
        <v>Powiat skierniewicki</v>
      </c>
      <c r="D873" s="140">
        <f>IF(OR($A873="",ISERROR(VALUE(LEFT($A873,6)))),"",IF(LEN($A873)=2,SUMIF($A874:$A$2965,$A873&amp;"??",$D874:$D$2965),IF(AND(LEN($A873)=4,VALUE(RIGHT($A873,2))&lt;=60),SUMIF($A874:$A$2965,$A873&amp;"????",$D874:$D$2965),VLOOKUP(IF(LEN($A873)=4,$A873&amp;"01 1",$A873),GUS_tabl_21!$A$5:$F$4886,6,FALSE))))</f>
        <v>38174</v>
      </c>
      <c r="E873" s="29"/>
    </row>
    <row r="874" spans="1:5" ht="12" customHeight="1">
      <c r="A874" s="155" t="str">
        <f>"101501 2"</f>
        <v>101501 2</v>
      </c>
      <c r="B874" s="153" t="s">
        <v>39</v>
      </c>
      <c r="C874" s="156" t="str">
        <f>IF(OR($A874="",ISERROR(VALUE(LEFT($A874,6)))),"",IF(LEN($A874)=2,"WOJ. ",IF(LEN($A874)=4,IF(VALUE(RIGHT($A874,2))&gt;60,"","Powiat "),IF(VALUE(RIGHT($A874,1))=1,"m. ",IF(VALUE(RIGHT($A874,1))=2,"gm. w. ",IF(VALUE(RIGHT($A874,1))=8,"dz. ","gm. m.-w. ")))))&amp;IF(LEN($A874)=2,TRIM(UPPER(VLOOKUP($A874,GUS_tabl_1!$A$7:$B$22,2,FALSE))),IF(ISERROR(FIND("..",TRIM(VLOOKUP(IF(AND(LEN($A874)=4,VALUE(RIGHT($A874,2))&gt;60),$A874&amp;"01 1",$A874),IF(AND(LEN($A874)=4,VALUE(RIGHT($A874,2))&lt;60),GUS_tabl_2!$A$8:$B$464,GUS_tabl_21!$A$5:$B$4886),2,FALSE)))),TRIM(VLOOKUP(IF(AND(LEN($A874)=4,VALUE(RIGHT($A874,2))&gt;60),$A874&amp;"01 1",$A874),IF(AND(LEN($A874)=4,VALUE(RIGHT($A874,2))&lt;60),GUS_tabl_2!$A$8:$B$464,GUS_tabl_21!$A$5:$B$4886),2,FALSE)),LEFT(TRIM(VLOOKUP(IF(AND(LEN($A874)=4,VALUE(RIGHT($A874,2))&gt;60),$A874&amp;"01 1",$A874),IF(AND(LEN($A874)=4,VALUE(RIGHT($A874,2))&lt;60),GUS_tabl_2!$A$8:$B$464,GUS_tabl_21!$A$5:$B$4886),2,FALSE)),SUM(FIND("..",TRIM(VLOOKUP(IF(AND(LEN($A874)=4,VALUE(RIGHT($A874,2))&gt;60),$A874&amp;"01 1",$A874),IF(AND(LEN($A874)=4,VALUE(RIGHT($A874,2))&lt;60),GUS_tabl_2!$A$8:$B$464,GUS_tabl_21!$A$5:$B$4886),2,FALSE))),-1)))))</f>
        <v>gm. w. Bolimów</v>
      </c>
      <c r="D874" s="141">
        <f>IF(OR($A874="",ISERROR(VALUE(LEFT($A874,6)))),"",IF(LEN($A874)=2,SUMIF($A875:$A$2965,$A874&amp;"??",$D875:$D$2965),IF(AND(LEN($A874)=4,VALUE(RIGHT($A874,2))&lt;=60),SUMIF($A875:$A$2965,$A874&amp;"????",$D875:$D$2965),VLOOKUP(IF(LEN($A874)=4,$A874&amp;"01 1",$A874),GUS_tabl_21!$A$5:$F$4886,6,FALSE))))</f>
        <v>4021</v>
      </c>
      <c r="E874" s="29"/>
    </row>
    <row r="875" spans="1:5" ht="12" customHeight="1">
      <c r="A875" s="155" t="str">
        <f>"101502 2"</f>
        <v>101502 2</v>
      </c>
      <c r="B875" s="153" t="s">
        <v>39</v>
      </c>
      <c r="C875" s="156" t="str">
        <f>IF(OR($A875="",ISERROR(VALUE(LEFT($A875,6)))),"",IF(LEN($A875)=2,"WOJ. ",IF(LEN($A875)=4,IF(VALUE(RIGHT($A875,2))&gt;60,"","Powiat "),IF(VALUE(RIGHT($A875,1))=1,"m. ",IF(VALUE(RIGHT($A875,1))=2,"gm. w. ",IF(VALUE(RIGHT($A875,1))=8,"dz. ","gm. m.-w. ")))))&amp;IF(LEN($A875)=2,TRIM(UPPER(VLOOKUP($A875,GUS_tabl_1!$A$7:$B$22,2,FALSE))),IF(ISERROR(FIND("..",TRIM(VLOOKUP(IF(AND(LEN($A875)=4,VALUE(RIGHT($A875,2))&gt;60),$A875&amp;"01 1",$A875),IF(AND(LEN($A875)=4,VALUE(RIGHT($A875,2))&lt;60),GUS_tabl_2!$A$8:$B$464,GUS_tabl_21!$A$5:$B$4886),2,FALSE)))),TRIM(VLOOKUP(IF(AND(LEN($A875)=4,VALUE(RIGHT($A875,2))&gt;60),$A875&amp;"01 1",$A875),IF(AND(LEN($A875)=4,VALUE(RIGHT($A875,2))&lt;60),GUS_tabl_2!$A$8:$B$464,GUS_tabl_21!$A$5:$B$4886),2,FALSE)),LEFT(TRIM(VLOOKUP(IF(AND(LEN($A875)=4,VALUE(RIGHT($A875,2))&gt;60),$A875&amp;"01 1",$A875),IF(AND(LEN($A875)=4,VALUE(RIGHT($A875,2))&lt;60),GUS_tabl_2!$A$8:$B$464,GUS_tabl_21!$A$5:$B$4886),2,FALSE)),SUM(FIND("..",TRIM(VLOOKUP(IF(AND(LEN($A875)=4,VALUE(RIGHT($A875,2))&gt;60),$A875&amp;"01 1",$A875),IF(AND(LEN($A875)=4,VALUE(RIGHT($A875,2))&lt;60),GUS_tabl_2!$A$8:$B$464,GUS_tabl_21!$A$5:$B$4886),2,FALSE))),-1)))))</f>
        <v>gm. w. Głuchów</v>
      </c>
      <c r="D875" s="141">
        <f>IF(OR($A875="",ISERROR(VALUE(LEFT($A875,6)))),"",IF(LEN($A875)=2,SUMIF($A876:$A$2965,$A875&amp;"??",$D876:$D$2965),IF(AND(LEN($A875)=4,VALUE(RIGHT($A875,2))&lt;=60),SUMIF($A876:$A$2965,$A875&amp;"????",$D876:$D$2965),VLOOKUP(IF(LEN($A875)=4,$A875&amp;"01 1",$A875),GUS_tabl_21!$A$5:$F$4886,6,FALSE))))</f>
        <v>5724</v>
      </c>
      <c r="E875" s="29"/>
    </row>
    <row r="876" spans="1:5" ht="12" customHeight="1">
      <c r="A876" s="155" t="str">
        <f>"101503 2"</f>
        <v>101503 2</v>
      </c>
      <c r="B876" s="153" t="s">
        <v>39</v>
      </c>
      <c r="C876" s="156" t="str">
        <f>IF(OR($A876="",ISERROR(VALUE(LEFT($A876,6)))),"",IF(LEN($A876)=2,"WOJ. ",IF(LEN($A876)=4,IF(VALUE(RIGHT($A876,2))&gt;60,"","Powiat "),IF(VALUE(RIGHT($A876,1))=1,"m. ",IF(VALUE(RIGHT($A876,1))=2,"gm. w. ",IF(VALUE(RIGHT($A876,1))=8,"dz. ","gm. m.-w. ")))))&amp;IF(LEN($A876)=2,TRIM(UPPER(VLOOKUP($A876,GUS_tabl_1!$A$7:$B$22,2,FALSE))),IF(ISERROR(FIND("..",TRIM(VLOOKUP(IF(AND(LEN($A876)=4,VALUE(RIGHT($A876,2))&gt;60),$A876&amp;"01 1",$A876),IF(AND(LEN($A876)=4,VALUE(RIGHT($A876,2))&lt;60),GUS_tabl_2!$A$8:$B$464,GUS_tabl_21!$A$5:$B$4886),2,FALSE)))),TRIM(VLOOKUP(IF(AND(LEN($A876)=4,VALUE(RIGHT($A876,2))&gt;60),$A876&amp;"01 1",$A876),IF(AND(LEN($A876)=4,VALUE(RIGHT($A876,2))&lt;60),GUS_tabl_2!$A$8:$B$464,GUS_tabl_21!$A$5:$B$4886),2,FALSE)),LEFT(TRIM(VLOOKUP(IF(AND(LEN($A876)=4,VALUE(RIGHT($A876,2))&gt;60),$A876&amp;"01 1",$A876),IF(AND(LEN($A876)=4,VALUE(RIGHT($A876,2))&lt;60),GUS_tabl_2!$A$8:$B$464,GUS_tabl_21!$A$5:$B$4886),2,FALSE)),SUM(FIND("..",TRIM(VLOOKUP(IF(AND(LEN($A876)=4,VALUE(RIGHT($A876,2))&gt;60),$A876&amp;"01 1",$A876),IF(AND(LEN($A876)=4,VALUE(RIGHT($A876,2))&lt;60),GUS_tabl_2!$A$8:$B$464,GUS_tabl_21!$A$5:$B$4886),2,FALSE))),-1)))))</f>
        <v>gm. w. Godzianów</v>
      </c>
      <c r="D876" s="141">
        <f>IF(OR($A876="",ISERROR(VALUE(LEFT($A876,6)))),"",IF(LEN($A876)=2,SUMIF($A877:$A$2965,$A876&amp;"??",$D877:$D$2965),IF(AND(LEN($A876)=4,VALUE(RIGHT($A876,2))&lt;=60),SUMIF($A877:$A$2965,$A876&amp;"????",$D877:$D$2965),VLOOKUP(IF(LEN($A876)=4,$A876&amp;"01 1",$A876),GUS_tabl_21!$A$5:$F$4886,6,FALSE))))</f>
        <v>2644</v>
      </c>
      <c r="E876" s="29"/>
    </row>
    <row r="877" spans="1:5" ht="12" customHeight="1">
      <c r="A877" s="155" t="str">
        <f>"101504 2"</f>
        <v>101504 2</v>
      </c>
      <c r="B877" s="153" t="s">
        <v>39</v>
      </c>
      <c r="C877" s="156" t="str">
        <f>IF(OR($A877="",ISERROR(VALUE(LEFT($A877,6)))),"",IF(LEN($A877)=2,"WOJ. ",IF(LEN($A877)=4,IF(VALUE(RIGHT($A877,2))&gt;60,"","Powiat "),IF(VALUE(RIGHT($A877,1))=1,"m. ",IF(VALUE(RIGHT($A877,1))=2,"gm. w. ",IF(VALUE(RIGHT($A877,1))=8,"dz. ","gm. m.-w. ")))))&amp;IF(LEN($A877)=2,TRIM(UPPER(VLOOKUP($A877,GUS_tabl_1!$A$7:$B$22,2,FALSE))),IF(ISERROR(FIND("..",TRIM(VLOOKUP(IF(AND(LEN($A877)=4,VALUE(RIGHT($A877,2))&gt;60),$A877&amp;"01 1",$A877),IF(AND(LEN($A877)=4,VALUE(RIGHT($A877,2))&lt;60),GUS_tabl_2!$A$8:$B$464,GUS_tabl_21!$A$5:$B$4886),2,FALSE)))),TRIM(VLOOKUP(IF(AND(LEN($A877)=4,VALUE(RIGHT($A877,2))&gt;60),$A877&amp;"01 1",$A877),IF(AND(LEN($A877)=4,VALUE(RIGHT($A877,2))&lt;60),GUS_tabl_2!$A$8:$B$464,GUS_tabl_21!$A$5:$B$4886),2,FALSE)),LEFT(TRIM(VLOOKUP(IF(AND(LEN($A877)=4,VALUE(RIGHT($A877,2))&gt;60),$A877&amp;"01 1",$A877),IF(AND(LEN($A877)=4,VALUE(RIGHT($A877,2))&lt;60),GUS_tabl_2!$A$8:$B$464,GUS_tabl_21!$A$5:$B$4886),2,FALSE)),SUM(FIND("..",TRIM(VLOOKUP(IF(AND(LEN($A877)=4,VALUE(RIGHT($A877,2))&gt;60),$A877&amp;"01 1",$A877),IF(AND(LEN($A877)=4,VALUE(RIGHT($A877,2))&lt;60),GUS_tabl_2!$A$8:$B$464,GUS_tabl_21!$A$5:$B$4886),2,FALSE))),-1)))))</f>
        <v>gm. w. Kowiesy</v>
      </c>
      <c r="D877" s="141">
        <f>IF(OR($A877="",ISERROR(VALUE(LEFT($A877,6)))),"",IF(LEN($A877)=2,SUMIF($A878:$A$2965,$A877&amp;"??",$D878:$D$2965),IF(AND(LEN($A877)=4,VALUE(RIGHT($A877,2))&lt;=60),SUMIF($A878:$A$2965,$A877&amp;"????",$D878:$D$2965),VLOOKUP(IF(LEN($A877)=4,$A877&amp;"01 1",$A877),GUS_tabl_21!$A$5:$F$4886,6,FALSE))))</f>
        <v>2909</v>
      </c>
      <c r="E877" s="29"/>
    </row>
    <row r="878" spans="1:5" ht="12" customHeight="1">
      <c r="A878" s="155" t="str">
        <f>"101505 2"</f>
        <v>101505 2</v>
      </c>
      <c r="B878" s="153" t="s">
        <v>39</v>
      </c>
      <c r="C878" s="156" t="str">
        <f>IF(OR($A878="",ISERROR(VALUE(LEFT($A878,6)))),"",IF(LEN($A878)=2,"WOJ. ",IF(LEN($A878)=4,IF(VALUE(RIGHT($A878,2))&gt;60,"","Powiat "),IF(VALUE(RIGHT($A878,1))=1,"m. ",IF(VALUE(RIGHT($A878,1))=2,"gm. w. ",IF(VALUE(RIGHT($A878,1))=8,"dz. ","gm. m.-w. ")))))&amp;IF(LEN($A878)=2,TRIM(UPPER(VLOOKUP($A878,GUS_tabl_1!$A$7:$B$22,2,FALSE))),IF(ISERROR(FIND("..",TRIM(VLOOKUP(IF(AND(LEN($A878)=4,VALUE(RIGHT($A878,2))&gt;60),$A878&amp;"01 1",$A878),IF(AND(LEN($A878)=4,VALUE(RIGHT($A878,2))&lt;60),GUS_tabl_2!$A$8:$B$464,GUS_tabl_21!$A$5:$B$4886),2,FALSE)))),TRIM(VLOOKUP(IF(AND(LEN($A878)=4,VALUE(RIGHT($A878,2))&gt;60),$A878&amp;"01 1",$A878),IF(AND(LEN($A878)=4,VALUE(RIGHT($A878,2))&lt;60),GUS_tabl_2!$A$8:$B$464,GUS_tabl_21!$A$5:$B$4886),2,FALSE)),LEFT(TRIM(VLOOKUP(IF(AND(LEN($A878)=4,VALUE(RIGHT($A878,2))&gt;60),$A878&amp;"01 1",$A878),IF(AND(LEN($A878)=4,VALUE(RIGHT($A878,2))&lt;60),GUS_tabl_2!$A$8:$B$464,GUS_tabl_21!$A$5:$B$4886),2,FALSE)),SUM(FIND("..",TRIM(VLOOKUP(IF(AND(LEN($A878)=4,VALUE(RIGHT($A878,2))&gt;60),$A878&amp;"01 1",$A878),IF(AND(LEN($A878)=4,VALUE(RIGHT($A878,2))&lt;60),GUS_tabl_2!$A$8:$B$464,GUS_tabl_21!$A$5:$B$4886),2,FALSE))),-1)))))</f>
        <v>gm. w. Lipce Reymontowskie</v>
      </c>
      <c r="D878" s="141">
        <f>IF(OR($A878="",ISERROR(VALUE(LEFT($A878,6)))),"",IF(LEN($A878)=2,SUMIF($A879:$A$2965,$A878&amp;"??",$D879:$D$2965),IF(AND(LEN($A878)=4,VALUE(RIGHT($A878,2))&lt;=60),SUMIF($A879:$A$2965,$A878&amp;"????",$D879:$D$2965),VLOOKUP(IF(LEN($A878)=4,$A878&amp;"01 1",$A878),GUS_tabl_21!$A$5:$F$4886,6,FALSE))))</f>
        <v>3301</v>
      </c>
      <c r="E878" s="29"/>
    </row>
    <row r="879" spans="1:5" ht="12" customHeight="1">
      <c r="A879" s="155" t="str">
        <f>"101506 2"</f>
        <v>101506 2</v>
      </c>
      <c r="B879" s="153" t="s">
        <v>39</v>
      </c>
      <c r="C879" s="156" t="str">
        <f>IF(OR($A879="",ISERROR(VALUE(LEFT($A879,6)))),"",IF(LEN($A879)=2,"WOJ. ",IF(LEN($A879)=4,IF(VALUE(RIGHT($A879,2))&gt;60,"","Powiat "),IF(VALUE(RIGHT($A879,1))=1,"m. ",IF(VALUE(RIGHT($A879,1))=2,"gm. w. ",IF(VALUE(RIGHT($A879,1))=8,"dz. ","gm. m.-w. ")))))&amp;IF(LEN($A879)=2,TRIM(UPPER(VLOOKUP($A879,GUS_tabl_1!$A$7:$B$22,2,FALSE))),IF(ISERROR(FIND("..",TRIM(VLOOKUP(IF(AND(LEN($A879)=4,VALUE(RIGHT($A879,2))&gt;60),$A879&amp;"01 1",$A879),IF(AND(LEN($A879)=4,VALUE(RIGHT($A879,2))&lt;60),GUS_tabl_2!$A$8:$B$464,GUS_tabl_21!$A$5:$B$4886),2,FALSE)))),TRIM(VLOOKUP(IF(AND(LEN($A879)=4,VALUE(RIGHT($A879,2))&gt;60),$A879&amp;"01 1",$A879),IF(AND(LEN($A879)=4,VALUE(RIGHT($A879,2))&lt;60),GUS_tabl_2!$A$8:$B$464,GUS_tabl_21!$A$5:$B$4886),2,FALSE)),LEFT(TRIM(VLOOKUP(IF(AND(LEN($A879)=4,VALUE(RIGHT($A879,2))&gt;60),$A879&amp;"01 1",$A879),IF(AND(LEN($A879)=4,VALUE(RIGHT($A879,2))&lt;60),GUS_tabl_2!$A$8:$B$464,GUS_tabl_21!$A$5:$B$4886),2,FALSE)),SUM(FIND("..",TRIM(VLOOKUP(IF(AND(LEN($A879)=4,VALUE(RIGHT($A879,2))&gt;60),$A879&amp;"01 1",$A879),IF(AND(LEN($A879)=4,VALUE(RIGHT($A879,2))&lt;60),GUS_tabl_2!$A$8:$B$464,GUS_tabl_21!$A$5:$B$4886),2,FALSE))),-1)))))</f>
        <v>gm. w. Maków</v>
      </c>
      <c r="D879" s="141">
        <f>IF(OR($A879="",ISERROR(VALUE(LEFT($A879,6)))),"",IF(LEN($A879)=2,SUMIF($A880:$A$2965,$A879&amp;"??",$D880:$D$2965),IF(AND(LEN($A879)=4,VALUE(RIGHT($A879,2))&lt;=60),SUMIF($A880:$A$2965,$A879&amp;"????",$D880:$D$2965),VLOOKUP(IF(LEN($A879)=4,$A879&amp;"01 1",$A879),GUS_tabl_21!$A$5:$F$4886,6,FALSE))))</f>
        <v>5983</v>
      </c>
      <c r="E879" s="29"/>
    </row>
    <row r="880" spans="1:5" ht="12" customHeight="1">
      <c r="A880" s="155" t="str">
        <f>"101507 2"</f>
        <v>101507 2</v>
      </c>
      <c r="B880" s="153" t="s">
        <v>39</v>
      </c>
      <c r="C880" s="156" t="str">
        <f>IF(OR($A880="",ISERROR(VALUE(LEFT($A880,6)))),"",IF(LEN($A880)=2,"WOJ. ",IF(LEN($A880)=4,IF(VALUE(RIGHT($A880,2))&gt;60,"","Powiat "),IF(VALUE(RIGHT($A880,1))=1,"m. ",IF(VALUE(RIGHT($A880,1))=2,"gm. w. ",IF(VALUE(RIGHT($A880,1))=8,"dz. ","gm. m.-w. ")))))&amp;IF(LEN($A880)=2,TRIM(UPPER(VLOOKUP($A880,GUS_tabl_1!$A$7:$B$22,2,FALSE))),IF(ISERROR(FIND("..",TRIM(VLOOKUP(IF(AND(LEN($A880)=4,VALUE(RIGHT($A880,2))&gt;60),$A880&amp;"01 1",$A880),IF(AND(LEN($A880)=4,VALUE(RIGHT($A880,2))&lt;60),GUS_tabl_2!$A$8:$B$464,GUS_tabl_21!$A$5:$B$4886),2,FALSE)))),TRIM(VLOOKUP(IF(AND(LEN($A880)=4,VALUE(RIGHT($A880,2))&gt;60),$A880&amp;"01 1",$A880),IF(AND(LEN($A880)=4,VALUE(RIGHT($A880,2))&lt;60),GUS_tabl_2!$A$8:$B$464,GUS_tabl_21!$A$5:$B$4886),2,FALSE)),LEFT(TRIM(VLOOKUP(IF(AND(LEN($A880)=4,VALUE(RIGHT($A880,2))&gt;60),$A880&amp;"01 1",$A880),IF(AND(LEN($A880)=4,VALUE(RIGHT($A880,2))&lt;60),GUS_tabl_2!$A$8:$B$464,GUS_tabl_21!$A$5:$B$4886),2,FALSE)),SUM(FIND("..",TRIM(VLOOKUP(IF(AND(LEN($A880)=4,VALUE(RIGHT($A880,2))&gt;60),$A880&amp;"01 1",$A880),IF(AND(LEN($A880)=4,VALUE(RIGHT($A880,2))&lt;60),GUS_tabl_2!$A$8:$B$464,GUS_tabl_21!$A$5:$B$4886),2,FALSE))),-1)))))</f>
        <v>gm. w. Nowy Kawęczyn</v>
      </c>
      <c r="D880" s="141">
        <f>IF(OR($A880="",ISERROR(VALUE(LEFT($A880,6)))),"",IF(LEN($A880)=2,SUMIF($A881:$A$2965,$A880&amp;"??",$D881:$D$2965),IF(AND(LEN($A880)=4,VALUE(RIGHT($A880,2))&lt;=60),SUMIF($A881:$A$2965,$A880&amp;"????",$D881:$D$2965),VLOOKUP(IF(LEN($A880)=4,$A880&amp;"01 1",$A880),GUS_tabl_21!$A$5:$F$4886,6,FALSE))))</f>
        <v>3370</v>
      </c>
      <c r="E880" s="29"/>
    </row>
    <row r="881" spans="1:5" ht="12" customHeight="1">
      <c r="A881" s="155" t="str">
        <f>"101508 2"</f>
        <v>101508 2</v>
      </c>
      <c r="B881" s="153" t="s">
        <v>39</v>
      </c>
      <c r="C881" s="156" t="str">
        <f>IF(OR($A881="",ISERROR(VALUE(LEFT($A881,6)))),"",IF(LEN($A881)=2,"WOJ. ",IF(LEN($A881)=4,IF(VALUE(RIGHT($A881,2))&gt;60,"","Powiat "),IF(VALUE(RIGHT($A881,1))=1,"m. ",IF(VALUE(RIGHT($A881,1))=2,"gm. w. ",IF(VALUE(RIGHT($A881,1))=8,"dz. ","gm. m.-w. ")))))&amp;IF(LEN($A881)=2,TRIM(UPPER(VLOOKUP($A881,GUS_tabl_1!$A$7:$B$22,2,FALSE))),IF(ISERROR(FIND("..",TRIM(VLOOKUP(IF(AND(LEN($A881)=4,VALUE(RIGHT($A881,2))&gt;60),$A881&amp;"01 1",$A881),IF(AND(LEN($A881)=4,VALUE(RIGHT($A881,2))&lt;60),GUS_tabl_2!$A$8:$B$464,GUS_tabl_21!$A$5:$B$4886),2,FALSE)))),TRIM(VLOOKUP(IF(AND(LEN($A881)=4,VALUE(RIGHT($A881,2))&gt;60),$A881&amp;"01 1",$A881),IF(AND(LEN($A881)=4,VALUE(RIGHT($A881,2))&lt;60),GUS_tabl_2!$A$8:$B$464,GUS_tabl_21!$A$5:$B$4886),2,FALSE)),LEFT(TRIM(VLOOKUP(IF(AND(LEN($A881)=4,VALUE(RIGHT($A881,2))&gt;60),$A881&amp;"01 1",$A881),IF(AND(LEN($A881)=4,VALUE(RIGHT($A881,2))&lt;60),GUS_tabl_2!$A$8:$B$464,GUS_tabl_21!$A$5:$B$4886),2,FALSE)),SUM(FIND("..",TRIM(VLOOKUP(IF(AND(LEN($A881)=4,VALUE(RIGHT($A881,2))&gt;60),$A881&amp;"01 1",$A881),IF(AND(LEN($A881)=4,VALUE(RIGHT($A881,2))&lt;60),GUS_tabl_2!$A$8:$B$464,GUS_tabl_21!$A$5:$B$4886),2,FALSE))),-1)))))</f>
        <v>gm. w. Skierniewice</v>
      </c>
      <c r="D881" s="141">
        <f>IF(OR($A881="",ISERROR(VALUE(LEFT($A881,6)))),"",IF(LEN($A881)=2,SUMIF($A882:$A$2965,$A881&amp;"??",$D882:$D$2965),IF(AND(LEN($A881)=4,VALUE(RIGHT($A881,2))&lt;=60),SUMIF($A882:$A$2965,$A881&amp;"????",$D882:$D$2965),VLOOKUP(IF(LEN($A881)=4,$A881&amp;"01 1",$A881),GUS_tabl_21!$A$5:$F$4886,6,FALSE))))</f>
        <v>7609</v>
      </c>
      <c r="E881" s="29"/>
    </row>
    <row r="882" spans="1:5" ht="12" customHeight="1">
      <c r="A882" s="155" t="str">
        <f>"101509 2"</f>
        <v>101509 2</v>
      </c>
      <c r="B882" s="153" t="s">
        <v>39</v>
      </c>
      <c r="C882" s="156" t="str">
        <f>IF(OR($A882="",ISERROR(VALUE(LEFT($A882,6)))),"",IF(LEN($A882)=2,"WOJ. ",IF(LEN($A882)=4,IF(VALUE(RIGHT($A882,2))&gt;60,"","Powiat "),IF(VALUE(RIGHT($A882,1))=1,"m. ",IF(VALUE(RIGHT($A882,1))=2,"gm. w. ",IF(VALUE(RIGHT($A882,1))=8,"dz. ","gm. m.-w. ")))))&amp;IF(LEN($A882)=2,TRIM(UPPER(VLOOKUP($A882,GUS_tabl_1!$A$7:$B$22,2,FALSE))),IF(ISERROR(FIND("..",TRIM(VLOOKUP(IF(AND(LEN($A882)=4,VALUE(RIGHT($A882,2))&gt;60),$A882&amp;"01 1",$A882),IF(AND(LEN($A882)=4,VALUE(RIGHT($A882,2))&lt;60),GUS_tabl_2!$A$8:$B$464,GUS_tabl_21!$A$5:$B$4886),2,FALSE)))),TRIM(VLOOKUP(IF(AND(LEN($A882)=4,VALUE(RIGHT($A882,2))&gt;60),$A882&amp;"01 1",$A882),IF(AND(LEN($A882)=4,VALUE(RIGHT($A882,2))&lt;60),GUS_tabl_2!$A$8:$B$464,GUS_tabl_21!$A$5:$B$4886),2,FALSE)),LEFT(TRIM(VLOOKUP(IF(AND(LEN($A882)=4,VALUE(RIGHT($A882,2))&gt;60),$A882&amp;"01 1",$A882),IF(AND(LEN($A882)=4,VALUE(RIGHT($A882,2))&lt;60),GUS_tabl_2!$A$8:$B$464,GUS_tabl_21!$A$5:$B$4886),2,FALSE)),SUM(FIND("..",TRIM(VLOOKUP(IF(AND(LEN($A882)=4,VALUE(RIGHT($A882,2))&gt;60),$A882&amp;"01 1",$A882),IF(AND(LEN($A882)=4,VALUE(RIGHT($A882,2))&lt;60),GUS_tabl_2!$A$8:$B$464,GUS_tabl_21!$A$5:$B$4886),2,FALSE))),-1)))))</f>
        <v>gm. w. Słupia</v>
      </c>
      <c r="D882" s="141">
        <f>IF(OR($A882="",ISERROR(VALUE(LEFT($A882,6)))),"",IF(LEN($A882)=2,SUMIF($A883:$A$2965,$A882&amp;"??",$D883:$D$2965),IF(AND(LEN($A882)=4,VALUE(RIGHT($A882,2))&lt;=60),SUMIF($A883:$A$2965,$A882&amp;"????",$D883:$D$2965),VLOOKUP(IF(LEN($A882)=4,$A882&amp;"01 1",$A882),GUS_tabl_21!$A$5:$F$4886,6,FALSE))))</f>
        <v>2613</v>
      </c>
      <c r="E882" s="29"/>
    </row>
    <row r="883" spans="1:5" ht="12" customHeight="1">
      <c r="A883" s="152" t="str">
        <f>"1016"</f>
        <v>1016</v>
      </c>
      <c r="B883" s="153" t="s">
        <v>39</v>
      </c>
      <c r="C883" s="154" t="str">
        <f>IF(OR($A883="",ISERROR(VALUE(LEFT($A883,6)))),"",IF(LEN($A883)=2,"WOJ. ",IF(LEN($A883)=4,IF(VALUE(RIGHT($A883,2))&gt;60,"","Powiat "),IF(VALUE(RIGHT($A883,1))=1,"m. ",IF(VALUE(RIGHT($A883,1))=2,"gm. w. ",IF(VALUE(RIGHT($A883,1))=8,"dz. ","gm. m.-w. ")))))&amp;IF(LEN($A883)=2,TRIM(UPPER(VLOOKUP($A883,GUS_tabl_1!$A$7:$B$22,2,FALSE))),IF(ISERROR(FIND("..",TRIM(VLOOKUP(IF(AND(LEN($A883)=4,VALUE(RIGHT($A883,2))&gt;60),$A883&amp;"01 1",$A883),IF(AND(LEN($A883)=4,VALUE(RIGHT($A883,2))&lt;60),GUS_tabl_2!$A$8:$B$464,GUS_tabl_21!$A$5:$B$4886),2,FALSE)))),TRIM(VLOOKUP(IF(AND(LEN($A883)=4,VALUE(RIGHT($A883,2))&gt;60),$A883&amp;"01 1",$A883),IF(AND(LEN($A883)=4,VALUE(RIGHT($A883,2))&lt;60),GUS_tabl_2!$A$8:$B$464,GUS_tabl_21!$A$5:$B$4886),2,FALSE)),LEFT(TRIM(VLOOKUP(IF(AND(LEN($A883)=4,VALUE(RIGHT($A883,2))&gt;60),$A883&amp;"01 1",$A883),IF(AND(LEN($A883)=4,VALUE(RIGHT($A883,2))&lt;60),GUS_tabl_2!$A$8:$B$464,GUS_tabl_21!$A$5:$B$4886),2,FALSE)),SUM(FIND("..",TRIM(VLOOKUP(IF(AND(LEN($A883)=4,VALUE(RIGHT($A883,2))&gt;60),$A883&amp;"01 1",$A883),IF(AND(LEN($A883)=4,VALUE(RIGHT($A883,2))&lt;60),GUS_tabl_2!$A$8:$B$464,GUS_tabl_21!$A$5:$B$4886),2,FALSE))),-1)))))</f>
        <v>Powiat tomaszowski</v>
      </c>
      <c r="D883" s="140">
        <f>IF(OR($A883="",ISERROR(VALUE(LEFT($A883,6)))),"",IF(LEN($A883)=2,SUMIF($A884:$A$2965,$A883&amp;"??",$D884:$D$2965),IF(AND(LEN($A883)=4,VALUE(RIGHT($A883,2))&lt;=60),SUMIF($A884:$A$2965,$A883&amp;"????",$D884:$D$2965),VLOOKUP(IF(LEN($A883)=4,$A883&amp;"01 1",$A883),GUS_tabl_21!$A$5:$F$4886,6,FALSE))))</f>
        <v>116519</v>
      </c>
      <c r="E883" s="29"/>
    </row>
    <row r="884" spans="1:5" ht="12" customHeight="1">
      <c r="A884" s="155" t="str">
        <f>"101601 1"</f>
        <v>101601 1</v>
      </c>
      <c r="B884" s="153" t="s">
        <v>39</v>
      </c>
      <c r="C884" s="156" t="str">
        <f>IF(OR($A884="",ISERROR(VALUE(LEFT($A884,6)))),"",IF(LEN($A884)=2,"WOJ. ",IF(LEN($A884)=4,IF(VALUE(RIGHT($A884,2))&gt;60,"","Powiat "),IF(VALUE(RIGHT($A884,1))=1,"m. ",IF(VALUE(RIGHT($A884,1))=2,"gm. w. ",IF(VALUE(RIGHT($A884,1))=8,"dz. ","gm. m.-w. ")))))&amp;IF(LEN($A884)=2,TRIM(UPPER(VLOOKUP($A884,GUS_tabl_1!$A$7:$B$22,2,FALSE))),IF(ISERROR(FIND("..",TRIM(VLOOKUP(IF(AND(LEN($A884)=4,VALUE(RIGHT($A884,2))&gt;60),$A884&amp;"01 1",$A884),IF(AND(LEN($A884)=4,VALUE(RIGHT($A884,2))&lt;60),GUS_tabl_2!$A$8:$B$464,GUS_tabl_21!$A$5:$B$4886),2,FALSE)))),TRIM(VLOOKUP(IF(AND(LEN($A884)=4,VALUE(RIGHT($A884,2))&gt;60),$A884&amp;"01 1",$A884),IF(AND(LEN($A884)=4,VALUE(RIGHT($A884,2))&lt;60),GUS_tabl_2!$A$8:$B$464,GUS_tabl_21!$A$5:$B$4886),2,FALSE)),LEFT(TRIM(VLOOKUP(IF(AND(LEN($A884)=4,VALUE(RIGHT($A884,2))&gt;60),$A884&amp;"01 1",$A884),IF(AND(LEN($A884)=4,VALUE(RIGHT($A884,2))&lt;60),GUS_tabl_2!$A$8:$B$464,GUS_tabl_21!$A$5:$B$4886),2,FALSE)),SUM(FIND("..",TRIM(VLOOKUP(IF(AND(LEN($A884)=4,VALUE(RIGHT($A884,2))&gt;60),$A884&amp;"01 1",$A884),IF(AND(LEN($A884)=4,VALUE(RIGHT($A884,2))&lt;60),GUS_tabl_2!$A$8:$B$464,GUS_tabl_21!$A$5:$B$4886),2,FALSE))),-1)))))</f>
        <v>m. Tomaszów Mazowiecki</v>
      </c>
      <c r="D884" s="141">
        <f>IF(OR($A884="",ISERROR(VALUE(LEFT($A884,6)))),"",IF(LEN($A884)=2,SUMIF($A885:$A$2965,$A884&amp;"??",$D885:$D$2965),IF(AND(LEN($A884)=4,VALUE(RIGHT($A884,2))&lt;=60),SUMIF($A885:$A$2965,$A884&amp;"????",$D885:$D$2965),VLOOKUP(IF(LEN($A884)=4,$A884&amp;"01 1",$A884),GUS_tabl_21!$A$5:$F$4886,6,FALSE))))</f>
        <v>61960</v>
      </c>
      <c r="E884" s="29"/>
    </row>
    <row r="885" spans="1:5" ht="12" customHeight="1">
      <c r="A885" s="155" t="str">
        <f>"101602 2"</f>
        <v>101602 2</v>
      </c>
      <c r="B885" s="153" t="s">
        <v>39</v>
      </c>
      <c r="C885" s="156" t="str">
        <f>IF(OR($A885="",ISERROR(VALUE(LEFT($A885,6)))),"",IF(LEN($A885)=2,"WOJ. ",IF(LEN($A885)=4,IF(VALUE(RIGHT($A885,2))&gt;60,"","Powiat "),IF(VALUE(RIGHT($A885,1))=1,"m. ",IF(VALUE(RIGHT($A885,1))=2,"gm. w. ",IF(VALUE(RIGHT($A885,1))=8,"dz. ","gm. m.-w. ")))))&amp;IF(LEN($A885)=2,TRIM(UPPER(VLOOKUP($A885,GUS_tabl_1!$A$7:$B$22,2,FALSE))),IF(ISERROR(FIND("..",TRIM(VLOOKUP(IF(AND(LEN($A885)=4,VALUE(RIGHT($A885,2))&gt;60),$A885&amp;"01 1",$A885),IF(AND(LEN($A885)=4,VALUE(RIGHT($A885,2))&lt;60),GUS_tabl_2!$A$8:$B$464,GUS_tabl_21!$A$5:$B$4886),2,FALSE)))),TRIM(VLOOKUP(IF(AND(LEN($A885)=4,VALUE(RIGHT($A885,2))&gt;60),$A885&amp;"01 1",$A885),IF(AND(LEN($A885)=4,VALUE(RIGHT($A885,2))&lt;60),GUS_tabl_2!$A$8:$B$464,GUS_tabl_21!$A$5:$B$4886),2,FALSE)),LEFT(TRIM(VLOOKUP(IF(AND(LEN($A885)=4,VALUE(RIGHT($A885,2))&gt;60),$A885&amp;"01 1",$A885),IF(AND(LEN($A885)=4,VALUE(RIGHT($A885,2))&lt;60),GUS_tabl_2!$A$8:$B$464,GUS_tabl_21!$A$5:$B$4886),2,FALSE)),SUM(FIND("..",TRIM(VLOOKUP(IF(AND(LEN($A885)=4,VALUE(RIGHT($A885,2))&gt;60),$A885&amp;"01 1",$A885),IF(AND(LEN($A885)=4,VALUE(RIGHT($A885,2))&lt;60),GUS_tabl_2!$A$8:$B$464,GUS_tabl_21!$A$5:$B$4886),2,FALSE))),-1)))))</f>
        <v>gm. w. Będków</v>
      </c>
      <c r="D885" s="141">
        <f>IF(OR($A885="",ISERROR(VALUE(LEFT($A885,6)))),"",IF(LEN($A885)=2,SUMIF($A886:$A$2965,$A885&amp;"??",$D886:$D$2965),IF(AND(LEN($A885)=4,VALUE(RIGHT($A885,2))&lt;=60),SUMIF($A886:$A$2965,$A885&amp;"????",$D886:$D$2965),VLOOKUP(IF(LEN($A885)=4,$A885&amp;"01 1",$A885),GUS_tabl_21!$A$5:$F$4886,6,FALSE))))</f>
        <v>3274</v>
      </c>
      <c r="E885" s="29"/>
    </row>
    <row r="886" spans="1:5" ht="12" customHeight="1">
      <c r="A886" s="155" t="str">
        <f>"101603 2"</f>
        <v>101603 2</v>
      </c>
      <c r="B886" s="153" t="s">
        <v>39</v>
      </c>
      <c r="C886" s="156" t="str">
        <f>IF(OR($A886="",ISERROR(VALUE(LEFT($A886,6)))),"",IF(LEN($A886)=2,"WOJ. ",IF(LEN($A886)=4,IF(VALUE(RIGHT($A886,2))&gt;60,"","Powiat "),IF(VALUE(RIGHT($A886,1))=1,"m. ",IF(VALUE(RIGHT($A886,1))=2,"gm. w. ",IF(VALUE(RIGHT($A886,1))=8,"dz. ","gm. m.-w. ")))))&amp;IF(LEN($A886)=2,TRIM(UPPER(VLOOKUP($A886,GUS_tabl_1!$A$7:$B$22,2,FALSE))),IF(ISERROR(FIND("..",TRIM(VLOOKUP(IF(AND(LEN($A886)=4,VALUE(RIGHT($A886,2))&gt;60),$A886&amp;"01 1",$A886),IF(AND(LEN($A886)=4,VALUE(RIGHT($A886,2))&lt;60),GUS_tabl_2!$A$8:$B$464,GUS_tabl_21!$A$5:$B$4886),2,FALSE)))),TRIM(VLOOKUP(IF(AND(LEN($A886)=4,VALUE(RIGHT($A886,2))&gt;60),$A886&amp;"01 1",$A886),IF(AND(LEN($A886)=4,VALUE(RIGHT($A886,2))&lt;60),GUS_tabl_2!$A$8:$B$464,GUS_tabl_21!$A$5:$B$4886),2,FALSE)),LEFT(TRIM(VLOOKUP(IF(AND(LEN($A886)=4,VALUE(RIGHT($A886,2))&gt;60),$A886&amp;"01 1",$A886),IF(AND(LEN($A886)=4,VALUE(RIGHT($A886,2))&lt;60),GUS_tabl_2!$A$8:$B$464,GUS_tabl_21!$A$5:$B$4886),2,FALSE)),SUM(FIND("..",TRIM(VLOOKUP(IF(AND(LEN($A886)=4,VALUE(RIGHT($A886,2))&gt;60),$A886&amp;"01 1",$A886),IF(AND(LEN($A886)=4,VALUE(RIGHT($A886,2))&lt;60),GUS_tabl_2!$A$8:$B$464,GUS_tabl_21!$A$5:$B$4886),2,FALSE))),-1)))))</f>
        <v>gm. w. Budziszewice</v>
      </c>
      <c r="D886" s="141">
        <f>IF(OR($A886="",ISERROR(VALUE(LEFT($A886,6)))),"",IF(LEN($A886)=2,SUMIF($A887:$A$2965,$A886&amp;"??",$D887:$D$2965),IF(AND(LEN($A886)=4,VALUE(RIGHT($A886,2))&lt;=60),SUMIF($A887:$A$2965,$A886&amp;"????",$D887:$D$2965),VLOOKUP(IF(LEN($A886)=4,$A886&amp;"01 1",$A886),GUS_tabl_21!$A$5:$F$4886,6,FALSE))))</f>
        <v>2149</v>
      </c>
      <c r="E886" s="29"/>
    </row>
    <row r="887" spans="1:5" ht="12" customHeight="1">
      <c r="A887" s="155" t="str">
        <f>"101604 2"</f>
        <v>101604 2</v>
      </c>
      <c r="B887" s="153" t="s">
        <v>39</v>
      </c>
      <c r="C887" s="156" t="str">
        <f>IF(OR($A887="",ISERROR(VALUE(LEFT($A887,6)))),"",IF(LEN($A887)=2,"WOJ. ",IF(LEN($A887)=4,IF(VALUE(RIGHT($A887,2))&gt;60,"","Powiat "),IF(VALUE(RIGHT($A887,1))=1,"m. ",IF(VALUE(RIGHT($A887,1))=2,"gm. w. ",IF(VALUE(RIGHT($A887,1))=8,"dz. ","gm. m.-w. ")))))&amp;IF(LEN($A887)=2,TRIM(UPPER(VLOOKUP($A887,GUS_tabl_1!$A$7:$B$22,2,FALSE))),IF(ISERROR(FIND("..",TRIM(VLOOKUP(IF(AND(LEN($A887)=4,VALUE(RIGHT($A887,2))&gt;60),$A887&amp;"01 1",$A887),IF(AND(LEN($A887)=4,VALUE(RIGHT($A887,2))&lt;60),GUS_tabl_2!$A$8:$B$464,GUS_tabl_21!$A$5:$B$4886),2,FALSE)))),TRIM(VLOOKUP(IF(AND(LEN($A887)=4,VALUE(RIGHT($A887,2))&gt;60),$A887&amp;"01 1",$A887),IF(AND(LEN($A887)=4,VALUE(RIGHT($A887,2))&lt;60),GUS_tabl_2!$A$8:$B$464,GUS_tabl_21!$A$5:$B$4886),2,FALSE)),LEFT(TRIM(VLOOKUP(IF(AND(LEN($A887)=4,VALUE(RIGHT($A887,2))&gt;60),$A887&amp;"01 1",$A887),IF(AND(LEN($A887)=4,VALUE(RIGHT($A887,2))&lt;60),GUS_tabl_2!$A$8:$B$464,GUS_tabl_21!$A$5:$B$4886),2,FALSE)),SUM(FIND("..",TRIM(VLOOKUP(IF(AND(LEN($A887)=4,VALUE(RIGHT($A887,2))&gt;60),$A887&amp;"01 1",$A887),IF(AND(LEN($A887)=4,VALUE(RIGHT($A887,2))&lt;60),GUS_tabl_2!$A$8:$B$464,GUS_tabl_21!$A$5:$B$4886),2,FALSE))),-1)))))</f>
        <v>gm. w. Czerniewice</v>
      </c>
      <c r="D887" s="141">
        <f>IF(OR($A887="",ISERROR(VALUE(LEFT($A887,6)))),"",IF(LEN($A887)=2,SUMIF($A888:$A$2965,$A887&amp;"??",$D888:$D$2965),IF(AND(LEN($A887)=4,VALUE(RIGHT($A887,2))&lt;=60),SUMIF($A888:$A$2965,$A887&amp;"????",$D888:$D$2965),VLOOKUP(IF(LEN($A887)=4,$A887&amp;"01 1",$A887),GUS_tabl_21!$A$5:$F$4886,6,FALSE))))</f>
        <v>5048</v>
      </c>
      <c r="E887" s="29"/>
    </row>
    <row r="888" spans="1:5" ht="12" customHeight="1">
      <c r="A888" s="155" t="str">
        <f>"101605 2"</f>
        <v>101605 2</v>
      </c>
      <c r="B888" s="153" t="s">
        <v>39</v>
      </c>
      <c r="C888" s="156" t="str">
        <f>IF(OR($A888="",ISERROR(VALUE(LEFT($A888,6)))),"",IF(LEN($A888)=2,"WOJ. ",IF(LEN($A888)=4,IF(VALUE(RIGHT($A888,2))&gt;60,"","Powiat "),IF(VALUE(RIGHT($A888,1))=1,"m. ",IF(VALUE(RIGHT($A888,1))=2,"gm. w. ",IF(VALUE(RIGHT($A888,1))=8,"dz. ","gm. m.-w. ")))))&amp;IF(LEN($A888)=2,TRIM(UPPER(VLOOKUP($A888,GUS_tabl_1!$A$7:$B$22,2,FALSE))),IF(ISERROR(FIND("..",TRIM(VLOOKUP(IF(AND(LEN($A888)=4,VALUE(RIGHT($A888,2))&gt;60),$A888&amp;"01 1",$A888),IF(AND(LEN($A888)=4,VALUE(RIGHT($A888,2))&lt;60),GUS_tabl_2!$A$8:$B$464,GUS_tabl_21!$A$5:$B$4886),2,FALSE)))),TRIM(VLOOKUP(IF(AND(LEN($A888)=4,VALUE(RIGHT($A888,2))&gt;60),$A888&amp;"01 1",$A888),IF(AND(LEN($A888)=4,VALUE(RIGHT($A888,2))&lt;60),GUS_tabl_2!$A$8:$B$464,GUS_tabl_21!$A$5:$B$4886),2,FALSE)),LEFT(TRIM(VLOOKUP(IF(AND(LEN($A888)=4,VALUE(RIGHT($A888,2))&gt;60),$A888&amp;"01 1",$A888),IF(AND(LEN($A888)=4,VALUE(RIGHT($A888,2))&lt;60),GUS_tabl_2!$A$8:$B$464,GUS_tabl_21!$A$5:$B$4886),2,FALSE)),SUM(FIND("..",TRIM(VLOOKUP(IF(AND(LEN($A888)=4,VALUE(RIGHT($A888,2))&gt;60),$A888&amp;"01 1",$A888),IF(AND(LEN($A888)=4,VALUE(RIGHT($A888,2))&lt;60),GUS_tabl_2!$A$8:$B$464,GUS_tabl_21!$A$5:$B$4886),2,FALSE))),-1)))))</f>
        <v>gm. w. Inowłódz</v>
      </c>
      <c r="D888" s="141">
        <f>IF(OR($A888="",ISERROR(VALUE(LEFT($A888,6)))),"",IF(LEN($A888)=2,SUMIF($A889:$A$2965,$A888&amp;"??",$D889:$D$2965),IF(AND(LEN($A888)=4,VALUE(RIGHT($A888,2))&lt;=60),SUMIF($A889:$A$2965,$A888&amp;"????",$D889:$D$2965),VLOOKUP(IF(LEN($A888)=4,$A888&amp;"01 1",$A888),GUS_tabl_21!$A$5:$F$4886,6,FALSE))))</f>
        <v>3825</v>
      </c>
      <c r="E888" s="29"/>
    </row>
    <row r="889" spans="1:5" ht="12" customHeight="1">
      <c r="A889" s="155" t="str">
        <f>"101606 2"</f>
        <v>101606 2</v>
      </c>
      <c r="B889" s="153" t="s">
        <v>39</v>
      </c>
      <c r="C889" s="156" t="str">
        <f>IF(OR($A889="",ISERROR(VALUE(LEFT($A889,6)))),"",IF(LEN($A889)=2,"WOJ. ",IF(LEN($A889)=4,IF(VALUE(RIGHT($A889,2))&gt;60,"","Powiat "),IF(VALUE(RIGHT($A889,1))=1,"m. ",IF(VALUE(RIGHT($A889,1))=2,"gm. w. ",IF(VALUE(RIGHT($A889,1))=8,"dz. ","gm. m.-w. ")))))&amp;IF(LEN($A889)=2,TRIM(UPPER(VLOOKUP($A889,GUS_tabl_1!$A$7:$B$22,2,FALSE))),IF(ISERROR(FIND("..",TRIM(VLOOKUP(IF(AND(LEN($A889)=4,VALUE(RIGHT($A889,2))&gt;60),$A889&amp;"01 1",$A889),IF(AND(LEN($A889)=4,VALUE(RIGHT($A889,2))&lt;60),GUS_tabl_2!$A$8:$B$464,GUS_tabl_21!$A$5:$B$4886),2,FALSE)))),TRIM(VLOOKUP(IF(AND(LEN($A889)=4,VALUE(RIGHT($A889,2))&gt;60),$A889&amp;"01 1",$A889),IF(AND(LEN($A889)=4,VALUE(RIGHT($A889,2))&lt;60),GUS_tabl_2!$A$8:$B$464,GUS_tabl_21!$A$5:$B$4886),2,FALSE)),LEFT(TRIM(VLOOKUP(IF(AND(LEN($A889)=4,VALUE(RIGHT($A889,2))&gt;60),$A889&amp;"01 1",$A889),IF(AND(LEN($A889)=4,VALUE(RIGHT($A889,2))&lt;60),GUS_tabl_2!$A$8:$B$464,GUS_tabl_21!$A$5:$B$4886),2,FALSE)),SUM(FIND("..",TRIM(VLOOKUP(IF(AND(LEN($A889)=4,VALUE(RIGHT($A889,2))&gt;60),$A889&amp;"01 1",$A889),IF(AND(LEN($A889)=4,VALUE(RIGHT($A889,2))&lt;60),GUS_tabl_2!$A$8:$B$464,GUS_tabl_21!$A$5:$B$4886),2,FALSE))),-1)))))</f>
        <v>gm. w. Lubochnia</v>
      </c>
      <c r="D889" s="141">
        <f>IF(OR($A889="",ISERROR(VALUE(LEFT($A889,6)))),"",IF(LEN($A889)=2,SUMIF($A890:$A$2965,$A889&amp;"??",$D890:$D$2965),IF(AND(LEN($A889)=4,VALUE(RIGHT($A889,2))&lt;=60),SUMIF($A890:$A$2965,$A889&amp;"????",$D890:$D$2965),VLOOKUP(IF(LEN($A889)=4,$A889&amp;"01 1",$A889),GUS_tabl_21!$A$5:$F$4886,6,FALSE))))</f>
        <v>7197</v>
      </c>
      <c r="E889" s="29"/>
    </row>
    <row r="890" spans="1:5" ht="12" customHeight="1">
      <c r="A890" s="155" t="str">
        <f>"101607 2"</f>
        <v>101607 2</v>
      </c>
      <c r="B890" s="153" t="s">
        <v>39</v>
      </c>
      <c r="C890" s="156" t="str">
        <f>IF(OR($A890="",ISERROR(VALUE(LEFT($A890,6)))),"",IF(LEN($A890)=2,"WOJ. ",IF(LEN($A890)=4,IF(VALUE(RIGHT($A890,2))&gt;60,"","Powiat "),IF(VALUE(RIGHT($A890,1))=1,"m. ",IF(VALUE(RIGHT($A890,1))=2,"gm. w. ",IF(VALUE(RIGHT($A890,1))=8,"dz. ","gm. m.-w. ")))))&amp;IF(LEN($A890)=2,TRIM(UPPER(VLOOKUP($A890,GUS_tabl_1!$A$7:$B$22,2,FALSE))),IF(ISERROR(FIND("..",TRIM(VLOOKUP(IF(AND(LEN($A890)=4,VALUE(RIGHT($A890,2))&gt;60),$A890&amp;"01 1",$A890),IF(AND(LEN($A890)=4,VALUE(RIGHT($A890,2))&lt;60),GUS_tabl_2!$A$8:$B$464,GUS_tabl_21!$A$5:$B$4886),2,FALSE)))),TRIM(VLOOKUP(IF(AND(LEN($A890)=4,VALUE(RIGHT($A890,2))&gt;60),$A890&amp;"01 1",$A890),IF(AND(LEN($A890)=4,VALUE(RIGHT($A890,2))&lt;60),GUS_tabl_2!$A$8:$B$464,GUS_tabl_21!$A$5:$B$4886),2,FALSE)),LEFT(TRIM(VLOOKUP(IF(AND(LEN($A890)=4,VALUE(RIGHT($A890,2))&gt;60),$A890&amp;"01 1",$A890),IF(AND(LEN($A890)=4,VALUE(RIGHT($A890,2))&lt;60),GUS_tabl_2!$A$8:$B$464,GUS_tabl_21!$A$5:$B$4886),2,FALSE)),SUM(FIND("..",TRIM(VLOOKUP(IF(AND(LEN($A890)=4,VALUE(RIGHT($A890,2))&gt;60),$A890&amp;"01 1",$A890),IF(AND(LEN($A890)=4,VALUE(RIGHT($A890,2))&lt;60),GUS_tabl_2!$A$8:$B$464,GUS_tabl_21!$A$5:$B$4886),2,FALSE))),-1)))))</f>
        <v>gm. w. Rokiciny</v>
      </c>
      <c r="D890" s="141">
        <f>IF(OR($A890="",ISERROR(VALUE(LEFT($A890,6)))),"",IF(LEN($A890)=2,SUMIF($A891:$A$2965,$A890&amp;"??",$D891:$D$2965),IF(AND(LEN($A890)=4,VALUE(RIGHT($A890,2))&lt;=60),SUMIF($A891:$A$2965,$A890&amp;"????",$D891:$D$2965),VLOOKUP(IF(LEN($A890)=4,$A890&amp;"01 1",$A890),GUS_tabl_21!$A$5:$F$4886,6,FALSE))))</f>
        <v>6160</v>
      </c>
      <c r="E890" s="29"/>
    </row>
    <row r="891" spans="1:5" ht="12" customHeight="1">
      <c r="A891" s="155" t="str">
        <f>"101608 2"</f>
        <v>101608 2</v>
      </c>
      <c r="B891" s="153" t="s">
        <v>39</v>
      </c>
      <c r="C891" s="156" t="str">
        <f>IF(OR($A891="",ISERROR(VALUE(LEFT($A891,6)))),"",IF(LEN($A891)=2,"WOJ. ",IF(LEN($A891)=4,IF(VALUE(RIGHT($A891,2))&gt;60,"","Powiat "),IF(VALUE(RIGHT($A891,1))=1,"m. ",IF(VALUE(RIGHT($A891,1))=2,"gm. w. ",IF(VALUE(RIGHT($A891,1))=8,"dz. ","gm. m.-w. ")))))&amp;IF(LEN($A891)=2,TRIM(UPPER(VLOOKUP($A891,GUS_tabl_1!$A$7:$B$22,2,FALSE))),IF(ISERROR(FIND("..",TRIM(VLOOKUP(IF(AND(LEN($A891)=4,VALUE(RIGHT($A891,2))&gt;60),$A891&amp;"01 1",$A891),IF(AND(LEN($A891)=4,VALUE(RIGHT($A891,2))&lt;60),GUS_tabl_2!$A$8:$B$464,GUS_tabl_21!$A$5:$B$4886),2,FALSE)))),TRIM(VLOOKUP(IF(AND(LEN($A891)=4,VALUE(RIGHT($A891,2))&gt;60),$A891&amp;"01 1",$A891),IF(AND(LEN($A891)=4,VALUE(RIGHT($A891,2))&lt;60),GUS_tabl_2!$A$8:$B$464,GUS_tabl_21!$A$5:$B$4886),2,FALSE)),LEFT(TRIM(VLOOKUP(IF(AND(LEN($A891)=4,VALUE(RIGHT($A891,2))&gt;60),$A891&amp;"01 1",$A891),IF(AND(LEN($A891)=4,VALUE(RIGHT($A891,2))&lt;60),GUS_tabl_2!$A$8:$B$464,GUS_tabl_21!$A$5:$B$4886),2,FALSE)),SUM(FIND("..",TRIM(VLOOKUP(IF(AND(LEN($A891)=4,VALUE(RIGHT($A891,2))&gt;60),$A891&amp;"01 1",$A891),IF(AND(LEN($A891)=4,VALUE(RIGHT($A891,2))&lt;60),GUS_tabl_2!$A$8:$B$464,GUS_tabl_21!$A$5:$B$4886),2,FALSE))),-1)))))</f>
        <v>gm. w. Rzeczyca</v>
      </c>
      <c r="D891" s="141">
        <f>IF(OR($A891="",ISERROR(VALUE(LEFT($A891,6)))),"",IF(LEN($A891)=2,SUMIF($A892:$A$2965,$A891&amp;"??",$D892:$D$2965),IF(AND(LEN($A891)=4,VALUE(RIGHT($A891,2))&lt;=60),SUMIF($A892:$A$2965,$A891&amp;"????",$D892:$D$2965),VLOOKUP(IF(LEN($A891)=4,$A891&amp;"01 1",$A891),GUS_tabl_21!$A$5:$F$4886,6,FALSE))))</f>
        <v>4643</v>
      </c>
      <c r="E891" s="29"/>
    </row>
    <row r="892" spans="1:5" ht="12" customHeight="1">
      <c r="A892" s="155" t="str">
        <f>"101609 2"</f>
        <v>101609 2</v>
      </c>
      <c r="B892" s="153" t="s">
        <v>39</v>
      </c>
      <c r="C892" s="156" t="str">
        <f>IF(OR($A892="",ISERROR(VALUE(LEFT($A892,6)))),"",IF(LEN($A892)=2,"WOJ. ",IF(LEN($A892)=4,IF(VALUE(RIGHT($A892,2))&gt;60,"","Powiat "),IF(VALUE(RIGHT($A892,1))=1,"m. ",IF(VALUE(RIGHT($A892,1))=2,"gm. w. ",IF(VALUE(RIGHT($A892,1))=8,"dz. ","gm. m.-w. ")))))&amp;IF(LEN($A892)=2,TRIM(UPPER(VLOOKUP($A892,GUS_tabl_1!$A$7:$B$22,2,FALSE))),IF(ISERROR(FIND("..",TRIM(VLOOKUP(IF(AND(LEN($A892)=4,VALUE(RIGHT($A892,2))&gt;60),$A892&amp;"01 1",$A892),IF(AND(LEN($A892)=4,VALUE(RIGHT($A892,2))&lt;60),GUS_tabl_2!$A$8:$B$464,GUS_tabl_21!$A$5:$B$4886),2,FALSE)))),TRIM(VLOOKUP(IF(AND(LEN($A892)=4,VALUE(RIGHT($A892,2))&gt;60),$A892&amp;"01 1",$A892),IF(AND(LEN($A892)=4,VALUE(RIGHT($A892,2))&lt;60),GUS_tabl_2!$A$8:$B$464,GUS_tabl_21!$A$5:$B$4886),2,FALSE)),LEFT(TRIM(VLOOKUP(IF(AND(LEN($A892)=4,VALUE(RIGHT($A892,2))&gt;60),$A892&amp;"01 1",$A892),IF(AND(LEN($A892)=4,VALUE(RIGHT($A892,2))&lt;60),GUS_tabl_2!$A$8:$B$464,GUS_tabl_21!$A$5:$B$4886),2,FALSE)),SUM(FIND("..",TRIM(VLOOKUP(IF(AND(LEN($A892)=4,VALUE(RIGHT($A892,2))&gt;60),$A892&amp;"01 1",$A892),IF(AND(LEN($A892)=4,VALUE(RIGHT($A892,2))&lt;60),GUS_tabl_2!$A$8:$B$464,GUS_tabl_21!$A$5:$B$4886),2,FALSE))),-1)))))</f>
        <v>gm. w. Tomaszów Mazowiecki</v>
      </c>
      <c r="D892" s="141">
        <f>IF(OR($A892="",ISERROR(VALUE(LEFT($A892,6)))),"",IF(LEN($A892)=2,SUMIF($A893:$A$2965,$A892&amp;"??",$D893:$D$2965),IF(AND(LEN($A892)=4,VALUE(RIGHT($A892,2))&lt;=60),SUMIF($A893:$A$2965,$A892&amp;"????",$D893:$D$2965),VLOOKUP(IF(LEN($A892)=4,$A892&amp;"01 1",$A892),GUS_tabl_21!$A$5:$F$4886,6,FALSE))))</f>
        <v>11224</v>
      </c>
      <c r="E892" s="29"/>
    </row>
    <row r="893" spans="1:5" ht="12" customHeight="1">
      <c r="A893" s="155" t="str">
        <f>"101610 2"</f>
        <v>101610 2</v>
      </c>
      <c r="B893" s="153" t="s">
        <v>39</v>
      </c>
      <c r="C893" s="156" t="str">
        <f>IF(OR($A893="",ISERROR(VALUE(LEFT($A893,6)))),"",IF(LEN($A893)=2,"WOJ. ",IF(LEN($A893)=4,IF(VALUE(RIGHT($A893,2))&gt;60,"","Powiat "),IF(VALUE(RIGHT($A893,1))=1,"m. ",IF(VALUE(RIGHT($A893,1))=2,"gm. w. ",IF(VALUE(RIGHT($A893,1))=8,"dz. ","gm. m.-w. ")))))&amp;IF(LEN($A893)=2,TRIM(UPPER(VLOOKUP($A893,GUS_tabl_1!$A$7:$B$22,2,FALSE))),IF(ISERROR(FIND("..",TRIM(VLOOKUP(IF(AND(LEN($A893)=4,VALUE(RIGHT($A893,2))&gt;60),$A893&amp;"01 1",$A893),IF(AND(LEN($A893)=4,VALUE(RIGHT($A893,2))&lt;60),GUS_tabl_2!$A$8:$B$464,GUS_tabl_21!$A$5:$B$4886),2,FALSE)))),TRIM(VLOOKUP(IF(AND(LEN($A893)=4,VALUE(RIGHT($A893,2))&gt;60),$A893&amp;"01 1",$A893),IF(AND(LEN($A893)=4,VALUE(RIGHT($A893,2))&lt;60),GUS_tabl_2!$A$8:$B$464,GUS_tabl_21!$A$5:$B$4886),2,FALSE)),LEFT(TRIM(VLOOKUP(IF(AND(LEN($A893)=4,VALUE(RIGHT($A893,2))&gt;60),$A893&amp;"01 1",$A893),IF(AND(LEN($A893)=4,VALUE(RIGHT($A893,2))&lt;60),GUS_tabl_2!$A$8:$B$464,GUS_tabl_21!$A$5:$B$4886),2,FALSE)),SUM(FIND("..",TRIM(VLOOKUP(IF(AND(LEN($A893)=4,VALUE(RIGHT($A893,2))&gt;60),$A893&amp;"01 1",$A893),IF(AND(LEN($A893)=4,VALUE(RIGHT($A893,2))&lt;60),GUS_tabl_2!$A$8:$B$464,GUS_tabl_21!$A$5:$B$4886),2,FALSE))),-1)))))</f>
        <v>gm. w. Ujazd</v>
      </c>
      <c r="D893" s="141">
        <f>IF(OR($A893="",ISERROR(VALUE(LEFT($A893,6)))),"",IF(LEN($A893)=2,SUMIF($A894:$A$2965,$A893&amp;"??",$D894:$D$2965),IF(AND(LEN($A893)=4,VALUE(RIGHT($A893,2))&lt;=60),SUMIF($A894:$A$2965,$A893&amp;"????",$D894:$D$2965),VLOOKUP(IF(LEN($A893)=4,$A893&amp;"01 1",$A893),GUS_tabl_21!$A$5:$F$4886,6,FALSE))))</f>
        <v>7723</v>
      </c>
      <c r="E893" s="29"/>
    </row>
    <row r="894" spans="1:5" ht="12" customHeight="1">
      <c r="A894" s="155" t="str">
        <f>"101611 2"</f>
        <v>101611 2</v>
      </c>
      <c r="B894" s="153" t="s">
        <v>39</v>
      </c>
      <c r="C894" s="156" t="str">
        <f>IF(OR($A894="",ISERROR(VALUE(LEFT($A894,6)))),"",IF(LEN($A894)=2,"WOJ. ",IF(LEN($A894)=4,IF(VALUE(RIGHT($A894,2))&gt;60,"","Powiat "),IF(VALUE(RIGHT($A894,1))=1,"m. ",IF(VALUE(RIGHT($A894,1))=2,"gm. w. ",IF(VALUE(RIGHT($A894,1))=8,"dz. ","gm. m.-w. ")))))&amp;IF(LEN($A894)=2,TRIM(UPPER(VLOOKUP($A894,GUS_tabl_1!$A$7:$B$22,2,FALSE))),IF(ISERROR(FIND("..",TRIM(VLOOKUP(IF(AND(LEN($A894)=4,VALUE(RIGHT($A894,2))&gt;60),$A894&amp;"01 1",$A894),IF(AND(LEN($A894)=4,VALUE(RIGHT($A894,2))&lt;60),GUS_tabl_2!$A$8:$B$464,GUS_tabl_21!$A$5:$B$4886),2,FALSE)))),TRIM(VLOOKUP(IF(AND(LEN($A894)=4,VALUE(RIGHT($A894,2))&gt;60),$A894&amp;"01 1",$A894),IF(AND(LEN($A894)=4,VALUE(RIGHT($A894,2))&lt;60),GUS_tabl_2!$A$8:$B$464,GUS_tabl_21!$A$5:$B$4886),2,FALSE)),LEFT(TRIM(VLOOKUP(IF(AND(LEN($A894)=4,VALUE(RIGHT($A894,2))&gt;60),$A894&amp;"01 1",$A894),IF(AND(LEN($A894)=4,VALUE(RIGHT($A894,2))&lt;60),GUS_tabl_2!$A$8:$B$464,GUS_tabl_21!$A$5:$B$4886),2,FALSE)),SUM(FIND("..",TRIM(VLOOKUP(IF(AND(LEN($A894)=4,VALUE(RIGHT($A894,2))&gt;60),$A894&amp;"01 1",$A894),IF(AND(LEN($A894)=4,VALUE(RIGHT($A894,2))&lt;60),GUS_tabl_2!$A$8:$B$464,GUS_tabl_21!$A$5:$B$4886),2,FALSE))),-1)))))</f>
        <v>gm. w. Żelechlinek</v>
      </c>
      <c r="D894" s="141">
        <f>IF(OR($A894="",ISERROR(VALUE(LEFT($A894,6)))),"",IF(LEN($A894)=2,SUMIF($A895:$A$2965,$A894&amp;"??",$D895:$D$2965),IF(AND(LEN($A894)=4,VALUE(RIGHT($A894,2))&lt;=60),SUMIF($A895:$A$2965,$A894&amp;"????",$D895:$D$2965),VLOOKUP(IF(LEN($A894)=4,$A894&amp;"01 1",$A894),GUS_tabl_21!$A$5:$F$4886,6,FALSE))))</f>
        <v>3316</v>
      </c>
      <c r="E894" s="29"/>
    </row>
    <row r="895" spans="1:5" ht="12" customHeight="1">
      <c r="A895" s="152" t="str">
        <f>"1017"</f>
        <v>1017</v>
      </c>
      <c r="B895" s="153" t="s">
        <v>39</v>
      </c>
      <c r="C895" s="154" t="str">
        <f>IF(OR($A895="",ISERROR(VALUE(LEFT($A895,6)))),"",IF(LEN($A895)=2,"WOJ. ",IF(LEN($A895)=4,IF(VALUE(RIGHT($A895,2))&gt;60,"","Powiat "),IF(VALUE(RIGHT($A895,1))=1,"m. ",IF(VALUE(RIGHT($A895,1))=2,"gm. w. ",IF(VALUE(RIGHT($A895,1))=8,"dz. ","gm. m.-w. ")))))&amp;IF(LEN($A895)=2,TRIM(UPPER(VLOOKUP($A895,GUS_tabl_1!$A$7:$B$22,2,FALSE))),IF(ISERROR(FIND("..",TRIM(VLOOKUP(IF(AND(LEN($A895)=4,VALUE(RIGHT($A895,2))&gt;60),$A895&amp;"01 1",$A895),IF(AND(LEN($A895)=4,VALUE(RIGHT($A895,2))&lt;60),GUS_tabl_2!$A$8:$B$464,GUS_tabl_21!$A$5:$B$4886),2,FALSE)))),TRIM(VLOOKUP(IF(AND(LEN($A895)=4,VALUE(RIGHT($A895,2))&gt;60),$A895&amp;"01 1",$A895),IF(AND(LEN($A895)=4,VALUE(RIGHT($A895,2))&lt;60),GUS_tabl_2!$A$8:$B$464,GUS_tabl_21!$A$5:$B$4886),2,FALSE)),LEFT(TRIM(VLOOKUP(IF(AND(LEN($A895)=4,VALUE(RIGHT($A895,2))&gt;60),$A895&amp;"01 1",$A895),IF(AND(LEN($A895)=4,VALUE(RIGHT($A895,2))&lt;60),GUS_tabl_2!$A$8:$B$464,GUS_tabl_21!$A$5:$B$4886),2,FALSE)),SUM(FIND("..",TRIM(VLOOKUP(IF(AND(LEN($A895)=4,VALUE(RIGHT($A895,2))&gt;60),$A895&amp;"01 1",$A895),IF(AND(LEN($A895)=4,VALUE(RIGHT($A895,2))&lt;60),GUS_tabl_2!$A$8:$B$464,GUS_tabl_21!$A$5:$B$4886),2,FALSE))),-1)))))</f>
        <v>Powiat wieluński</v>
      </c>
      <c r="D895" s="140">
        <f>IF(OR($A895="",ISERROR(VALUE(LEFT($A895,6)))),"",IF(LEN($A895)=2,SUMIF($A896:$A$2965,$A895&amp;"??",$D896:$D$2965),IF(AND(LEN($A895)=4,VALUE(RIGHT($A895,2))&lt;=60),SUMIF($A896:$A$2965,$A895&amp;"????",$D896:$D$2965),VLOOKUP(IF(LEN($A895)=4,$A895&amp;"01 1",$A895),GUS_tabl_21!$A$5:$F$4886,6,FALSE))))</f>
        <v>76256</v>
      </c>
      <c r="E895" s="29"/>
    </row>
    <row r="896" spans="1:5" ht="12" customHeight="1">
      <c r="A896" s="155" t="str">
        <f>"101701 2"</f>
        <v>101701 2</v>
      </c>
      <c r="B896" s="153" t="s">
        <v>39</v>
      </c>
      <c r="C896" s="156" t="str">
        <f>IF(OR($A896="",ISERROR(VALUE(LEFT($A896,6)))),"",IF(LEN($A896)=2,"WOJ. ",IF(LEN($A896)=4,IF(VALUE(RIGHT($A896,2))&gt;60,"","Powiat "),IF(VALUE(RIGHT($A896,1))=1,"m. ",IF(VALUE(RIGHT($A896,1))=2,"gm. w. ",IF(VALUE(RIGHT($A896,1))=8,"dz. ","gm. m.-w. ")))))&amp;IF(LEN($A896)=2,TRIM(UPPER(VLOOKUP($A896,GUS_tabl_1!$A$7:$B$22,2,FALSE))),IF(ISERROR(FIND("..",TRIM(VLOOKUP(IF(AND(LEN($A896)=4,VALUE(RIGHT($A896,2))&gt;60),$A896&amp;"01 1",$A896),IF(AND(LEN($A896)=4,VALUE(RIGHT($A896,2))&lt;60),GUS_tabl_2!$A$8:$B$464,GUS_tabl_21!$A$5:$B$4886),2,FALSE)))),TRIM(VLOOKUP(IF(AND(LEN($A896)=4,VALUE(RIGHT($A896,2))&gt;60),$A896&amp;"01 1",$A896),IF(AND(LEN($A896)=4,VALUE(RIGHT($A896,2))&lt;60),GUS_tabl_2!$A$8:$B$464,GUS_tabl_21!$A$5:$B$4886),2,FALSE)),LEFT(TRIM(VLOOKUP(IF(AND(LEN($A896)=4,VALUE(RIGHT($A896,2))&gt;60),$A896&amp;"01 1",$A896),IF(AND(LEN($A896)=4,VALUE(RIGHT($A896,2))&lt;60),GUS_tabl_2!$A$8:$B$464,GUS_tabl_21!$A$5:$B$4886),2,FALSE)),SUM(FIND("..",TRIM(VLOOKUP(IF(AND(LEN($A896)=4,VALUE(RIGHT($A896,2))&gt;60),$A896&amp;"01 1",$A896),IF(AND(LEN($A896)=4,VALUE(RIGHT($A896,2))&lt;60),GUS_tabl_2!$A$8:$B$464,GUS_tabl_21!$A$5:$B$4886),2,FALSE))),-1)))))</f>
        <v>gm. w. Biała</v>
      </c>
      <c r="D896" s="141">
        <f>IF(OR($A896="",ISERROR(VALUE(LEFT($A896,6)))),"",IF(LEN($A896)=2,SUMIF($A897:$A$2965,$A896&amp;"??",$D897:$D$2965),IF(AND(LEN($A896)=4,VALUE(RIGHT($A896,2))&lt;=60),SUMIF($A897:$A$2965,$A896&amp;"????",$D897:$D$2965),VLOOKUP(IF(LEN($A896)=4,$A896&amp;"01 1",$A896),GUS_tabl_21!$A$5:$F$4886,6,FALSE))))</f>
        <v>5440</v>
      </c>
      <c r="E896" s="29"/>
    </row>
    <row r="897" spans="1:5" ht="12" customHeight="1">
      <c r="A897" s="155" t="str">
        <f>"101702 2"</f>
        <v>101702 2</v>
      </c>
      <c r="B897" s="153" t="s">
        <v>39</v>
      </c>
      <c r="C897" s="156" t="str">
        <f>IF(OR($A897="",ISERROR(VALUE(LEFT($A897,6)))),"",IF(LEN($A897)=2,"WOJ. ",IF(LEN($A897)=4,IF(VALUE(RIGHT($A897,2))&gt;60,"","Powiat "),IF(VALUE(RIGHT($A897,1))=1,"m. ",IF(VALUE(RIGHT($A897,1))=2,"gm. w. ",IF(VALUE(RIGHT($A897,1))=8,"dz. ","gm. m.-w. ")))))&amp;IF(LEN($A897)=2,TRIM(UPPER(VLOOKUP($A897,GUS_tabl_1!$A$7:$B$22,2,FALSE))),IF(ISERROR(FIND("..",TRIM(VLOOKUP(IF(AND(LEN($A897)=4,VALUE(RIGHT($A897,2))&gt;60),$A897&amp;"01 1",$A897),IF(AND(LEN($A897)=4,VALUE(RIGHT($A897,2))&lt;60),GUS_tabl_2!$A$8:$B$464,GUS_tabl_21!$A$5:$B$4886),2,FALSE)))),TRIM(VLOOKUP(IF(AND(LEN($A897)=4,VALUE(RIGHT($A897,2))&gt;60),$A897&amp;"01 1",$A897),IF(AND(LEN($A897)=4,VALUE(RIGHT($A897,2))&lt;60),GUS_tabl_2!$A$8:$B$464,GUS_tabl_21!$A$5:$B$4886),2,FALSE)),LEFT(TRIM(VLOOKUP(IF(AND(LEN($A897)=4,VALUE(RIGHT($A897,2))&gt;60),$A897&amp;"01 1",$A897),IF(AND(LEN($A897)=4,VALUE(RIGHT($A897,2))&lt;60),GUS_tabl_2!$A$8:$B$464,GUS_tabl_21!$A$5:$B$4886),2,FALSE)),SUM(FIND("..",TRIM(VLOOKUP(IF(AND(LEN($A897)=4,VALUE(RIGHT($A897,2))&gt;60),$A897&amp;"01 1",$A897),IF(AND(LEN($A897)=4,VALUE(RIGHT($A897,2))&lt;60),GUS_tabl_2!$A$8:$B$464,GUS_tabl_21!$A$5:$B$4886),2,FALSE))),-1)))))</f>
        <v>gm. w. Czarnożyły</v>
      </c>
      <c r="D897" s="141">
        <f>IF(OR($A897="",ISERROR(VALUE(LEFT($A897,6)))),"",IF(LEN($A897)=2,SUMIF($A898:$A$2965,$A897&amp;"??",$D898:$D$2965),IF(AND(LEN($A897)=4,VALUE(RIGHT($A897,2))&lt;=60),SUMIF($A898:$A$2965,$A897&amp;"????",$D898:$D$2965),VLOOKUP(IF(LEN($A897)=4,$A897&amp;"01 1",$A897),GUS_tabl_21!$A$5:$F$4886,6,FALSE))))</f>
        <v>4523</v>
      </c>
      <c r="E897" s="29"/>
    </row>
    <row r="898" spans="1:5" ht="12" customHeight="1">
      <c r="A898" s="155" t="str">
        <f>"101703 2"</f>
        <v>101703 2</v>
      </c>
      <c r="B898" s="153" t="s">
        <v>39</v>
      </c>
      <c r="C898" s="156" t="str">
        <f>IF(OR($A898="",ISERROR(VALUE(LEFT($A898,6)))),"",IF(LEN($A898)=2,"WOJ. ",IF(LEN($A898)=4,IF(VALUE(RIGHT($A898,2))&gt;60,"","Powiat "),IF(VALUE(RIGHT($A898,1))=1,"m. ",IF(VALUE(RIGHT($A898,1))=2,"gm. w. ",IF(VALUE(RIGHT($A898,1))=8,"dz. ","gm. m.-w. ")))))&amp;IF(LEN($A898)=2,TRIM(UPPER(VLOOKUP($A898,GUS_tabl_1!$A$7:$B$22,2,FALSE))),IF(ISERROR(FIND("..",TRIM(VLOOKUP(IF(AND(LEN($A898)=4,VALUE(RIGHT($A898,2))&gt;60),$A898&amp;"01 1",$A898),IF(AND(LEN($A898)=4,VALUE(RIGHT($A898,2))&lt;60),GUS_tabl_2!$A$8:$B$464,GUS_tabl_21!$A$5:$B$4886),2,FALSE)))),TRIM(VLOOKUP(IF(AND(LEN($A898)=4,VALUE(RIGHT($A898,2))&gt;60),$A898&amp;"01 1",$A898),IF(AND(LEN($A898)=4,VALUE(RIGHT($A898,2))&lt;60),GUS_tabl_2!$A$8:$B$464,GUS_tabl_21!$A$5:$B$4886),2,FALSE)),LEFT(TRIM(VLOOKUP(IF(AND(LEN($A898)=4,VALUE(RIGHT($A898,2))&gt;60),$A898&amp;"01 1",$A898),IF(AND(LEN($A898)=4,VALUE(RIGHT($A898,2))&lt;60),GUS_tabl_2!$A$8:$B$464,GUS_tabl_21!$A$5:$B$4886),2,FALSE)),SUM(FIND("..",TRIM(VLOOKUP(IF(AND(LEN($A898)=4,VALUE(RIGHT($A898,2))&gt;60),$A898&amp;"01 1",$A898),IF(AND(LEN($A898)=4,VALUE(RIGHT($A898,2))&lt;60),GUS_tabl_2!$A$8:$B$464,GUS_tabl_21!$A$5:$B$4886),2,FALSE))),-1)))))</f>
        <v>gm. w. Konopnica</v>
      </c>
      <c r="D898" s="141">
        <f>IF(OR($A898="",ISERROR(VALUE(LEFT($A898,6)))),"",IF(LEN($A898)=2,SUMIF($A899:$A$2965,$A898&amp;"??",$D899:$D$2965),IF(AND(LEN($A898)=4,VALUE(RIGHT($A898,2))&lt;=60),SUMIF($A899:$A$2965,$A898&amp;"????",$D899:$D$2965),VLOOKUP(IF(LEN($A898)=4,$A898&amp;"01 1",$A898),GUS_tabl_21!$A$5:$F$4886,6,FALSE))))</f>
        <v>3772</v>
      </c>
      <c r="E898" s="29"/>
    </row>
    <row r="899" spans="1:5" ht="12" customHeight="1">
      <c r="A899" s="155" t="str">
        <f>"101704 2"</f>
        <v>101704 2</v>
      </c>
      <c r="B899" s="153" t="s">
        <v>39</v>
      </c>
      <c r="C899" s="156" t="str">
        <f>IF(OR($A899="",ISERROR(VALUE(LEFT($A899,6)))),"",IF(LEN($A899)=2,"WOJ. ",IF(LEN($A899)=4,IF(VALUE(RIGHT($A899,2))&gt;60,"","Powiat "),IF(VALUE(RIGHT($A899,1))=1,"m. ",IF(VALUE(RIGHT($A899,1))=2,"gm. w. ",IF(VALUE(RIGHT($A899,1))=8,"dz. ","gm. m.-w. ")))))&amp;IF(LEN($A899)=2,TRIM(UPPER(VLOOKUP($A899,GUS_tabl_1!$A$7:$B$22,2,FALSE))),IF(ISERROR(FIND("..",TRIM(VLOOKUP(IF(AND(LEN($A899)=4,VALUE(RIGHT($A899,2))&gt;60),$A899&amp;"01 1",$A899),IF(AND(LEN($A899)=4,VALUE(RIGHT($A899,2))&lt;60),GUS_tabl_2!$A$8:$B$464,GUS_tabl_21!$A$5:$B$4886),2,FALSE)))),TRIM(VLOOKUP(IF(AND(LEN($A899)=4,VALUE(RIGHT($A899,2))&gt;60),$A899&amp;"01 1",$A899),IF(AND(LEN($A899)=4,VALUE(RIGHT($A899,2))&lt;60),GUS_tabl_2!$A$8:$B$464,GUS_tabl_21!$A$5:$B$4886),2,FALSE)),LEFT(TRIM(VLOOKUP(IF(AND(LEN($A899)=4,VALUE(RIGHT($A899,2))&gt;60),$A899&amp;"01 1",$A899),IF(AND(LEN($A899)=4,VALUE(RIGHT($A899,2))&lt;60),GUS_tabl_2!$A$8:$B$464,GUS_tabl_21!$A$5:$B$4886),2,FALSE)),SUM(FIND("..",TRIM(VLOOKUP(IF(AND(LEN($A899)=4,VALUE(RIGHT($A899,2))&gt;60),$A899&amp;"01 1",$A899),IF(AND(LEN($A899)=4,VALUE(RIGHT($A899,2))&lt;60),GUS_tabl_2!$A$8:$B$464,GUS_tabl_21!$A$5:$B$4886),2,FALSE))),-1)))))</f>
        <v>gm. w. Mokrsko</v>
      </c>
      <c r="D899" s="141">
        <f>IF(OR($A899="",ISERROR(VALUE(LEFT($A899,6)))),"",IF(LEN($A899)=2,SUMIF($A900:$A$2965,$A899&amp;"??",$D900:$D$2965),IF(AND(LEN($A899)=4,VALUE(RIGHT($A899,2))&lt;=60),SUMIF($A900:$A$2965,$A899&amp;"????",$D900:$D$2965),VLOOKUP(IF(LEN($A899)=4,$A899&amp;"01 1",$A899),GUS_tabl_21!$A$5:$F$4886,6,FALSE))))</f>
        <v>5401</v>
      </c>
      <c r="E899" s="29"/>
    </row>
    <row r="900" spans="1:5" ht="12" customHeight="1">
      <c r="A900" s="155" t="str">
        <f>"101705 2"</f>
        <v>101705 2</v>
      </c>
      <c r="B900" s="153" t="s">
        <v>39</v>
      </c>
      <c r="C900" s="156" t="str">
        <f>IF(OR($A900="",ISERROR(VALUE(LEFT($A900,6)))),"",IF(LEN($A900)=2,"WOJ. ",IF(LEN($A900)=4,IF(VALUE(RIGHT($A900,2))&gt;60,"","Powiat "),IF(VALUE(RIGHT($A900,1))=1,"m. ",IF(VALUE(RIGHT($A900,1))=2,"gm. w. ",IF(VALUE(RIGHT($A900,1))=8,"dz. ","gm. m.-w. ")))))&amp;IF(LEN($A900)=2,TRIM(UPPER(VLOOKUP($A900,GUS_tabl_1!$A$7:$B$22,2,FALSE))),IF(ISERROR(FIND("..",TRIM(VLOOKUP(IF(AND(LEN($A900)=4,VALUE(RIGHT($A900,2))&gt;60),$A900&amp;"01 1",$A900),IF(AND(LEN($A900)=4,VALUE(RIGHT($A900,2))&lt;60),GUS_tabl_2!$A$8:$B$464,GUS_tabl_21!$A$5:$B$4886),2,FALSE)))),TRIM(VLOOKUP(IF(AND(LEN($A900)=4,VALUE(RIGHT($A900,2))&gt;60),$A900&amp;"01 1",$A900),IF(AND(LEN($A900)=4,VALUE(RIGHT($A900,2))&lt;60),GUS_tabl_2!$A$8:$B$464,GUS_tabl_21!$A$5:$B$4886),2,FALSE)),LEFT(TRIM(VLOOKUP(IF(AND(LEN($A900)=4,VALUE(RIGHT($A900,2))&gt;60),$A900&amp;"01 1",$A900),IF(AND(LEN($A900)=4,VALUE(RIGHT($A900,2))&lt;60),GUS_tabl_2!$A$8:$B$464,GUS_tabl_21!$A$5:$B$4886),2,FALSE)),SUM(FIND("..",TRIM(VLOOKUP(IF(AND(LEN($A900)=4,VALUE(RIGHT($A900,2))&gt;60),$A900&amp;"01 1",$A900),IF(AND(LEN($A900)=4,VALUE(RIGHT($A900,2))&lt;60),GUS_tabl_2!$A$8:$B$464,GUS_tabl_21!$A$5:$B$4886),2,FALSE))),-1)))))</f>
        <v>gm. w. Osjaków</v>
      </c>
      <c r="D900" s="141">
        <f>IF(OR($A900="",ISERROR(VALUE(LEFT($A900,6)))),"",IF(LEN($A900)=2,SUMIF($A901:$A$2965,$A900&amp;"??",$D901:$D$2965),IF(AND(LEN($A900)=4,VALUE(RIGHT($A900,2))&lt;=60),SUMIF($A901:$A$2965,$A900&amp;"????",$D901:$D$2965),VLOOKUP(IF(LEN($A900)=4,$A900&amp;"01 1",$A900),GUS_tabl_21!$A$5:$F$4886,6,FALSE))))</f>
        <v>4738</v>
      </c>
      <c r="E900" s="29"/>
    </row>
    <row r="901" spans="1:5" ht="12" customHeight="1">
      <c r="A901" s="155" t="str">
        <f>"101706 2"</f>
        <v>101706 2</v>
      </c>
      <c r="B901" s="153" t="s">
        <v>39</v>
      </c>
      <c r="C901" s="156" t="str">
        <f>IF(OR($A901="",ISERROR(VALUE(LEFT($A901,6)))),"",IF(LEN($A901)=2,"WOJ. ",IF(LEN($A901)=4,IF(VALUE(RIGHT($A901,2))&gt;60,"","Powiat "),IF(VALUE(RIGHT($A901,1))=1,"m. ",IF(VALUE(RIGHT($A901,1))=2,"gm. w. ",IF(VALUE(RIGHT($A901,1))=8,"dz. ","gm. m.-w. ")))))&amp;IF(LEN($A901)=2,TRIM(UPPER(VLOOKUP($A901,GUS_tabl_1!$A$7:$B$22,2,FALSE))),IF(ISERROR(FIND("..",TRIM(VLOOKUP(IF(AND(LEN($A901)=4,VALUE(RIGHT($A901,2))&gt;60),$A901&amp;"01 1",$A901),IF(AND(LEN($A901)=4,VALUE(RIGHT($A901,2))&lt;60),GUS_tabl_2!$A$8:$B$464,GUS_tabl_21!$A$5:$B$4886),2,FALSE)))),TRIM(VLOOKUP(IF(AND(LEN($A901)=4,VALUE(RIGHT($A901,2))&gt;60),$A901&amp;"01 1",$A901),IF(AND(LEN($A901)=4,VALUE(RIGHT($A901,2))&lt;60),GUS_tabl_2!$A$8:$B$464,GUS_tabl_21!$A$5:$B$4886),2,FALSE)),LEFT(TRIM(VLOOKUP(IF(AND(LEN($A901)=4,VALUE(RIGHT($A901,2))&gt;60),$A901&amp;"01 1",$A901),IF(AND(LEN($A901)=4,VALUE(RIGHT($A901,2))&lt;60),GUS_tabl_2!$A$8:$B$464,GUS_tabl_21!$A$5:$B$4886),2,FALSE)),SUM(FIND("..",TRIM(VLOOKUP(IF(AND(LEN($A901)=4,VALUE(RIGHT($A901,2))&gt;60),$A901&amp;"01 1",$A901),IF(AND(LEN($A901)=4,VALUE(RIGHT($A901,2))&lt;60),GUS_tabl_2!$A$8:$B$464,GUS_tabl_21!$A$5:$B$4886),2,FALSE))),-1)))))</f>
        <v>gm. w. Ostrówek</v>
      </c>
      <c r="D901" s="141">
        <f>IF(OR($A901="",ISERROR(VALUE(LEFT($A901,6)))),"",IF(LEN($A901)=2,SUMIF($A902:$A$2965,$A901&amp;"??",$D902:$D$2965),IF(AND(LEN($A901)=4,VALUE(RIGHT($A901,2))&lt;=60),SUMIF($A902:$A$2965,$A901&amp;"????",$D902:$D$2965),VLOOKUP(IF(LEN($A901)=4,$A901&amp;"01 1",$A901),GUS_tabl_21!$A$5:$F$4886,6,FALSE))))</f>
        <v>4481</v>
      </c>
      <c r="E901" s="29"/>
    </row>
    <row r="902" spans="1:5" ht="12" customHeight="1">
      <c r="A902" s="155" t="str">
        <f>"101707 2"</f>
        <v>101707 2</v>
      </c>
      <c r="B902" s="153" t="s">
        <v>39</v>
      </c>
      <c r="C902" s="156" t="str">
        <f>IF(OR($A902="",ISERROR(VALUE(LEFT($A902,6)))),"",IF(LEN($A902)=2,"WOJ. ",IF(LEN($A902)=4,IF(VALUE(RIGHT($A902,2))&gt;60,"","Powiat "),IF(VALUE(RIGHT($A902,1))=1,"m. ",IF(VALUE(RIGHT($A902,1))=2,"gm. w. ",IF(VALUE(RIGHT($A902,1))=8,"dz. ","gm. m.-w. ")))))&amp;IF(LEN($A902)=2,TRIM(UPPER(VLOOKUP($A902,GUS_tabl_1!$A$7:$B$22,2,FALSE))),IF(ISERROR(FIND("..",TRIM(VLOOKUP(IF(AND(LEN($A902)=4,VALUE(RIGHT($A902,2))&gt;60),$A902&amp;"01 1",$A902),IF(AND(LEN($A902)=4,VALUE(RIGHT($A902,2))&lt;60),GUS_tabl_2!$A$8:$B$464,GUS_tabl_21!$A$5:$B$4886),2,FALSE)))),TRIM(VLOOKUP(IF(AND(LEN($A902)=4,VALUE(RIGHT($A902,2))&gt;60),$A902&amp;"01 1",$A902),IF(AND(LEN($A902)=4,VALUE(RIGHT($A902,2))&lt;60),GUS_tabl_2!$A$8:$B$464,GUS_tabl_21!$A$5:$B$4886),2,FALSE)),LEFT(TRIM(VLOOKUP(IF(AND(LEN($A902)=4,VALUE(RIGHT($A902,2))&gt;60),$A902&amp;"01 1",$A902),IF(AND(LEN($A902)=4,VALUE(RIGHT($A902,2))&lt;60),GUS_tabl_2!$A$8:$B$464,GUS_tabl_21!$A$5:$B$4886),2,FALSE)),SUM(FIND("..",TRIM(VLOOKUP(IF(AND(LEN($A902)=4,VALUE(RIGHT($A902,2))&gt;60),$A902&amp;"01 1",$A902),IF(AND(LEN($A902)=4,VALUE(RIGHT($A902,2))&lt;60),GUS_tabl_2!$A$8:$B$464,GUS_tabl_21!$A$5:$B$4886),2,FALSE))),-1)))))</f>
        <v>gm. w. Pątnów</v>
      </c>
      <c r="D902" s="141">
        <f>IF(OR($A902="",ISERROR(VALUE(LEFT($A902,6)))),"",IF(LEN($A902)=2,SUMIF($A903:$A$2965,$A902&amp;"??",$D903:$D$2965),IF(AND(LEN($A902)=4,VALUE(RIGHT($A902,2))&lt;=60),SUMIF($A903:$A$2965,$A902&amp;"????",$D903:$D$2965),VLOOKUP(IF(LEN($A902)=4,$A902&amp;"01 1",$A902),GUS_tabl_21!$A$5:$F$4886,6,FALSE))))</f>
        <v>6511</v>
      </c>
      <c r="E902" s="29"/>
    </row>
    <row r="903" spans="1:5" ht="12" customHeight="1">
      <c r="A903" s="155" t="str">
        <f>"101708 2"</f>
        <v>101708 2</v>
      </c>
      <c r="B903" s="153" t="s">
        <v>39</v>
      </c>
      <c r="C903" s="156" t="str">
        <f>IF(OR($A903="",ISERROR(VALUE(LEFT($A903,6)))),"",IF(LEN($A903)=2,"WOJ. ",IF(LEN($A903)=4,IF(VALUE(RIGHT($A903,2))&gt;60,"","Powiat "),IF(VALUE(RIGHT($A903,1))=1,"m. ",IF(VALUE(RIGHT($A903,1))=2,"gm. w. ",IF(VALUE(RIGHT($A903,1))=8,"dz. ","gm. m.-w. ")))))&amp;IF(LEN($A903)=2,TRIM(UPPER(VLOOKUP($A903,GUS_tabl_1!$A$7:$B$22,2,FALSE))),IF(ISERROR(FIND("..",TRIM(VLOOKUP(IF(AND(LEN($A903)=4,VALUE(RIGHT($A903,2))&gt;60),$A903&amp;"01 1",$A903),IF(AND(LEN($A903)=4,VALUE(RIGHT($A903,2))&lt;60),GUS_tabl_2!$A$8:$B$464,GUS_tabl_21!$A$5:$B$4886),2,FALSE)))),TRIM(VLOOKUP(IF(AND(LEN($A903)=4,VALUE(RIGHT($A903,2))&gt;60),$A903&amp;"01 1",$A903),IF(AND(LEN($A903)=4,VALUE(RIGHT($A903,2))&lt;60),GUS_tabl_2!$A$8:$B$464,GUS_tabl_21!$A$5:$B$4886),2,FALSE)),LEFT(TRIM(VLOOKUP(IF(AND(LEN($A903)=4,VALUE(RIGHT($A903,2))&gt;60),$A903&amp;"01 1",$A903),IF(AND(LEN($A903)=4,VALUE(RIGHT($A903,2))&lt;60),GUS_tabl_2!$A$8:$B$464,GUS_tabl_21!$A$5:$B$4886),2,FALSE)),SUM(FIND("..",TRIM(VLOOKUP(IF(AND(LEN($A903)=4,VALUE(RIGHT($A903,2))&gt;60),$A903&amp;"01 1",$A903),IF(AND(LEN($A903)=4,VALUE(RIGHT($A903,2))&lt;60),GUS_tabl_2!$A$8:$B$464,GUS_tabl_21!$A$5:$B$4886),2,FALSE))),-1)))))</f>
        <v>gm. w. Skomlin</v>
      </c>
      <c r="D903" s="141">
        <f>IF(OR($A903="",ISERROR(VALUE(LEFT($A903,6)))),"",IF(LEN($A903)=2,SUMIF($A904:$A$2965,$A903&amp;"??",$D904:$D$2965),IF(AND(LEN($A903)=4,VALUE(RIGHT($A903,2))&lt;=60),SUMIF($A904:$A$2965,$A903&amp;"????",$D904:$D$2965),VLOOKUP(IF(LEN($A903)=4,$A903&amp;"01 1",$A903),GUS_tabl_21!$A$5:$F$4886,6,FALSE))))</f>
        <v>3319</v>
      </c>
      <c r="E903" s="29"/>
    </row>
    <row r="904" spans="1:5" ht="12" customHeight="1">
      <c r="A904" s="155" t="str">
        <f>"101709 3"</f>
        <v>101709 3</v>
      </c>
      <c r="B904" s="153" t="s">
        <v>39</v>
      </c>
      <c r="C904" s="156" t="str">
        <f>IF(OR($A904="",ISERROR(VALUE(LEFT($A904,6)))),"",IF(LEN($A904)=2,"WOJ. ",IF(LEN($A904)=4,IF(VALUE(RIGHT($A904,2))&gt;60,"","Powiat "),IF(VALUE(RIGHT($A904,1))=1,"m. ",IF(VALUE(RIGHT($A904,1))=2,"gm. w. ",IF(VALUE(RIGHT($A904,1))=8,"dz. ","gm. m.-w. ")))))&amp;IF(LEN($A904)=2,TRIM(UPPER(VLOOKUP($A904,GUS_tabl_1!$A$7:$B$22,2,FALSE))),IF(ISERROR(FIND("..",TRIM(VLOOKUP(IF(AND(LEN($A904)=4,VALUE(RIGHT($A904,2))&gt;60),$A904&amp;"01 1",$A904),IF(AND(LEN($A904)=4,VALUE(RIGHT($A904,2))&lt;60),GUS_tabl_2!$A$8:$B$464,GUS_tabl_21!$A$5:$B$4886),2,FALSE)))),TRIM(VLOOKUP(IF(AND(LEN($A904)=4,VALUE(RIGHT($A904,2))&gt;60),$A904&amp;"01 1",$A904),IF(AND(LEN($A904)=4,VALUE(RIGHT($A904,2))&lt;60),GUS_tabl_2!$A$8:$B$464,GUS_tabl_21!$A$5:$B$4886),2,FALSE)),LEFT(TRIM(VLOOKUP(IF(AND(LEN($A904)=4,VALUE(RIGHT($A904,2))&gt;60),$A904&amp;"01 1",$A904),IF(AND(LEN($A904)=4,VALUE(RIGHT($A904,2))&lt;60),GUS_tabl_2!$A$8:$B$464,GUS_tabl_21!$A$5:$B$4886),2,FALSE)),SUM(FIND("..",TRIM(VLOOKUP(IF(AND(LEN($A904)=4,VALUE(RIGHT($A904,2))&gt;60),$A904&amp;"01 1",$A904),IF(AND(LEN($A904)=4,VALUE(RIGHT($A904,2))&lt;60),GUS_tabl_2!$A$8:$B$464,GUS_tabl_21!$A$5:$B$4886),2,FALSE))),-1)))))</f>
        <v>gm. m.-w. Wieluń</v>
      </c>
      <c r="D904" s="141">
        <f>IF(OR($A904="",ISERROR(VALUE(LEFT($A904,6)))),"",IF(LEN($A904)=2,SUMIF($A905:$A$2965,$A904&amp;"??",$D905:$D$2965),IF(AND(LEN($A904)=4,VALUE(RIGHT($A904,2))&lt;=60),SUMIF($A905:$A$2965,$A904&amp;"????",$D905:$D$2965),VLOOKUP(IF(LEN($A904)=4,$A904&amp;"01 1",$A904),GUS_tabl_21!$A$5:$F$4886,6,FALSE))))</f>
        <v>31456</v>
      </c>
      <c r="E904" s="29"/>
    </row>
    <row r="905" spans="1:5" ht="12" customHeight="1">
      <c r="A905" s="155" t="str">
        <f>"101710 2"</f>
        <v>101710 2</v>
      </c>
      <c r="B905" s="153" t="s">
        <v>39</v>
      </c>
      <c r="C905" s="156" t="str">
        <f>IF(OR($A905="",ISERROR(VALUE(LEFT($A905,6)))),"",IF(LEN($A905)=2,"WOJ. ",IF(LEN($A905)=4,IF(VALUE(RIGHT($A905,2))&gt;60,"","Powiat "),IF(VALUE(RIGHT($A905,1))=1,"m. ",IF(VALUE(RIGHT($A905,1))=2,"gm. w. ",IF(VALUE(RIGHT($A905,1))=8,"dz. ","gm. m.-w. ")))))&amp;IF(LEN($A905)=2,TRIM(UPPER(VLOOKUP($A905,GUS_tabl_1!$A$7:$B$22,2,FALSE))),IF(ISERROR(FIND("..",TRIM(VLOOKUP(IF(AND(LEN($A905)=4,VALUE(RIGHT($A905,2))&gt;60),$A905&amp;"01 1",$A905),IF(AND(LEN($A905)=4,VALUE(RIGHT($A905,2))&lt;60),GUS_tabl_2!$A$8:$B$464,GUS_tabl_21!$A$5:$B$4886),2,FALSE)))),TRIM(VLOOKUP(IF(AND(LEN($A905)=4,VALUE(RIGHT($A905,2))&gt;60),$A905&amp;"01 1",$A905),IF(AND(LEN($A905)=4,VALUE(RIGHT($A905,2))&lt;60),GUS_tabl_2!$A$8:$B$464,GUS_tabl_21!$A$5:$B$4886),2,FALSE)),LEFT(TRIM(VLOOKUP(IF(AND(LEN($A905)=4,VALUE(RIGHT($A905,2))&gt;60),$A905&amp;"01 1",$A905),IF(AND(LEN($A905)=4,VALUE(RIGHT($A905,2))&lt;60),GUS_tabl_2!$A$8:$B$464,GUS_tabl_21!$A$5:$B$4886),2,FALSE)),SUM(FIND("..",TRIM(VLOOKUP(IF(AND(LEN($A905)=4,VALUE(RIGHT($A905,2))&gt;60),$A905&amp;"01 1",$A905),IF(AND(LEN($A905)=4,VALUE(RIGHT($A905,2))&lt;60),GUS_tabl_2!$A$8:$B$464,GUS_tabl_21!$A$5:$B$4886),2,FALSE))),-1)))))</f>
        <v>gm. w. Wierzchlas</v>
      </c>
      <c r="D905" s="141">
        <f>IF(OR($A905="",ISERROR(VALUE(LEFT($A905,6)))),"",IF(LEN($A905)=2,SUMIF($A906:$A$2965,$A905&amp;"??",$D906:$D$2965),IF(AND(LEN($A905)=4,VALUE(RIGHT($A905,2))&lt;=60),SUMIF($A906:$A$2965,$A905&amp;"????",$D906:$D$2965),VLOOKUP(IF(LEN($A905)=4,$A905&amp;"01 1",$A905),GUS_tabl_21!$A$5:$F$4886,6,FALSE))))</f>
        <v>6615</v>
      </c>
      <c r="E905" s="29"/>
    </row>
    <row r="906" spans="1:5" ht="12" customHeight="1">
      <c r="A906" s="152" t="str">
        <f>"1018"</f>
        <v>1018</v>
      </c>
      <c r="B906" s="153" t="s">
        <v>39</v>
      </c>
      <c r="C906" s="154" t="str">
        <f>IF(OR($A906="",ISERROR(VALUE(LEFT($A906,6)))),"",IF(LEN($A906)=2,"WOJ. ",IF(LEN($A906)=4,IF(VALUE(RIGHT($A906,2))&gt;60,"","Powiat "),IF(VALUE(RIGHT($A906,1))=1,"m. ",IF(VALUE(RIGHT($A906,1))=2,"gm. w. ",IF(VALUE(RIGHT($A906,1))=8,"dz. ","gm. m.-w. ")))))&amp;IF(LEN($A906)=2,TRIM(UPPER(VLOOKUP($A906,GUS_tabl_1!$A$7:$B$22,2,FALSE))),IF(ISERROR(FIND("..",TRIM(VLOOKUP(IF(AND(LEN($A906)=4,VALUE(RIGHT($A906,2))&gt;60),$A906&amp;"01 1",$A906),IF(AND(LEN($A906)=4,VALUE(RIGHT($A906,2))&lt;60),GUS_tabl_2!$A$8:$B$464,GUS_tabl_21!$A$5:$B$4886),2,FALSE)))),TRIM(VLOOKUP(IF(AND(LEN($A906)=4,VALUE(RIGHT($A906,2))&gt;60),$A906&amp;"01 1",$A906),IF(AND(LEN($A906)=4,VALUE(RIGHT($A906,2))&lt;60),GUS_tabl_2!$A$8:$B$464,GUS_tabl_21!$A$5:$B$4886),2,FALSE)),LEFT(TRIM(VLOOKUP(IF(AND(LEN($A906)=4,VALUE(RIGHT($A906,2))&gt;60),$A906&amp;"01 1",$A906),IF(AND(LEN($A906)=4,VALUE(RIGHT($A906,2))&lt;60),GUS_tabl_2!$A$8:$B$464,GUS_tabl_21!$A$5:$B$4886),2,FALSE)),SUM(FIND("..",TRIM(VLOOKUP(IF(AND(LEN($A906)=4,VALUE(RIGHT($A906,2))&gt;60),$A906&amp;"01 1",$A906),IF(AND(LEN($A906)=4,VALUE(RIGHT($A906,2))&lt;60),GUS_tabl_2!$A$8:$B$464,GUS_tabl_21!$A$5:$B$4886),2,FALSE))),-1)))))</f>
        <v>Powiat wieruszowski</v>
      </c>
      <c r="D906" s="140">
        <f>IF(OR($A906="",ISERROR(VALUE(LEFT($A906,6)))),"",IF(LEN($A906)=2,SUMIF($A907:$A$2965,$A906&amp;"??",$D907:$D$2965),IF(AND(LEN($A906)=4,VALUE(RIGHT($A906,2))&lt;=60),SUMIF($A907:$A$2965,$A906&amp;"????",$D907:$D$2965),VLOOKUP(IF(LEN($A906)=4,$A906&amp;"01 1",$A906),GUS_tabl_21!$A$5:$F$4886,6,FALSE))))</f>
        <v>42105</v>
      </c>
      <c r="E906" s="29"/>
    </row>
    <row r="907" spans="1:5" ht="12" customHeight="1">
      <c r="A907" s="155" t="str">
        <f>"101801 2"</f>
        <v>101801 2</v>
      </c>
      <c r="B907" s="153" t="s">
        <v>39</v>
      </c>
      <c r="C907" s="156" t="str">
        <f>IF(OR($A907="",ISERROR(VALUE(LEFT($A907,6)))),"",IF(LEN($A907)=2,"WOJ. ",IF(LEN($A907)=4,IF(VALUE(RIGHT($A907,2))&gt;60,"","Powiat "),IF(VALUE(RIGHT($A907,1))=1,"m. ",IF(VALUE(RIGHT($A907,1))=2,"gm. w. ",IF(VALUE(RIGHT($A907,1))=8,"dz. ","gm. m.-w. ")))))&amp;IF(LEN($A907)=2,TRIM(UPPER(VLOOKUP($A907,GUS_tabl_1!$A$7:$B$22,2,FALSE))),IF(ISERROR(FIND("..",TRIM(VLOOKUP(IF(AND(LEN($A907)=4,VALUE(RIGHT($A907,2))&gt;60),$A907&amp;"01 1",$A907),IF(AND(LEN($A907)=4,VALUE(RIGHT($A907,2))&lt;60),GUS_tabl_2!$A$8:$B$464,GUS_tabl_21!$A$5:$B$4886),2,FALSE)))),TRIM(VLOOKUP(IF(AND(LEN($A907)=4,VALUE(RIGHT($A907,2))&gt;60),$A907&amp;"01 1",$A907),IF(AND(LEN($A907)=4,VALUE(RIGHT($A907,2))&lt;60),GUS_tabl_2!$A$8:$B$464,GUS_tabl_21!$A$5:$B$4886),2,FALSE)),LEFT(TRIM(VLOOKUP(IF(AND(LEN($A907)=4,VALUE(RIGHT($A907,2))&gt;60),$A907&amp;"01 1",$A907),IF(AND(LEN($A907)=4,VALUE(RIGHT($A907,2))&lt;60),GUS_tabl_2!$A$8:$B$464,GUS_tabl_21!$A$5:$B$4886),2,FALSE)),SUM(FIND("..",TRIM(VLOOKUP(IF(AND(LEN($A907)=4,VALUE(RIGHT($A907,2))&gt;60),$A907&amp;"01 1",$A907),IF(AND(LEN($A907)=4,VALUE(RIGHT($A907,2))&lt;60),GUS_tabl_2!$A$8:$B$464,GUS_tabl_21!$A$5:$B$4886),2,FALSE))),-1)))))</f>
        <v>gm. w. Bolesławiec</v>
      </c>
      <c r="D907" s="141">
        <f>IF(OR($A907="",ISERROR(VALUE(LEFT($A907,6)))),"",IF(LEN($A907)=2,SUMIF($A908:$A$2965,$A907&amp;"??",$D908:$D$2965),IF(AND(LEN($A907)=4,VALUE(RIGHT($A907,2))&lt;=60),SUMIF($A908:$A$2965,$A907&amp;"????",$D908:$D$2965),VLOOKUP(IF(LEN($A907)=4,$A907&amp;"01 1",$A907),GUS_tabl_21!$A$5:$F$4886,6,FALSE))))</f>
        <v>4080</v>
      </c>
      <c r="E907" s="29"/>
    </row>
    <row r="908" spans="1:5" ht="12" customHeight="1">
      <c r="A908" s="155" t="str">
        <f>"101802 2"</f>
        <v>101802 2</v>
      </c>
      <c r="B908" s="153" t="s">
        <v>39</v>
      </c>
      <c r="C908" s="156" t="str">
        <f>IF(OR($A908="",ISERROR(VALUE(LEFT($A908,6)))),"",IF(LEN($A908)=2,"WOJ. ",IF(LEN($A908)=4,IF(VALUE(RIGHT($A908,2))&gt;60,"","Powiat "),IF(VALUE(RIGHT($A908,1))=1,"m. ",IF(VALUE(RIGHT($A908,1))=2,"gm. w. ",IF(VALUE(RIGHT($A908,1))=8,"dz. ","gm. m.-w. ")))))&amp;IF(LEN($A908)=2,TRIM(UPPER(VLOOKUP($A908,GUS_tabl_1!$A$7:$B$22,2,FALSE))),IF(ISERROR(FIND("..",TRIM(VLOOKUP(IF(AND(LEN($A908)=4,VALUE(RIGHT($A908,2))&gt;60),$A908&amp;"01 1",$A908),IF(AND(LEN($A908)=4,VALUE(RIGHT($A908,2))&lt;60),GUS_tabl_2!$A$8:$B$464,GUS_tabl_21!$A$5:$B$4886),2,FALSE)))),TRIM(VLOOKUP(IF(AND(LEN($A908)=4,VALUE(RIGHT($A908,2))&gt;60),$A908&amp;"01 1",$A908),IF(AND(LEN($A908)=4,VALUE(RIGHT($A908,2))&lt;60),GUS_tabl_2!$A$8:$B$464,GUS_tabl_21!$A$5:$B$4886),2,FALSE)),LEFT(TRIM(VLOOKUP(IF(AND(LEN($A908)=4,VALUE(RIGHT($A908,2))&gt;60),$A908&amp;"01 1",$A908),IF(AND(LEN($A908)=4,VALUE(RIGHT($A908,2))&lt;60),GUS_tabl_2!$A$8:$B$464,GUS_tabl_21!$A$5:$B$4886),2,FALSE)),SUM(FIND("..",TRIM(VLOOKUP(IF(AND(LEN($A908)=4,VALUE(RIGHT($A908,2))&gt;60),$A908&amp;"01 1",$A908),IF(AND(LEN($A908)=4,VALUE(RIGHT($A908,2))&lt;60),GUS_tabl_2!$A$8:$B$464,GUS_tabl_21!$A$5:$B$4886),2,FALSE))),-1)))))</f>
        <v>gm. w. Czastary</v>
      </c>
      <c r="D908" s="141">
        <f>IF(OR($A908="",ISERROR(VALUE(LEFT($A908,6)))),"",IF(LEN($A908)=2,SUMIF($A909:$A$2965,$A908&amp;"??",$D909:$D$2965),IF(AND(LEN($A908)=4,VALUE(RIGHT($A908,2))&lt;=60),SUMIF($A909:$A$2965,$A908&amp;"????",$D909:$D$2965),VLOOKUP(IF(LEN($A908)=4,$A908&amp;"01 1",$A908),GUS_tabl_21!$A$5:$F$4886,6,FALSE))))</f>
        <v>3975</v>
      </c>
      <c r="E908" s="29"/>
    </row>
    <row r="909" spans="1:5" ht="12" customHeight="1">
      <c r="A909" s="155" t="str">
        <f>"101803 2"</f>
        <v>101803 2</v>
      </c>
      <c r="B909" s="153" t="s">
        <v>39</v>
      </c>
      <c r="C909" s="156" t="str">
        <f>IF(OR($A909="",ISERROR(VALUE(LEFT($A909,6)))),"",IF(LEN($A909)=2,"WOJ. ",IF(LEN($A909)=4,IF(VALUE(RIGHT($A909,2))&gt;60,"","Powiat "),IF(VALUE(RIGHT($A909,1))=1,"m. ",IF(VALUE(RIGHT($A909,1))=2,"gm. w. ",IF(VALUE(RIGHT($A909,1))=8,"dz. ","gm. m.-w. ")))))&amp;IF(LEN($A909)=2,TRIM(UPPER(VLOOKUP($A909,GUS_tabl_1!$A$7:$B$22,2,FALSE))),IF(ISERROR(FIND("..",TRIM(VLOOKUP(IF(AND(LEN($A909)=4,VALUE(RIGHT($A909,2))&gt;60),$A909&amp;"01 1",$A909),IF(AND(LEN($A909)=4,VALUE(RIGHT($A909,2))&lt;60),GUS_tabl_2!$A$8:$B$464,GUS_tabl_21!$A$5:$B$4886),2,FALSE)))),TRIM(VLOOKUP(IF(AND(LEN($A909)=4,VALUE(RIGHT($A909,2))&gt;60),$A909&amp;"01 1",$A909),IF(AND(LEN($A909)=4,VALUE(RIGHT($A909,2))&lt;60),GUS_tabl_2!$A$8:$B$464,GUS_tabl_21!$A$5:$B$4886),2,FALSE)),LEFT(TRIM(VLOOKUP(IF(AND(LEN($A909)=4,VALUE(RIGHT($A909,2))&gt;60),$A909&amp;"01 1",$A909),IF(AND(LEN($A909)=4,VALUE(RIGHT($A909,2))&lt;60),GUS_tabl_2!$A$8:$B$464,GUS_tabl_21!$A$5:$B$4886),2,FALSE)),SUM(FIND("..",TRIM(VLOOKUP(IF(AND(LEN($A909)=4,VALUE(RIGHT($A909,2))&gt;60),$A909&amp;"01 1",$A909),IF(AND(LEN($A909)=4,VALUE(RIGHT($A909,2))&lt;60),GUS_tabl_2!$A$8:$B$464,GUS_tabl_21!$A$5:$B$4886),2,FALSE))),-1)))))</f>
        <v>gm. w. Galewice</v>
      </c>
      <c r="D909" s="141">
        <f>IF(OR($A909="",ISERROR(VALUE(LEFT($A909,6)))),"",IF(LEN($A909)=2,SUMIF($A910:$A$2965,$A909&amp;"??",$D910:$D$2965),IF(AND(LEN($A909)=4,VALUE(RIGHT($A909,2))&lt;=60),SUMIF($A910:$A$2965,$A909&amp;"????",$D910:$D$2965),VLOOKUP(IF(LEN($A909)=4,$A909&amp;"01 1",$A909),GUS_tabl_21!$A$5:$F$4886,6,FALSE))))</f>
        <v>6115</v>
      </c>
      <c r="E909" s="29"/>
    </row>
    <row r="910" spans="1:5" ht="12" customHeight="1">
      <c r="A910" s="155" t="str">
        <f>"101804 3"</f>
        <v>101804 3</v>
      </c>
      <c r="B910" s="153" t="s">
        <v>39</v>
      </c>
      <c r="C910" s="156" t="str">
        <f>IF(OR($A910="",ISERROR(VALUE(LEFT($A910,6)))),"",IF(LEN($A910)=2,"WOJ. ",IF(LEN($A910)=4,IF(VALUE(RIGHT($A910,2))&gt;60,"","Powiat "),IF(VALUE(RIGHT($A910,1))=1,"m. ",IF(VALUE(RIGHT($A910,1))=2,"gm. w. ",IF(VALUE(RIGHT($A910,1))=8,"dz. ","gm. m.-w. ")))))&amp;IF(LEN($A910)=2,TRIM(UPPER(VLOOKUP($A910,GUS_tabl_1!$A$7:$B$22,2,FALSE))),IF(ISERROR(FIND("..",TRIM(VLOOKUP(IF(AND(LEN($A910)=4,VALUE(RIGHT($A910,2))&gt;60),$A910&amp;"01 1",$A910),IF(AND(LEN($A910)=4,VALUE(RIGHT($A910,2))&lt;60),GUS_tabl_2!$A$8:$B$464,GUS_tabl_21!$A$5:$B$4886),2,FALSE)))),TRIM(VLOOKUP(IF(AND(LEN($A910)=4,VALUE(RIGHT($A910,2))&gt;60),$A910&amp;"01 1",$A910),IF(AND(LEN($A910)=4,VALUE(RIGHT($A910,2))&lt;60),GUS_tabl_2!$A$8:$B$464,GUS_tabl_21!$A$5:$B$4886),2,FALSE)),LEFT(TRIM(VLOOKUP(IF(AND(LEN($A910)=4,VALUE(RIGHT($A910,2))&gt;60),$A910&amp;"01 1",$A910),IF(AND(LEN($A910)=4,VALUE(RIGHT($A910,2))&lt;60),GUS_tabl_2!$A$8:$B$464,GUS_tabl_21!$A$5:$B$4886),2,FALSE)),SUM(FIND("..",TRIM(VLOOKUP(IF(AND(LEN($A910)=4,VALUE(RIGHT($A910,2))&gt;60),$A910&amp;"01 1",$A910),IF(AND(LEN($A910)=4,VALUE(RIGHT($A910,2))&lt;60),GUS_tabl_2!$A$8:$B$464,GUS_tabl_21!$A$5:$B$4886),2,FALSE))),-1)))))</f>
        <v>gm. m.-w. Lututów</v>
      </c>
      <c r="D910" s="141">
        <f>IF(OR($A910="",ISERROR(VALUE(LEFT($A910,6)))),"",IF(LEN($A910)=2,SUMIF($A911:$A$2965,$A910&amp;"??",$D911:$D$2965),IF(AND(LEN($A910)=4,VALUE(RIGHT($A910,2))&lt;=60),SUMIF($A911:$A$2965,$A910&amp;"????",$D911:$D$2965),VLOOKUP(IF(LEN($A910)=4,$A910&amp;"01 1",$A910),GUS_tabl_21!$A$5:$F$4886,6,FALSE))))</f>
        <v>4596</v>
      </c>
      <c r="E910" s="29"/>
    </row>
    <row r="911" spans="1:5" ht="12" customHeight="1">
      <c r="A911" s="155" t="str">
        <f>"101805 2"</f>
        <v>101805 2</v>
      </c>
      <c r="B911" s="153" t="s">
        <v>39</v>
      </c>
      <c r="C911" s="156" t="str">
        <f>IF(OR($A911="",ISERROR(VALUE(LEFT($A911,6)))),"",IF(LEN($A911)=2,"WOJ. ",IF(LEN($A911)=4,IF(VALUE(RIGHT($A911,2))&gt;60,"","Powiat "),IF(VALUE(RIGHT($A911,1))=1,"m. ",IF(VALUE(RIGHT($A911,1))=2,"gm. w. ",IF(VALUE(RIGHT($A911,1))=8,"dz. ","gm. m.-w. ")))))&amp;IF(LEN($A911)=2,TRIM(UPPER(VLOOKUP($A911,GUS_tabl_1!$A$7:$B$22,2,FALSE))),IF(ISERROR(FIND("..",TRIM(VLOOKUP(IF(AND(LEN($A911)=4,VALUE(RIGHT($A911,2))&gt;60),$A911&amp;"01 1",$A911),IF(AND(LEN($A911)=4,VALUE(RIGHT($A911,2))&lt;60),GUS_tabl_2!$A$8:$B$464,GUS_tabl_21!$A$5:$B$4886),2,FALSE)))),TRIM(VLOOKUP(IF(AND(LEN($A911)=4,VALUE(RIGHT($A911,2))&gt;60),$A911&amp;"01 1",$A911),IF(AND(LEN($A911)=4,VALUE(RIGHT($A911,2))&lt;60),GUS_tabl_2!$A$8:$B$464,GUS_tabl_21!$A$5:$B$4886),2,FALSE)),LEFT(TRIM(VLOOKUP(IF(AND(LEN($A911)=4,VALUE(RIGHT($A911,2))&gt;60),$A911&amp;"01 1",$A911),IF(AND(LEN($A911)=4,VALUE(RIGHT($A911,2))&lt;60),GUS_tabl_2!$A$8:$B$464,GUS_tabl_21!$A$5:$B$4886),2,FALSE)),SUM(FIND("..",TRIM(VLOOKUP(IF(AND(LEN($A911)=4,VALUE(RIGHT($A911,2))&gt;60),$A911&amp;"01 1",$A911),IF(AND(LEN($A911)=4,VALUE(RIGHT($A911,2))&lt;60),GUS_tabl_2!$A$8:$B$464,GUS_tabl_21!$A$5:$B$4886),2,FALSE))),-1)))))</f>
        <v>gm. w. Łubnice</v>
      </c>
      <c r="D911" s="141">
        <f>IF(OR($A911="",ISERROR(VALUE(LEFT($A911,6)))),"",IF(LEN($A911)=2,SUMIF($A912:$A$2965,$A911&amp;"??",$D912:$D$2965),IF(AND(LEN($A911)=4,VALUE(RIGHT($A911,2))&lt;=60),SUMIF($A912:$A$2965,$A911&amp;"????",$D912:$D$2965),VLOOKUP(IF(LEN($A911)=4,$A911&amp;"01 1",$A911),GUS_tabl_21!$A$5:$F$4886,6,FALSE))))</f>
        <v>4029</v>
      </c>
      <c r="E911" s="29"/>
    </row>
    <row r="912" spans="1:5" ht="12" customHeight="1">
      <c r="A912" s="155" t="str">
        <f>"101806 2"</f>
        <v>101806 2</v>
      </c>
      <c r="B912" s="153" t="s">
        <v>39</v>
      </c>
      <c r="C912" s="156" t="str">
        <f>IF(OR($A912="",ISERROR(VALUE(LEFT($A912,6)))),"",IF(LEN($A912)=2,"WOJ. ",IF(LEN($A912)=4,IF(VALUE(RIGHT($A912,2))&gt;60,"","Powiat "),IF(VALUE(RIGHT($A912,1))=1,"m. ",IF(VALUE(RIGHT($A912,1))=2,"gm. w. ",IF(VALUE(RIGHT($A912,1))=8,"dz. ","gm. m.-w. ")))))&amp;IF(LEN($A912)=2,TRIM(UPPER(VLOOKUP($A912,GUS_tabl_1!$A$7:$B$22,2,FALSE))),IF(ISERROR(FIND("..",TRIM(VLOOKUP(IF(AND(LEN($A912)=4,VALUE(RIGHT($A912,2))&gt;60),$A912&amp;"01 1",$A912),IF(AND(LEN($A912)=4,VALUE(RIGHT($A912,2))&lt;60),GUS_tabl_2!$A$8:$B$464,GUS_tabl_21!$A$5:$B$4886),2,FALSE)))),TRIM(VLOOKUP(IF(AND(LEN($A912)=4,VALUE(RIGHT($A912,2))&gt;60),$A912&amp;"01 1",$A912),IF(AND(LEN($A912)=4,VALUE(RIGHT($A912,2))&lt;60),GUS_tabl_2!$A$8:$B$464,GUS_tabl_21!$A$5:$B$4886),2,FALSE)),LEFT(TRIM(VLOOKUP(IF(AND(LEN($A912)=4,VALUE(RIGHT($A912,2))&gt;60),$A912&amp;"01 1",$A912),IF(AND(LEN($A912)=4,VALUE(RIGHT($A912,2))&lt;60),GUS_tabl_2!$A$8:$B$464,GUS_tabl_21!$A$5:$B$4886),2,FALSE)),SUM(FIND("..",TRIM(VLOOKUP(IF(AND(LEN($A912)=4,VALUE(RIGHT($A912,2))&gt;60),$A912&amp;"01 1",$A912),IF(AND(LEN($A912)=4,VALUE(RIGHT($A912,2))&lt;60),GUS_tabl_2!$A$8:$B$464,GUS_tabl_21!$A$5:$B$4886),2,FALSE))),-1)))))</f>
        <v>gm. w. Sokolniki</v>
      </c>
      <c r="D912" s="141">
        <f>IF(OR($A912="",ISERROR(VALUE(LEFT($A912,6)))),"",IF(LEN($A912)=2,SUMIF($A913:$A$2965,$A912&amp;"??",$D913:$D$2965),IF(AND(LEN($A912)=4,VALUE(RIGHT($A912,2))&lt;=60),SUMIF($A913:$A$2965,$A912&amp;"????",$D913:$D$2965),VLOOKUP(IF(LEN($A912)=4,$A912&amp;"01 1",$A912),GUS_tabl_21!$A$5:$F$4886,6,FALSE))))</f>
        <v>5035</v>
      </c>
      <c r="E912" s="29"/>
    </row>
    <row r="913" spans="1:5" ht="12" customHeight="1">
      <c r="A913" s="155" t="str">
        <f>"101807 3"</f>
        <v>101807 3</v>
      </c>
      <c r="B913" s="153" t="s">
        <v>39</v>
      </c>
      <c r="C913" s="156" t="str">
        <f>IF(OR($A913="",ISERROR(VALUE(LEFT($A913,6)))),"",IF(LEN($A913)=2,"WOJ. ",IF(LEN($A913)=4,IF(VALUE(RIGHT($A913,2))&gt;60,"","Powiat "),IF(VALUE(RIGHT($A913,1))=1,"m. ",IF(VALUE(RIGHT($A913,1))=2,"gm. w. ",IF(VALUE(RIGHT($A913,1))=8,"dz. ","gm. m.-w. ")))))&amp;IF(LEN($A913)=2,TRIM(UPPER(VLOOKUP($A913,GUS_tabl_1!$A$7:$B$22,2,FALSE))),IF(ISERROR(FIND("..",TRIM(VLOOKUP(IF(AND(LEN($A913)=4,VALUE(RIGHT($A913,2))&gt;60),$A913&amp;"01 1",$A913),IF(AND(LEN($A913)=4,VALUE(RIGHT($A913,2))&lt;60),GUS_tabl_2!$A$8:$B$464,GUS_tabl_21!$A$5:$B$4886),2,FALSE)))),TRIM(VLOOKUP(IF(AND(LEN($A913)=4,VALUE(RIGHT($A913,2))&gt;60),$A913&amp;"01 1",$A913),IF(AND(LEN($A913)=4,VALUE(RIGHT($A913,2))&lt;60),GUS_tabl_2!$A$8:$B$464,GUS_tabl_21!$A$5:$B$4886),2,FALSE)),LEFT(TRIM(VLOOKUP(IF(AND(LEN($A913)=4,VALUE(RIGHT($A913,2))&gt;60),$A913&amp;"01 1",$A913),IF(AND(LEN($A913)=4,VALUE(RIGHT($A913,2))&lt;60),GUS_tabl_2!$A$8:$B$464,GUS_tabl_21!$A$5:$B$4886),2,FALSE)),SUM(FIND("..",TRIM(VLOOKUP(IF(AND(LEN($A913)=4,VALUE(RIGHT($A913,2))&gt;60),$A913&amp;"01 1",$A913),IF(AND(LEN($A913)=4,VALUE(RIGHT($A913,2))&lt;60),GUS_tabl_2!$A$8:$B$464,GUS_tabl_21!$A$5:$B$4886),2,FALSE))),-1)))))</f>
        <v>gm. m.-w. Wieruszów</v>
      </c>
      <c r="D913" s="141">
        <f>IF(OR($A913="",ISERROR(VALUE(LEFT($A913,6)))),"",IF(LEN($A913)=2,SUMIF($A914:$A$2965,$A913&amp;"??",$D914:$D$2965),IF(AND(LEN($A913)=4,VALUE(RIGHT($A913,2))&lt;=60),SUMIF($A914:$A$2965,$A913&amp;"????",$D914:$D$2965),VLOOKUP(IF(LEN($A913)=4,$A913&amp;"01 1",$A913),GUS_tabl_21!$A$5:$F$4886,6,FALSE))))</f>
        <v>14275</v>
      </c>
      <c r="E913" s="29"/>
    </row>
    <row r="914" spans="1:5" ht="12" customHeight="1">
      <c r="A914" s="152" t="str">
        <f>"1019"</f>
        <v>1019</v>
      </c>
      <c r="B914" s="153" t="s">
        <v>39</v>
      </c>
      <c r="C914" s="154" t="str">
        <f>IF(OR($A914="",ISERROR(VALUE(LEFT($A914,6)))),"",IF(LEN($A914)=2,"WOJ. ",IF(LEN($A914)=4,IF(VALUE(RIGHT($A914,2))&gt;60,"","Powiat "),IF(VALUE(RIGHT($A914,1))=1,"m. ",IF(VALUE(RIGHT($A914,1))=2,"gm. w. ",IF(VALUE(RIGHT($A914,1))=8,"dz. ","gm. m.-w. ")))))&amp;IF(LEN($A914)=2,TRIM(UPPER(VLOOKUP($A914,GUS_tabl_1!$A$7:$B$22,2,FALSE))),IF(ISERROR(FIND("..",TRIM(VLOOKUP(IF(AND(LEN($A914)=4,VALUE(RIGHT($A914,2))&gt;60),$A914&amp;"01 1",$A914),IF(AND(LEN($A914)=4,VALUE(RIGHT($A914,2))&lt;60),GUS_tabl_2!$A$8:$B$464,GUS_tabl_21!$A$5:$B$4886),2,FALSE)))),TRIM(VLOOKUP(IF(AND(LEN($A914)=4,VALUE(RIGHT($A914,2))&gt;60),$A914&amp;"01 1",$A914),IF(AND(LEN($A914)=4,VALUE(RIGHT($A914,2))&lt;60),GUS_tabl_2!$A$8:$B$464,GUS_tabl_21!$A$5:$B$4886),2,FALSE)),LEFT(TRIM(VLOOKUP(IF(AND(LEN($A914)=4,VALUE(RIGHT($A914,2))&gt;60),$A914&amp;"01 1",$A914),IF(AND(LEN($A914)=4,VALUE(RIGHT($A914,2))&lt;60),GUS_tabl_2!$A$8:$B$464,GUS_tabl_21!$A$5:$B$4886),2,FALSE)),SUM(FIND("..",TRIM(VLOOKUP(IF(AND(LEN($A914)=4,VALUE(RIGHT($A914,2))&gt;60),$A914&amp;"01 1",$A914),IF(AND(LEN($A914)=4,VALUE(RIGHT($A914,2))&lt;60),GUS_tabl_2!$A$8:$B$464,GUS_tabl_21!$A$5:$B$4886),2,FALSE))),-1)))))</f>
        <v>Powiat zduńskowolski</v>
      </c>
      <c r="D914" s="140">
        <f>IF(OR($A914="",ISERROR(VALUE(LEFT($A914,6)))),"",IF(LEN($A914)=2,SUMIF($A915:$A$2965,$A914&amp;"??",$D915:$D$2965),IF(AND(LEN($A914)=4,VALUE(RIGHT($A914,2))&lt;=60),SUMIF($A915:$A$2965,$A914&amp;"????",$D915:$D$2965),VLOOKUP(IF(LEN($A914)=4,$A914&amp;"01 1",$A914),GUS_tabl_21!$A$5:$F$4886,6,FALSE))))</f>
        <v>66380</v>
      </c>
      <c r="E914" s="29"/>
    </row>
    <row r="915" spans="1:5" ht="12" customHeight="1">
      <c r="A915" s="155" t="str">
        <f>"101901 1"</f>
        <v>101901 1</v>
      </c>
      <c r="B915" s="153" t="s">
        <v>39</v>
      </c>
      <c r="C915" s="156" t="str">
        <f>IF(OR($A915="",ISERROR(VALUE(LEFT($A915,6)))),"",IF(LEN($A915)=2,"WOJ. ",IF(LEN($A915)=4,IF(VALUE(RIGHT($A915,2))&gt;60,"","Powiat "),IF(VALUE(RIGHT($A915,1))=1,"m. ",IF(VALUE(RIGHT($A915,1))=2,"gm. w. ",IF(VALUE(RIGHT($A915,1))=8,"dz. ","gm. m.-w. ")))))&amp;IF(LEN($A915)=2,TRIM(UPPER(VLOOKUP($A915,GUS_tabl_1!$A$7:$B$22,2,FALSE))),IF(ISERROR(FIND("..",TRIM(VLOOKUP(IF(AND(LEN($A915)=4,VALUE(RIGHT($A915,2))&gt;60),$A915&amp;"01 1",$A915),IF(AND(LEN($A915)=4,VALUE(RIGHT($A915,2))&lt;60),GUS_tabl_2!$A$8:$B$464,GUS_tabl_21!$A$5:$B$4886),2,FALSE)))),TRIM(VLOOKUP(IF(AND(LEN($A915)=4,VALUE(RIGHT($A915,2))&gt;60),$A915&amp;"01 1",$A915),IF(AND(LEN($A915)=4,VALUE(RIGHT($A915,2))&lt;60),GUS_tabl_2!$A$8:$B$464,GUS_tabl_21!$A$5:$B$4886),2,FALSE)),LEFT(TRIM(VLOOKUP(IF(AND(LEN($A915)=4,VALUE(RIGHT($A915,2))&gt;60),$A915&amp;"01 1",$A915),IF(AND(LEN($A915)=4,VALUE(RIGHT($A915,2))&lt;60),GUS_tabl_2!$A$8:$B$464,GUS_tabl_21!$A$5:$B$4886),2,FALSE)),SUM(FIND("..",TRIM(VLOOKUP(IF(AND(LEN($A915)=4,VALUE(RIGHT($A915,2))&gt;60),$A915&amp;"01 1",$A915),IF(AND(LEN($A915)=4,VALUE(RIGHT($A915,2))&lt;60),GUS_tabl_2!$A$8:$B$464,GUS_tabl_21!$A$5:$B$4886),2,FALSE))),-1)))))</f>
        <v>m. Zduńska Wola</v>
      </c>
      <c r="D915" s="141">
        <f>IF(OR($A915="",ISERROR(VALUE(LEFT($A915,6)))),"",IF(LEN($A915)=2,SUMIF($A916:$A$2965,$A915&amp;"??",$D916:$D$2965),IF(AND(LEN($A915)=4,VALUE(RIGHT($A915,2))&lt;=60),SUMIF($A916:$A$2965,$A915&amp;"????",$D916:$D$2965),VLOOKUP(IF(LEN($A915)=4,$A915&amp;"01 1",$A915),GUS_tabl_21!$A$5:$F$4886,6,FALSE))))</f>
        <v>41686</v>
      </c>
      <c r="E915" s="29"/>
    </row>
    <row r="916" spans="1:5" ht="12" customHeight="1">
      <c r="A916" s="155" t="str">
        <f>"101902 3"</f>
        <v>101902 3</v>
      </c>
      <c r="B916" s="153" t="s">
        <v>39</v>
      </c>
      <c r="C916" s="156" t="str">
        <f>IF(OR($A916="",ISERROR(VALUE(LEFT($A916,6)))),"",IF(LEN($A916)=2,"WOJ. ",IF(LEN($A916)=4,IF(VALUE(RIGHT($A916,2))&gt;60,"","Powiat "),IF(VALUE(RIGHT($A916,1))=1,"m. ",IF(VALUE(RIGHT($A916,1))=2,"gm. w. ",IF(VALUE(RIGHT($A916,1))=8,"dz. ","gm. m.-w. ")))))&amp;IF(LEN($A916)=2,TRIM(UPPER(VLOOKUP($A916,GUS_tabl_1!$A$7:$B$22,2,FALSE))),IF(ISERROR(FIND("..",TRIM(VLOOKUP(IF(AND(LEN($A916)=4,VALUE(RIGHT($A916,2))&gt;60),$A916&amp;"01 1",$A916),IF(AND(LEN($A916)=4,VALUE(RIGHT($A916,2))&lt;60),GUS_tabl_2!$A$8:$B$464,GUS_tabl_21!$A$5:$B$4886),2,FALSE)))),TRIM(VLOOKUP(IF(AND(LEN($A916)=4,VALUE(RIGHT($A916,2))&gt;60),$A916&amp;"01 1",$A916),IF(AND(LEN($A916)=4,VALUE(RIGHT($A916,2))&lt;60),GUS_tabl_2!$A$8:$B$464,GUS_tabl_21!$A$5:$B$4886),2,FALSE)),LEFT(TRIM(VLOOKUP(IF(AND(LEN($A916)=4,VALUE(RIGHT($A916,2))&gt;60),$A916&amp;"01 1",$A916),IF(AND(LEN($A916)=4,VALUE(RIGHT($A916,2))&lt;60),GUS_tabl_2!$A$8:$B$464,GUS_tabl_21!$A$5:$B$4886),2,FALSE)),SUM(FIND("..",TRIM(VLOOKUP(IF(AND(LEN($A916)=4,VALUE(RIGHT($A916,2))&gt;60),$A916&amp;"01 1",$A916),IF(AND(LEN($A916)=4,VALUE(RIGHT($A916,2))&lt;60),GUS_tabl_2!$A$8:$B$464,GUS_tabl_21!$A$5:$B$4886),2,FALSE))),-1)))))</f>
        <v>gm. m.-w. Szadek</v>
      </c>
      <c r="D916" s="141">
        <f>IF(OR($A916="",ISERROR(VALUE(LEFT($A916,6)))),"",IF(LEN($A916)=2,SUMIF($A917:$A$2965,$A916&amp;"??",$D917:$D$2965),IF(AND(LEN($A916)=4,VALUE(RIGHT($A916,2))&lt;=60),SUMIF($A917:$A$2965,$A916&amp;"????",$D917:$D$2965),VLOOKUP(IF(LEN($A916)=4,$A916&amp;"01 1",$A916),GUS_tabl_21!$A$5:$F$4886,6,FALSE))))</f>
        <v>7312</v>
      </c>
      <c r="E916" s="29"/>
    </row>
    <row r="917" spans="1:5" ht="12" customHeight="1">
      <c r="A917" s="155" t="str">
        <f>"101903 2"</f>
        <v>101903 2</v>
      </c>
      <c r="B917" s="153" t="s">
        <v>39</v>
      </c>
      <c r="C917" s="156" t="str">
        <f>IF(OR($A917="",ISERROR(VALUE(LEFT($A917,6)))),"",IF(LEN($A917)=2,"WOJ. ",IF(LEN($A917)=4,IF(VALUE(RIGHT($A917,2))&gt;60,"","Powiat "),IF(VALUE(RIGHT($A917,1))=1,"m. ",IF(VALUE(RIGHT($A917,1))=2,"gm. w. ",IF(VALUE(RIGHT($A917,1))=8,"dz. ","gm. m.-w. ")))))&amp;IF(LEN($A917)=2,TRIM(UPPER(VLOOKUP($A917,GUS_tabl_1!$A$7:$B$22,2,FALSE))),IF(ISERROR(FIND("..",TRIM(VLOOKUP(IF(AND(LEN($A917)=4,VALUE(RIGHT($A917,2))&gt;60),$A917&amp;"01 1",$A917),IF(AND(LEN($A917)=4,VALUE(RIGHT($A917,2))&lt;60),GUS_tabl_2!$A$8:$B$464,GUS_tabl_21!$A$5:$B$4886),2,FALSE)))),TRIM(VLOOKUP(IF(AND(LEN($A917)=4,VALUE(RIGHT($A917,2))&gt;60),$A917&amp;"01 1",$A917),IF(AND(LEN($A917)=4,VALUE(RIGHT($A917,2))&lt;60),GUS_tabl_2!$A$8:$B$464,GUS_tabl_21!$A$5:$B$4886),2,FALSE)),LEFT(TRIM(VLOOKUP(IF(AND(LEN($A917)=4,VALUE(RIGHT($A917,2))&gt;60),$A917&amp;"01 1",$A917),IF(AND(LEN($A917)=4,VALUE(RIGHT($A917,2))&lt;60),GUS_tabl_2!$A$8:$B$464,GUS_tabl_21!$A$5:$B$4886),2,FALSE)),SUM(FIND("..",TRIM(VLOOKUP(IF(AND(LEN($A917)=4,VALUE(RIGHT($A917,2))&gt;60),$A917&amp;"01 1",$A917),IF(AND(LEN($A917)=4,VALUE(RIGHT($A917,2))&lt;60),GUS_tabl_2!$A$8:$B$464,GUS_tabl_21!$A$5:$B$4886),2,FALSE))),-1)))))</f>
        <v>gm. w. Zapolice</v>
      </c>
      <c r="D917" s="141">
        <f>IF(OR($A917="",ISERROR(VALUE(LEFT($A917,6)))),"",IF(LEN($A917)=2,SUMIF($A918:$A$2965,$A917&amp;"??",$D918:$D$2965),IF(AND(LEN($A917)=4,VALUE(RIGHT($A917,2))&lt;=60),SUMIF($A918:$A$2965,$A917&amp;"????",$D918:$D$2965),VLOOKUP(IF(LEN($A917)=4,$A917&amp;"01 1",$A917),GUS_tabl_21!$A$5:$F$4886,6,FALSE))))</f>
        <v>5184</v>
      </c>
      <c r="E917" s="29"/>
    </row>
    <row r="918" spans="1:5" ht="12" customHeight="1">
      <c r="A918" s="155" t="str">
        <f>"101904 2"</f>
        <v>101904 2</v>
      </c>
      <c r="B918" s="153" t="s">
        <v>39</v>
      </c>
      <c r="C918" s="156" t="str">
        <f>IF(OR($A918="",ISERROR(VALUE(LEFT($A918,6)))),"",IF(LEN($A918)=2,"WOJ. ",IF(LEN($A918)=4,IF(VALUE(RIGHT($A918,2))&gt;60,"","Powiat "),IF(VALUE(RIGHT($A918,1))=1,"m. ",IF(VALUE(RIGHT($A918,1))=2,"gm. w. ",IF(VALUE(RIGHT($A918,1))=8,"dz. ","gm. m.-w. ")))))&amp;IF(LEN($A918)=2,TRIM(UPPER(VLOOKUP($A918,GUS_tabl_1!$A$7:$B$22,2,FALSE))),IF(ISERROR(FIND("..",TRIM(VLOOKUP(IF(AND(LEN($A918)=4,VALUE(RIGHT($A918,2))&gt;60),$A918&amp;"01 1",$A918),IF(AND(LEN($A918)=4,VALUE(RIGHT($A918,2))&lt;60),GUS_tabl_2!$A$8:$B$464,GUS_tabl_21!$A$5:$B$4886),2,FALSE)))),TRIM(VLOOKUP(IF(AND(LEN($A918)=4,VALUE(RIGHT($A918,2))&gt;60),$A918&amp;"01 1",$A918),IF(AND(LEN($A918)=4,VALUE(RIGHT($A918,2))&lt;60),GUS_tabl_2!$A$8:$B$464,GUS_tabl_21!$A$5:$B$4886),2,FALSE)),LEFT(TRIM(VLOOKUP(IF(AND(LEN($A918)=4,VALUE(RIGHT($A918,2))&gt;60),$A918&amp;"01 1",$A918),IF(AND(LEN($A918)=4,VALUE(RIGHT($A918,2))&lt;60),GUS_tabl_2!$A$8:$B$464,GUS_tabl_21!$A$5:$B$4886),2,FALSE)),SUM(FIND("..",TRIM(VLOOKUP(IF(AND(LEN($A918)=4,VALUE(RIGHT($A918,2))&gt;60),$A918&amp;"01 1",$A918),IF(AND(LEN($A918)=4,VALUE(RIGHT($A918,2))&lt;60),GUS_tabl_2!$A$8:$B$464,GUS_tabl_21!$A$5:$B$4886),2,FALSE))),-1)))))</f>
        <v>gm. w. Zduńska Wola</v>
      </c>
      <c r="D918" s="141">
        <f>IF(OR($A918="",ISERROR(VALUE(LEFT($A918,6)))),"",IF(LEN($A918)=2,SUMIF($A919:$A$2965,$A918&amp;"??",$D919:$D$2965),IF(AND(LEN($A918)=4,VALUE(RIGHT($A918,2))&lt;=60),SUMIF($A919:$A$2965,$A918&amp;"????",$D919:$D$2965),VLOOKUP(IF(LEN($A918)=4,$A918&amp;"01 1",$A918),GUS_tabl_21!$A$5:$F$4886,6,FALSE))))</f>
        <v>12198</v>
      </c>
      <c r="E918" s="29"/>
    </row>
    <row r="919" spans="1:5" ht="12" customHeight="1">
      <c r="A919" s="152" t="str">
        <f>"1020"</f>
        <v>1020</v>
      </c>
      <c r="B919" s="153" t="s">
        <v>39</v>
      </c>
      <c r="C919" s="154" t="str">
        <f>IF(OR($A919="",ISERROR(VALUE(LEFT($A919,6)))),"",IF(LEN($A919)=2,"WOJ. ",IF(LEN($A919)=4,IF(VALUE(RIGHT($A919,2))&gt;60,"","Powiat "),IF(VALUE(RIGHT($A919,1))=1,"m. ",IF(VALUE(RIGHT($A919,1))=2,"gm. w. ",IF(VALUE(RIGHT($A919,1))=8,"dz. ","gm. m.-w. ")))))&amp;IF(LEN($A919)=2,TRIM(UPPER(VLOOKUP($A919,GUS_tabl_1!$A$7:$B$22,2,FALSE))),IF(ISERROR(FIND("..",TRIM(VLOOKUP(IF(AND(LEN($A919)=4,VALUE(RIGHT($A919,2))&gt;60),$A919&amp;"01 1",$A919),IF(AND(LEN($A919)=4,VALUE(RIGHT($A919,2))&lt;60),GUS_tabl_2!$A$8:$B$464,GUS_tabl_21!$A$5:$B$4886),2,FALSE)))),TRIM(VLOOKUP(IF(AND(LEN($A919)=4,VALUE(RIGHT($A919,2))&gt;60),$A919&amp;"01 1",$A919),IF(AND(LEN($A919)=4,VALUE(RIGHT($A919,2))&lt;60),GUS_tabl_2!$A$8:$B$464,GUS_tabl_21!$A$5:$B$4886),2,FALSE)),LEFT(TRIM(VLOOKUP(IF(AND(LEN($A919)=4,VALUE(RIGHT($A919,2))&gt;60),$A919&amp;"01 1",$A919),IF(AND(LEN($A919)=4,VALUE(RIGHT($A919,2))&lt;60),GUS_tabl_2!$A$8:$B$464,GUS_tabl_21!$A$5:$B$4886),2,FALSE)),SUM(FIND("..",TRIM(VLOOKUP(IF(AND(LEN($A919)=4,VALUE(RIGHT($A919,2))&gt;60),$A919&amp;"01 1",$A919),IF(AND(LEN($A919)=4,VALUE(RIGHT($A919,2))&lt;60),GUS_tabl_2!$A$8:$B$464,GUS_tabl_21!$A$5:$B$4886),2,FALSE))),-1)))))</f>
        <v>Powiat zgierski</v>
      </c>
      <c r="D919" s="140">
        <f>IF(OR($A919="",ISERROR(VALUE(LEFT($A919,6)))),"",IF(LEN($A919)=2,SUMIF($A920:$A$2965,$A919&amp;"??",$D920:$D$2965),IF(AND(LEN($A919)=4,VALUE(RIGHT($A919,2))&lt;=60),SUMIF($A920:$A$2965,$A919&amp;"????",$D920:$D$2965),VLOOKUP(IF(LEN($A919)=4,$A919&amp;"01 1",$A919),GUS_tabl_21!$A$5:$F$4886,6,FALSE))))</f>
        <v>166113</v>
      </c>
      <c r="E919" s="29"/>
    </row>
    <row r="920" spans="1:5" ht="12" customHeight="1">
      <c r="A920" s="155" t="str">
        <f>"102001 1"</f>
        <v>102001 1</v>
      </c>
      <c r="B920" s="153" t="s">
        <v>39</v>
      </c>
      <c r="C920" s="156" t="str">
        <f>IF(OR($A920="",ISERROR(VALUE(LEFT($A920,6)))),"",IF(LEN($A920)=2,"WOJ. ",IF(LEN($A920)=4,IF(VALUE(RIGHT($A920,2))&gt;60,"","Powiat "),IF(VALUE(RIGHT($A920,1))=1,"m. ",IF(VALUE(RIGHT($A920,1))=2,"gm. w. ",IF(VALUE(RIGHT($A920,1))=8,"dz. ","gm. m.-w. ")))))&amp;IF(LEN($A920)=2,TRIM(UPPER(VLOOKUP($A920,GUS_tabl_1!$A$7:$B$22,2,FALSE))),IF(ISERROR(FIND("..",TRIM(VLOOKUP(IF(AND(LEN($A920)=4,VALUE(RIGHT($A920,2))&gt;60),$A920&amp;"01 1",$A920),IF(AND(LEN($A920)=4,VALUE(RIGHT($A920,2))&lt;60),GUS_tabl_2!$A$8:$B$464,GUS_tabl_21!$A$5:$B$4886),2,FALSE)))),TRIM(VLOOKUP(IF(AND(LEN($A920)=4,VALUE(RIGHT($A920,2))&gt;60),$A920&amp;"01 1",$A920),IF(AND(LEN($A920)=4,VALUE(RIGHT($A920,2))&lt;60),GUS_tabl_2!$A$8:$B$464,GUS_tabl_21!$A$5:$B$4886),2,FALSE)),LEFT(TRIM(VLOOKUP(IF(AND(LEN($A920)=4,VALUE(RIGHT($A920,2))&gt;60),$A920&amp;"01 1",$A920),IF(AND(LEN($A920)=4,VALUE(RIGHT($A920,2))&lt;60),GUS_tabl_2!$A$8:$B$464,GUS_tabl_21!$A$5:$B$4886),2,FALSE)),SUM(FIND("..",TRIM(VLOOKUP(IF(AND(LEN($A920)=4,VALUE(RIGHT($A920,2))&gt;60),$A920&amp;"01 1",$A920),IF(AND(LEN($A920)=4,VALUE(RIGHT($A920,2))&lt;60),GUS_tabl_2!$A$8:$B$464,GUS_tabl_21!$A$5:$B$4886),2,FALSE))),-1)))))</f>
        <v>m. Głowno</v>
      </c>
      <c r="D920" s="141">
        <f>IF(OR($A920="",ISERROR(VALUE(LEFT($A920,6)))),"",IF(LEN($A920)=2,SUMIF($A921:$A$2965,$A920&amp;"??",$D921:$D$2965),IF(AND(LEN($A920)=4,VALUE(RIGHT($A920,2))&lt;=60),SUMIF($A921:$A$2965,$A920&amp;"????",$D921:$D$2965),VLOOKUP(IF(LEN($A920)=4,$A920&amp;"01 1",$A920),GUS_tabl_21!$A$5:$F$4886,6,FALSE))))</f>
        <v>14119</v>
      </c>
      <c r="E920" s="29"/>
    </row>
    <row r="921" spans="1:5" ht="12" customHeight="1">
      <c r="A921" s="155" t="str">
        <f>"102002 1"</f>
        <v>102002 1</v>
      </c>
      <c r="B921" s="153" t="s">
        <v>39</v>
      </c>
      <c r="C921" s="156" t="str">
        <f>IF(OR($A921="",ISERROR(VALUE(LEFT($A921,6)))),"",IF(LEN($A921)=2,"WOJ. ",IF(LEN($A921)=4,IF(VALUE(RIGHT($A921,2))&gt;60,"","Powiat "),IF(VALUE(RIGHT($A921,1))=1,"m. ",IF(VALUE(RIGHT($A921,1))=2,"gm. w. ",IF(VALUE(RIGHT($A921,1))=8,"dz. ","gm. m.-w. ")))))&amp;IF(LEN($A921)=2,TRIM(UPPER(VLOOKUP($A921,GUS_tabl_1!$A$7:$B$22,2,FALSE))),IF(ISERROR(FIND("..",TRIM(VLOOKUP(IF(AND(LEN($A921)=4,VALUE(RIGHT($A921,2))&gt;60),$A921&amp;"01 1",$A921),IF(AND(LEN($A921)=4,VALUE(RIGHT($A921,2))&lt;60),GUS_tabl_2!$A$8:$B$464,GUS_tabl_21!$A$5:$B$4886),2,FALSE)))),TRIM(VLOOKUP(IF(AND(LEN($A921)=4,VALUE(RIGHT($A921,2))&gt;60),$A921&amp;"01 1",$A921),IF(AND(LEN($A921)=4,VALUE(RIGHT($A921,2))&lt;60),GUS_tabl_2!$A$8:$B$464,GUS_tabl_21!$A$5:$B$4886),2,FALSE)),LEFT(TRIM(VLOOKUP(IF(AND(LEN($A921)=4,VALUE(RIGHT($A921,2))&gt;60),$A921&amp;"01 1",$A921),IF(AND(LEN($A921)=4,VALUE(RIGHT($A921,2))&lt;60),GUS_tabl_2!$A$8:$B$464,GUS_tabl_21!$A$5:$B$4886),2,FALSE)),SUM(FIND("..",TRIM(VLOOKUP(IF(AND(LEN($A921)=4,VALUE(RIGHT($A921,2))&gt;60),$A921&amp;"01 1",$A921),IF(AND(LEN($A921)=4,VALUE(RIGHT($A921,2))&lt;60),GUS_tabl_2!$A$8:$B$464,GUS_tabl_21!$A$5:$B$4886),2,FALSE))),-1)))))</f>
        <v>m. Ozorków</v>
      </c>
      <c r="D921" s="141">
        <f>IF(OR($A921="",ISERROR(VALUE(LEFT($A921,6)))),"",IF(LEN($A921)=2,SUMIF($A922:$A$2965,$A921&amp;"??",$D922:$D$2965),IF(AND(LEN($A921)=4,VALUE(RIGHT($A921,2))&lt;=60),SUMIF($A922:$A$2965,$A921&amp;"????",$D922:$D$2965),VLOOKUP(IF(LEN($A921)=4,$A921&amp;"01 1",$A921),GUS_tabl_21!$A$5:$F$4886,6,FALSE))))</f>
        <v>19311</v>
      </c>
      <c r="E921" s="29"/>
    </row>
    <row r="922" spans="1:5" ht="12" customHeight="1">
      <c r="A922" s="155" t="str">
        <f>"102003 1"</f>
        <v>102003 1</v>
      </c>
      <c r="B922" s="153" t="s">
        <v>39</v>
      </c>
      <c r="C922" s="156" t="str">
        <f>IF(OR($A922="",ISERROR(VALUE(LEFT($A922,6)))),"",IF(LEN($A922)=2,"WOJ. ",IF(LEN($A922)=4,IF(VALUE(RIGHT($A922,2))&gt;60,"","Powiat "),IF(VALUE(RIGHT($A922,1))=1,"m. ",IF(VALUE(RIGHT($A922,1))=2,"gm. w. ",IF(VALUE(RIGHT($A922,1))=8,"dz. ","gm. m.-w. ")))))&amp;IF(LEN($A922)=2,TRIM(UPPER(VLOOKUP($A922,GUS_tabl_1!$A$7:$B$22,2,FALSE))),IF(ISERROR(FIND("..",TRIM(VLOOKUP(IF(AND(LEN($A922)=4,VALUE(RIGHT($A922,2))&gt;60),$A922&amp;"01 1",$A922),IF(AND(LEN($A922)=4,VALUE(RIGHT($A922,2))&lt;60),GUS_tabl_2!$A$8:$B$464,GUS_tabl_21!$A$5:$B$4886),2,FALSE)))),TRIM(VLOOKUP(IF(AND(LEN($A922)=4,VALUE(RIGHT($A922,2))&gt;60),$A922&amp;"01 1",$A922),IF(AND(LEN($A922)=4,VALUE(RIGHT($A922,2))&lt;60),GUS_tabl_2!$A$8:$B$464,GUS_tabl_21!$A$5:$B$4886),2,FALSE)),LEFT(TRIM(VLOOKUP(IF(AND(LEN($A922)=4,VALUE(RIGHT($A922,2))&gt;60),$A922&amp;"01 1",$A922),IF(AND(LEN($A922)=4,VALUE(RIGHT($A922,2))&lt;60),GUS_tabl_2!$A$8:$B$464,GUS_tabl_21!$A$5:$B$4886),2,FALSE)),SUM(FIND("..",TRIM(VLOOKUP(IF(AND(LEN($A922)=4,VALUE(RIGHT($A922,2))&gt;60),$A922&amp;"01 1",$A922),IF(AND(LEN($A922)=4,VALUE(RIGHT($A922,2))&lt;60),GUS_tabl_2!$A$8:$B$464,GUS_tabl_21!$A$5:$B$4886),2,FALSE))),-1)))))</f>
        <v>m. Zgierz</v>
      </c>
      <c r="D922" s="141">
        <f>IF(OR($A922="",ISERROR(VALUE(LEFT($A922,6)))),"",IF(LEN($A922)=2,SUMIF($A923:$A$2965,$A922&amp;"??",$D923:$D$2965),IF(AND(LEN($A922)=4,VALUE(RIGHT($A922,2))&lt;=60),SUMIF($A923:$A$2965,$A922&amp;"????",$D923:$D$2965),VLOOKUP(IF(LEN($A922)=4,$A922&amp;"01 1",$A922),GUS_tabl_21!$A$5:$F$4886,6,FALSE))))</f>
        <v>56190</v>
      </c>
      <c r="E922" s="29"/>
    </row>
    <row r="923" spans="1:5" ht="12" customHeight="1">
      <c r="A923" s="155" t="str">
        <f>"102004 3"</f>
        <v>102004 3</v>
      </c>
      <c r="B923" s="153" t="s">
        <v>39</v>
      </c>
      <c r="C923" s="156" t="str">
        <f>IF(OR($A923="",ISERROR(VALUE(LEFT($A923,6)))),"",IF(LEN($A923)=2,"WOJ. ",IF(LEN($A923)=4,IF(VALUE(RIGHT($A923,2))&gt;60,"","Powiat "),IF(VALUE(RIGHT($A923,1))=1,"m. ",IF(VALUE(RIGHT($A923,1))=2,"gm. w. ",IF(VALUE(RIGHT($A923,1))=8,"dz. ","gm. m.-w. ")))))&amp;IF(LEN($A923)=2,TRIM(UPPER(VLOOKUP($A923,GUS_tabl_1!$A$7:$B$22,2,FALSE))),IF(ISERROR(FIND("..",TRIM(VLOOKUP(IF(AND(LEN($A923)=4,VALUE(RIGHT($A923,2))&gt;60),$A923&amp;"01 1",$A923),IF(AND(LEN($A923)=4,VALUE(RIGHT($A923,2))&lt;60),GUS_tabl_2!$A$8:$B$464,GUS_tabl_21!$A$5:$B$4886),2,FALSE)))),TRIM(VLOOKUP(IF(AND(LEN($A923)=4,VALUE(RIGHT($A923,2))&gt;60),$A923&amp;"01 1",$A923),IF(AND(LEN($A923)=4,VALUE(RIGHT($A923,2))&lt;60),GUS_tabl_2!$A$8:$B$464,GUS_tabl_21!$A$5:$B$4886),2,FALSE)),LEFT(TRIM(VLOOKUP(IF(AND(LEN($A923)=4,VALUE(RIGHT($A923,2))&gt;60),$A923&amp;"01 1",$A923),IF(AND(LEN($A923)=4,VALUE(RIGHT($A923,2))&lt;60),GUS_tabl_2!$A$8:$B$464,GUS_tabl_21!$A$5:$B$4886),2,FALSE)),SUM(FIND("..",TRIM(VLOOKUP(IF(AND(LEN($A923)=4,VALUE(RIGHT($A923,2))&gt;60),$A923&amp;"01 1",$A923),IF(AND(LEN($A923)=4,VALUE(RIGHT($A923,2))&lt;60),GUS_tabl_2!$A$8:$B$464,GUS_tabl_21!$A$5:$B$4886),2,FALSE))),-1)))))</f>
        <v>gm. m.-w. Aleksandrów Łódzki</v>
      </c>
      <c r="D923" s="141">
        <f>IF(OR($A923="",ISERROR(VALUE(LEFT($A923,6)))),"",IF(LEN($A923)=2,SUMIF($A924:$A$2965,$A923&amp;"??",$D924:$D$2965),IF(AND(LEN($A923)=4,VALUE(RIGHT($A923,2))&lt;=60),SUMIF($A924:$A$2965,$A923&amp;"????",$D924:$D$2965),VLOOKUP(IF(LEN($A923)=4,$A923&amp;"01 1",$A923),GUS_tabl_21!$A$5:$F$4886,6,FALSE))))</f>
        <v>32303</v>
      </c>
      <c r="E923" s="29"/>
    </row>
    <row r="924" spans="1:5" ht="12" customHeight="1">
      <c r="A924" s="155" t="str">
        <f>"102005 2"</f>
        <v>102005 2</v>
      </c>
      <c r="B924" s="153" t="s">
        <v>39</v>
      </c>
      <c r="C924" s="156" t="str">
        <f>IF(OR($A924="",ISERROR(VALUE(LEFT($A924,6)))),"",IF(LEN($A924)=2,"WOJ. ",IF(LEN($A924)=4,IF(VALUE(RIGHT($A924,2))&gt;60,"","Powiat "),IF(VALUE(RIGHT($A924,1))=1,"m. ",IF(VALUE(RIGHT($A924,1))=2,"gm. w. ",IF(VALUE(RIGHT($A924,1))=8,"dz. ","gm. m.-w. ")))))&amp;IF(LEN($A924)=2,TRIM(UPPER(VLOOKUP($A924,GUS_tabl_1!$A$7:$B$22,2,FALSE))),IF(ISERROR(FIND("..",TRIM(VLOOKUP(IF(AND(LEN($A924)=4,VALUE(RIGHT($A924,2))&gt;60),$A924&amp;"01 1",$A924),IF(AND(LEN($A924)=4,VALUE(RIGHT($A924,2))&lt;60),GUS_tabl_2!$A$8:$B$464,GUS_tabl_21!$A$5:$B$4886),2,FALSE)))),TRIM(VLOOKUP(IF(AND(LEN($A924)=4,VALUE(RIGHT($A924,2))&gt;60),$A924&amp;"01 1",$A924),IF(AND(LEN($A924)=4,VALUE(RIGHT($A924,2))&lt;60),GUS_tabl_2!$A$8:$B$464,GUS_tabl_21!$A$5:$B$4886),2,FALSE)),LEFT(TRIM(VLOOKUP(IF(AND(LEN($A924)=4,VALUE(RIGHT($A924,2))&gt;60),$A924&amp;"01 1",$A924),IF(AND(LEN($A924)=4,VALUE(RIGHT($A924,2))&lt;60),GUS_tabl_2!$A$8:$B$464,GUS_tabl_21!$A$5:$B$4886),2,FALSE)),SUM(FIND("..",TRIM(VLOOKUP(IF(AND(LEN($A924)=4,VALUE(RIGHT($A924,2))&gt;60),$A924&amp;"01 1",$A924),IF(AND(LEN($A924)=4,VALUE(RIGHT($A924,2))&lt;60),GUS_tabl_2!$A$8:$B$464,GUS_tabl_21!$A$5:$B$4886),2,FALSE))),-1)))))</f>
        <v>gm. w. Głowno</v>
      </c>
      <c r="D924" s="141">
        <f>IF(OR($A924="",ISERROR(VALUE(LEFT($A924,6)))),"",IF(LEN($A924)=2,SUMIF($A925:$A$2965,$A924&amp;"??",$D925:$D$2965),IF(AND(LEN($A924)=4,VALUE(RIGHT($A924,2))&lt;=60),SUMIF($A925:$A$2965,$A924&amp;"????",$D925:$D$2965),VLOOKUP(IF(LEN($A924)=4,$A924&amp;"01 1",$A924),GUS_tabl_21!$A$5:$F$4886,6,FALSE))))</f>
        <v>4808</v>
      </c>
      <c r="E924" s="29"/>
    </row>
    <row r="925" spans="1:5" ht="12" customHeight="1">
      <c r="A925" s="155" t="str">
        <f>"102006 2"</f>
        <v>102006 2</v>
      </c>
      <c r="B925" s="153" t="s">
        <v>39</v>
      </c>
      <c r="C925" s="156" t="str">
        <f>IF(OR($A925="",ISERROR(VALUE(LEFT($A925,6)))),"",IF(LEN($A925)=2,"WOJ. ",IF(LEN($A925)=4,IF(VALUE(RIGHT($A925,2))&gt;60,"","Powiat "),IF(VALUE(RIGHT($A925,1))=1,"m. ",IF(VALUE(RIGHT($A925,1))=2,"gm. w. ",IF(VALUE(RIGHT($A925,1))=8,"dz. ","gm. m.-w. ")))))&amp;IF(LEN($A925)=2,TRIM(UPPER(VLOOKUP($A925,GUS_tabl_1!$A$7:$B$22,2,FALSE))),IF(ISERROR(FIND("..",TRIM(VLOOKUP(IF(AND(LEN($A925)=4,VALUE(RIGHT($A925,2))&gt;60),$A925&amp;"01 1",$A925),IF(AND(LEN($A925)=4,VALUE(RIGHT($A925,2))&lt;60),GUS_tabl_2!$A$8:$B$464,GUS_tabl_21!$A$5:$B$4886),2,FALSE)))),TRIM(VLOOKUP(IF(AND(LEN($A925)=4,VALUE(RIGHT($A925,2))&gt;60),$A925&amp;"01 1",$A925),IF(AND(LEN($A925)=4,VALUE(RIGHT($A925,2))&lt;60),GUS_tabl_2!$A$8:$B$464,GUS_tabl_21!$A$5:$B$4886),2,FALSE)),LEFT(TRIM(VLOOKUP(IF(AND(LEN($A925)=4,VALUE(RIGHT($A925,2))&gt;60),$A925&amp;"01 1",$A925),IF(AND(LEN($A925)=4,VALUE(RIGHT($A925,2))&lt;60),GUS_tabl_2!$A$8:$B$464,GUS_tabl_21!$A$5:$B$4886),2,FALSE)),SUM(FIND("..",TRIM(VLOOKUP(IF(AND(LEN($A925)=4,VALUE(RIGHT($A925,2))&gt;60),$A925&amp;"01 1",$A925),IF(AND(LEN($A925)=4,VALUE(RIGHT($A925,2))&lt;60),GUS_tabl_2!$A$8:$B$464,GUS_tabl_21!$A$5:$B$4886),2,FALSE))),-1)))))</f>
        <v>gm. w. Ozorków</v>
      </c>
      <c r="D925" s="141">
        <f>IF(OR($A925="",ISERROR(VALUE(LEFT($A925,6)))),"",IF(LEN($A925)=2,SUMIF($A926:$A$2965,$A925&amp;"??",$D926:$D$2965),IF(AND(LEN($A925)=4,VALUE(RIGHT($A925,2))&lt;=60),SUMIF($A926:$A$2965,$A925&amp;"????",$D926:$D$2965),VLOOKUP(IF(LEN($A925)=4,$A925&amp;"01 1",$A925),GUS_tabl_21!$A$5:$F$4886,6,FALSE))))</f>
        <v>7021</v>
      </c>
      <c r="E925" s="29"/>
    </row>
    <row r="926" spans="1:5" ht="12" customHeight="1">
      <c r="A926" s="155" t="str">
        <f>"102007 2"</f>
        <v>102007 2</v>
      </c>
      <c r="B926" s="153" t="s">
        <v>39</v>
      </c>
      <c r="C926" s="156" t="str">
        <f>IF(OR($A926="",ISERROR(VALUE(LEFT($A926,6)))),"",IF(LEN($A926)=2,"WOJ. ",IF(LEN($A926)=4,IF(VALUE(RIGHT($A926,2))&gt;60,"","Powiat "),IF(VALUE(RIGHT($A926,1))=1,"m. ",IF(VALUE(RIGHT($A926,1))=2,"gm. w. ",IF(VALUE(RIGHT($A926,1))=8,"dz. ","gm. m.-w. ")))))&amp;IF(LEN($A926)=2,TRIM(UPPER(VLOOKUP($A926,GUS_tabl_1!$A$7:$B$22,2,FALSE))),IF(ISERROR(FIND("..",TRIM(VLOOKUP(IF(AND(LEN($A926)=4,VALUE(RIGHT($A926,2))&gt;60),$A926&amp;"01 1",$A926),IF(AND(LEN($A926)=4,VALUE(RIGHT($A926,2))&lt;60),GUS_tabl_2!$A$8:$B$464,GUS_tabl_21!$A$5:$B$4886),2,FALSE)))),TRIM(VLOOKUP(IF(AND(LEN($A926)=4,VALUE(RIGHT($A926,2))&gt;60),$A926&amp;"01 1",$A926),IF(AND(LEN($A926)=4,VALUE(RIGHT($A926,2))&lt;60),GUS_tabl_2!$A$8:$B$464,GUS_tabl_21!$A$5:$B$4886),2,FALSE)),LEFT(TRIM(VLOOKUP(IF(AND(LEN($A926)=4,VALUE(RIGHT($A926,2))&gt;60),$A926&amp;"01 1",$A926),IF(AND(LEN($A926)=4,VALUE(RIGHT($A926,2))&lt;60),GUS_tabl_2!$A$8:$B$464,GUS_tabl_21!$A$5:$B$4886),2,FALSE)),SUM(FIND("..",TRIM(VLOOKUP(IF(AND(LEN($A926)=4,VALUE(RIGHT($A926,2))&gt;60),$A926&amp;"01 1",$A926),IF(AND(LEN($A926)=4,VALUE(RIGHT($A926,2))&lt;60),GUS_tabl_2!$A$8:$B$464,GUS_tabl_21!$A$5:$B$4886),2,FALSE))),-1)))))</f>
        <v>gm. w. Parzęczew</v>
      </c>
      <c r="D926" s="141">
        <f>IF(OR($A926="",ISERROR(VALUE(LEFT($A926,6)))),"",IF(LEN($A926)=2,SUMIF($A927:$A$2965,$A926&amp;"??",$D927:$D$2965),IF(AND(LEN($A926)=4,VALUE(RIGHT($A926,2))&lt;=60),SUMIF($A927:$A$2965,$A926&amp;"????",$D927:$D$2965),VLOOKUP(IF(LEN($A926)=4,$A926&amp;"01 1",$A926),GUS_tabl_21!$A$5:$F$4886,6,FALSE))))</f>
        <v>5112</v>
      </c>
      <c r="E926" s="29"/>
    </row>
    <row r="927" spans="1:5" ht="12" customHeight="1">
      <c r="A927" s="155" t="str">
        <f>"102008 3"</f>
        <v>102008 3</v>
      </c>
      <c r="B927" s="153" t="s">
        <v>39</v>
      </c>
      <c r="C927" s="156" t="str">
        <f>IF(OR($A927="",ISERROR(VALUE(LEFT($A927,6)))),"",IF(LEN($A927)=2,"WOJ. ",IF(LEN($A927)=4,IF(VALUE(RIGHT($A927,2))&gt;60,"","Powiat "),IF(VALUE(RIGHT($A927,1))=1,"m. ",IF(VALUE(RIGHT($A927,1))=2,"gm. w. ",IF(VALUE(RIGHT($A927,1))=8,"dz. ","gm. m.-w. ")))))&amp;IF(LEN($A927)=2,TRIM(UPPER(VLOOKUP($A927,GUS_tabl_1!$A$7:$B$22,2,FALSE))),IF(ISERROR(FIND("..",TRIM(VLOOKUP(IF(AND(LEN($A927)=4,VALUE(RIGHT($A927,2))&gt;60),$A927&amp;"01 1",$A927),IF(AND(LEN($A927)=4,VALUE(RIGHT($A927,2))&lt;60),GUS_tabl_2!$A$8:$B$464,GUS_tabl_21!$A$5:$B$4886),2,FALSE)))),TRIM(VLOOKUP(IF(AND(LEN($A927)=4,VALUE(RIGHT($A927,2))&gt;60),$A927&amp;"01 1",$A927),IF(AND(LEN($A927)=4,VALUE(RIGHT($A927,2))&lt;60),GUS_tabl_2!$A$8:$B$464,GUS_tabl_21!$A$5:$B$4886),2,FALSE)),LEFT(TRIM(VLOOKUP(IF(AND(LEN($A927)=4,VALUE(RIGHT($A927,2))&gt;60),$A927&amp;"01 1",$A927),IF(AND(LEN($A927)=4,VALUE(RIGHT($A927,2))&lt;60),GUS_tabl_2!$A$8:$B$464,GUS_tabl_21!$A$5:$B$4886),2,FALSE)),SUM(FIND("..",TRIM(VLOOKUP(IF(AND(LEN($A927)=4,VALUE(RIGHT($A927,2))&gt;60),$A927&amp;"01 1",$A927),IF(AND(LEN($A927)=4,VALUE(RIGHT($A927,2))&lt;60),GUS_tabl_2!$A$8:$B$464,GUS_tabl_21!$A$5:$B$4886),2,FALSE))),-1)))))</f>
        <v>gm. m.-w. Stryków</v>
      </c>
      <c r="D927" s="141">
        <f>IF(OR($A927="",ISERROR(VALUE(LEFT($A927,6)))),"",IF(LEN($A927)=2,SUMIF($A928:$A$2965,$A927&amp;"??",$D928:$D$2965),IF(AND(LEN($A927)=4,VALUE(RIGHT($A927,2))&lt;=60),SUMIF($A928:$A$2965,$A927&amp;"????",$D928:$D$2965),VLOOKUP(IF(LEN($A927)=4,$A927&amp;"01 1",$A927),GUS_tabl_21!$A$5:$F$4886,6,FALSE))))</f>
        <v>12711</v>
      </c>
      <c r="E927" s="29"/>
    </row>
    <row r="928" spans="1:5" ht="12" customHeight="1">
      <c r="A928" s="155" t="str">
        <f>"102009 2"</f>
        <v>102009 2</v>
      </c>
      <c r="B928" s="153" t="s">
        <v>39</v>
      </c>
      <c r="C928" s="156" t="str">
        <f>IF(OR($A928="",ISERROR(VALUE(LEFT($A928,6)))),"",IF(LEN($A928)=2,"WOJ. ",IF(LEN($A928)=4,IF(VALUE(RIGHT($A928,2))&gt;60,"","Powiat "),IF(VALUE(RIGHT($A928,1))=1,"m. ",IF(VALUE(RIGHT($A928,1))=2,"gm. w. ",IF(VALUE(RIGHT($A928,1))=8,"dz. ","gm. m.-w. ")))))&amp;IF(LEN($A928)=2,TRIM(UPPER(VLOOKUP($A928,GUS_tabl_1!$A$7:$B$22,2,FALSE))),IF(ISERROR(FIND("..",TRIM(VLOOKUP(IF(AND(LEN($A928)=4,VALUE(RIGHT($A928,2))&gt;60),$A928&amp;"01 1",$A928),IF(AND(LEN($A928)=4,VALUE(RIGHT($A928,2))&lt;60),GUS_tabl_2!$A$8:$B$464,GUS_tabl_21!$A$5:$B$4886),2,FALSE)))),TRIM(VLOOKUP(IF(AND(LEN($A928)=4,VALUE(RIGHT($A928,2))&gt;60),$A928&amp;"01 1",$A928),IF(AND(LEN($A928)=4,VALUE(RIGHT($A928,2))&lt;60),GUS_tabl_2!$A$8:$B$464,GUS_tabl_21!$A$5:$B$4886),2,FALSE)),LEFT(TRIM(VLOOKUP(IF(AND(LEN($A928)=4,VALUE(RIGHT($A928,2))&gt;60),$A928&amp;"01 1",$A928),IF(AND(LEN($A928)=4,VALUE(RIGHT($A928,2))&lt;60),GUS_tabl_2!$A$8:$B$464,GUS_tabl_21!$A$5:$B$4886),2,FALSE)),SUM(FIND("..",TRIM(VLOOKUP(IF(AND(LEN($A928)=4,VALUE(RIGHT($A928,2))&gt;60),$A928&amp;"01 1",$A928),IF(AND(LEN($A928)=4,VALUE(RIGHT($A928,2))&lt;60),GUS_tabl_2!$A$8:$B$464,GUS_tabl_21!$A$5:$B$4886),2,FALSE))),-1)))))</f>
        <v>gm. w. Zgierz</v>
      </c>
      <c r="D928" s="141">
        <f>IF(OR($A928="",ISERROR(VALUE(LEFT($A928,6)))),"",IF(LEN($A928)=2,SUMIF($A929:$A$2965,$A928&amp;"??",$D929:$D$2965),IF(AND(LEN($A928)=4,VALUE(RIGHT($A928,2))&lt;=60),SUMIF($A929:$A$2965,$A928&amp;"????",$D929:$D$2965),VLOOKUP(IF(LEN($A928)=4,$A928&amp;"01 1",$A928),GUS_tabl_21!$A$5:$F$4886,6,FALSE))))</f>
        <v>14538</v>
      </c>
      <c r="E928" s="29"/>
    </row>
    <row r="929" spans="1:5" ht="12" customHeight="1">
      <c r="A929" s="152"/>
      <c r="B929" s="153" t="s">
        <v>39</v>
      </c>
      <c r="C929" s="154" t="s">
        <v>0</v>
      </c>
      <c r="D929" s="140"/>
      <c r="E929" s="29"/>
    </row>
    <row r="930" spans="1:5" ht="12" customHeight="1">
      <c r="A930" s="152"/>
      <c r="B930" s="153" t="s">
        <v>39</v>
      </c>
      <c r="C930" s="162" t="s">
        <v>1</v>
      </c>
      <c r="D930" s="140"/>
      <c r="E930" s="29"/>
    </row>
    <row r="931" spans="1:5" ht="12" customHeight="1">
      <c r="A931" s="152" t="str">
        <f>"1061"</f>
        <v>1061</v>
      </c>
      <c r="B931" s="153" t="s">
        <v>39</v>
      </c>
      <c r="C931" s="154" t="str">
        <f>IF(OR($A931="",ISERROR(VALUE(LEFT($A931,6)))),"",IF(LEN($A931)=2,"WOJ. ",IF(LEN($A931)=4,IF(VALUE(RIGHT($A931,2))&gt;60,"","Powiat "),IF(VALUE(RIGHT($A931,1))=1,"m. ",IF(VALUE(RIGHT($A931,1))=2,"gm. w. ",IF(VALUE(RIGHT($A931,1))=8,"dz. ","gm. m.-w. ")))))&amp;IF(LEN($A931)=2,TRIM(UPPER(VLOOKUP($A931,GUS_tabl_1!$A$7:$B$22,2,FALSE))),IF(ISERROR(FIND("..",TRIM(VLOOKUP(IF(AND(LEN($A931)=4,VALUE(RIGHT($A931,2))&gt;60),$A931&amp;"01 1",$A931),IF(AND(LEN($A931)=4,VALUE(RIGHT($A931,2))&lt;60),GUS_tabl_2!$A$8:$B$464,GUS_tabl_21!$A$5:$B$4886),2,FALSE)))),TRIM(VLOOKUP(IF(AND(LEN($A931)=4,VALUE(RIGHT($A931,2))&gt;60),$A931&amp;"01 1",$A931),IF(AND(LEN($A931)=4,VALUE(RIGHT($A931,2))&lt;60),GUS_tabl_2!$A$8:$B$464,GUS_tabl_21!$A$5:$B$4886),2,FALSE)),LEFT(TRIM(VLOOKUP(IF(AND(LEN($A931)=4,VALUE(RIGHT($A931,2))&gt;60),$A931&amp;"01 1",$A931),IF(AND(LEN($A931)=4,VALUE(RIGHT($A931,2))&lt;60),GUS_tabl_2!$A$8:$B$464,GUS_tabl_21!$A$5:$B$4886),2,FALSE)),SUM(FIND("..",TRIM(VLOOKUP(IF(AND(LEN($A931)=4,VALUE(RIGHT($A931,2))&gt;60),$A931&amp;"01 1",$A931),IF(AND(LEN($A931)=4,VALUE(RIGHT($A931,2))&lt;60),GUS_tabl_2!$A$8:$B$464,GUS_tabl_21!$A$5:$B$4886),2,FALSE))),-1)))))</f>
        <v>Łódź (a)</v>
      </c>
      <c r="D931" s="140">
        <f>IF(OR($A931="",ISERROR(VALUE(LEFT($A931,6)))),"",IF(LEN($A931)=2,SUMIF($A932:$A$2965,$A931&amp;"??",$D932:$D$2965),IF(AND(LEN($A931)=4,VALUE(RIGHT($A931,2))&lt;=60),SUMIF($A932:$A$2965,$A931&amp;"????",$D932:$D$2965),VLOOKUP(IF(LEN($A931)=4,$A931&amp;"01 1",$A931),GUS_tabl_21!$A$5:$F$4886,6,FALSE))))</f>
        <v>679941</v>
      </c>
      <c r="E931" s="29"/>
    </row>
    <row r="932" spans="1:5" ht="12" customHeight="1">
      <c r="A932" s="152" t="str">
        <f>"1062"</f>
        <v>1062</v>
      </c>
      <c r="B932" s="153" t="s">
        <v>39</v>
      </c>
      <c r="C932" s="154" t="str">
        <f>IF(OR($A932="",ISERROR(VALUE(LEFT($A932,6)))),"",IF(LEN($A932)=2,"WOJ. ",IF(LEN($A932)=4,IF(VALUE(RIGHT($A932,2))&gt;60,"","Powiat "),IF(VALUE(RIGHT($A932,1))=1,"m. ",IF(VALUE(RIGHT($A932,1))=2,"gm. w. ",IF(VALUE(RIGHT($A932,1))=8,"dz. ","gm. m.-w. ")))))&amp;IF(LEN($A932)=2,TRIM(UPPER(VLOOKUP($A932,GUS_tabl_1!$A$7:$B$22,2,FALSE))),IF(ISERROR(FIND("..",TRIM(VLOOKUP(IF(AND(LEN($A932)=4,VALUE(RIGHT($A932,2))&gt;60),$A932&amp;"01 1",$A932),IF(AND(LEN($A932)=4,VALUE(RIGHT($A932,2))&lt;60),GUS_tabl_2!$A$8:$B$464,GUS_tabl_21!$A$5:$B$4886),2,FALSE)))),TRIM(VLOOKUP(IF(AND(LEN($A932)=4,VALUE(RIGHT($A932,2))&gt;60),$A932&amp;"01 1",$A932),IF(AND(LEN($A932)=4,VALUE(RIGHT($A932,2))&lt;60),GUS_tabl_2!$A$8:$B$464,GUS_tabl_21!$A$5:$B$4886),2,FALSE)),LEFT(TRIM(VLOOKUP(IF(AND(LEN($A932)=4,VALUE(RIGHT($A932,2))&gt;60),$A932&amp;"01 1",$A932),IF(AND(LEN($A932)=4,VALUE(RIGHT($A932,2))&lt;60),GUS_tabl_2!$A$8:$B$464,GUS_tabl_21!$A$5:$B$4886),2,FALSE)),SUM(FIND("..",TRIM(VLOOKUP(IF(AND(LEN($A932)=4,VALUE(RIGHT($A932,2))&gt;60),$A932&amp;"01 1",$A932),IF(AND(LEN($A932)=4,VALUE(RIGHT($A932,2))&lt;60),GUS_tabl_2!$A$8:$B$464,GUS_tabl_21!$A$5:$B$4886),2,FALSE))),-1)))))</f>
        <v>Piotrków Trybunalski</v>
      </c>
      <c r="D932" s="140">
        <f>IF(OR($A932="",ISERROR(VALUE(LEFT($A932,6)))),"",IF(LEN($A932)=2,SUMIF($A933:$A$2965,$A932&amp;"??",$D933:$D$2965),IF(AND(LEN($A932)=4,VALUE(RIGHT($A932,2))&lt;=60),SUMIF($A933:$A$2965,$A932&amp;"????",$D933:$D$2965),VLOOKUP(IF(LEN($A932)=4,$A932&amp;"01 1",$A932),GUS_tabl_21!$A$5:$F$4886,6,FALSE))))</f>
        <v>73090</v>
      </c>
      <c r="E932" s="29"/>
    </row>
    <row r="933" spans="1:5" ht="12" customHeight="1">
      <c r="A933" s="152" t="str">
        <f>"1063"</f>
        <v>1063</v>
      </c>
      <c r="B933" s="153" t="s">
        <v>39</v>
      </c>
      <c r="C933" s="154" t="str">
        <f>IF(OR($A933="",ISERROR(VALUE(LEFT($A933,6)))),"",IF(LEN($A933)=2,"WOJ. ",IF(LEN($A933)=4,IF(VALUE(RIGHT($A933,2))&gt;60,"","Powiat "),IF(VALUE(RIGHT($A933,1))=1,"m. ",IF(VALUE(RIGHT($A933,1))=2,"gm. w. ",IF(VALUE(RIGHT($A933,1))=8,"dz. ","gm. m.-w. ")))))&amp;IF(LEN($A933)=2,TRIM(UPPER(VLOOKUP($A933,GUS_tabl_1!$A$7:$B$22,2,FALSE))),IF(ISERROR(FIND("..",TRIM(VLOOKUP(IF(AND(LEN($A933)=4,VALUE(RIGHT($A933,2))&gt;60),$A933&amp;"01 1",$A933),IF(AND(LEN($A933)=4,VALUE(RIGHT($A933,2))&lt;60),GUS_tabl_2!$A$8:$B$464,GUS_tabl_21!$A$5:$B$4886),2,FALSE)))),TRIM(VLOOKUP(IF(AND(LEN($A933)=4,VALUE(RIGHT($A933,2))&gt;60),$A933&amp;"01 1",$A933),IF(AND(LEN($A933)=4,VALUE(RIGHT($A933,2))&lt;60),GUS_tabl_2!$A$8:$B$464,GUS_tabl_21!$A$5:$B$4886),2,FALSE)),LEFT(TRIM(VLOOKUP(IF(AND(LEN($A933)=4,VALUE(RIGHT($A933,2))&gt;60),$A933&amp;"01 1",$A933),IF(AND(LEN($A933)=4,VALUE(RIGHT($A933,2))&lt;60),GUS_tabl_2!$A$8:$B$464,GUS_tabl_21!$A$5:$B$4886),2,FALSE)),SUM(FIND("..",TRIM(VLOOKUP(IF(AND(LEN($A933)=4,VALUE(RIGHT($A933,2))&gt;60),$A933&amp;"01 1",$A933),IF(AND(LEN($A933)=4,VALUE(RIGHT($A933,2))&lt;60),GUS_tabl_2!$A$8:$B$464,GUS_tabl_21!$A$5:$B$4886),2,FALSE))),-1)))))</f>
        <v>Skierniewice</v>
      </c>
      <c r="D933" s="140">
        <f>IF(OR($A933="",ISERROR(VALUE(LEFT($A933,6)))),"",IF(LEN($A933)=2,SUMIF($A934:$A$2965,$A933&amp;"??",$D934:$D$2965),IF(AND(LEN($A933)=4,VALUE(RIGHT($A933,2))&lt;=60),SUMIF($A934:$A$2965,$A933&amp;"????",$D934:$D$2965),VLOOKUP(IF(LEN($A933)=4,$A933&amp;"01 1",$A933),GUS_tabl_21!$A$5:$F$4886,6,FALSE))))</f>
        <v>48089</v>
      </c>
      <c r="E933" s="29"/>
    </row>
    <row r="934" spans="1:5" s="161" customFormat="1" ht="13.5" thickBot="1">
      <c r="A934" s="144"/>
      <c r="B934" s="160"/>
    </row>
    <row r="935" spans="1:5" ht="30" customHeight="1" thickTop="1">
      <c r="A935" s="241" t="s">
        <v>97</v>
      </c>
      <c r="B935" s="247" t="s">
        <v>60</v>
      </c>
      <c r="C935" s="243" t="s">
        <v>7311</v>
      </c>
      <c r="D935" s="245" t="s">
        <v>6</v>
      </c>
    </row>
    <row r="936" spans="1:5" ht="25.5" customHeight="1" thickBot="1">
      <c r="A936" s="242"/>
      <c r="B936" s="254"/>
      <c r="C936" s="244"/>
      <c r="D936" s="246"/>
    </row>
    <row r="937" spans="1:5" ht="12" customHeight="1" thickTop="1">
      <c r="A937" s="158"/>
      <c r="B937" s="153"/>
      <c r="C937" s="156" t="str">
        <f>IF(OR($A937="",ISERROR(VALUE(LEFT($A937,6)))),"",IF(LEN($A937)=2,"WOJ. ",IF(LEN($A937)=4,IF(VALUE(RIGHT($A937,2))&gt;60,"","Powiat "),IF(VALUE(RIGHT($A937,1))=1,"m. ",IF(VALUE(RIGHT($A937,1))=2,"gm. w. ",IF(VALUE(RIGHT($A937,1))=8,"dz. ","gm. m.-w. ")))))&amp;IF(LEN($A937)=2,TRIM(UPPER(VLOOKUP($A937,GUS_tabl_1!$A$7:$B$22,2,FALSE))),IF(ISERROR(FIND("..",TRIM(VLOOKUP(IF(AND(LEN($A937)=4,VALUE(RIGHT($A937,2))&gt;60),$A937&amp;"01 1",$A937),IF(AND(LEN($A937)=4,VALUE(RIGHT($A937,2))&lt;60),GUS_tabl_2!$A$8:$B$464,GUS_tabl_21!$A$5:$B$4886),2,FALSE)))),TRIM(VLOOKUP(IF(AND(LEN($A937)=4,VALUE(RIGHT($A937,2))&gt;60),$A937&amp;"01 1",$A937),IF(AND(LEN($A937)=4,VALUE(RIGHT($A937,2))&lt;60),GUS_tabl_2!$A$8:$B$464,GUS_tabl_21!$A$5:$B$4886),2,FALSE)),LEFT(TRIM(VLOOKUP(IF(AND(LEN($A937)=4,VALUE(RIGHT($A937,2))&gt;60),$A937&amp;"01 1",$A937),IF(AND(LEN($A937)=4,VALUE(RIGHT($A937,2))&lt;60),GUS_tabl_2!$A$8:$B$464,GUS_tabl_21!$A$5:$B$4886),2,FALSE)),SUM(FIND("..",TRIM(VLOOKUP(IF(AND(LEN($A937)=4,VALUE(RIGHT($A937,2))&gt;60),$A937&amp;"01 1",$A937),IF(AND(LEN($A937)=4,VALUE(RIGHT($A937,2))&lt;60),GUS_tabl_2!$A$8:$B$464,GUS_tabl_21!$A$5:$B$4886),2,FALSE))),-1)))))</f>
        <v/>
      </c>
      <c r="D937" s="140" t="str">
        <f>IF(OR($A937="",ISERROR(VALUE(LEFT($A937,6)))),"",IF(LEN($A937)=2,SUMIF($A938:$A$2965,$A937&amp;"??",$D938:$D$2965),IF(AND(LEN($A937)=4,VALUE(RIGHT($A937,2))&lt;=60),SUMIF($A938:$A$2965,$A937&amp;"????",$D938:$D$2965),VLOOKUP(IF(LEN($A937)=4,$A937&amp;"01 1",$A937),GUS_tabl_21!$A$5:$F$4886,6,FALSE))))</f>
        <v/>
      </c>
      <c r="E937" s="29"/>
    </row>
    <row r="938" spans="1:5" ht="12" customHeight="1">
      <c r="A938" s="152" t="str">
        <f>"12"</f>
        <v>12</v>
      </c>
      <c r="B938" s="153" t="s">
        <v>71</v>
      </c>
      <c r="C938" s="154" t="str">
        <f>IF(OR($A938="",ISERROR(VALUE(LEFT($A938,6)))),"",IF(LEN($A938)=2,"WOJ. ",IF(LEN($A938)=4,IF(VALUE(RIGHT($A938,2))&gt;60,"","Powiat "),IF(VALUE(RIGHT($A938,1))=1,"m. ",IF(VALUE(RIGHT($A938,1))=2,"gm. w. ",IF(VALUE(RIGHT($A938,1))=8,"dz. ","gm. m.-w. ")))))&amp;IF(LEN($A938)=2,TRIM(UPPER(VLOOKUP($A938,GUS_tabl_1!$A$7:$B$22,2,FALSE))),IF(ISERROR(FIND("..",TRIM(VLOOKUP(IF(AND(LEN($A938)=4,VALUE(RIGHT($A938,2))&gt;60),$A938&amp;"01 1",$A938),IF(AND(LEN($A938)=4,VALUE(RIGHT($A938,2))&lt;60),GUS_tabl_2!$A$8:$B$464,GUS_tabl_21!$A$5:$B$4886),2,FALSE)))),TRIM(VLOOKUP(IF(AND(LEN($A938)=4,VALUE(RIGHT($A938,2))&gt;60),$A938&amp;"01 1",$A938),IF(AND(LEN($A938)=4,VALUE(RIGHT($A938,2))&lt;60),GUS_tabl_2!$A$8:$B$464,GUS_tabl_21!$A$5:$B$4886),2,FALSE)),LEFT(TRIM(VLOOKUP(IF(AND(LEN($A938)=4,VALUE(RIGHT($A938,2))&gt;60),$A938&amp;"01 1",$A938),IF(AND(LEN($A938)=4,VALUE(RIGHT($A938,2))&lt;60),GUS_tabl_2!$A$8:$B$464,GUS_tabl_21!$A$5:$B$4886),2,FALSE)),SUM(FIND("..",TRIM(VLOOKUP(IF(AND(LEN($A938)=4,VALUE(RIGHT($A938,2))&gt;60),$A938&amp;"01 1",$A938),IF(AND(LEN($A938)=4,VALUE(RIGHT($A938,2))&lt;60),GUS_tabl_2!$A$8:$B$464,GUS_tabl_21!$A$5:$B$4886),2,FALSE))),-1)))))</f>
        <v>WOJ. MAŁOPOLSKIE</v>
      </c>
      <c r="D938" s="140">
        <f>IF(OR($A938="",ISERROR(VALUE(LEFT($A938,6)))),"",IF(LEN($A938)=2,SUMIF($A939:$A$2965,$A938&amp;"??",$D939:$D$2965),IF(AND(LEN($A938)=4,VALUE(RIGHT($A938,2))&lt;=60),SUMIF($A939:$A$2965,$A938&amp;"????",$D939:$D$2965),VLOOKUP(IF(LEN($A938)=4,$A938&amp;"01 1",$A938),GUS_tabl_21!$A$5:$F$4886,6,FALSE))))</f>
        <v>3410901</v>
      </c>
      <c r="E938" s="29"/>
    </row>
    <row r="939" spans="1:5" ht="12" customHeight="1">
      <c r="A939" s="152"/>
      <c r="B939" s="153" t="s">
        <v>71</v>
      </c>
      <c r="C939" s="156" t="str">
        <f>IF(OR($A939="",ISERROR(VALUE(LEFT($A939,6)))),"",IF(LEN($A939)=2,"WOJ. ",IF(LEN($A939)=4,IF(VALUE(RIGHT($A939,2))&gt;60,"","Powiat "),IF(VALUE(RIGHT($A939,1))=1,"m. ",IF(VALUE(RIGHT($A939,1))=2,"gm. w. ",IF(VALUE(RIGHT($A939,1))=8,"dz. ","gm. m.-w. ")))))&amp;IF(LEN($A939)=2,TRIM(UPPER(VLOOKUP($A939,GUS_tabl_1!$A$7:$B$22,2,FALSE))),IF(ISERROR(FIND("..",TRIM(VLOOKUP(IF(AND(LEN($A939)=4,VALUE(RIGHT($A939,2))&gt;60),$A939&amp;"01 1",$A939),IF(AND(LEN($A939)=4,VALUE(RIGHT($A939,2))&lt;60),GUS_tabl_2!$A$8:$B$464,GUS_tabl_21!$A$5:$B$4886),2,FALSE)))),TRIM(VLOOKUP(IF(AND(LEN($A939)=4,VALUE(RIGHT($A939,2))&gt;60),$A939&amp;"01 1",$A939),IF(AND(LEN($A939)=4,VALUE(RIGHT($A939,2))&lt;60),GUS_tabl_2!$A$8:$B$464,GUS_tabl_21!$A$5:$B$4886),2,FALSE)),LEFT(TRIM(VLOOKUP(IF(AND(LEN($A939)=4,VALUE(RIGHT($A939,2))&gt;60),$A939&amp;"01 1",$A939),IF(AND(LEN($A939)=4,VALUE(RIGHT($A939,2))&lt;60),GUS_tabl_2!$A$8:$B$464,GUS_tabl_21!$A$5:$B$4886),2,FALSE)),SUM(FIND("..",TRIM(VLOOKUP(IF(AND(LEN($A939)=4,VALUE(RIGHT($A939,2))&gt;60),$A939&amp;"01 1",$A939),IF(AND(LEN($A939)=4,VALUE(RIGHT($A939,2))&lt;60),GUS_tabl_2!$A$8:$B$464,GUS_tabl_21!$A$5:$B$4886),2,FALSE))),-1)))))</f>
        <v/>
      </c>
      <c r="D939" s="140" t="str">
        <f>IF(OR($A939="",ISERROR(VALUE(LEFT($A939,6)))),"",IF(LEN($A939)=2,SUMIF($A940:$A$2965,$A939&amp;"??",$D940:$D$2965),IF(AND(LEN($A939)=4,VALUE(RIGHT($A939,2))&lt;=60),SUMIF($A940:$A$2965,$A939&amp;"????",$D940:$D$2965),VLOOKUP(IF(LEN($A939)=4,$A939&amp;"01 1",$A939),GUS_tabl_21!$A$5:$F$4886,6,FALSE))))</f>
        <v/>
      </c>
      <c r="E939" s="29"/>
    </row>
    <row r="940" spans="1:5" ht="12" customHeight="1">
      <c r="A940" s="152" t="str">
        <f>"1201"</f>
        <v>1201</v>
      </c>
      <c r="B940" s="153" t="s">
        <v>71</v>
      </c>
      <c r="C940" s="154" t="str">
        <f>IF(OR($A940="",ISERROR(VALUE(LEFT($A940,6)))),"",IF(LEN($A940)=2,"WOJ. ",IF(LEN($A940)=4,IF(VALUE(RIGHT($A940,2))&gt;60,"","Powiat "),IF(VALUE(RIGHT($A940,1))=1,"m. ",IF(VALUE(RIGHT($A940,1))=2,"gm. w. ",IF(VALUE(RIGHT($A940,1))=8,"dz. ","gm. m.-w. ")))))&amp;IF(LEN($A940)=2,TRIM(UPPER(VLOOKUP($A940,GUS_tabl_1!$A$7:$B$22,2,FALSE))),IF(ISERROR(FIND("..",TRIM(VLOOKUP(IF(AND(LEN($A940)=4,VALUE(RIGHT($A940,2))&gt;60),$A940&amp;"01 1",$A940),IF(AND(LEN($A940)=4,VALUE(RIGHT($A940,2))&lt;60),GUS_tabl_2!$A$8:$B$464,GUS_tabl_21!$A$5:$B$4886),2,FALSE)))),TRIM(VLOOKUP(IF(AND(LEN($A940)=4,VALUE(RIGHT($A940,2))&gt;60),$A940&amp;"01 1",$A940),IF(AND(LEN($A940)=4,VALUE(RIGHT($A940,2))&lt;60),GUS_tabl_2!$A$8:$B$464,GUS_tabl_21!$A$5:$B$4886),2,FALSE)),LEFT(TRIM(VLOOKUP(IF(AND(LEN($A940)=4,VALUE(RIGHT($A940,2))&gt;60),$A940&amp;"01 1",$A940),IF(AND(LEN($A940)=4,VALUE(RIGHT($A940,2))&lt;60),GUS_tabl_2!$A$8:$B$464,GUS_tabl_21!$A$5:$B$4886),2,FALSE)),SUM(FIND("..",TRIM(VLOOKUP(IF(AND(LEN($A940)=4,VALUE(RIGHT($A940,2))&gt;60),$A940&amp;"01 1",$A940),IF(AND(LEN($A940)=4,VALUE(RIGHT($A940,2))&lt;60),GUS_tabl_2!$A$8:$B$464,GUS_tabl_21!$A$5:$B$4886),2,FALSE))),-1)))))</f>
        <v>Powiat bocheński</v>
      </c>
      <c r="D940" s="140">
        <f>IF(OR($A940="",ISERROR(VALUE(LEFT($A940,6)))),"",IF(LEN($A940)=2,SUMIF($A941:$A$2965,$A940&amp;"??",$D941:$D$2965),IF(AND(LEN($A940)=4,VALUE(RIGHT($A940,2))&lt;=60),SUMIF($A941:$A$2965,$A940&amp;"????",$D941:$D$2965),VLOOKUP(IF(LEN($A940)=4,$A940&amp;"01 1",$A940),GUS_tabl_21!$A$5:$F$4886,6,FALSE))))</f>
        <v>106858</v>
      </c>
      <c r="E940" s="29"/>
    </row>
    <row r="941" spans="1:5" ht="12" customHeight="1">
      <c r="A941" s="155" t="str">
        <f>"120101 1"</f>
        <v>120101 1</v>
      </c>
      <c r="B941" s="153" t="s">
        <v>71</v>
      </c>
      <c r="C941" s="156" t="str">
        <f>IF(OR($A941="",ISERROR(VALUE(LEFT($A941,6)))),"",IF(LEN($A941)=2,"WOJ. ",IF(LEN($A941)=4,IF(VALUE(RIGHT($A941,2))&gt;60,"","Powiat "),IF(VALUE(RIGHT($A941,1))=1,"m. ",IF(VALUE(RIGHT($A941,1))=2,"gm. w. ",IF(VALUE(RIGHT($A941,1))=8,"dz. ","gm. m.-w. ")))))&amp;IF(LEN($A941)=2,TRIM(UPPER(VLOOKUP($A941,GUS_tabl_1!$A$7:$B$22,2,FALSE))),IF(ISERROR(FIND("..",TRIM(VLOOKUP(IF(AND(LEN($A941)=4,VALUE(RIGHT($A941,2))&gt;60),$A941&amp;"01 1",$A941),IF(AND(LEN($A941)=4,VALUE(RIGHT($A941,2))&lt;60),GUS_tabl_2!$A$8:$B$464,GUS_tabl_21!$A$5:$B$4886),2,FALSE)))),TRIM(VLOOKUP(IF(AND(LEN($A941)=4,VALUE(RIGHT($A941,2))&gt;60),$A941&amp;"01 1",$A941),IF(AND(LEN($A941)=4,VALUE(RIGHT($A941,2))&lt;60),GUS_tabl_2!$A$8:$B$464,GUS_tabl_21!$A$5:$B$4886),2,FALSE)),LEFT(TRIM(VLOOKUP(IF(AND(LEN($A941)=4,VALUE(RIGHT($A941,2))&gt;60),$A941&amp;"01 1",$A941),IF(AND(LEN($A941)=4,VALUE(RIGHT($A941,2))&lt;60),GUS_tabl_2!$A$8:$B$464,GUS_tabl_21!$A$5:$B$4886),2,FALSE)),SUM(FIND("..",TRIM(VLOOKUP(IF(AND(LEN($A941)=4,VALUE(RIGHT($A941,2))&gt;60),$A941&amp;"01 1",$A941),IF(AND(LEN($A941)=4,VALUE(RIGHT($A941,2))&lt;60),GUS_tabl_2!$A$8:$B$464,GUS_tabl_21!$A$5:$B$4886),2,FALSE))),-1)))))</f>
        <v>m. Bochnia</v>
      </c>
      <c r="D941" s="141">
        <f>IF(OR($A941="",ISERROR(VALUE(LEFT($A941,6)))),"",IF(LEN($A941)=2,SUMIF($A942:$A$2965,$A941&amp;"??",$D942:$D$2965),IF(AND(LEN($A941)=4,VALUE(RIGHT($A941,2))&lt;=60),SUMIF($A942:$A$2965,$A941&amp;"????",$D942:$D$2965),VLOOKUP(IF(LEN($A941)=4,$A941&amp;"01 1",$A941),GUS_tabl_21!$A$5:$F$4886,6,FALSE))))</f>
        <v>29718</v>
      </c>
      <c r="E941" s="29"/>
    </row>
    <row r="942" spans="1:5" ht="12" customHeight="1">
      <c r="A942" s="155" t="str">
        <f>"120102 2"</f>
        <v>120102 2</v>
      </c>
      <c r="B942" s="153" t="s">
        <v>71</v>
      </c>
      <c r="C942" s="156" t="str">
        <f>IF(OR($A942="",ISERROR(VALUE(LEFT($A942,6)))),"",IF(LEN($A942)=2,"WOJ. ",IF(LEN($A942)=4,IF(VALUE(RIGHT($A942,2))&gt;60,"","Powiat "),IF(VALUE(RIGHT($A942,1))=1,"m. ",IF(VALUE(RIGHT($A942,1))=2,"gm. w. ",IF(VALUE(RIGHT($A942,1))=8,"dz. ","gm. m.-w. ")))))&amp;IF(LEN($A942)=2,TRIM(UPPER(VLOOKUP($A942,GUS_tabl_1!$A$7:$B$22,2,FALSE))),IF(ISERROR(FIND("..",TRIM(VLOOKUP(IF(AND(LEN($A942)=4,VALUE(RIGHT($A942,2))&gt;60),$A942&amp;"01 1",$A942),IF(AND(LEN($A942)=4,VALUE(RIGHT($A942,2))&lt;60),GUS_tabl_2!$A$8:$B$464,GUS_tabl_21!$A$5:$B$4886),2,FALSE)))),TRIM(VLOOKUP(IF(AND(LEN($A942)=4,VALUE(RIGHT($A942,2))&gt;60),$A942&amp;"01 1",$A942),IF(AND(LEN($A942)=4,VALUE(RIGHT($A942,2))&lt;60),GUS_tabl_2!$A$8:$B$464,GUS_tabl_21!$A$5:$B$4886),2,FALSE)),LEFT(TRIM(VLOOKUP(IF(AND(LEN($A942)=4,VALUE(RIGHT($A942,2))&gt;60),$A942&amp;"01 1",$A942),IF(AND(LEN($A942)=4,VALUE(RIGHT($A942,2))&lt;60),GUS_tabl_2!$A$8:$B$464,GUS_tabl_21!$A$5:$B$4886),2,FALSE)),SUM(FIND("..",TRIM(VLOOKUP(IF(AND(LEN($A942)=4,VALUE(RIGHT($A942,2))&gt;60),$A942&amp;"01 1",$A942),IF(AND(LEN($A942)=4,VALUE(RIGHT($A942,2))&lt;60),GUS_tabl_2!$A$8:$B$464,GUS_tabl_21!$A$5:$B$4886),2,FALSE))),-1)))))</f>
        <v>gm. w. Bochnia</v>
      </c>
      <c r="D942" s="141">
        <f>IF(OR($A942="",ISERROR(VALUE(LEFT($A942,6)))),"",IF(LEN($A942)=2,SUMIF($A943:$A$2965,$A942&amp;"??",$D943:$D$2965),IF(AND(LEN($A942)=4,VALUE(RIGHT($A942,2))&lt;=60),SUMIF($A943:$A$2965,$A942&amp;"????",$D943:$D$2965),VLOOKUP(IF(LEN($A942)=4,$A942&amp;"01 1",$A942),GUS_tabl_21!$A$5:$F$4886,6,FALSE))))</f>
        <v>20024</v>
      </c>
      <c r="E942" s="29"/>
    </row>
    <row r="943" spans="1:5" ht="12" customHeight="1">
      <c r="A943" s="155" t="str">
        <f>"120103 2"</f>
        <v>120103 2</v>
      </c>
      <c r="B943" s="153" t="s">
        <v>71</v>
      </c>
      <c r="C943" s="156" t="str">
        <f>IF(OR($A943="",ISERROR(VALUE(LEFT($A943,6)))),"",IF(LEN($A943)=2,"WOJ. ",IF(LEN($A943)=4,IF(VALUE(RIGHT($A943,2))&gt;60,"","Powiat "),IF(VALUE(RIGHT($A943,1))=1,"m. ",IF(VALUE(RIGHT($A943,1))=2,"gm. w. ",IF(VALUE(RIGHT($A943,1))=8,"dz. ","gm. m.-w. ")))))&amp;IF(LEN($A943)=2,TRIM(UPPER(VLOOKUP($A943,GUS_tabl_1!$A$7:$B$22,2,FALSE))),IF(ISERROR(FIND("..",TRIM(VLOOKUP(IF(AND(LEN($A943)=4,VALUE(RIGHT($A943,2))&gt;60),$A943&amp;"01 1",$A943),IF(AND(LEN($A943)=4,VALUE(RIGHT($A943,2))&lt;60),GUS_tabl_2!$A$8:$B$464,GUS_tabl_21!$A$5:$B$4886),2,FALSE)))),TRIM(VLOOKUP(IF(AND(LEN($A943)=4,VALUE(RIGHT($A943,2))&gt;60),$A943&amp;"01 1",$A943),IF(AND(LEN($A943)=4,VALUE(RIGHT($A943,2))&lt;60),GUS_tabl_2!$A$8:$B$464,GUS_tabl_21!$A$5:$B$4886),2,FALSE)),LEFT(TRIM(VLOOKUP(IF(AND(LEN($A943)=4,VALUE(RIGHT($A943,2))&gt;60),$A943&amp;"01 1",$A943),IF(AND(LEN($A943)=4,VALUE(RIGHT($A943,2))&lt;60),GUS_tabl_2!$A$8:$B$464,GUS_tabl_21!$A$5:$B$4886),2,FALSE)),SUM(FIND("..",TRIM(VLOOKUP(IF(AND(LEN($A943)=4,VALUE(RIGHT($A943,2))&gt;60),$A943&amp;"01 1",$A943),IF(AND(LEN($A943)=4,VALUE(RIGHT($A943,2))&lt;60),GUS_tabl_2!$A$8:$B$464,GUS_tabl_21!$A$5:$B$4886),2,FALSE))),-1)))))</f>
        <v>gm. w. Drwinia</v>
      </c>
      <c r="D943" s="141">
        <f>IF(OR($A943="",ISERROR(VALUE(LEFT($A943,6)))),"",IF(LEN($A943)=2,SUMIF($A944:$A$2965,$A943&amp;"??",$D944:$D$2965),IF(AND(LEN($A943)=4,VALUE(RIGHT($A943,2))&lt;=60),SUMIF($A944:$A$2965,$A943&amp;"????",$D944:$D$2965),VLOOKUP(IF(LEN($A943)=4,$A943&amp;"01 1",$A943),GUS_tabl_21!$A$5:$F$4886,6,FALSE))))</f>
        <v>6534</v>
      </c>
      <c r="E943" s="29"/>
    </row>
    <row r="944" spans="1:5" ht="12" customHeight="1">
      <c r="A944" s="155" t="str">
        <f>"120104 2"</f>
        <v>120104 2</v>
      </c>
      <c r="B944" s="153" t="s">
        <v>71</v>
      </c>
      <c r="C944" s="156" t="str">
        <f>IF(OR($A944="",ISERROR(VALUE(LEFT($A944,6)))),"",IF(LEN($A944)=2,"WOJ. ",IF(LEN($A944)=4,IF(VALUE(RIGHT($A944,2))&gt;60,"","Powiat "),IF(VALUE(RIGHT($A944,1))=1,"m. ",IF(VALUE(RIGHT($A944,1))=2,"gm. w. ",IF(VALUE(RIGHT($A944,1))=8,"dz. ","gm. m.-w. ")))))&amp;IF(LEN($A944)=2,TRIM(UPPER(VLOOKUP($A944,GUS_tabl_1!$A$7:$B$22,2,FALSE))),IF(ISERROR(FIND("..",TRIM(VLOOKUP(IF(AND(LEN($A944)=4,VALUE(RIGHT($A944,2))&gt;60),$A944&amp;"01 1",$A944),IF(AND(LEN($A944)=4,VALUE(RIGHT($A944,2))&lt;60),GUS_tabl_2!$A$8:$B$464,GUS_tabl_21!$A$5:$B$4886),2,FALSE)))),TRIM(VLOOKUP(IF(AND(LEN($A944)=4,VALUE(RIGHT($A944,2))&gt;60),$A944&amp;"01 1",$A944),IF(AND(LEN($A944)=4,VALUE(RIGHT($A944,2))&lt;60),GUS_tabl_2!$A$8:$B$464,GUS_tabl_21!$A$5:$B$4886),2,FALSE)),LEFT(TRIM(VLOOKUP(IF(AND(LEN($A944)=4,VALUE(RIGHT($A944,2))&gt;60),$A944&amp;"01 1",$A944),IF(AND(LEN($A944)=4,VALUE(RIGHT($A944,2))&lt;60),GUS_tabl_2!$A$8:$B$464,GUS_tabl_21!$A$5:$B$4886),2,FALSE)),SUM(FIND("..",TRIM(VLOOKUP(IF(AND(LEN($A944)=4,VALUE(RIGHT($A944,2))&gt;60),$A944&amp;"01 1",$A944),IF(AND(LEN($A944)=4,VALUE(RIGHT($A944,2))&lt;60),GUS_tabl_2!$A$8:$B$464,GUS_tabl_21!$A$5:$B$4886),2,FALSE))),-1)))))</f>
        <v>gm. w. Lipnica Murowana</v>
      </c>
      <c r="D944" s="141">
        <f>IF(OR($A944="",ISERROR(VALUE(LEFT($A944,6)))),"",IF(LEN($A944)=2,SUMIF($A945:$A$2965,$A944&amp;"??",$D945:$D$2965),IF(AND(LEN($A944)=4,VALUE(RIGHT($A944,2))&lt;=60),SUMIF($A945:$A$2965,$A944&amp;"????",$D945:$D$2965),VLOOKUP(IF(LEN($A944)=4,$A944&amp;"01 1",$A944),GUS_tabl_21!$A$5:$F$4886,6,FALSE))))</f>
        <v>5659</v>
      </c>
      <c r="E944" s="29"/>
    </row>
    <row r="945" spans="1:5" ht="12" customHeight="1">
      <c r="A945" s="155" t="str">
        <f>"120105 2"</f>
        <v>120105 2</v>
      </c>
      <c r="B945" s="153" t="s">
        <v>71</v>
      </c>
      <c r="C945" s="156" t="str">
        <f>IF(OR($A945="",ISERROR(VALUE(LEFT($A945,6)))),"",IF(LEN($A945)=2,"WOJ. ",IF(LEN($A945)=4,IF(VALUE(RIGHT($A945,2))&gt;60,"","Powiat "),IF(VALUE(RIGHT($A945,1))=1,"m. ",IF(VALUE(RIGHT($A945,1))=2,"gm. w. ",IF(VALUE(RIGHT($A945,1))=8,"dz. ","gm. m.-w. ")))))&amp;IF(LEN($A945)=2,TRIM(UPPER(VLOOKUP($A945,GUS_tabl_1!$A$7:$B$22,2,FALSE))),IF(ISERROR(FIND("..",TRIM(VLOOKUP(IF(AND(LEN($A945)=4,VALUE(RIGHT($A945,2))&gt;60),$A945&amp;"01 1",$A945),IF(AND(LEN($A945)=4,VALUE(RIGHT($A945,2))&lt;60),GUS_tabl_2!$A$8:$B$464,GUS_tabl_21!$A$5:$B$4886),2,FALSE)))),TRIM(VLOOKUP(IF(AND(LEN($A945)=4,VALUE(RIGHT($A945,2))&gt;60),$A945&amp;"01 1",$A945),IF(AND(LEN($A945)=4,VALUE(RIGHT($A945,2))&lt;60),GUS_tabl_2!$A$8:$B$464,GUS_tabl_21!$A$5:$B$4886),2,FALSE)),LEFT(TRIM(VLOOKUP(IF(AND(LEN($A945)=4,VALUE(RIGHT($A945,2))&gt;60),$A945&amp;"01 1",$A945),IF(AND(LEN($A945)=4,VALUE(RIGHT($A945,2))&lt;60),GUS_tabl_2!$A$8:$B$464,GUS_tabl_21!$A$5:$B$4886),2,FALSE)),SUM(FIND("..",TRIM(VLOOKUP(IF(AND(LEN($A945)=4,VALUE(RIGHT($A945,2))&gt;60),$A945&amp;"01 1",$A945),IF(AND(LEN($A945)=4,VALUE(RIGHT($A945,2))&lt;60),GUS_tabl_2!$A$8:$B$464,GUS_tabl_21!$A$5:$B$4886),2,FALSE))),-1)))))</f>
        <v>gm. w. Łapanów</v>
      </c>
      <c r="D945" s="141">
        <f>IF(OR($A945="",ISERROR(VALUE(LEFT($A945,6)))),"",IF(LEN($A945)=2,SUMIF($A946:$A$2965,$A945&amp;"??",$D946:$D$2965),IF(AND(LEN($A945)=4,VALUE(RIGHT($A945,2))&lt;=60),SUMIF($A946:$A$2965,$A945&amp;"????",$D946:$D$2965),VLOOKUP(IF(LEN($A945)=4,$A945&amp;"01 1",$A945),GUS_tabl_21!$A$5:$F$4886,6,FALSE))))</f>
        <v>8197</v>
      </c>
      <c r="E945" s="29"/>
    </row>
    <row r="946" spans="1:5" ht="12" customHeight="1">
      <c r="A946" s="155" t="str">
        <f>"120106 3"</f>
        <v>120106 3</v>
      </c>
      <c r="B946" s="153" t="s">
        <v>71</v>
      </c>
      <c r="C946" s="156" t="str">
        <f>IF(OR($A946="",ISERROR(VALUE(LEFT($A946,6)))),"",IF(LEN($A946)=2,"WOJ. ",IF(LEN($A946)=4,IF(VALUE(RIGHT($A946,2))&gt;60,"","Powiat "),IF(VALUE(RIGHT($A946,1))=1,"m. ",IF(VALUE(RIGHT($A946,1))=2,"gm. w. ",IF(VALUE(RIGHT($A946,1))=8,"dz. ","gm. m.-w. ")))))&amp;IF(LEN($A946)=2,TRIM(UPPER(VLOOKUP($A946,GUS_tabl_1!$A$7:$B$22,2,FALSE))),IF(ISERROR(FIND("..",TRIM(VLOOKUP(IF(AND(LEN($A946)=4,VALUE(RIGHT($A946,2))&gt;60),$A946&amp;"01 1",$A946),IF(AND(LEN($A946)=4,VALUE(RIGHT($A946,2))&lt;60),GUS_tabl_2!$A$8:$B$464,GUS_tabl_21!$A$5:$B$4886),2,FALSE)))),TRIM(VLOOKUP(IF(AND(LEN($A946)=4,VALUE(RIGHT($A946,2))&gt;60),$A946&amp;"01 1",$A946),IF(AND(LEN($A946)=4,VALUE(RIGHT($A946,2))&lt;60),GUS_tabl_2!$A$8:$B$464,GUS_tabl_21!$A$5:$B$4886),2,FALSE)),LEFT(TRIM(VLOOKUP(IF(AND(LEN($A946)=4,VALUE(RIGHT($A946,2))&gt;60),$A946&amp;"01 1",$A946),IF(AND(LEN($A946)=4,VALUE(RIGHT($A946,2))&lt;60),GUS_tabl_2!$A$8:$B$464,GUS_tabl_21!$A$5:$B$4886),2,FALSE)),SUM(FIND("..",TRIM(VLOOKUP(IF(AND(LEN($A946)=4,VALUE(RIGHT($A946,2))&gt;60),$A946&amp;"01 1",$A946),IF(AND(LEN($A946)=4,VALUE(RIGHT($A946,2))&lt;60),GUS_tabl_2!$A$8:$B$464,GUS_tabl_21!$A$5:$B$4886),2,FALSE))),-1)))))</f>
        <v>gm. m.-w. Nowy Wiśnicz</v>
      </c>
      <c r="D946" s="141">
        <f>IF(OR($A946="",ISERROR(VALUE(LEFT($A946,6)))),"",IF(LEN($A946)=2,SUMIF($A947:$A$2965,$A946&amp;"??",$D947:$D$2965),IF(AND(LEN($A946)=4,VALUE(RIGHT($A946,2))&lt;=60),SUMIF($A947:$A$2965,$A946&amp;"????",$D947:$D$2965),VLOOKUP(IF(LEN($A946)=4,$A946&amp;"01 1",$A946),GUS_tabl_21!$A$5:$F$4886,6,FALSE))))</f>
        <v>14177</v>
      </c>
      <c r="E946" s="29"/>
    </row>
    <row r="947" spans="1:5" ht="12" customHeight="1">
      <c r="A947" s="155" t="str">
        <f>"120107 2"</f>
        <v>120107 2</v>
      </c>
      <c r="B947" s="153" t="s">
        <v>71</v>
      </c>
      <c r="C947" s="156" t="str">
        <f>IF(OR($A947="",ISERROR(VALUE(LEFT($A947,6)))),"",IF(LEN($A947)=2,"WOJ. ",IF(LEN($A947)=4,IF(VALUE(RIGHT($A947,2))&gt;60,"","Powiat "),IF(VALUE(RIGHT($A947,1))=1,"m. ",IF(VALUE(RIGHT($A947,1))=2,"gm. w. ",IF(VALUE(RIGHT($A947,1))=8,"dz. ","gm. m.-w. ")))))&amp;IF(LEN($A947)=2,TRIM(UPPER(VLOOKUP($A947,GUS_tabl_1!$A$7:$B$22,2,FALSE))),IF(ISERROR(FIND("..",TRIM(VLOOKUP(IF(AND(LEN($A947)=4,VALUE(RIGHT($A947,2))&gt;60),$A947&amp;"01 1",$A947),IF(AND(LEN($A947)=4,VALUE(RIGHT($A947,2))&lt;60),GUS_tabl_2!$A$8:$B$464,GUS_tabl_21!$A$5:$B$4886),2,FALSE)))),TRIM(VLOOKUP(IF(AND(LEN($A947)=4,VALUE(RIGHT($A947,2))&gt;60),$A947&amp;"01 1",$A947),IF(AND(LEN($A947)=4,VALUE(RIGHT($A947,2))&lt;60),GUS_tabl_2!$A$8:$B$464,GUS_tabl_21!$A$5:$B$4886),2,FALSE)),LEFT(TRIM(VLOOKUP(IF(AND(LEN($A947)=4,VALUE(RIGHT($A947,2))&gt;60),$A947&amp;"01 1",$A947),IF(AND(LEN($A947)=4,VALUE(RIGHT($A947,2))&lt;60),GUS_tabl_2!$A$8:$B$464,GUS_tabl_21!$A$5:$B$4886),2,FALSE)),SUM(FIND("..",TRIM(VLOOKUP(IF(AND(LEN($A947)=4,VALUE(RIGHT($A947,2))&gt;60),$A947&amp;"01 1",$A947),IF(AND(LEN($A947)=4,VALUE(RIGHT($A947,2))&lt;60),GUS_tabl_2!$A$8:$B$464,GUS_tabl_21!$A$5:$B$4886),2,FALSE))),-1)))))</f>
        <v>gm. w. Rzezawa</v>
      </c>
      <c r="D947" s="141">
        <f>IF(OR($A947="",ISERROR(VALUE(LEFT($A947,6)))),"",IF(LEN($A947)=2,SUMIF($A948:$A$2965,$A947&amp;"??",$D948:$D$2965),IF(AND(LEN($A947)=4,VALUE(RIGHT($A947,2))&lt;=60),SUMIF($A948:$A$2965,$A947&amp;"????",$D948:$D$2965),VLOOKUP(IF(LEN($A947)=4,$A947&amp;"01 1",$A947),GUS_tabl_21!$A$5:$F$4886,6,FALSE))))</f>
        <v>11348</v>
      </c>
      <c r="E947" s="29"/>
    </row>
    <row r="948" spans="1:5" ht="12" customHeight="1">
      <c r="A948" s="155" t="str">
        <f>"120108 2"</f>
        <v>120108 2</v>
      </c>
      <c r="B948" s="153" t="s">
        <v>71</v>
      </c>
      <c r="C948" s="156" t="str">
        <f>IF(OR($A948="",ISERROR(VALUE(LEFT($A948,6)))),"",IF(LEN($A948)=2,"WOJ. ",IF(LEN($A948)=4,IF(VALUE(RIGHT($A948,2))&gt;60,"","Powiat "),IF(VALUE(RIGHT($A948,1))=1,"m. ",IF(VALUE(RIGHT($A948,1))=2,"gm. w. ",IF(VALUE(RIGHT($A948,1))=8,"dz. ","gm. m.-w. ")))))&amp;IF(LEN($A948)=2,TRIM(UPPER(VLOOKUP($A948,GUS_tabl_1!$A$7:$B$22,2,FALSE))),IF(ISERROR(FIND("..",TRIM(VLOOKUP(IF(AND(LEN($A948)=4,VALUE(RIGHT($A948,2))&gt;60),$A948&amp;"01 1",$A948),IF(AND(LEN($A948)=4,VALUE(RIGHT($A948,2))&lt;60),GUS_tabl_2!$A$8:$B$464,GUS_tabl_21!$A$5:$B$4886),2,FALSE)))),TRIM(VLOOKUP(IF(AND(LEN($A948)=4,VALUE(RIGHT($A948,2))&gt;60),$A948&amp;"01 1",$A948),IF(AND(LEN($A948)=4,VALUE(RIGHT($A948,2))&lt;60),GUS_tabl_2!$A$8:$B$464,GUS_tabl_21!$A$5:$B$4886),2,FALSE)),LEFT(TRIM(VLOOKUP(IF(AND(LEN($A948)=4,VALUE(RIGHT($A948,2))&gt;60),$A948&amp;"01 1",$A948),IF(AND(LEN($A948)=4,VALUE(RIGHT($A948,2))&lt;60),GUS_tabl_2!$A$8:$B$464,GUS_tabl_21!$A$5:$B$4886),2,FALSE)),SUM(FIND("..",TRIM(VLOOKUP(IF(AND(LEN($A948)=4,VALUE(RIGHT($A948,2))&gt;60),$A948&amp;"01 1",$A948),IF(AND(LEN($A948)=4,VALUE(RIGHT($A948,2))&lt;60),GUS_tabl_2!$A$8:$B$464,GUS_tabl_21!$A$5:$B$4886),2,FALSE))),-1)))))</f>
        <v>gm. w. Trzciana</v>
      </c>
      <c r="D948" s="141">
        <f>IF(OR($A948="",ISERROR(VALUE(LEFT($A948,6)))),"",IF(LEN($A948)=2,SUMIF($A949:$A$2965,$A948&amp;"??",$D949:$D$2965),IF(AND(LEN($A948)=4,VALUE(RIGHT($A948,2))&lt;=60),SUMIF($A949:$A$2965,$A948&amp;"????",$D949:$D$2965),VLOOKUP(IF(LEN($A948)=4,$A948&amp;"01 1",$A948),GUS_tabl_21!$A$5:$F$4886,6,FALSE))))</f>
        <v>5641</v>
      </c>
      <c r="E948" s="29"/>
    </row>
    <row r="949" spans="1:5" ht="12" customHeight="1">
      <c r="A949" s="155" t="str">
        <f>"120109 2"</f>
        <v>120109 2</v>
      </c>
      <c r="B949" s="153" t="s">
        <v>71</v>
      </c>
      <c r="C949" s="156" t="str">
        <f>IF(OR($A949="",ISERROR(VALUE(LEFT($A949,6)))),"",IF(LEN($A949)=2,"WOJ. ",IF(LEN($A949)=4,IF(VALUE(RIGHT($A949,2))&gt;60,"","Powiat "),IF(VALUE(RIGHT($A949,1))=1,"m. ",IF(VALUE(RIGHT($A949,1))=2,"gm. w. ",IF(VALUE(RIGHT($A949,1))=8,"dz. ","gm. m.-w. ")))))&amp;IF(LEN($A949)=2,TRIM(UPPER(VLOOKUP($A949,GUS_tabl_1!$A$7:$B$22,2,FALSE))),IF(ISERROR(FIND("..",TRIM(VLOOKUP(IF(AND(LEN($A949)=4,VALUE(RIGHT($A949,2))&gt;60),$A949&amp;"01 1",$A949),IF(AND(LEN($A949)=4,VALUE(RIGHT($A949,2))&lt;60),GUS_tabl_2!$A$8:$B$464,GUS_tabl_21!$A$5:$B$4886),2,FALSE)))),TRIM(VLOOKUP(IF(AND(LEN($A949)=4,VALUE(RIGHT($A949,2))&gt;60),$A949&amp;"01 1",$A949),IF(AND(LEN($A949)=4,VALUE(RIGHT($A949,2))&lt;60),GUS_tabl_2!$A$8:$B$464,GUS_tabl_21!$A$5:$B$4886),2,FALSE)),LEFT(TRIM(VLOOKUP(IF(AND(LEN($A949)=4,VALUE(RIGHT($A949,2))&gt;60),$A949&amp;"01 1",$A949),IF(AND(LEN($A949)=4,VALUE(RIGHT($A949,2))&lt;60),GUS_tabl_2!$A$8:$B$464,GUS_tabl_21!$A$5:$B$4886),2,FALSE)),SUM(FIND("..",TRIM(VLOOKUP(IF(AND(LEN($A949)=4,VALUE(RIGHT($A949,2))&gt;60),$A949&amp;"01 1",$A949),IF(AND(LEN($A949)=4,VALUE(RIGHT($A949,2))&lt;60),GUS_tabl_2!$A$8:$B$464,GUS_tabl_21!$A$5:$B$4886),2,FALSE))),-1)))))</f>
        <v>gm. w. Żegocina</v>
      </c>
      <c r="D949" s="141">
        <f>IF(OR($A949="",ISERROR(VALUE(LEFT($A949,6)))),"",IF(LEN($A949)=2,SUMIF($A950:$A$2965,$A949&amp;"??",$D950:$D$2965),IF(AND(LEN($A949)=4,VALUE(RIGHT($A949,2))&lt;=60),SUMIF($A950:$A$2965,$A949&amp;"????",$D950:$D$2965),VLOOKUP(IF(LEN($A949)=4,$A949&amp;"01 1",$A949),GUS_tabl_21!$A$5:$F$4886,6,FALSE))))</f>
        <v>5560</v>
      </c>
      <c r="E949" s="29"/>
    </row>
    <row r="950" spans="1:5" ht="12" customHeight="1">
      <c r="A950" s="152" t="str">
        <f>"1202"</f>
        <v>1202</v>
      </c>
      <c r="B950" s="153" t="s">
        <v>71</v>
      </c>
      <c r="C950" s="154" t="str">
        <f>IF(OR($A950="",ISERROR(VALUE(LEFT($A950,6)))),"",IF(LEN($A950)=2,"WOJ. ",IF(LEN($A950)=4,IF(VALUE(RIGHT($A950,2))&gt;60,"","Powiat "),IF(VALUE(RIGHT($A950,1))=1,"m. ",IF(VALUE(RIGHT($A950,1))=2,"gm. w. ",IF(VALUE(RIGHT($A950,1))=8,"dz. ","gm. m.-w. ")))))&amp;IF(LEN($A950)=2,TRIM(UPPER(VLOOKUP($A950,GUS_tabl_1!$A$7:$B$22,2,FALSE))),IF(ISERROR(FIND("..",TRIM(VLOOKUP(IF(AND(LEN($A950)=4,VALUE(RIGHT($A950,2))&gt;60),$A950&amp;"01 1",$A950),IF(AND(LEN($A950)=4,VALUE(RIGHT($A950,2))&lt;60),GUS_tabl_2!$A$8:$B$464,GUS_tabl_21!$A$5:$B$4886),2,FALSE)))),TRIM(VLOOKUP(IF(AND(LEN($A950)=4,VALUE(RIGHT($A950,2))&gt;60),$A950&amp;"01 1",$A950),IF(AND(LEN($A950)=4,VALUE(RIGHT($A950,2))&lt;60),GUS_tabl_2!$A$8:$B$464,GUS_tabl_21!$A$5:$B$4886),2,FALSE)),LEFT(TRIM(VLOOKUP(IF(AND(LEN($A950)=4,VALUE(RIGHT($A950,2))&gt;60),$A950&amp;"01 1",$A950),IF(AND(LEN($A950)=4,VALUE(RIGHT($A950,2))&lt;60),GUS_tabl_2!$A$8:$B$464,GUS_tabl_21!$A$5:$B$4886),2,FALSE)),SUM(FIND("..",TRIM(VLOOKUP(IF(AND(LEN($A950)=4,VALUE(RIGHT($A950,2))&gt;60),$A950&amp;"01 1",$A950),IF(AND(LEN($A950)=4,VALUE(RIGHT($A950,2))&lt;60),GUS_tabl_2!$A$8:$B$464,GUS_tabl_21!$A$5:$B$4886),2,FALSE))),-1)))))</f>
        <v>Powiat brzeski</v>
      </c>
      <c r="D950" s="140">
        <f>IF(OR($A950="",ISERROR(VALUE(LEFT($A950,6)))),"",IF(LEN($A950)=2,SUMIF($A951:$A$2965,$A950&amp;"??",$D951:$D$2965),IF(AND(LEN($A950)=4,VALUE(RIGHT($A950,2))&lt;=60),SUMIF($A951:$A$2965,$A950&amp;"????",$D951:$D$2965),VLOOKUP(IF(LEN($A950)=4,$A950&amp;"01 1",$A950),GUS_tabl_21!$A$5:$F$4886,6,FALSE))))</f>
        <v>93201</v>
      </c>
      <c r="E950" s="29"/>
    </row>
    <row r="951" spans="1:5" ht="12" customHeight="1">
      <c r="A951" s="155" t="str">
        <f>"120201 2"</f>
        <v>120201 2</v>
      </c>
      <c r="B951" s="153" t="s">
        <v>71</v>
      </c>
      <c r="C951" s="156" t="str">
        <f>IF(OR($A951="",ISERROR(VALUE(LEFT($A951,6)))),"",IF(LEN($A951)=2,"WOJ. ",IF(LEN($A951)=4,IF(VALUE(RIGHT($A951,2))&gt;60,"","Powiat "),IF(VALUE(RIGHT($A951,1))=1,"m. ",IF(VALUE(RIGHT($A951,1))=2,"gm. w. ",IF(VALUE(RIGHT($A951,1))=8,"dz. ","gm. m.-w. ")))))&amp;IF(LEN($A951)=2,TRIM(UPPER(VLOOKUP($A951,GUS_tabl_1!$A$7:$B$22,2,FALSE))),IF(ISERROR(FIND("..",TRIM(VLOOKUP(IF(AND(LEN($A951)=4,VALUE(RIGHT($A951,2))&gt;60),$A951&amp;"01 1",$A951),IF(AND(LEN($A951)=4,VALUE(RIGHT($A951,2))&lt;60),GUS_tabl_2!$A$8:$B$464,GUS_tabl_21!$A$5:$B$4886),2,FALSE)))),TRIM(VLOOKUP(IF(AND(LEN($A951)=4,VALUE(RIGHT($A951,2))&gt;60),$A951&amp;"01 1",$A951),IF(AND(LEN($A951)=4,VALUE(RIGHT($A951,2))&lt;60),GUS_tabl_2!$A$8:$B$464,GUS_tabl_21!$A$5:$B$4886),2,FALSE)),LEFT(TRIM(VLOOKUP(IF(AND(LEN($A951)=4,VALUE(RIGHT($A951,2))&gt;60),$A951&amp;"01 1",$A951),IF(AND(LEN($A951)=4,VALUE(RIGHT($A951,2))&lt;60),GUS_tabl_2!$A$8:$B$464,GUS_tabl_21!$A$5:$B$4886),2,FALSE)),SUM(FIND("..",TRIM(VLOOKUP(IF(AND(LEN($A951)=4,VALUE(RIGHT($A951,2))&gt;60),$A951&amp;"01 1",$A951),IF(AND(LEN($A951)=4,VALUE(RIGHT($A951,2))&lt;60),GUS_tabl_2!$A$8:$B$464,GUS_tabl_21!$A$5:$B$4886),2,FALSE))),-1)))))</f>
        <v>gm. w. Borzęcin</v>
      </c>
      <c r="D951" s="141">
        <f>IF(OR($A951="",ISERROR(VALUE(LEFT($A951,6)))),"",IF(LEN($A951)=2,SUMIF($A952:$A$2965,$A951&amp;"??",$D952:$D$2965),IF(AND(LEN($A951)=4,VALUE(RIGHT($A951,2))&lt;=60),SUMIF($A952:$A$2965,$A951&amp;"????",$D952:$D$2965),VLOOKUP(IF(LEN($A951)=4,$A951&amp;"01 1",$A951),GUS_tabl_21!$A$5:$F$4886,6,FALSE))))</f>
        <v>8337</v>
      </c>
      <c r="E951" s="29"/>
    </row>
    <row r="952" spans="1:5" ht="12" customHeight="1">
      <c r="A952" s="155" t="str">
        <f>"120202 3"</f>
        <v>120202 3</v>
      </c>
      <c r="B952" s="153" t="s">
        <v>71</v>
      </c>
      <c r="C952" s="156" t="str">
        <f>IF(OR($A952="",ISERROR(VALUE(LEFT($A952,6)))),"",IF(LEN($A952)=2,"WOJ. ",IF(LEN($A952)=4,IF(VALUE(RIGHT($A952,2))&gt;60,"","Powiat "),IF(VALUE(RIGHT($A952,1))=1,"m. ",IF(VALUE(RIGHT($A952,1))=2,"gm. w. ",IF(VALUE(RIGHT($A952,1))=8,"dz. ","gm. m.-w. ")))))&amp;IF(LEN($A952)=2,TRIM(UPPER(VLOOKUP($A952,GUS_tabl_1!$A$7:$B$22,2,FALSE))),IF(ISERROR(FIND("..",TRIM(VLOOKUP(IF(AND(LEN($A952)=4,VALUE(RIGHT($A952,2))&gt;60),$A952&amp;"01 1",$A952),IF(AND(LEN($A952)=4,VALUE(RIGHT($A952,2))&lt;60),GUS_tabl_2!$A$8:$B$464,GUS_tabl_21!$A$5:$B$4886),2,FALSE)))),TRIM(VLOOKUP(IF(AND(LEN($A952)=4,VALUE(RIGHT($A952,2))&gt;60),$A952&amp;"01 1",$A952),IF(AND(LEN($A952)=4,VALUE(RIGHT($A952,2))&lt;60),GUS_tabl_2!$A$8:$B$464,GUS_tabl_21!$A$5:$B$4886),2,FALSE)),LEFT(TRIM(VLOOKUP(IF(AND(LEN($A952)=4,VALUE(RIGHT($A952,2))&gt;60),$A952&amp;"01 1",$A952),IF(AND(LEN($A952)=4,VALUE(RIGHT($A952,2))&lt;60),GUS_tabl_2!$A$8:$B$464,GUS_tabl_21!$A$5:$B$4886),2,FALSE)),SUM(FIND("..",TRIM(VLOOKUP(IF(AND(LEN($A952)=4,VALUE(RIGHT($A952,2))&gt;60),$A952&amp;"01 1",$A952),IF(AND(LEN($A952)=4,VALUE(RIGHT($A952,2))&lt;60),GUS_tabl_2!$A$8:$B$464,GUS_tabl_21!$A$5:$B$4886),2,FALSE))),-1)))))</f>
        <v>gm. m.-w. Brzesko</v>
      </c>
      <c r="D952" s="141">
        <f>IF(OR($A952="",ISERROR(VALUE(LEFT($A952,6)))),"",IF(LEN($A952)=2,SUMIF($A953:$A$2965,$A952&amp;"??",$D953:$D$2965),IF(AND(LEN($A952)=4,VALUE(RIGHT($A952,2))&lt;=60),SUMIF($A953:$A$2965,$A952&amp;"????",$D953:$D$2965),VLOOKUP(IF(LEN($A952)=4,$A952&amp;"01 1",$A952),GUS_tabl_21!$A$5:$F$4886,6,FALSE))))</f>
        <v>36291</v>
      </c>
      <c r="E952" s="29"/>
    </row>
    <row r="953" spans="1:5" ht="12" customHeight="1">
      <c r="A953" s="155" t="str">
        <f>"120203 3"</f>
        <v>120203 3</v>
      </c>
      <c r="B953" s="153" t="s">
        <v>71</v>
      </c>
      <c r="C953" s="156" t="str">
        <f>IF(OR($A953="",ISERROR(VALUE(LEFT($A953,6)))),"",IF(LEN($A953)=2,"WOJ. ",IF(LEN($A953)=4,IF(VALUE(RIGHT($A953,2))&gt;60,"","Powiat "),IF(VALUE(RIGHT($A953,1))=1,"m. ",IF(VALUE(RIGHT($A953,1))=2,"gm. w. ",IF(VALUE(RIGHT($A953,1))=8,"dz. ","gm. m.-w. ")))))&amp;IF(LEN($A953)=2,TRIM(UPPER(VLOOKUP($A953,GUS_tabl_1!$A$7:$B$22,2,FALSE))),IF(ISERROR(FIND("..",TRIM(VLOOKUP(IF(AND(LEN($A953)=4,VALUE(RIGHT($A953,2))&gt;60),$A953&amp;"01 1",$A953),IF(AND(LEN($A953)=4,VALUE(RIGHT($A953,2))&lt;60),GUS_tabl_2!$A$8:$B$464,GUS_tabl_21!$A$5:$B$4886),2,FALSE)))),TRIM(VLOOKUP(IF(AND(LEN($A953)=4,VALUE(RIGHT($A953,2))&gt;60),$A953&amp;"01 1",$A953),IF(AND(LEN($A953)=4,VALUE(RIGHT($A953,2))&lt;60),GUS_tabl_2!$A$8:$B$464,GUS_tabl_21!$A$5:$B$4886),2,FALSE)),LEFT(TRIM(VLOOKUP(IF(AND(LEN($A953)=4,VALUE(RIGHT($A953,2))&gt;60),$A953&amp;"01 1",$A953),IF(AND(LEN($A953)=4,VALUE(RIGHT($A953,2))&lt;60),GUS_tabl_2!$A$8:$B$464,GUS_tabl_21!$A$5:$B$4886),2,FALSE)),SUM(FIND("..",TRIM(VLOOKUP(IF(AND(LEN($A953)=4,VALUE(RIGHT($A953,2))&gt;60),$A953&amp;"01 1",$A953),IF(AND(LEN($A953)=4,VALUE(RIGHT($A953,2))&lt;60),GUS_tabl_2!$A$8:$B$464,GUS_tabl_21!$A$5:$B$4886),2,FALSE))),-1)))))</f>
        <v>gm. m.-w. Czchów</v>
      </c>
      <c r="D953" s="141">
        <f>IF(OR($A953="",ISERROR(VALUE(LEFT($A953,6)))),"",IF(LEN($A953)=2,SUMIF($A954:$A$2965,$A953&amp;"??",$D954:$D$2965),IF(AND(LEN($A953)=4,VALUE(RIGHT($A953,2))&lt;=60),SUMIF($A954:$A$2965,$A953&amp;"????",$D954:$D$2965),VLOOKUP(IF(LEN($A953)=4,$A953&amp;"01 1",$A953),GUS_tabl_21!$A$5:$F$4886,6,FALSE))))</f>
        <v>9828</v>
      </c>
      <c r="E953" s="29"/>
    </row>
    <row r="954" spans="1:5" ht="12" customHeight="1">
      <c r="A954" s="155" t="str">
        <f>"120204 2"</f>
        <v>120204 2</v>
      </c>
      <c r="B954" s="153" t="s">
        <v>71</v>
      </c>
      <c r="C954" s="156" t="str">
        <f>IF(OR($A954="",ISERROR(VALUE(LEFT($A954,6)))),"",IF(LEN($A954)=2,"WOJ. ",IF(LEN($A954)=4,IF(VALUE(RIGHT($A954,2))&gt;60,"","Powiat "),IF(VALUE(RIGHT($A954,1))=1,"m. ",IF(VALUE(RIGHT($A954,1))=2,"gm. w. ",IF(VALUE(RIGHT($A954,1))=8,"dz. ","gm. m.-w. ")))))&amp;IF(LEN($A954)=2,TRIM(UPPER(VLOOKUP($A954,GUS_tabl_1!$A$7:$B$22,2,FALSE))),IF(ISERROR(FIND("..",TRIM(VLOOKUP(IF(AND(LEN($A954)=4,VALUE(RIGHT($A954,2))&gt;60),$A954&amp;"01 1",$A954),IF(AND(LEN($A954)=4,VALUE(RIGHT($A954,2))&lt;60),GUS_tabl_2!$A$8:$B$464,GUS_tabl_21!$A$5:$B$4886),2,FALSE)))),TRIM(VLOOKUP(IF(AND(LEN($A954)=4,VALUE(RIGHT($A954,2))&gt;60),$A954&amp;"01 1",$A954),IF(AND(LEN($A954)=4,VALUE(RIGHT($A954,2))&lt;60),GUS_tabl_2!$A$8:$B$464,GUS_tabl_21!$A$5:$B$4886),2,FALSE)),LEFT(TRIM(VLOOKUP(IF(AND(LEN($A954)=4,VALUE(RIGHT($A954,2))&gt;60),$A954&amp;"01 1",$A954),IF(AND(LEN($A954)=4,VALUE(RIGHT($A954,2))&lt;60),GUS_tabl_2!$A$8:$B$464,GUS_tabl_21!$A$5:$B$4886),2,FALSE)),SUM(FIND("..",TRIM(VLOOKUP(IF(AND(LEN($A954)=4,VALUE(RIGHT($A954,2))&gt;60),$A954&amp;"01 1",$A954),IF(AND(LEN($A954)=4,VALUE(RIGHT($A954,2))&lt;60),GUS_tabl_2!$A$8:$B$464,GUS_tabl_21!$A$5:$B$4886),2,FALSE))),-1)))))</f>
        <v>gm. w. Dębno</v>
      </c>
      <c r="D954" s="141">
        <f>IF(OR($A954="",ISERROR(VALUE(LEFT($A954,6)))),"",IF(LEN($A954)=2,SUMIF($A955:$A$2965,$A954&amp;"??",$D955:$D$2965),IF(AND(LEN($A954)=4,VALUE(RIGHT($A954,2))&lt;=60),SUMIF($A955:$A$2965,$A954&amp;"????",$D955:$D$2965),VLOOKUP(IF(LEN($A954)=4,$A954&amp;"01 1",$A954),GUS_tabl_21!$A$5:$F$4886,6,FALSE))))</f>
        <v>14746</v>
      </c>
      <c r="E954" s="29"/>
    </row>
    <row r="955" spans="1:5" ht="12" customHeight="1">
      <c r="A955" s="155" t="str">
        <f>"120205 2"</f>
        <v>120205 2</v>
      </c>
      <c r="B955" s="153" t="s">
        <v>71</v>
      </c>
      <c r="C955" s="156" t="str">
        <f>IF(OR($A955="",ISERROR(VALUE(LEFT($A955,6)))),"",IF(LEN($A955)=2,"WOJ. ",IF(LEN($A955)=4,IF(VALUE(RIGHT($A955,2))&gt;60,"","Powiat "),IF(VALUE(RIGHT($A955,1))=1,"m. ",IF(VALUE(RIGHT($A955,1))=2,"gm. w. ",IF(VALUE(RIGHT($A955,1))=8,"dz. ","gm. m.-w. ")))))&amp;IF(LEN($A955)=2,TRIM(UPPER(VLOOKUP($A955,GUS_tabl_1!$A$7:$B$22,2,FALSE))),IF(ISERROR(FIND("..",TRIM(VLOOKUP(IF(AND(LEN($A955)=4,VALUE(RIGHT($A955,2))&gt;60),$A955&amp;"01 1",$A955),IF(AND(LEN($A955)=4,VALUE(RIGHT($A955,2))&lt;60),GUS_tabl_2!$A$8:$B$464,GUS_tabl_21!$A$5:$B$4886),2,FALSE)))),TRIM(VLOOKUP(IF(AND(LEN($A955)=4,VALUE(RIGHT($A955,2))&gt;60),$A955&amp;"01 1",$A955),IF(AND(LEN($A955)=4,VALUE(RIGHT($A955,2))&lt;60),GUS_tabl_2!$A$8:$B$464,GUS_tabl_21!$A$5:$B$4886),2,FALSE)),LEFT(TRIM(VLOOKUP(IF(AND(LEN($A955)=4,VALUE(RIGHT($A955,2))&gt;60),$A955&amp;"01 1",$A955),IF(AND(LEN($A955)=4,VALUE(RIGHT($A955,2))&lt;60),GUS_tabl_2!$A$8:$B$464,GUS_tabl_21!$A$5:$B$4886),2,FALSE)),SUM(FIND("..",TRIM(VLOOKUP(IF(AND(LEN($A955)=4,VALUE(RIGHT($A955,2))&gt;60),$A955&amp;"01 1",$A955),IF(AND(LEN($A955)=4,VALUE(RIGHT($A955,2))&lt;60),GUS_tabl_2!$A$8:$B$464,GUS_tabl_21!$A$5:$B$4886),2,FALSE))),-1)))))</f>
        <v>gm. w. Gnojnik</v>
      </c>
      <c r="D955" s="141">
        <f>IF(OR($A955="",ISERROR(VALUE(LEFT($A955,6)))),"",IF(LEN($A955)=2,SUMIF($A956:$A$2965,$A955&amp;"??",$D956:$D$2965),IF(AND(LEN($A955)=4,VALUE(RIGHT($A955,2))&lt;=60),SUMIF($A956:$A$2965,$A955&amp;"????",$D956:$D$2965),VLOOKUP(IF(LEN($A955)=4,$A955&amp;"01 1",$A955),GUS_tabl_21!$A$5:$F$4886,6,FALSE))))</f>
        <v>8029</v>
      </c>
      <c r="E955" s="29"/>
    </row>
    <row r="956" spans="1:5" ht="12" customHeight="1">
      <c r="A956" s="155" t="str">
        <f>"120206 2"</f>
        <v>120206 2</v>
      </c>
      <c r="B956" s="153" t="s">
        <v>71</v>
      </c>
      <c r="C956" s="156" t="str">
        <f>IF(OR($A956="",ISERROR(VALUE(LEFT($A956,6)))),"",IF(LEN($A956)=2,"WOJ. ",IF(LEN($A956)=4,IF(VALUE(RIGHT($A956,2))&gt;60,"","Powiat "),IF(VALUE(RIGHT($A956,1))=1,"m. ",IF(VALUE(RIGHT($A956,1))=2,"gm. w. ",IF(VALUE(RIGHT($A956,1))=8,"dz. ","gm. m.-w. ")))))&amp;IF(LEN($A956)=2,TRIM(UPPER(VLOOKUP($A956,GUS_tabl_1!$A$7:$B$22,2,FALSE))),IF(ISERROR(FIND("..",TRIM(VLOOKUP(IF(AND(LEN($A956)=4,VALUE(RIGHT($A956,2))&gt;60),$A956&amp;"01 1",$A956),IF(AND(LEN($A956)=4,VALUE(RIGHT($A956,2))&lt;60),GUS_tabl_2!$A$8:$B$464,GUS_tabl_21!$A$5:$B$4886),2,FALSE)))),TRIM(VLOOKUP(IF(AND(LEN($A956)=4,VALUE(RIGHT($A956,2))&gt;60),$A956&amp;"01 1",$A956),IF(AND(LEN($A956)=4,VALUE(RIGHT($A956,2))&lt;60),GUS_tabl_2!$A$8:$B$464,GUS_tabl_21!$A$5:$B$4886),2,FALSE)),LEFT(TRIM(VLOOKUP(IF(AND(LEN($A956)=4,VALUE(RIGHT($A956,2))&gt;60),$A956&amp;"01 1",$A956),IF(AND(LEN($A956)=4,VALUE(RIGHT($A956,2))&lt;60),GUS_tabl_2!$A$8:$B$464,GUS_tabl_21!$A$5:$B$4886),2,FALSE)),SUM(FIND("..",TRIM(VLOOKUP(IF(AND(LEN($A956)=4,VALUE(RIGHT($A956,2))&gt;60),$A956&amp;"01 1",$A956),IF(AND(LEN($A956)=4,VALUE(RIGHT($A956,2))&lt;60),GUS_tabl_2!$A$8:$B$464,GUS_tabl_21!$A$5:$B$4886),2,FALSE))),-1)))))</f>
        <v>gm. w. Iwkowa</v>
      </c>
      <c r="D956" s="141">
        <f>IF(OR($A956="",ISERROR(VALUE(LEFT($A956,6)))),"",IF(LEN($A956)=2,SUMIF($A957:$A$2965,$A956&amp;"??",$D957:$D$2965),IF(AND(LEN($A956)=4,VALUE(RIGHT($A956,2))&lt;=60),SUMIF($A957:$A$2965,$A956&amp;"????",$D957:$D$2965),VLOOKUP(IF(LEN($A956)=4,$A956&amp;"01 1",$A956),GUS_tabl_21!$A$5:$F$4886,6,FALSE))))</f>
        <v>6483</v>
      </c>
      <c r="E956" s="29"/>
    </row>
    <row r="957" spans="1:5" ht="12" customHeight="1">
      <c r="A957" s="155" t="str">
        <f>"120207 2"</f>
        <v>120207 2</v>
      </c>
      <c r="B957" s="153" t="s">
        <v>71</v>
      </c>
      <c r="C957" s="156" t="str">
        <f>IF(OR($A957="",ISERROR(VALUE(LEFT($A957,6)))),"",IF(LEN($A957)=2,"WOJ. ",IF(LEN($A957)=4,IF(VALUE(RIGHT($A957,2))&gt;60,"","Powiat "),IF(VALUE(RIGHT($A957,1))=1,"m. ",IF(VALUE(RIGHT($A957,1))=2,"gm. w. ",IF(VALUE(RIGHT($A957,1))=8,"dz. ","gm. m.-w. ")))))&amp;IF(LEN($A957)=2,TRIM(UPPER(VLOOKUP($A957,GUS_tabl_1!$A$7:$B$22,2,FALSE))),IF(ISERROR(FIND("..",TRIM(VLOOKUP(IF(AND(LEN($A957)=4,VALUE(RIGHT($A957,2))&gt;60),$A957&amp;"01 1",$A957),IF(AND(LEN($A957)=4,VALUE(RIGHT($A957,2))&lt;60),GUS_tabl_2!$A$8:$B$464,GUS_tabl_21!$A$5:$B$4886),2,FALSE)))),TRIM(VLOOKUP(IF(AND(LEN($A957)=4,VALUE(RIGHT($A957,2))&gt;60),$A957&amp;"01 1",$A957),IF(AND(LEN($A957)=4,VALUE(RIGHT($A957,2))&lt;60),GUS_tabl_2!$A$8:$B$464,GUS_tabl_21!$A$5:$B$4886),2,FALSE)),LEFT(TRIM(VLOOKUP(IF(AND(LEN($A957)=4,VALUE(RIGHT($A957,2))&gt;60),$A957&amp;"01 1",$A957),IF(AND(LEN($A957)=4,VALUE(RIGHT($A957,2))&lt;60),GUS_tabl_2!$A$8:$B$464,GUS_tabl_21!$A$5:$B$4886),2,FALSE)),SUM(FIND("..",TRIM(VLOOKUP(IF(AND(LEN($A957)=4,VALUE(RIGHT($A957,2))&gt;60),$A957&amp;"01 1",$A957),IF(AND(LEN($A957)=4,VALUE(RIGHT($A957,2))&lt;60),GUS_tabl_2!$A$8:$B$464,GUS_tabl_21!$A$5:$B$4886),2,FALSE))),-1)))))</f>
        <v>gm. w. Szczurowa</v>
      </c>
      <c r="D957" s="141">
        <f>IF(OR($A957="",ISERROR(VALUE(LEFT($A957,6)))),"",IF(LEN($A957)=2,SUMIF($A958:$A$2965,$A957&amp;"??",$D958:$D$2965),IF(AND(LEN($A957)=4,VALUE(RIGHT($A957,2))&lt;=60),SUMIF($A958:$A$2965,$A957&amp;"????",$D958:$D$2965),VLOOKUP(IF(LEN($A957)=4,$A957&amp;"01 1",$A957),GUS_tabl_21!$A$5:$F$4886,6,FALSE))))</f>
        <v>9487</v>
      </c>
      <c r="E957" s="29"/>
    </row>
    <row r="958" spans="1:5" ht="12" customHeight="1">
      <c r="A958" s="152" t="str">
        <f>"1203"</f>
        <v>1203</v>
      </c>
      <c r="B958" s="153" t="s">
        <v>71</v>
      </c>
      <c r="C958" s="154" t="str">
        <f>IF(OR($A958="",ISERROR(VALUE(LEFT($A958,6)))),"",IF(LEN($A958)=2,"WOJ. ",IF(LEN($A958)=4,IF(VALUE(RIGHT($A958,2))&gt;60,"","Powiat "),IF(VALUE(RIGHT($A958,1))=1,"m. ",IF(VALUE(RIGHT($A958,1))=2,"gm. w. ",IF(VALUE(RIGHT($A958,1))=8,"dz. ","gm. m.-w. ")))))&amp;IF(LEN($A958)=2,TRIM(UPPER(VLOOKUP($A958,GUS_tabl_1!$A$7:$B$22,2,FALSE))),IF(ISERROR(FIND("..",TRIM(VLOOKUP(IF(AND(LEN($A958)=4,VALUE(RIGHT($A958,2))&gt;60),$A958&amp;"01 1",$A958),IF(AND(LEN($A958)=4,VALUE(RIGHT($A958,2))&lt;60),GUS_tabl_2!$A$8:$B$464,GUS_tabl_21!$A$5:$B$4886),2,FALSE)))),TRIM(VLOOKUP(IF(AND(LEN($A958)=4,VALUE(RIGHT($A958,2))&gt;60),$A958&amp;"01 1",$A958),IF(AND(LEN($A958)=4,VALUE(RIGHT($A958,2))&lt;60),GUS_tabl_2!$A$8:$B$464,GUS_tabl_21!$A$5:$B$4886),2,FALSE)),LEFT(TRIM(VLOOKUP(IF(AND(LEN($A958)=4,VALUE(RIGHT($A958,2))&gt;60),$A958&amp;"01 1",$A958),IF(AND(LEN($A958)=4,VALUE(RIGHT($A958,2))&lt;60),GUS_tabl_2!$A$8:$B$464,GUS_tabl_21!$A$5:$B$4886),2,FALSE)),SUM(FIND("..",TRIM(VLOOKUP(IF(AND(LEN($A958)=4,VALUE(RIGHT($A958,2))&gt;60),$A958&amp;"01 1",$A958),IF(AND(LEN($A958)=4,VALUE(RIGHT($A958,2))&lt;60),GUS_tabl_2!$A$8:$B$464,GUS_tabl_21!$A$5:$B$4886),2,FALSE))),-1)))))</f>
        <v>Powiat chrzanowski</v>
      </c>
      <c r="D958" s="140">
        <f>IF(OR($A958="",ISERROR(VALUE(LEFT($A958,6)))),"",IF(LEN($A958)=2,SUMIF($A959:$A$2965,$A958&amp;"??",$D959:$D$2965),IF(AND(LEN($A958)=4,VALUE(RIGHT($A958,2))&lt;=60),SUMIF($A959:$A$2965,$A958&amp;"????",$D959:$D$2965),VLOOKUP(IF(LEN($A958)=4,$A958&amp;"01 1",$A958),GUS_tabl_21!$A$5:$F$4886,6,FALSE))))</f>
        <v>124536</v>
      </c>
      <c r="E958" s="29"/>
    </row>
    <row r="959" spans="1:5" ht="12" customHeight="1">
      <c r="A959" s="155" t="str">
        <f>"120301 3"</f>
        <v>120301 3</v>
      </c>
      <c r="B959" s="153" t="s">
        <v>71</v>
      </c>
      <c r="C959" s="156" t="str">
        <f>IF(OR($A959="",ISERROR(VALUE(LEFT($A959,6)))),"",IF(LEN($A959)=2,"WOJ. ",IF(LEN($A959)=4,IF(VALUE(RIGHT($A959,2))&gt;60,"","Powiat "),IF(VALUE(RIGHT($A959,1))=1,"m. ",IF(VALUE(RIGHT($A959,1))=2,"gm. w. ",IF(VALUE(RIGHT($A959,1))=8,"dz. ","gm. m.-w. ")))))&amp;IF(LEN($A959)=2,TRIM(UPPER(VLOOKUP($A959,GUS_tabl_1!$A$7:$B$22,2,FALSE))),IF(ISERROR(FIND("..",TRIM(VLOOKUP(IF(AND(LEN($A959)=4,VALUE(RIGHT($A959,2))&gt;60),$A959&amp;"01 1",$A959),IF(AND(LEN($A959)=4,VALUE(RIGHT($A959,2))&lt;60),GUS_tabl_2!$A$8:$B$464,GUS_tabl_21!$A$5:$B$4886),2,FALSE)))),TRIM(VLOOKUP(IF(AND(LEN($A959)=4,VALUE(RIGHT($A959,2))&gt;60),$A959&amp;"01 1",$A959),IF(AND(LEN($A959)=4,VALUE(RIGHT($A959,2))&lt;60),GUS_tabl_2!$A$8:$B$464,GUS_tabl_21!$A$5:$B$4886),2,FALSE)),LEFT(TRIM(VLOOKUP(IF(AND(LEN($A959)=4,VALUE(RIGHT($A959,2))&gt;60),$A959&amp;"01 1",$A959),IF(AND(LEN($A959)=4,VALUE(RIGHT($A959,2))&lt;60),GUS_tabl_2!$A$8:$B$464,GUS_tabl_21!$A$5:$B$4886),2,FALSE)),SUM(FIND("..",TRIM(VLOOKUP(IF(AND(LEN($A959)=4,VALUE(RIGHT($A959,2))&gt;60),$A959&amp;"01 1",$A959),IF(AND(LEN($A959)=4,VALUE(RIGHT($A959,2))&lt;60),GUS_tabl_2!$A$8:$B$464,GUS_tabl_21!$A$5:$B$4886),2,FALSE))),-1)))))</f>
        <v>gm. m.-w. Alwernia</v>
      </c>
      <c r="D959" s="141">
        <f>IF(OR($A959="",ISERROR(VALUE(LEFT($A959,6)))),"",IF(LEN($A959)=2,SUMIF($A960:$A$2965,$A959&amp;"??",$D960:$D$2965),IF(AND(LEN($A959)=4,VALUE(RIGHT($A959,2))&lt;=60),SUMIF($A960:$A$2965,$A959&amp;"????",$D960:$D$2965),VLOOKUP(IF(LEN($A959)=4,$A959&amp;"01 1",$A959),GUS_tabl_21!$A$5:$F$4886,6,FALSE))))</f>
        <v>12529</v>
      </c>
      <c r="E959" s="29"/>
    </row>
    <row r="960" spans="1:5" ht="12" customHeight="1">
      <c r="A960" s="155" t="str">
        <f>"120302 2"</f>
        <v>120302 2</v>
      </c>
      <c r="B960" s="153" t="s">
        <v>71</v>
      </c>
      <c r="C960" s="156" t="str">
        <f>IF(OR($A960="",ISERROR(VALUE(LEFT($A960,6)))),"",IF(LEN($A960)=2,"WOJ. ",IF(LEN($A960)=4,IF(VALUE(RIGHT($A960,2))&gt;60,"","Powiat "),IF(VALUE(RIGHT($A960,1))=1,"m. ",IF(VALUE(RIGHT($A960,1))=2,"gm. w. ",IF(VALUE(RIGHT($A960,1))=8,"dz. ","gm. m.-w. ")))))&amp;IF(LEN($A960)=2,TRIM(UPPER(VLOOKUP($A960,GUS_tabl_1!$A$7:$B$22,2,FALSE))),IF(ISERROR(FIND("..",TRIM(VLOOKUP(IF(AND(LEN($A960)=4,VALUE(RIGHT($A960,2))&gt;60),$A960&amp;"01 1",$A960),IF(AND(LEN($A960)=4,VALUE(RIGHT($A960,2))&lt;60),GUS_tabl_2!$A$8:$B$464,GUS_tabl_21!$A$5:$B$4886),2,FALSE)))),TRIM(VLOOKUP(IF(AND(LEN($A960)=4,VALUE(RIGHT($A960,2))&gt;60),$A960&amp;"01 1",$A960),IF(AND(LEN($A960)=4,VALUE(RIGHT($A960,2))&lt;60),GUS_tabl_2!$A$8:$B$464,GUS_tabl_21!$A$5:$B$4886),2,FALSE)),LEFT(TRIM(VLOOKUP(IF(AND(LEN($A960)=4,VALUE(RIGHT($A960,2))&gt;60),$A960&amp;"01 1",$A960),IF(AND(LEN($A960)=4,VALUE(RIGHT($A960,2))&lt;60),GUS_tabl_2!$A$8:$B$464,GUS_tabl_21!$A$5:$B$4886),2,FALSE)),SUM(FIND("..",TRIM(VLOOKUP(IF(AND(LEN($A960)=4,VALUE(RIGHT($A960,2))&gt;60),$A960&amp;"01 1",$A960),IF(AND(LEN($A960)=4,VALUE(RIGHT($A960,2))&lt;60),GUS_tabl_2!$A$8:$B$464,GUS_tabl_21!$A$5:$B$4886),2,FALSE))),-1)))))</f>
        <v>gm. w. Babice</v>
      </c>
      <c r="D960" s="141">
        <f>IF(OR($A960="",ISERROR(VALUE(LEFT($A960,6)))),"",IF(LEN($A960)=2,SUMIF($A961:$A$2965,$A960&amp;"??",$D961:$D$2965),IF(AND(LEN($A960)=4,VALUE(RIGHT($A960,2))&lt;=60),SUMIF($A961:$A$2965,$A960&amp;"????",$D961:$D$2965),VLOOKUP(IF(LEN($A960)=4,$A960&amp;"01 1",$A960),GUS_tabl_21!$A$5:$F$4886,6,FALSE))))</f>
        <v>9097</v>
      </c>
      <c r="E960" s="29"/>
    </row>
    <row r="961" spans="1:5" ht="12" customHeight="1">
      <c r="A961" s="155" t="str">
        <f>"120303 3"</f>
        <v>120303 3</v>
      </c>
      <c r="B961" s="153" t="s">
        <v>71</v>
      </c>
      <c r="C961" s="156" t="str">
        <f>IF(OR($A961="",ISERROR(VALUE(LEFT($A961,6)))),"",IF(LEN($A961)=2,"WOJ. ",IF(LEN($A961)=4,IF(VALUE(RIGHT($A961,2))&gt;60,"","Powiat "),IF(VALUE(RIGHT($A961,1))=1,"m. ",IF(VALUE(RIGHT($A961,1))=2,"gm. w. ",IF(VALUE(RIGHT($A961,1))=8,"dz. ","gm. m.-w. ")))))&amp;IF(LEN($A961)=2,TRIM(UPPER(VLOOKUP($A961,GUS_tabl_1!$A$7:$B$22,2,FALSE))),IF(ISERROR(FIND("..",TRIM(VLOOKUP(IF(AND(LEN($A961)=4,VALUE(RIGHT($A961,2))&gt;60),$A961&amp;"01 1",$A961),IF(AND(LEN($A961)=4,VALUE(RIGHT($A961,2))&lt;60),GUS_tabl_2!$A$8:$B$464,GUS_tabl_21!$A$5:$B$4886),2,FALSE)))),TRIM(VLOOKUP(IF(AND(LEN($A961)=4,VALUE(RIGHT($A961,2))&gt;60),$A961&amp;"01 1",$A961),IF(AND(LEN($A961)=4,VALUE(RIGHT($A961,2))&lt;60),GUS_tabl_2!$A$8:$B$464,GUS_tabl_21!$A$5:$B$4886),2,FALSE)),LEFT(TRIM(VLOOKUP(IF(AND(LEN($A961)=4,VALUE(RIGHT($A961,2))&gt;60),$A961&amp;"01 1",$A961),IF(AND(LEN($A961)=4,VALUE(RIGHT($A961,2))&lt;60),GUS_tabl_2!$A$8:$B$464,GUS_tabl_21!$A$5:$B$4886),2,FALSE)),SUM(FIND("..",TRIM(VLOOKUP(IF(AND(LEN($A961)=4,VALUE(RIGHT($A961,2))&gt;60),$A961&amp;"01 1",$A961),IF(AND(LEN($A961)=4,VALUE(RIGHT($A961,2))&lt;60),GUS_tabl_2!$A$8:$B$464,GUS_tabl_21!$A$5:$B$4886),2,FALSE))),-1)))))</f>
        <v>gm. m.-w. Chrzanów</v>
      </c>
      <c r="D961" s="141">
        <f>IF(OR($A961="",ISERROR(VALUE(LEFT($A961,6)))),"",IF(LEN($A961)=2,SUMIF($A962:$A$2965,$A961&amp;"??",$D962:$D$2965),IF(AND(LEN($A961)=4,VALUE(RIGHT($A961,2))&lt;=60),SUMIF($A962:$A$2965,$A961&amp;"????",$D962:$D$2965),VLOOKUP(IF(LEN($A961)=4,$A961&amp;"01 1",$A961),GUS_tabl_21!$A$5:$F$4886,6,FALSE))))</f>
        <v>46787</v>
      </c>
      <c r="E961" s="29"/>
    </row>
    <row r="962" spans="1:5" ht="12" customHeight="1">
      <c r="A962" s="155" t="str">
        <f>"120304 3"</f>
        <v>120304 3</v>
      </c>
      <c r="B962" s="153" t="s">
        <v>71</v>
      </c>
      <c r="C962" s="156" t="str">
        <f>IF(OR($A962="",ISERROR(VALUE(LEFT($A962,6)))),"",IF(LEN($A962)=2,"WOJ. ",IF(LEN($A962)=4,IF(VALUE(RIGHT($A962,2))&gt;60,"","Powiat "),IF(VALUE(RIGHT($A962,1))=1,"m. ",IF(VALUE(RIGHT($A962,1))=2,"gm. w. ",IF(VALUE(RIGHT($A962,1))=8,"dz. ","gm. m.-w. ")))))&amp;IF(LEN($A962)=2,TRIM(UPPER(VLOOKUP($A962,GUS_tabl_1!$A$7:$B$22,2,FALSE))),IF(ISERROR(FIND("..",TRIM(VLOOKUP(IF(AND(LEN($A962)=4,VALUE(RIGHT($A962,2))&gt;60),$A962&amp;"01 1",$A962),IF(AND(LEN($A962)=4,VALUE(RIGHT($A962,2))&lt;60),GUS_tabl_2!$A$8:$B$464,GUS_tabl_21!$A$5:$B$4886),2,FALSE)))),TRIM(VLOOKUP(IF(AND(LEN($A962)=4,VALUE(RIGHT($A962,2))&gt;60),$A962&amp;"01 1",$A962),IF(AND(LEN($A962)=4,VALUE(RIGHT($A962,2))&lt;60),GUS_tabl_2!$A$8:$B$464,GUS_tabl_21!$A$5:$B$4886),2,FALSE)),LEFT(TRIM(VLOOKUP(IF(AND(LEN($A962)=4,VALUE(RIGHT($A962,2))&gt;60),$A962&amp;"01 1",$A962),IF(AND(LEN($A962)=4,VALUE(RIGHT($A962,2))&lt;60),GUS_tabl_2!$A$8:$B$464,GUS_tabl_21!$A$5:$B$4886),2,FALSE)),SUM(FIND("..",TRIM(VLOOKUP(IF(AND(LEN($A962)=4,VALUE(RIGHT($A962,2))&gt;60),$A962&amp;"01 1",$A962),IF(AND(LEN($A962)=4,VALUE(RIGHT($A962,2))&lt;60),GUS_tabl_2!$A$8:$B$464,GUS_tabl_21!$A$5:$B$4886),2,FALSE))),-1)))))</f>
        <v>gm. m.-w. Libiąż</v>
      </c>
      <c r="D962" s="141">
        <f>IF(OR($A962="",ISERROR(VALUE(LEFT($A962,6)))),"",IF(LEN($A962)=2,SUMIF($A963:$A$2965,$A962&amp;"??",$D963:$D$2965),IF(AND(LEN($A962)=4,VALUE(RIGHT($A962,2))&lt;=60),SUMIF($A963:$A$2965,$A962&amp;"????",$D963:$D$2965),VLOOKUP(IF(LEN($A962)=4,$A962&amp;"01 1",$A962),GUS_tabl_21!$A$5:$F$4886,6,FALSE))))</f>
        <v>22342</v>
      </c>
      <c r="E962" s="29"/>
    </row>
    <row r="963" spans="1:5" ht="12" customHeight="1">
      <c r="A963" s="155" t="str">
        <f>"120305 3"</f>
        <v>120305 3</v>
      </c>
      <c r="B963" s="153" t="s">
        <v>71</v>
      </c>
      <c r="C963" s="156" t="str">
        <f>IF(OR($A963="",ISERROR(VALUE(LEFT($A963,6)))),"",IF(LEN($A963)=2,"WOJ. ",IF(LEN($A963)=4,IF(VALUE(RIGHT($A963,2))&gt;60,"","Powiat "),IF(VALUE(RIGHT($A963,1))=1,"m. ",IF(VALUE(RIGHT($A963,1))=2,"gm. w. ",IF(VALUE(RIGHT($A963,1))=8,"dz. ","gm. m.-w. ")))))&amp;IF(LEN($A963)=2,TRIM(UPPER(VLOOKUP($A963,GUS_tabl_1!$A$7:$B$22,2,FALSE))),IF(ISERROR(FIND("..",TRIM(VLOOKUP(IF(AND(LEN($A963)=4,VALUE(RIGHT($A963,2))&gt;60),$A963&amp;"01 1",$A963),IF(AND(LEN($A963)=4,VALUE(RIGHT($A963,2))&lt;60),GUS_tabl_2!$A$8:$B$464,GUS_tabl_21!$A$5:$B$4886),2,FALSE)))),TRIM(VLOOKUP(IF(AND(LEN($A963)=4,VALUE(RIGHT($A963,2))&gt;60),$A963&amp;"01 1",$A963),IF(AND(LEN($A963)=4,VALUE(RIGHT($A963,2))&lt;60),GUS_tabl_2!$A$8:$B$464,GUS_tabl_21!$A$5:$B$4886),2,FALSE)),LEFT(TRIM(VLOOKUP(IF(AND(LEN($A963)=4,VALUE(RIGHT($A963,2))&gt;60),$A963&amp;"01 1",$A963),IF(AND(LEN($A963)=4,VALUE(RIGHT($A963,2))&lt;60),GUS_tabl_2!$A$8:$B$464,GUS_tabl_21!$A$5:$B$4886),2,FALSE)),SUM(FIND("..",TRIM(VLOOKUP(IF(AND(LEN($A963)=4,VALUE(RIGHT($A963,2))&gt;60),$A963&amp;"01 1",$A963),IF(AND(LEN($A963)=4,VALUE(RIGHT($A963,2))&lt;60),GUS_tabl_2!$A$8:$B$464,GUS_tabl_21!$A$5:$B$4886),2,FALSE))),-1)))))</f>
        <v>gm. m.-w. Trzebinia</v>
      </c>
      <c r="D963" s="141">
        <f>IF(OR($A963="",ISERROR(VALUE(LEFT($A963,6)))),"",IF(LEN($A963)=2,SUMIF($A964:$A$2965,$A963&amp;"??",$D964:$D$2965),IF(AND(LEN($A963)=4,VALUE(RIGHT($A963,2))&lt;=60),SUMIF($A964:$A$2965,$A963&amp;"????",$D964:$D$2965),VLOOKUP(IF(LEN($A963)=4,$A963&amp;"01 1",$A963),GUS_tabl_21!$A$5:$F$4886,6,FALSE))))</f>
        <v>33781</v>
      </c>
      <c r="E963" s="29"/>
    </row>
    <row r="964" spans="1:5" ht="12" customHeight="1">
      <c r="A964" s="152" t="str">
        <f>"1204"</f>
        <v>1204</v>
      </c>
      <c r="B964" s="153" t="s">
        <v>71</v>
      </c>
      <c r="C964" s="154" t="str">
        <f>IF(OR($A964="",ISERROR(VALUE(LEFT($A964,6)))),"",IF(LEN($A964)=2,"WOJ. ",IF(LEN($A964)=4,IF(VALUE(RIGHT($A964,2))&gt;60,"","Powiat "),IF(VALUE(RIGHT($A964,1))=1,"m. ",IF(VALUE(RIGHT($A964,1))=2,"gm. w. ",IF(VALUE(RIGHT($A964,1))=8,"dz. ","gm. m.-w. ")))))&amp;IF(LEN($A964)=2,TRIM(UPPER(VLOOKUP($A964,GUS_tabl_1!$A$7:$B$22,2,FALSE))),IF(ISERROR(FIND("..",TRIM(VLOOKUP(IF(AND(LEN($A964)=4,VALUE(RIGHT($A964,2))&gt;60),$A964&amp;"01 1",$A964),IF(AND(LEN($A964)=4,VALUE(RIGHT($A964,2))&lt;60),GUS_tabl_2!$A$8:$B$464,GUS_tabl_21!$A$5:$B$4886),2,FALSE)))),TRIM(VLOOKUP(IF(AND(LEN($A964)=4,VALUE(RIGHT($A964,2))&gt;60),$A964&amp;"01 1",$A964),IF(AND(LEN($A964)=4,VALUE(RIGHT($A964,2))&lt;60),GUS_tabl_2!$A$8:$B$464,GUS_tabl_21!$A$5:$B$4886),2,FALSE)),LEFT(TRIM(VLOOKUP(IF(AND(LEN($A964)=4,VALUE(RIGHT($A964,2))&gt;60),$A964&amp;"01 1",$A964),IF(AND(LEN($A964)=4,VALUE(RIGHT($A964,2))&lt;60),GUS_tabl_2!$A$8:$B$464,GUS_tabl_21!$A$5:$B$4886),2,FALSE)),SUM(FIND("..",TRIM(VLOOKUP(IF(AND(LEN($A964)=4,VALUE(RIGHT($A964,2))&gt;60),$A964&amp;"01 1",$A964),IF(AND(LEN($A964)=4,VALUE(RIGHT($A964,2))&lt;60),GUS_tabl_2!$A$8:$B$464,GUS_tabl_21!$A$5:$B$4886),2,FALSE))),-1)))))</f>
        <v>Powiat dąbrowski</v>
      </c>
      <c r="D964" s="140">
        <f>IF(OR($A964="",ISERROR(VALUE(LEFT($A964,6)))),"",IF(LEN($A964)=2,SUMIF($A965:$A$2965,$A964&amp;"??",$D965:$D$2965),IF(AND(LEN($A964)=4,VALUE(RIGHT($A964,2))&lt;=60),SUMIF($A965:$A$2965,$A964&amp;"????",$D965:$D$2965),VLOOKUP(IF(LEN($A964)=4,$A964&amp;"01 1",$A964),GUS_tabl_21!$A$5:$F$4886,6,FALSE))))</f>
        <v>59174</v>
      </c>
      <c r="E964" s="29"/>
    </row>
    <row r="965" spans="1:5" ht="12" customHeight="1">
      <c r="A965" s="155" t="str">
        <f>"120401 2"</f>
        <v>120401 2</v>
      </c>
      <c r="B965" s="153" t="s">
        <v>71</v>
      </c>
      <c r="C965" s="156" t="str">
        <f>IF(OR($A965="",ISERROR(VALUE(LEFT($A965,6)))),"",IF(LEN($A965)=2,"WOJ. ",IF(LEN($A965)=4,IF(VALUE(RIGHT($A965,2))&gt;60,"","Powiat "),IF(VALUE(RIGHT($A965,1))=1,"m. ",IF(VALUE(RIGHT($A965,1))=2,"gm. w. ",IF(VALUE(RIGHT($A965,1))=8,"dz. ","gm. m.-w. ")))))&amp;IF(LEN($A965)=2,TRIM(UPPER(VLOOKUP($A965,GUS_tabl_1!$A$7:$B$22,2,FALSE))),IF(ISERROR(FIND("..",TRIM(VLOOKUP(IF(AND(LEN($A965)=4,VALUE(RIGHT($A965,2))&gt;60),$A965&amp;"01 1",$A965),IF(AND(LEN($A965)=4,VALUE(RIGHT($A965,2))&lt;60),GUS_tabl_2!$A$8:$B$464,GUS_tabl_21!$A$5:$B$4886),2,FALSE)))),TRIM(VLOOKUP(IF(AND(LEN($A965)=4,VALUE(RIGHT($A965,2))&gt;60),$A965&amp;"01 1",$A965),IF(AND(LEN($A965)=4,VALUE(RIGHT($A965,2))&lt;60),GUS_tabl_2!$A$8:$B$464,GUS_tabl_21!$A$5:$B$4886),2,FALSE)),LEFT(TRIM(VLOOKUP(IF(AND(LEN($A965)=4,VALUE(RIGHT($A965,2))&gt;60),$A965&amp;"01 1",$A965),IF(AND(LEN($A965)=4,VALUE(RIGHT($A965,2))&lt;60),GUS_tabl_2!$A$8:$B$464,GUS_tabl_21!$A$5:$B$4886),2,FALSE)),SUM(FIND("..",TRIM(VLOOKUP(IF(AND(LEN($A965)=4,VALUE(RIGHT($A965,2))&gt;60),$A965&amp;"01 1",$A965),IF(AND(LEN($A965)=4,VALUE(RIGHT($A965,2))&lt;60),GUS_tabl_2!$A$8:$B$464,GUS_tabl_21!$A$5:$B$4886),2,FALSE))),-1)))))</f>
        <v>gm. w. Bolesław</v>
      </c>
      <c r="D965" s="141">
        <f>IF(OR($A965="",ISERROR(VALUE(LEFT($A965,6)))),"",IF(LEN($A965)=2,SUMIF($A966:$A$2965,$A965&amp;"??",$D966:$D$2965),IF(AND(LEN($A965)=4,VALUE(RIGHT($A965,2))&lt;=60),SUMIF($A966:$A$2965,$A965&amp;"????",$D966:$D$2965),VLOOKUP(IF(LEN($A965)=4,$A965&amp;"01 1",$A965),GUS_tabl_21!$A$5:$F$4886,6,FALSE))))</f>
        <v>2607</v>
      </c>
      <c r="E965" s="29"/>
    </row>
    <row r="966" spans="1:5" ht="12" customHeight="1">
      <c r="A966" s="155" t="str">
        <f>"120402 3"</f>
        <v>120402 3</v>
      </c>
      <c r="B966" s="153" t="s">
        <v>71</v>
      </c>
      <c r="C966" s="156" t="str">
        <f>IF(OR($A966="",ISERROR(VALUE(LEFT($A966,6)))),"",IF(LEN($A966)=2,"WOJ. ",IF(LEN($A966)=4,IF(VALUE(RIGHT($A966,2))&gt;60,"","Powiat "),IF(VALUE(RIGHT($A966,1))=1,"m. ",IF(VALUE(RIGHT($A966,1))=2,"gm. w. ",IF(VALUE(RIGHT($A966,1))=8,"dz. ","gm. m.-w. ")))))&amp;IF(LEN($A966)=2,TRIM(UPPER(VLOOKUP($A966,GUS_tabl_1!$A$7:$B$22,2,FALSE))),IF(ISERROR(FIND("..",TRIM(VLOOKUP(IF(AND(LEN($A966)=4,VALUE(RIGHT($A966,2))&gt;60),$A966&amp;"01 1",$A966),IF(AND(LEN($A966)=4,VALUE(RIGHT($A966,2))&lt;60),GUS_tabl_2!$A$8:$B$464,GUS_tabl_21!$A$5:$B$4886),2,FALSE)))),TRIM(VLOOKUP(IF(AND(LEN($A966)=4,VALUE(RIGHT($A966,2))&gt;60),$A966&amp;"01 1",$A966),IF(AND(LEN($A966)=4,VALUE(RIGHT($A966,2))&lt;60),GUS_tabl_2!$A$8:$B$464,GUS_tabl_21!$A$5:$B$4886),2,FALSE)),LEFT(TRIM(VLOOKUP(IF(AND(LEN($A966)=4,VALUE(RIGHT($A966,2))&gt;60),$A966&amp;"01 1",$A966),IF(AND(LEN($A966)=4,VALUE(RIGHT($A966,2))&lt;60),GUS_tabl_2!$A$8:$B$464,GUS_tabl_21!$A$5:$B$4886),2,FALSE)),SUM(FIND("..",TRIM(VLOOKUP(IF(AND(LEN($A966)=4,VALUE(RIGHT($A966,2))&gt;60),$A966&amp;"01 1",$A966),IF(AND(LEN($A966)=4,VALUE(RIGHT($A966,2))&lt;60),GUS_tabl_2!$A$8:$B$464,GUS_tabl_21!$A$5:$B$4886),2,FALSE))),-1)))))</f>
        <v>gm. m.-w. Dąbrowa Tarnowska</v>
      </c>
      <c r="D966" s="141">
        <f>IF(OR($A966="",ISERROR(VALUE(LEFT($A966,6)))),"",IF(LEN($A966)=2,SUMIF($A967:$A$2965,$A966&amp;"??",$D967:$D$2965),IF(AND(LEN($A966)=4,VALUE(RIGHT($A966,2))&lt;=60),SUMIF($A967:$A$2965,$A966&amp;"????",$D967:$D$2965),VLOOKUP(IF(LEN($A966)=4,$A966&amp;"01 1",$A966),GUS_tabl_21!$A$5:$F$4886,6,FALSE))))</f>
        <v>21256</v>
      </c>
      <c r="E966" s="29"/>
    </row>
    <row r="967" spans="1:5" ht="12" customHeight="1">
      <c r="A967" s="155" t="str">
        <f>"120403 2"</f>
        <v>120403 2</v>
      </c>
      <c r="B967" s="153" t="s">
        <v>71</v>
      </c>
      <c r="C967" s="156" t="str">
        <f>IF(OR($A967="",ISERROR(VALUE(LEFT($A967,6)))),"",IF(LEN($A967)=2,"WOJ. ",IF(LEN($A967)=4,IF(VALUE(RIGHT($A967,2))&gt;60,"","Powiat "),IF(VALUE(RIGHT($A967,1))=1,"m. ",IF(VALUE(RIGHT($A967,1))=2,"gm. w. ",IF(VALUE(RIGHT($A967,1))=8,"dz. ","gm. m.-w. ")))))&amp;IF(LEN($A967)=2,TRIM(UPPER(VLOOKUP($A967,GUS_tabl_1!$A$7:$B$22,2,FALSE))),IF(ISERROR(FIND("..",TRIM(VLOOKUP(IF(AND(LEN($A967)=4,VALUE(RIGHT($A967,2))&gt;60),$A967&amp;"01 1",$A967),IF(AND(LEN($A967)=4,VALUE(RIGHT($A967,2))&lt;60),GUS_tabl_2!$A$8:$B$464,GUS_tabl_21!$A$5:$B$4886),2,FALSE)))),TRIM(VLOOKUP(IF(AND(LEN($A967)=4,VALUE(RIGHT($A967,2))&gt;60),$A967&amp;"01 1",$A967),IF(AND(LEN($A967)=4,VALUE(RIGHT($A967,2))&lt;60),GUS_tabl_2!$A$8:$B$464,GUS_tabl_21!$A$5:$B$4886),2,FALSE)),LEFT(TRIM(VLOOKUP(IF(AND(LEN($A967)=4,VALUE(RIGHT($A967,2))&gt;60),$A967&amp;"01 1",$A967),IF(AND(LEN($A967)=4,VALUE(RIGHT($A967,2))&lt;60),GUS_tabl_2!$A$8:$B$464,GUS_tabl_21!$A$5:$B$4886),2,FALSE)),SUM(FIND("..",TRIM(VLOOKUP(IF(AND(LEN($A967)=4,VALUE(RIGHT($A967,2))&gt;60),$A967&amp;"01 1",$A967),IF(AND(LEN($A967)=4,VALUE(RIGHT($A967,2))&lt;60),GUS_tabl_2!$A$8:$B$464,GUS_tabl_21!$A$5:$B$4886),2,FALSE))),-1)))))</f>
        <v>gm. w. Gręboszów</v>
      </c>
      <c r="D967" s="141">
        <f>IF(OR($A967="",ISERROR(VALUE(LEFT($A967,6)))),"",IF(LEN($A967)=2,SUMIF($A968:$A$2965,$A967&amp;"??",$D968:$D$2965),IF(AND(LEN($A967)=4,VALUE(RIGHT($A967,2))&lt;=60),SUMIF($A968:$A$2965,$A967&amp;"????",$D968:$D$2965),VLOOKUP(IF(LEN($A967)=4,$A967&amp;"01 1",$A967),GUS_tabl_21!$A$5:$F$4886,6,FALSE))))</f>
        <v>3333</v>
      </c>
      <c r="E967" s="29"/>
    </row>
    <row r="968" spans="1:5" ht="12" customHeight="1">
      <c r="A968" s="155" t="str">
        <f>"120404 2"</f>
        <v>120404 2</v>
      </c>
      <c r="B968" s="153" t="s">
        <v>71</v>
      </c>
      <c r="C968" s="156" t="str">
        <f>IF(OR($A968="",ISERROR(VALUE(LEFT($A968,6)))),"",IF(LEN($A968)=2,"WOJ. ",IF(LEN($A968)=4,IF(VALUE(RIGHT($A968,2))&gt;60,"","Powiat "),IF(VALUE(RIGHT($A968,1))=1,"m. ",IF(VALUE(RIGHT($A968,1))=2,"gm. w. ",IF(VALUE(RIGHT($A968,1))=8,"dz. ","gm. m.-w. ")))))&amp;IF(LEN($A968)=2,TRIM(UPPER(VLOOKUP($A968,GUS_tabl_1!$A$7:$B$22,2,FALSE))),IF(ISERROR(FIND("..",TRIM(VLOOKUP(IF(AND(LEN($A968)=4,VALUE(RIGHT($A968,2))&gt;60),$A968&amp;"01 1",$A968),IF(AND(LEN($A968)=4,VALUE(RIGHT($A968,2))&lt;60),GUS_tabl_2!$A$8:$B$464,GUS_tabl_21!$A$5:$B$4886),2,FALSE)))),TRIM(VLOOKUP(IF(AND(LEN($A968)=4,VALUE(RIGHT($A968,2))&gt;60),$A968&amp;"01 1",$A968),IF(AND(LEN($A968)=4,VALUE(RIGHT($A968,2))&lt;60),GUS_tabl_2!$A$8:$B$464,GUS_tabl_21!$A$5:$B$4886),2,FALSE)),LEFT(TRIM(VLOOKUP(IF(AND(LEN($A968)=4,VALUE(RIGHT($A968,2))&gt;60),$A968&amp;"01 1",$A968),IF(AND(LEN($A968)=4,VALUE(RIGHT($A968,2))&lt;60),GUS_tabl_2!$A$8:$B$464,GUS_tabl_21!$A$5:$B$4886),2,FALSE)),SUM(FIND("..",TRIM(VLOOKUP(IF(AND(LEN($A968)=4,VALUE(RIGHT($A968,2))&gt;60),$A968&amp;"01 1",$A968),IF(AND(LEN($A968)=4,VALUE(RIGHT($A968,2))&lt;60),GUS_tabl_2!$A$8:$B$464,GUS_tabl_21!$A$5:$B$4886),2,FALSE))),-1)))))</f>
        <v>gm. w. Mędrzechów</v>
      </c>
      <c r="D968" s="141">
        <f>IF(OR($A968="",ISERROR(VALUE(LEFT($A968,6)))),"",IF(LEN($A968)=2,SUMIF($A969:$A$2965,$A968&amp;"??",$D969:$D$2965),IF(AND(LEN($A968)=4,VALUE(RIGHT($A968,2))&lt;=60),SUMIF($A969:$A$2965,$A968&amp;"????",$D969:$D$2965),VLOOKUP(IF(LEN($A968)=4,$A968&amp;"01 1",$A968),GUS_tabl_21!$A$5:$F$4886,6,FALSE))))</f>
        <v>3433</v>
      </c>
      <c r="E968" s="29"/>
    </row>
    <row r="969" spans="1:5" ht="12" customHeight="1">
      <c r="A969" s="155" t="str">
        <f>"120405 2"</f>
        <v>120405 2</v>
      </c>
      <c r="B969" s="153" t="s">
        <v>71</v>
      </c>
      <c r="C969" s="156" t="str">
        <f>IF(OR($A969="",ISERROR(VALUE(LEFT($A969,6)))),"",IF(LEN($A969)=2,"WOJ. ",IF(LEN($A969)=4,IF(VALUE(RIGHT($A969,2))&gt;60,"","Powiat "),IF(VALUE(RIGHT($A969,1))=1,"m. ",IF(VALUE(RIGHT($A969,1))=2,"gm. w. ",IF(VALUE(RIGHT($A969,1))=8,"dz. ","gm. m.-w. ")))))&amp;IF(LEN($A969)=2,TRIM(UPPER(VLOOKUP($A969,GUS_tabl_1!$A$7:$B$22,2,FALSE))),IF(ISERROR(FIND("..",TRIM(VLOOKUP(IF(AND(LEN($A969)=4,VALUE(RIGHT($A969,2))&gt;60),$A969&amp;"01 1",$A969),IF(AND(LEN($A969)=4,VALUE(RIGHT($A969,2))&lt;60),GUS_tabl_2!$A$8:$B$464,GUS_tabl_21!$A$5:$B$4886),2,FALSE)))),TRIM(VLOOKUP(IF(AND(LEN($A969)=4,VALUE(RIGHT($A969,2))&gt;60),$A969&amp;"01 1",$A969),IF(AND(LEN($A969)=4,VALUE(RIGHT($A969,2))&lt;60),GUS_tabl_2!$A$8:$B$464,GUS_tabl_21!$A$5:$B$4886),2,FALSE)),LEFT(TRIM(VLOOKUP(IF(AND(LEN($A969)=4,VALUE(RIGHT($A969,2))&gt;60),$A969&amp;"01 1",$A969),IF(AND(LEN($A969)=4,VALUE(RIGHT($A969,2))&lt;60),GUS_tabl_2!$A$8:$B$464,GUS_tabl_21!$A$5:$B$4886),2,FALSE)),SUM(FIND("..",TRIM(VLOOKUP(IF(AND(LEN($A969)=4,VALUE(RIGHT($A969,2))&gt;60),$A969&amp;"01 1",$A969),IF(AND(LEN($A969)=4,VALUE(RIGHT($A969,2))&lt;60),GUS_tabl_2!$A$8:$B$464,GUS_tabl_21!$A$5:$B$4886),2,FALSE))),-1)))))</f>
        <v>gm. w. Olesno</v>
      </c>
      <c r="D969" s="141">
        <f>IF(OR($A969="",ISERROR(VALUE(LEFT($A969,6)))),"",IF(LEN($A969)=2,SUMIF($A970:$A$2965,$A969&amp;"??",$D970:$D$2965),IF(AND(LEN($A969)=4,VALUE(RIGHT($A969,2))&lt;=60),SUMIF($A970:$A$2965,$A969&amp;"????",$D970:$D$2965),VLOOKUP(IF(LEN($A969)=4,$A969&amp;"01 1",$A969),GUS_tabl_21!$A$5:$F$4886,6,FALSE))))</f>
        <v>7966</v>
      </c>
      <c r="E969" s="29"/>
    </row>
    <row r="970" spans="1:5" ht="12" customHeight="1">
      <c r="A970" s="155" t="str">
        <f>"120406 2"</f>
        <v>120406 2</v>
      </c>
      <c r="B970" s="153" t="s">
        <v>71</v>
      </c>
      <c r="C970" s="156" t="str">
        <f>IF(OR($A970="",ISERROR(VALUE(LEFT($A970,6)))),"",IF(LEN($A970)=2,"WOJ. ",IF(LEN($A970)=4,IF(VALUE(RIGHT($A970,2))&gt;60,"","Powiat "),IF(VALUE(RIGHT($A970,1))=1,"m. ",IF(VALUE(RIGHT($A970,1))=2,"gm. w. ",IF(VALUE(RIGHT($A970,1))=8,"dz. ","gm. m.-w. ")))))&amp;IF(LEN($A970)=2,TRIM(UPPER(VLOOKUP($A970,GUS_tabl_1!$A$7:$B$22,2,FALSE))),IF(ISERROR(FIND("..",TRIM(VLOOKUP(IF(AND(LEN($A970)=4,VALUE(RIGHT($A970,2))&gt;60),$A970&amp;"01 1",$A970),IF(AND(LEN($A970)=4,VALUE(RIGHT($A970,2))&lt;60),GUS_tabl_2!$A$8:$B$464,GUS_tabl_21!$A$5:$B$4886),2,FALSE)))),TRIM(VLOOKUP(IF(AND(LEN($A970)=4,VALUE(RIGHT($A970,2))&gt;60),$A970&amp;"01 1",$A970),IF(AND(LEN($A970)=4,VALUE(RIGHT($A970,2))&lt;60),GUS_tabl_2!$A$8:$B$464,GUS_tabl_21!$A$5:$B$4886),2,FALSE)),LEFT(TRIM(VLOOKUP(IF(AND(LEN($A970)=4,VALUE(RIGHT($A970,2))&gt;60),$A970&amp;"01 1",$A970),IF(AND(LEN($A970)=4,VALUE(RIGHT($A970,2))&lt;60),GUS_tabl_2!$A$8:$B$464,GUS_tabl_21!$A$5:$B$4886),2,FALSE)),SUM(FIND("..",TRIM(VLOOKUP(IF(AND(LEN($A970)=4,VALUE(RIGHT($A970,2))&gt;60),$A970&amp;"01 1",$A970),IF(AND(LEN($A970)=4,VALUE(RIGHT($A970,2))&lt;60),GUS_tabl_2!$A$8:$B$464,GUS_tabl_21!$A$5:$B$4886),2,FALSE))),-1)))))</f>
        <v>gm. w. Radgoszcz</v>
      </c>
      <c r="D970" s="141">
        <f>IF(OR($A970="",ISERROR(VALUE(LEFT($A970,6)))),"",IF(LEN($A970)=2,SUMIF($A971:$A$2965,$A970&amp;"??",$D971:$D$2965),IF(AND(LEN($A970)=4,VALUE(RIGHT($A970,2))&lt;=60),SUMIF($A971:$A$2965,$A970&amp;"????",$D971:$D$2965),VLOOKUP(IF(LEN($A970)=4,$A970&amp;"01 1",$A970),GUS_tabl_21!$A$5:$F$4886,6,FALSE))))</f>
        <v>7424</v>
      </c>
      <c r="E970" s="29"/>
    </row>
    <row r="971" spans="1:5" ht="12" customHeight="1">
      <c r="A971" s="155" t="str">
        <f>"120407 3"</f>
        <v>120407 3</v>
      </c>
      <c r="B971" s="153" t="s">
        <v>71</v>
      </c>
      <c r="C971" s="156" t="str">
        <f>IF(OR($A971="",ISERROR(VALUE(LEFT($A971,6)))),"",IF(LEN($A971)=2,"WOJ. ",IF(LEN($A971)=4,IF(VALUE(RIGHT($A971,2))&gt;60,"","Powiat "),IF(VALUE(RIGHT($A971,1))=1,"m. ",IF(VALUE(RIGHT($A971,1))=2,"gm. w. ",IF(VALUE(RIGHT($A971,1))=8,"dz. ","gm. m.-w. ")))))&amp;IF(LEN($A971)=2,TRIM(UPPER(VLOOKUP($A971,GUS_tabl_1!$A$7:$B$22,2,FALSE))),IF(ISERROR(FIND("..",TRIM(VLOOKUP(IF(AND(LEN($A971)=4,VALUE(RIGHT($A971,2))&gt;60),$A971&amp;"01 1",$A971),IF(AND(LEN($A971)=4,VALUE(RIGHT($A971,2))&lt;60),GUS_tabl_2!$A$8:$B$464,GUS_tabl_21!$A$5:$B$4886),2,FALSE)))),TRIM(VLOOKUP(IF(AND(LEN($A971)=4,VALUE(RIGHT($A971,2))&gt;60),$A971&amp;"01 1",$A971),IF(AND(LEN($A971)=4,VALUE(RIGHT($A971,2))&lt;60),GUS_tabl_2!$A$8:$B$464,GUS_tabl_21!$A$5:$B$4886),2,FALSE)),LEFT(TRIM(VLOOKUP(IF(AND(LEN($A971)=4,VALUE(RIGHT($A971,2))&gt;60),$A971&amp;"01 1",$A971),IF(AND(LEN($A971)=4,VALUE(RIGHT($A971,2))&lt;60),GUS_tabl_2!$A$8:$B$464,GUS_tabl_21!$A$5:$B$4886),2,FALSE)),SUM(FIND("..",TRIM(VLOOKUP(IF(AND(LEN($A971)=4,VALUE(RIGHT($A971,2))&gt;60),$A971&amp;"01 1",$A971),IF(AND(LEN($A971)=4,VALUE(RIGHT($A971,2))&lt;60),GUS_tabl_2!$A$8:$B$464,GUS_tabl_21!$A$5:$B$4886),2,FALSE))),-1)))))</f>
        <v>gm. m.-w. Szczucin</v>
      </c>
      <c r="D971" s="141">
        <f>IF(OR($A971="",ISERROR(VALUE(LEFT($A971,6)))),"",IF(LEN($A971)=2,SUMIF($A972:$A$2965,$A971&amp;"??",$D972:$D$2965),IF(AND(LEN($A971)=4,VALUE(RIGHT($A971,2))&lt;=60),SUMIF($A972:$A$2965,$A971&amp;"????",$D972:$D$2965),VLOOKUP(IF(LEN($A971)=4,$A971&amp;"01 1",$A971),GUS_tabl_21!$A$5:$F$4886,6,FALSE))))</f>
        <v>13155</v>
      </c>
      <c r="E971" s="29"/>
    </row>
    <row r="972" spans="1:5" ht="12" customHeight="1">
      <c r="A972" s="152" t="str">
        <f>"1205"</f>
        <v>1205</v>
      </c>
      <c r="B972" s="153" t="s">
        <v>71</v>
      </c>
      <c r="C972" s="154" t="str">
        <f>IF(OR($A972="",ISERROR(VALUE(LEFT($A972,6)))),"",IF(LEN($A972)=2,"WOJ. ",IF(LEN($A972)=4,IF(VALUE(RIGHT($A972,2))&gt;60,"","Powiat "),IF(VALUE(RIGHT($A972,1))=1,"m. ",IF(VALUE(RIGHT($A972,1))=2,"gm. w. ",IF(VALUE(RIGHT($A972,1))=8,"dz. ","gm. m.-w. ")))))&amp;IF(LEN($A972)=2,TRIM(UPPER(VLOOKUP($A972,GUS_tabl_1!$A$7:$B$22,2,FALSE))),IF(ISERROR(FIND("..",TRIM(VLOOKUP(IF(AND(LEN($A972)=4,VALUE(RIGHT($A972,2))&gt;60),$A972&amp;"01 1",$A972),IF(AND(LEN($A972)=4,VALUE(RIGHT($A972,2))&lt;60),GUS_tabl_2!$A$8:$B$464,GUS_tabl_21!$A$5:$B$4886),2,FALSE)))),TRIM(VLOOKUP(IF(AND(LEN($A972)=4,VALUE(RIGHT($A972,2))&gt;60),$A972&amp;"01 1",$A972),IF(AND(LEN($A972)=4,VALUE(RIGHT($A972,2))&lt;60),GUS_tabl_2!$A$8:$B$464,GUS_tabl_21!$A$5:$B$4886),2,FALSE)),LEFT(TRIM(VLOOKUP(IF(AND(LEN($A972)=4,VALUE(RIGHT($A972,2))&gt;60),$A972&amp;"01 1",$A972),IF(AND(LEN($A972)=4,VALUE(RIGHT($A972,2))&lt;60),GUS_tabl_2!$A$8:$B$464,GUS_tabl_21!$A$5:$B$4886),2,FALSE)),SUM(FIND("..",TRIM(VLOOKUP(IF(AND(LEN($A972)=4,VALUE(RIGHT($A972,2))&gt;60),$A972&amp;"01 1",$A972),IF(AND(LEN($A972)=4,VALUE(RIGHT($A972,2))&lt;60),GUS_tabl_2!$A$8:$B$464,GUS_tabl_21!$A$5:$B$4886),2,FALSE))),-1)))))</f>
        <v>Powiat gorlicki</v>
      </c>
      <c r="D972" s="140">
        <f>IF(OR($A972="",ISERROR(VALUE(LEFT($A972,6)))),"",IF(LEN($A972)=2,SUMIF($A973:$A$2965,$A972&amp;"??",$D973:$D$2965),IF(AND(LEN($A972)=4,VALUE(RIGHT($A972,2))&lt;=60),SUMIF($A973:$A$2965,$A972&amp;"????",$D973:$D$2965),VLOOKUP(IF(LEN($A972)=4,$A972&amp;"01 1",$A972),GUS_tabl_21!$A$5:$F$4886,6,FALSE))))</f>
        <v>108886</v>
      </c>
      <c r="E972" s="29"/>
    </row>
    <row r="973" spans="1:5" ht="12" customHeight="1">
      <c r="A973" s="155" t="str">
        <f>"120501 1"</f>
        <v>120501 1</v>
      </c>
      <c r="B973" s="153" t="s">
        <v>71</v>
      </c>
      <c r="C973" s="156" t="str">
        <f>IF(OR($A973="",ISERROR(VALUE(LEFT($A973,6)))),"",IF(LEN($A973)=2,"WOJ. ",IF(LEN($A973)=4,IF(VALUE(RIGHT($A973,2))&gt;60,"","Powiat "),IF(VALUE(RIGHT($A973,1))=1,"m. ",IF(VALUE(RIGHT($A973,1))=2,"gm. w. ",IF(VALUE(RIGHT($A973,1))=8,"dz. ","gm. m.-w. ")))))&amp;IF(LEN($A973)=2,TRIM(UPPER(VLOOKUP($A973,GUS_tabl_1!$A$7:$B$22,2,FALSE))),IF(ISERROR(FIND("..",TRIM(VLOOKUP(IF(AND(LEN($A973)=4,VALUE(RIGHT($A973,2))&gt;60),$A973&amp;"01 1",$A973),IF(AND(LEN($A973)=4,VALUE(RIGHT($A973,2))&lt;60),GUS_tabl_2!$A$8:$B$464,GUS_tabl_21!$A$5:$B$4886),2,FALSE)))),TRIM(VLOOKUP(IF(AND(LEN($A973)=4,VALUE(RIGHT($A973,2))&gt;60),$A973&amp;"01 1",$A973),IF(AND(LEN($A973)=4,VALUE(RIGHT($A973,2))&lt;60),GUS_tabl_2!$A$8:$B$464,GUS_tabl_21!$A$5:$B$4886),2,FALSE)),LEFT(TRIM(VLOOKUP(IF(AND(LEN($A973)=4,VALUE(RIGHT($A973,2))&gt;60),$A973&amp;"01 1",$A973),IF(AND(LEN($A973)=4,VALUE(RIGHT($A973,2))&lt;60),GUS_tabl_2!$A$8:$B$464,GUS_tabl_21!$A$5:$B$4886),2,FALSE)),SUM(FIND("..",TRIM(VLOOKUP(IF(AND(LEN($A973)=4,VALUE(RIGHT($A973,2))&gt;60),$A973&amp;"01 1",$A973),IF(AND(LEN($A973)=4,VALUE(RIGHT($A973,2))&lt;60),GUS_tabl_2!$A$8:$B$464,GUS_tabl_21!$A$5:$B$4886),2,FALSE))),-1)))))</f>
        <v>m. Gorlice</v>
      </c>
      <c r="D973" s="141">
        <f>IF(OR($A973="",ISERROR(VALUE(LEFT($A973,6)))),"",IF(LEN($A973)=2,SUMIF($A974:$A$2965,$A973&amp;"??",$D974:$D$2965),IF(AND(LEN($A973)=4,VALUE(RIGHT($A973,2))&lt;=60),SUMIF($A974:$A$2965,$A973&amp;"????",$D974:$D$2965),VLOOKUP(IF(LEN($A973)=4,$A973&amp;"01 1",$A973),GUS_tabl_21!$A$5:$F$4886,6,FALSE))))</f>
        <v>27357</v>
      </c>
      <c r="E973" s="29"/>
    </row>
    <row r="974" spans="1:5" ht="12" customHeight="1">
      <c r="A974" s="155" t="str">
        <f>"120502 3"</f>
        <v>120502 3</v>
      </c>
      <c r="B974" s="153" t="s">
        <v>71</v>
      </c>
      <c r="C974" s="156" t="str">
        <f>IF(OR($A974="",ISERROR(VALUE(LEFT($A974,6)))),"",IF(LEN($A974)=2,"WOJ. ",IF(LEN($A974)=4,IF(VALUE(RIGHT($A974,2))&gt;60,"","Powiat "),IF(VALUE(RIGHT($A974,1))=1,"m. ",IF(VALUE(RIGHT($A974,1))=2,"gm. w. ",IF(VALUE(RIGHT($A974,1))=8,"dz. ","gm. m.-w. ")))))&amp;IF(LEN($A974)=2,TRIM(UPPER(VLOOKUP($A974,GUS_tabl_1!$A$7:$B$22,2,FALSE))),IF(ISERROR(FIND("..",TRIM(VLOOKUP(IF(AND(LEN($A974)=4,VALUE(RIGHT($A974,2))&gt;60),$A974&amp;"01 1",$A974),IF(AND(LEN($A974)=4,VALUE(RIGHT($A974,2))&lt;60),GUS_tabl_2!$A$8:$B$464,GUS_tabl_21!$A$5:$B$4886),2,FALSE)))),TRIM(VLOOKUP(IF(AND(LEN($A974)=4,VALUE(RIGHT($A974,2))&gt;60),$A974&amp;"01 1",$A974),IF(AND(LEN($A974)=4,VALUE(RIGHT($A974,2))&lt;60),GUS_tabl_2!$A$8:$B$464,GUS_tabl_21!$A$5:$B$4886),2,FALSE)),LEFT(TRIM(VLOOKUP(IF(AND(LEN($A974)=4,VALUE(RIGHT($A974,2))&gt;60),$A974&amp;"01 1",$A974),IF(AND(LEN($A974)=4,VALUE(RIGHT($A974,2))&lt;60),GUS_tabl_2!$A$8:$B$464,GUS_tabl_21!$A$5:$B$4886),2,FALSE)),SUM(FIND("..",TRIM(VLOOKUP(IF(AND(LEN($A974)=4,VALUE(RIGHT($A974,2))&gt;60),$A974&amp;"01 1",$A974),IF(AND(LEN($A974)=4,VALUE(RIGHT($A974,2))&lt;60),GUS_tabl_2!$A$8:$B$464,GUS_tabl_21!$A$5:$B$4886),2,FALSE))),-1)))))</f>
        <v>gm. m.-w. Biecz</v>
      </c>
      <c r="D974" s="141">
        <f>IF(OR($A974="",ISERROR(VALUE(LEFT($A974,6)))),"",IF(LEN($A974)=2,SUMIF($A975:$A$2965,$A974&amp;"??",$D975:$D$2965),IF(AND(LEN($A974)=4,VALUE(RIGHT($A974,2))&lt;=60),SUMIF($A975:$A$2965,$A974&amp;"????",$D975:$D$2965),VLOOKUP(IF(LEN($A974)=4,$A974&amp;"01 1",$A974),GUS_tabl_21!$A$5:$F$4886,6,FALSE))))</f>
        <v>16808</v>
      </c>
      <c r="E974" s="29"/>
    </row>
    <row r="975" spans="1:5" ht="12" customHeight="1">
      <c r="A975" s="155" t="str">
        <f>"120503 3"</f>
        <v>120503 3</v>
      </c>
      <c r="B975" s="153" t="s">
        <v>71</v>
      </c>
      <c r="C975" s="156" t="str">
        <f>IF(OR($A975="",ISERROR(VALUE(LEFT($A975,6)))),"",IF(LEN($A975)=2,"WOJ. ",IF(LEN($A975)=4,IF(VALUE(RIGHT($A975,2))&gt;60,"","Powiat "),IF(VALUE(RIGHT($A975,1))=1,"m. ",IF(VALUE(RIGHT($A975,1))=2,"gm. w. ",IF(VALUE(RIGHT($A975,1))=8,"dz. ","gm. m.-w. ")))))&amp;IF(LEN($A975)=2,TRIM(UPPER(VLOOKUP($A975,GUS_tabl_1!$A$7:$B$22,2,FALSE))),IF(ISERROR(FIND("..",TRIM(VLOOKUP(IF(AND(LEN($A975)=4,VALUE(RIGHT($A975,2))&gt;60),$A975&amp;"01 1",$A975),IF(AND(LEN($A975)=4,VALUE(RIGHT($A975,2))&lt;60),GUS_tabl_2!$A$8:$B$464,GUS_tabl_21!$A$5:$B$4886),2,FALSE)))),TRIM(VLOOKUP(IF(AND(LEN($A975)=4,VALUE(RIGHT($A975,2))&gt;60),$A975&amp;"01 1",$A975),IF(AND(LEN($A975)=4,VALUE(RIGHT($A975,2))&lt;60),GUS_tabl_2!$A$8:$B$464,GUS_tabl_21!$A$5:$B$4886),2,FALSE)),LEFT(TRIM(VLOOKUP(IF(AND(LEN($A975)=4,VALUE(RIGHT($A975,2))&gt;60),$A975&amp;"01 1",$A975),IF(AND(LEN($A975)=4,VALUE(RIGHT($A975,2))&lt;60),GUS_tabl_2!$A$8:$B$464,GUS_tabl_21!$A$5:$B$4886),2,FALSE)),SUM(FIND("..",TRIM(VLOOKUP(IF(AND(LEN($A975)=4,VALUE(RIGHT($A975,2))&gt;60),$A975&amp;"01 1",$A975),IF(AND(LEN($A975)=4,VALUE(RIGHT($A975,2))&lt;60),GUS_tabl_2!$A$8:$B$464,GUS_tabl_21!$A$5:$B$4886),2,FALSE))),-1)))))</f>
        <v>gm. m.-w. Bobowa</v>
      </c>
      <c r="D975" s="141">
        <f>IF(OR($A975="",ISERROR(VALUE(LEFT($A975,6)))),"",IF(LEN($A975)=2,SUMIF($A976:$A$2965,$A975&amp;"??",$D976:$D$2965),IF(AND(LEN($A975)=4,VALUE(RIGHT($A975,2))&lt;=60),SUMIF($A976:$A$2965,$A975&amp;"????",$D976:$D$2965),VLOOKUP(IF(LEN($A975)=4,$A975&amp;"01 1",$A975),GUS_tabl_21!$A$5:$F$4886,6,FALSE))))</f>
        <v>9798</v>
      </c>
      <c r="E975" s="29"/>
    </row>
    <row r="976" spans="1:5" ht="12" customHeight="1">
      <c r="A976" s="155" t="str">
        <f>"120504 2"</f>
        <v>120504 2</v>
      </c>
      <c r="B976" s="153" t="s">
        <v>71</v>
      </c>
      <c r="C976" s="156" t="str">
        <f>IF(OR($A976="",ISERROR(VALUE(LEFT($A976,6)))),"",IF(LEN($A976)=2,"WOJ. ",IF(LEN($A976)=4,IF(VALUE(RIGHT($A976,2))&gt;60,"","Powiat "),IF(VALUE(RIGHT($A976,1))=1,"m. ",IF(VALUE(RIGHT($A976,1))=2,"gm. w. ",IF(VALUE(RIGHT($A976,1))=8,"dz. ","gm. m.-w. ")))))&amp;IF(LEN($A976)=2,TRIM(UPPER(VLOOKUP($A976,GUS_tabl_1!$A$7:$B$22,2,FALSE))),IF(ISERROR(FIND("..",TRIM(VLOOKUP(IF(AND(LEN($A976)=4,VALUE(RIGHT($A976,2))&gt;60),$A976&amp;"01 1",$A976),IF(AND(LEN($A976)=4,VALUE(RIGHT($A976,2))&lt;60),GUS_tabl_2!$A$8:$B$464,GUS_tabl_21!$A$5:$B$4886),2,FALSE)))),TRIM(VLOOKUP(IF(AND(LEN($A976)=4,VALUE(RIGHT($A976,2))&gt;60),$A976&amp;"01 1",$A976),IF(AND(LEN($A976)=4,VALUE(RIGHT($A976,2))&lt;60),GUS_tabl_2!$A$8:$B$464,GUS_tabl_21!$A$5:$B$4886),2,FALSE)),LEFT(TRIM(VLOOKUP(IF(AND(LEN($A976)=4,VALUE(RIGHT($A976,2))&gt;60),$A976&amp;"01 1",$A976),IF(AND(LEN($A976)=4,VALUE(RIGHT($A976,2))&lt;60),GUS_tabl_2!$A$8:$B$464,GUS_tabl_21!$A$5:$B$4886),2,FALSE)),SUM(FIND("..",TRIM(VLOOKUP(IF(AND(LEN($A976)=4,VALUE(RIGHT($A976,2))&gt;60),$A976&amp;"01 1",$A976),IF(AND(LEN($A976)=4,VALUE(RIGHT($A976,2))&lt;60),GUS_tabl_2!$A$8:$B$464,GUS_tabl_21!$A$5:$B$4886),2,FALSE))),-1)))))</f>
        <v>gm. w. Gorlice</v>
      </c>
      <c r="D976" s="141">
        <f>IF(OR($A976="",ISERROR(VALUE(LEFT($A976,6)))),"",IF(LEN($A976)=2,SUMIF($A977:$A$2965,$A976&amp;"??",$D977:$D$2965),IF(AND(LEN($A976)=4,VALUE(RIGHT($A976,2))&lt;=60),SUMIF($A977:$A$2965,$A976&amp;"????",$D977:$D$2965),VLOOKUP(IF(LEN($A976)=4,$A976&amp;"01 1",$A976),GUS_tabl_21!$A$5:$F$4886,6,FALSE))))</f>
        <v>17278</v>
      </c>
      <c r="E976" s="29"/>
    </row>
    <row r="977" spans="1:5" ht="12" customHeight="1">
      <c r="A977" s="155" t="str">
        <f>"120505 2"</f>
        <v>120505 2</v>
      </c>
      <c r="B977" s="153" t="s">
        <v>71</v>
      </c>
      <c r="C977" s="156" t="str">
        <f>IF(OR($A977="",ISERROR(VALUE(LEFT($A977,6)))),"",IF(LEN($A977)=2,"WOJ. ",IF(LEN($A977)=4,IF(VALUE(RIGHT($A977,2))&gt;60,"","Powiat "),IF(VALUE(RIGHT($A977,1))=1,"m. ",IF(VALUE(RIGHT($A977,1))=2,"gm. w. ",IF(VALUE(RIGHT($A977,1))=8,"dz. ","gm. m.-w. ")))))&amp;IF(LEN($A977)=2,TRIM(UPPER(VLOOKUP($A977,GUS_tabl_1!$A$7:$B$22,2,FALSE))),IF(ISERROR(FIND("..",TRIM(VLOOKUP(IF(AND(LEN($A977)=4,VALUE(RIGHT($A977,2))&gt;60),$A977&amp;"01 1",$A977),IF(AND(LEN($A977)=4,VALUE(RIGHT($A977,2))&lt;60),GUS_tabl_2!$A$8:$B$464,GUS_tabl_21!$A$5:$B$4886),2,FALSE)))),TRIM(VLOOKUP(IF(AND(LEN($A977)=4,VALUE(RIGHT($A977,2))&gt;60),$A977&amp;"01 1",$A977),IF(AND(LEN($A977)=4,VALUE(RIGHT($A977,2))&lt;60),GUS_tabl_2!$A$8:$B$464,GUS_tabl_21!$A$5:$B$4886),2,FALSE)),LEFT(TRIM(VLOOKUP(IF(AND(LEN($A977)=4,VALUE(RIGHT($A977,2))&gt;60),$A977&amp;"01 1",$A977),IF(AND(LEN($A977)=4,VALUE(RIGHT($A977,2))&lt;60),GUS_tabl_2!$A$8:$B$464,GUS_tabl_21!$A$5:$B$4886),2,FALSE)),SUM(FIND("..",TRIM(VLOOKUP(IF(AND(LEN($A977)=4,VALUE(RIGHT($A977,2))&gt;60),$A977&amp;"01 1",$A977),IF(AND(LEN($A977)=4,VALUE(RIGHT($A977,2))&lt;60),GUS_tabl_2!$A$8:$B$464,GUS_tabl_21!$A$5:$B$4886),2,FALSE))),-1)))))</f>
        <v>gm. w. Lipinki</v>
      </c>
      <c r="D977" s="141">
        <f>IF(OR($A977="",ISERROR(VALUE(LEFT($A977,6)))),"",IF(LEN($A977)=2,SUMIF($A978:$A$2965,$A977&amp;"??",$D978:$D$2965),IF(AND(LEN($A977)=4,VALUE(RIGHT($A977,2))&lt;=60),SUMIF($A978:$A$2965,$A977&amp;"????",$D978:$D$2965),VLOOKUP(IF(LEN($A977)=4,$A977&amp;"01 1",$A977),GUS_tabl_21!$A$5:$F$4886,6,FALSE))))</f>
        <v>6792</v>
      </c>
      <c r="E977" s="29"/>
    </row>
    <row r="978" spans="1:5" ht="12" customHeight="1">
      <c r="A978" s="155" t="str">
        <f>"120506 2"</f>
        <v>120506 2</v>
      </c>
      <c r="B978" s="153" t="s">
        <v>71</v>
      </c>
      <c r="C978" s="156" t="str">
        <f>IF(OR($A978="",ISERROR(VALUE(LEFT($A978,6)))),"",IF(LEN($A978)=2,"WOJ. ",IF(LEN($A978)=4,IF(VALUE(RIGHT($A978,2))&gt;60,"","Powiat "),IF(VALUE(RIGHT($A978,1))=1,"m. ",IF(VALUE(RIGHT($A978,1))=2,"gm. w. ",IF(VALUE(RIGHT($A978,1))=8,"dz. ","gm. m.-w. ")))))&amp;IF(LEN($A978)=2,TRIM(UPPER(VLOOKUP($A978,GUS_tabl_1!$A$7:$B$22,2,FALSE))),IF(ISERROR(FIND("..",TRIM(VLOOKUP(IF(AND(LEN($A978)=4,VALUE(RIGHT($A978,2))&gt;60),$A978&amp;"01 1",$A978),IF(AND(LEN($A978)=4,VALUE(RIGHT($A978,2))&lt;60),GUS_tabl_2!$A$8:$B$464,GUS_tabl_21!$A$5:$B$4886),2,FALSE)))),TRIM(VLOOKUP(IF(AND(LEN($A978)=4,VALUE(RIGHT($A978,2))&gt;60),$A978&amp;"01 1",$A978),IF(AND(LEN($A978)=4,VALUE(RIGHT($A978,2))&lt;60),GUS_tabl_2!$A$8:$B$464,GUS_tabl_21!$A$5:$B$4886),2,FALSE)),LEFT(TRIM(VLOOKUP(IF(AND(LEN($A978)=4,VALUE(RIGHT($A978,2))&gt;60),$A978&amp;"01 1",$A978),IF(AND(LEN($A978)=4,VALUE(RIGHT($A978,2))&lt;60),GUS_tabl_2!$A$8:$B$464,GUS_tabl_21!$A$5:$B$4886),2,FALSE)),SUM(FIND("..",TRIM(VLOOKUP(IF(AND(LEN($A978)=4,VALUE(RIGHT($A978,2))&gt;60),$A978&amp;"01 1",$A978),IF(AND(LEN($A978)=4,VALUE(RIGHT($A978,2))&lt;60),GUS_tabl_2!$A$8:$B$464,GUS_tabl_21!$A$5:$B$4886),2,FALSE))),-1)))))</f>
        <v>gm. w. Łużna</v>
      </c>
      <c r="D978" s="141">
        <f>IF(OR($A978="",ISERROR(VALUE(LEFT($A978,6)))),"",IF(LEN($A978)=2,SUMIF($A979:$A$2965,$A978&amp;"??",$D979:$D$2965),IF(AND(LEN($A978)=4,VALUE(RIGHT($A978,2))&lt;=60),SUMIF($A979:$A$2965,$A978&amp;"????",$D979:$D$2965),VLOOKUP(IF(LEN($A978)=4,$A978&amp;"01 1",$A978),GUS_tabl_21!$A$5:$F$4886,6,FALSE))))</f>
        <v>8535</v>
      </c>
      <c r="E978" s="29"/>
    </row>
    <row r="979" spans="1:5" ht="12" customHeight="1">
      <c r="A979" s="155" t="str">
        <f>"120507 2"</f>
        <v>120507 2</v>
      </c>
      <c r="B979" s="153" t="s">
        <v>71</v>
      </c>
      <c r="C979" s="156" t="str">
        <f>IF(OR($A979="",ISERROR(VALUE(LEFT($A979,6)))),"",IF(LEN($A979)=2,"WOJ. ",IF(LEN($A979)=4,IF(VALUE(RIGHT($A979,2))&gt;60,"","Powiat "),IF(VALUE(RIGHT($A979,1))=1,"m. ",IF(VALUE(RIGHT($A979,1))=2,"gm. w. ",IF(VALUE(RIGHT($A979,1))=8,"dz. ","gm. m.-w. ")))))&amp;IF(LEN($A979)=2,TRIM(UPPER(VLOOKUP($A979,GUS_tabl_1!$A$7:$B$22,2,FALSE))),IF(ISERROR(FIND("..",TRIM(VLOOKUP(IF(AND(LEN($A979)=4,VALUE(RIGHT($A979,2))&gt;60),$A979&amp;"01 1",$A979),IF(AND(LEN($A979)=4,VALUE(RIGHT($A979,2))&lt;60),GUS_tabl_2!$A$8:$B$464,GUS_tabl_21!$A$5:$B$4886),2,FALSE)))),TRIM(VLOOKUP(IF(AND(LEN($A979)=4,VALUE(RIGHT($A979,2))&gt;60),$A979&amp;"01 1",$A979),IF(AND(LEN($A979)=4,VALUE(RIGHT($A979,2))&lt;60),GUS_tabl_2!$A$8:$B$464,GUS_tabl_21!$A$5:$B$4886),2,FALSE)),LEFT(TRIM(VLOOKUP(IF(AND(LEN($A979)=4,VALUE(RIGHT($A979,2))&gt;60),$A979&amp;"01 1",$A979),IF(AND(LEN($A979)=4,VALUE(RIGHT($A979,2))&lt;60),GUS_tabl_2!$A$8:$B$464,GUS_tabl_21!$A$5:$B$4886),2,FALSE)),SUM(FIND("..",TRIM(VLOOKUP(IF(AND(LEN($A979)=4,VALUE(RIGHT($A979,2))&gt;60),$A979&amp;"01 1",$A979),IF(AND(LEN($A979)=4,VALUE(RIGHT($A979,2))&lt;60),GUS_tabl_2!$A$8:$B$464,GUS_tabl_21!$A$5:$B$4886),2,FALSE))),-1)))))</f>
        <v>gm. w. Moszczenica</v>
      </c>
      <c r="D979" s="141">
        <f>IF(OR($A979="",ISERROR(VALUE(LEFT($A979,6)))),"",IF(LEN($A979)=2,SUMIF($A980:$A$2965,$A979&amp;"??",$D980:$D$2965),IF(AND(LEN($A979)=4,VALUE(RIGHT($A979,2))&lt;=60),SUMIF($A980:$A$2965,$A979&amp;"????",$D980:$D$2965),VLOOKUP(IF(LEN($A979)=4,$A979&amp;"01 1",$A979),GUS_tabl_21!$A$5:$F$4886,6,FALSE))))</f>
        <v>4983</v>
      </c>
      <c r="E979" s="29"/>
    </row>
    <row r="980" spans="1:5" ht="12" customHeight="1">
      <c r="A980" s="155" t="str">
        <f>"120508 2"</f>
        <v>120508 2</v>
      </c>
      <c r="B980" s="153" t="s">
        <v>71</v>
      </c>
      <c r="C980" s="156" t="str">
        <f>IF(OR($A980="",ISERROR(VALUE(LEFT($A980,6)))),"",IF(LEN($A980)=2,"WOJ. ",IF(LEN($A980)=4,IF(VALUE(RIGHT($A980,2))&gt;60,"","Powiat "),IF(VALUE(RIGHT($A980,1))=1,"m. ",IF(VALUE(RIGHT($A980,1))=2,"gm. w. ",IF(VALUE(RIGHT($A980,1))=8,"dz. ","gm. m.-w. ")))))&amp;IF(LEN($A980)=2,TRIM(UPPER(VLOOKUP($A980,GUS_tabl_1!$A$7:$B$22,2,FALSE))),IF(ISERROR(FIND("..",TRIM(VLOOKUP(IF(AND(LEN($A980)=4,VALUE(RIGHT($A980,2))&gt;60),$A980&amp;"01 1",$A980),IF(AND(LEN($A980)=4,VALUE(RIGHT($A980,2))&lt;60),GUS_tabl_2!$A$8:$B$464,GUS_tabl_21!$A$5:$B$4886),2,FALSE)))),TRIM(VLOOKUP(IF(AND(LEN($A980)=4,VALUE(RIGHT($A980,2))&gt;60),$A980&amp;"01 1",$A980),IF(AND(LEN($A980)=4,VALUE(RIGHT($A980,2))&lt;60),GUS_tabl_2!$A$8:$B$464,GUS_tabl_21!$A$5:$B$4886),2,FALSE)),LEFT(TRIM(VLOOKUP(IF(AND(LEN($A980)=4,VALUE(RIGHT($A980,2))&gt;60),$A980&amp;"01 1",$A980),IF(AND(LEN($A980)=4,VALUE(RIGHT($A980,2))&lt;60),GUS_tabl_2!$A$8:$B$464,GUS_tabl_21!$A$5:$B$4886),2,FALSE)),SUM(FIND("..",TRIM(VLOOKUP(IF(AND(LEN($A980)=4,VALUE(RIGHT($A980,2))&gt;60),$A980&amp;"01 1",$A980),IF(AND(LEN($A980)=4,VALUE(RIGHT($A980,2))&lt;60),GUS_tabl_2!$A$8:$B$464,GUS_tabl_21!$A$5:$B$4886),2,FALSE))),-1)))))</f>
        <v>gm. w. Ropa</v>
      </c>
      <c r="D980" s="141">
        <f>IF(OR($A980="",ISERROR(VALUE(LEFT($A980,6)))),"",IF(LEN($A980)=2,SUMIF($A981:$A$2965,$A980&amp;"??",$D981:$D$2965),IF(AND(LEN($A980)=4,VALUE(RIGHT($A980,2))&lt;=60),SUMIF($A981:$A$2965,$A980&amp;"????",$D981:$D$2965),VLOOKUP(IF(LEN($A980)=4,$A980&amp;"01 1",$A980),GUS_tabl_21!$A$5:$F$4886,6,FALSE))))</f>
        <v>5507</v>
      </c>
      <c r="E980" s="29"/>
    </row>
    <row r="981" spans="1:5" ht="12" customHeight="1">
      <c r="A981" s="155" t="str">
        <f>"120509 2"</f>
        <v>120509 2</v>
      </c>
      <c r="B981" s="153" t="s">
        <v>71</v>
      </c>
      <c r="C981" s="156" t="str">
        <f>IF(OR($A981="",ISERROR(VALUE(LEFT($A981,6)))),"",IF(LEN($A981)=2,"WOJ. ",IF(LEN($A981)=4,IF(VALUE(RIGHT($A981,2))&gt;60,"","Powiat "),IF(VALUE(RIGHT($A981,1))=1,"m. ",IF(VALUE(RIGHT($A981,1))=2,"gm. w. ",IF(VALUE(RIGHT($A981,1))=8,"dz. ","gm. m.-w. ")))))&amp;IF(LEN($A981)=2,TRIM(UPPER(VLOOKUP($A981,GUS_tabl_1!$A$7:$B$22,2,FALSE))),IF(ISERROR(FIND("..",TRIM(VLOOKUP(IF(AND(LEN($A981)=4,VALUE(RIGHT($A981,2))&gt;60),$A981&amp;"01 1",$A981),IF(AND(LEN($A981)=4,VALUE(RIGHT($A981,2))&lt;60),GUS_tabl_2!$A$8:$B$464,GUS_tabl_21!$A$5:$B$4886),2,FALSE)))),TRIM(VLOOKUP(IF(AND(LEN($A981)=4,VALUE(RIGHT($A981,2))&gt;60),$A981&amp;"01 1",$A981),IF(AND(LEN($A981)=4,VALUE(RIGHT($A981,2))&lt;60),GUS_tabl_2!$A$8:$B$464,GUS_tabl_21!$A$5:$B$4886),2,FALSE)),LEFT(TRIM(VLOOKUP(IF(AND(LEN($A981)=4,VALUE(RIGHT($A981,2))&gt;60),$A981&amp;"01 1",$A981),IF(AND(LEN($A981)=4,VALUE(RIGHT($A981,2))&lt;60),GUS_tabl_2!$A$8:$B$464,GUS_tabl_21!$A$5:$B$4886),2,FALSE)),SUM(FIND("..",TRIM(VLOOKUP(IF(AND(LEN($A981)=4,VALUE(RIGHT($A981,2))&gt;60),$A981&amp;"01 1",$A981),IF(AND(LEN($A981)=4,VALUE(RIGHT($A981,2))&lt;60),GUS_tabl_2!$A$8:$B$464,GUS_tabl_21!$A$5:$B$4886),2,FALSE))),-1)))))</f>
        <v>gm. w. Sękowa</v>
      </c>
      <c r="D981" s="141">
        <f>IF(OR($A981="",ISERROR(VALUE(LEFT($A981,6)))),"",IF(LEN($A981)=2,SUMIF($A982:$A$2965,$A981&amp;"??",$D982:$D$2965),IF(AND(LEN($A981)=4,VALUE(RIGHT($A981,2))&lt;=60),SUMIF($A982:$A$2965,$A981&amp;"????",$D982:$D$2965),VLOOKUP(IF(LEN($A981)=4,$A981&amp;"01 1",$A981),GUS_tabl_21!$A$5:$F$4886,6,FALSE))))</f>
        <v>4980</v>
      </c>
      <c r="E981" s="29"/>
    </row>
    <row r="982" spans="1:5" ht="12" customHeight="1">
      <c r="A982" s="155" t="str">
        <f>"120510 2"</f>
        <v>120510 2</v>
      </c>
      <c r="B982" s="153" t="s">
        <v>71</v>
      </c>
      <c r="C982" s="156" t="str">
        <f>IF(OR($A982="",ISERROR(VALUE(LEFT($A982,6)))),"",IF(LEN($A982)=2,"WOJ. ",IF(LEN($A982)=4,IF(VALUE(RIGHT($A982,2))&gt;60,"","Powiat "),IF(VALUE(RIGHT($A982,1))=1,"m. ",IF(VALUE(RIGHT($A982,1))=2,"gm. w. ",IF(VALUE(RIGHT($A982,1))=8,"dz. ","gm. m.-w. ")))))&amp;IF(LEN($A982)=2,TRIM(UPPER(VLOOKUP($A982,GUS_tabl_1!$A$7:$B$22,2,FALSE))),IF(ISERROR(FIND("..",TRIM(VLOOKUP(IF(AND(LEN($A982)=4,VALUE(RIGHT($A982,2))&gt;60),$A982&amp;"01 1",$A982),IF(AND(LEN($A982)=4,VALUE(RIGHT($A982,2))&lt;60),GUS_tabl_2!$A$8:$B$464,GUS_tabl_21!$A$5:$B$4886),2,FALSE)))),TRIM(VLOOKUP(IF(AND(LEN($A982)=4,VALUE(RIGHT($A982,2))&gt;60),$A982&amp;"01 1",$A982),IF(AND(LEN($A982)=4,VALUE(RIGHT($A982,2))&lt;60),GUS_tabl_2!$A$8:$B$464,GUS_tabl_21!$A$5:$B$4886),2,FALSE)),LEFT(TRIM(VLOOKUP(IF(AND(LEN($A982)=4,VALUE(RIGHT($A982,2))&gt;60),$A982&amp;"01 1",$A982),IF(AND(LEN($A982)=4,VALUE(RIGHT($A982,2))&lt;60),GUS_tabl_2!$A$8:$B$464,GUS_tabl_21!$A$5:$B$4886),2,FALSE)),SUM(FIND("..",TRIM(VLOOKUP(IF(AND(LEN($A982)=4,VALUE(RIGHT($A982,2))&gt;60),$A982&amp;"01 1",$A982),IF(AND(LEN($A982)=4,VALUE(RIGHT($A982,2))&lt;60),GUS_tabl_2!$A$8:$B$464,GUS_tabl_21!$A$5:$B$4886),2,FALSE))),-1)))))</f>
        <v>gm. w. Uście Gorlickie</v>
      </c>
      <c r="D982" s="141">
        <f>IF(OR($A982="",ISERROR(VALUE(LEFT($A982,6)))),"",IF(LEN($A982)=2,SUMIF($A983:$A$2965,$A982&amp;"??",$D983:$D$2965),IF(AND(LEN($A982)=4,VALUE(RIGHT($A982,2))&lt;=60),SUMIF($A983:$A$2965,$A982&amp;"????",$D983:$D$2965),VLOOKUP(IF(LEN($A982)=4,$A982&amp;"01 1",$A982),GUS_tabl_21!$A$5:$F$4886,6,FALSE))))</f>
        <v>6848</v>
      </c>
      <c r="E982" s="29"/>
    </row>
    <row r="983" spans="1:5" ht="12" customHeight="1">
      <c r="A983" s="152" t="str">
        <f>"1206"</f>
        <v>1206</v>
      </c>
      <c r="B983" s="153" t="s">
        <v>71</v>
      </c>
      <c r="C983" s="154" t="str">
        <f>IF(OR($A983="",ISERROR(VALUE(LEFT($A983,6)))),"",IF(LEN($A983)=2,"WOJ. ",IF(LEN($A983)=4,IF(VALUE(RIGHT($A983,2))&gt;60,"","Powiat "),IF(VALUE(RIGHT($A983,1))=1,"m. ",IF(VALUE(RIGHT($A983,1))=2,"gm. w. ",IF(VALUE(RIGHT($A983,1))=8,"dz. ","gm. m.-w. ")))))&amp;IF(LEN($A983)=2,TRIM(UPPER(VLOOKUP($A983,GUS_tabl_1!$A$7:$B$22,2,FALSE))),IF(ISERROR(FIND("..",TRIM(VLOOKUP(IF(AND(LEN($A983)=4,VALUE(RIGHT($A983,2))&gt;60),$A983&amp;"01 1",$A983),IF(AND(LEN($A983)=4,VALUE(RIGHT($A983,2))&lt;60),GUS_tabl_2!$A$8:$B$464,GUS_tabl_21!$A$5:$B$4886),2,FALSE)))),TRIM(VLOOKUP(IF(AND(LEN($A983)=4,VALUE(RIGHT($A983,2))&gt;60),$A983&amp;"01 1",$A983),IF(AND(LEN($A983)=4,VALUE(RIGHT($A983,2))&lt;60),GUS_tabl_2!$A$8:$B$464,GUS_tabl_21!$A$5:$B$4886),2,FALSE)),LEFT(TRIM(VLOOKUP(IF(AND(LEN($A983)=4,VALUE(RIGHT($A983,2))&gt;60),$A983&amp;"01 1",$A983),IF(AND(LEN($A983)=4,VALUE(RIGHT($A983,2))&lt;60),GUS_tabl_2!$A$8:$B$464,GUS_tabl_21!$A$5:$B$4886),2,FALSE)),SUM(FIND("..",TRIM(VLOOKUP(IF(AND(LEN($A983)=4,VALUE(RIGHT($A983,2))&gt;60),$A983&amp;"01 1",$A983),IF(AND(LEN($A983)=4,VALUE(RIGHT($A983,2))&lt;60),GUS_tabl_2!$A$8:$B$464,GUS_tabl_21!$A$5:$B$4886),2,FALSE))),-1)))))</f>
        <v>Powiat krakowski</v>
      </c>
      <c r="D983" s="140">
        <f>IF(OR($A983="",ISERROR(VALUE(LEFT($A983,6)))),"",IF(LEN($A983)=2,SUMIF($A984:$A$2965,$A983&amp;"??",$D984:$D$2965),IF(AND(LEN($A983)=4,VALUE(RIGHT($A983,2))&lt;=60),SUMIF($A984:$A$2965,$A983&amp;"????",$D984:$D$2965),VLOOKUP(IF(LEN($A983)=4,$A983&amp;"01 1",$A983),GUS_tabl_21!$A$5:$F$4886,6,FALSE))))</f>
        <v>279239</v>
      </c>
      <c r="E983" s="29"/>
    </row>
    <row r="984" spans="1:5" ht="12" customHeight="1">
      <c r="A984" s="155" t="str">
        <f>"120601 2"</f>
        <v>120601 2</v>
      </c>
      <c r="B984" s="153" t="s">
        <v>71</v>
      </c>
      <c r="C984" s="156" t="str">
        <f>IF(OR($A984="",ISERROR(VALUE(LEFT($A984,6)))),"",IF(LEN($A984)=2,"WOJ. ",IF(LEN($A984)=4,IF(VALUE(RIGHT($A984,2))&gt;60,"","Powiat "),IF(VALUE(RIGHT($A984,1))=1,"m. ",IF(VALUE(RIGHT($A984,1))=2,"gm. w. ",IF(VALUE(RIGHT($A984,1))=8,"dz. ","gm. m.-w. ")))))&amp;IF(LEN($A984)=2,TRIM(UPPER(VLOOKUP($A984,GUS_tabl_1!$A$7:$B$22,2,FALSE))),IF(ISERROR(FIND("..",TRIM(VLOOKUP(IF(AND(LEN($A984)=4,VALUE(RIGHT($A984,2))&gt;60),$A984&amp;"01 1",$A984),IF(AND(LEN($A984)=4,VALUE(RIGHT($A984,2))&lt;60),GUS_tabl_2!$A$8:$B$464,GUS_tabl_21!$A$5:$B$4886),2,FALSE)))),TRIM(VLOOKUP(IF(AND(LEN($A984)=4,VALUE(RIGHT($A984,2))&gt;60),$A984&amp;"01 1",$A984),IF(AND(LEN($A984)=4,VALUE(RIGHT($A984,2))&lt;60),GUS_tabl_2!$A$8:$B$464,GUS_tabl_21!$A$5:$B$4886),2,FALSE)),LEFT(TRIM(VLOOKUP(IF(AND(LEN($A984)=4,VALUE(RIGHT($A984,2))&gt;60),$A984&amp;"01 1",$A984),IF(AND(LEN($A984)=4,VALUE(RIGHT($A984,2))&lt;60),GUS_tabl_2!$A$8:$B$464,GUS_tabl_21!$A$5:$B$4886),2,FALSE)),SUM(FIND("..",TRIM(VLOOKUP(IF(AND(LEN($A984)=4,VALUE(RIGHT($A984,2))&gt;60),$A984&amp;"01 1",$A984),IF(AND(LEN($A984)=4,VALUE(RIGHT($A984,2))&lt;60),GUS_tabl_2!$A$8:$B$464,GUS_tabl_21!$A$5:$B$4886),2,FALSE))),-1)))))</f>
        <v>gm. w. Czernichów</v>
      </c>
      <c r="D984" s="141">
        <f>IF(OR($A984="",ISERROR(VALUE(LEFT($A984,6)))),"",IF(LEN($A984)=2,SUMIF($A985:$A$2965,$A984&amp;"??",$D985:$D$2965),IF(AND(LEN($A984)=4,VALUE(RIGHT($A984,2))&lt;=60),SUMIF($A985:$A$2965,$A984&amp;"????",$D985:$D$2965),VLOOKUP(IF(LEN($A984)=4,$A984&amp;"01 1",$A984),GUS_tabl_21!$A$5:$F$4886,6,FALSE))))</f>
        <v>14712</v>
      </c>
      <c r="E984" s="29"/>
    </row>
    <row r="985" spans="1:5" ht="12" customHeight="1">
      <c r="A985" s="155" t="str">
        <f>"120602 2"</f>
        <v>120602 2</v>
      </c>
      <c r="B985" s="153" t="s">
        <v>71</v>
      </c>
      <c r="C985" s="156" t="str">
        <f>IF(OR($A985="",ISERROR(VALUE(LEFT($A985,6)))),"",IF(LEN($A985)=2,"WOJ. ",IF(LEN($A985)=4,IF(VALUE(RIGHT($A985,2))&gt;60,"","Powiat "),IF(VALUE(RIGHT($A985,1))=1,"m. ",IF(VALUE(RIGHT($A985,1))=2,"gm. w. ",IF(VALUE(RIGHT($A985,1))=8,"dz. ","gm. m.-w. ")))))&amp;IF(LEN($A985)=2,TRIM(UPPER(VLOOKUP($A985,GUS_tabl_1!$A$7:$B$22,2,FALSE))),IF(ISERROR(FIND("..",TRIM(VLOOKUP(IF(AND(LEN($A985)=4,VALUE(RIGHT($A985,2))&gt;60),$A985&amp;"01 1",$A985),IF(AND(LEN($A985)=4,VALUE(RIGHT($A985,2))&lt;60),GUS_tabl_2!$A$8:$B$464,GUS_tabl_21!$A$5:$B$4886),2,FALSE)))),TRIM(VLOOKUP(IF(AND(LEN($A985)=4,VALUE(RIGHT($A985,2))&gt;60),$A985&amp;"01 1",$A985),IF(AND(LEN($A985)=4,VALUE(RIGHT($A985,2))&lt;60),GUS_tabl_2!$A$8:$B$464,GUS_tabl_21!$A$5:$B$4886),2,FALSE)),LEFT(TRIM(VLOOKUP(IF(AND(LEN($A985)=4,VALUE(RIGHT($A985,2))&gt;60),$A985&amp;"01 1",$A985),IF(AND(LEN($A985)=4,VALUE(RIGHT($A985,2))&lt;60),GUS_tabl_2!$A$8:$B$464,GUS_tabl_21!$A$5:$B$4886),2,FALSE)),SUM(FIND("..",TRIM(VLOOKUP(IF(AND(LEN($A985)=4,VALUE(RIGHT($A985,2))&gt;60),$A985&amp;"01 1",$A985),IF(AND(LEN($A985)=4,VALUE(RIGHT($A985,2))&lt;60),GUS_tabl_2!$A$8:$B$464,GUS_tabl_21!$A$5:$B$4886),2,FALSE))),-1)))))</f>
        <v>gm. w. Igołomia-Wawrzeńczyce</v>
      </c>
      <c r="D985" s="141">
        <f>IF(OR($A985="",ISERROR(VALUE(LEFT($A985,6)))),"",IF(LEN($A985)=2,SUMIF($A986:$A$2965,$A985&amp;"??",$D986:$D$2965),IF(AND(LEN($A985)=4,VALUE(RIGHT($A985,2))&lt;=60),SUMIF($A986:$A$2965,$A985&amp;"????",$D986:$D$2965),VLOOKUP(IF(LEN($A985)=4,$A985&amp;"01 1",$A985),GUS_tabl_21!$A$5:$F$4886,6,FALSE))))</f>
        <v>7698</v>
      </c>
      <c r="E985" s="29"/>
    </row>
    <row r="986" spans="1:5" ht="12" customHeight="1">
      <c r="A986" s="155" t="str">
        <f>"120603 2"</f>
        <v>120603 2</v>
      </c>
      <c r="B986" s="153" t="s">
        <v>71</v>
      </c>
      <c r="C986" s="156" t="str">
        <f>IF(OR($A986="",ISERROR(VALUE(LEFT($A986,6)))),"",IF(LEN($A986)=2,"WOJ. ",IF(LEN($A986)=4,IF(VALUE(RIGHT($A986,2))&gt;60,"","Powiat "),IF(VALUE(RIGHT($A986,1))=1,"m. ",IF(VALUE(RIGHT($A986,1))=2,"gm. w. ",IF(VALUE(RIGHT($A986,1))=8,"dz. ","gm. m.-w. ")))))&amp;IF(LEN($A986)=2,TRIM(UPPER(VLOOKUP($A986,GUS_tabl_1!$A$7:$B$22,2,FALSE))),IF(ISERROR(FIND("..",TRIM(VLOOKUP(IF(AND(LEN($A986)=4,VALUE(RIGHT($A986,2))&gt;60),$A986&amp;"01 1",$A986),IF(AND(LEN($A986)=4,VALUE(RIGHT($A986,2))&lt;60),GUS_tabl_2!$A$8:$B$464,GUS_tabl_21!$A$5:$B$4886),2,FALSE)))),TRIM(VLOOKUP(IF(AND(LEN($A986)=4,VALUE(RIGHT($A986,2))&gt;60),$A986&amp;"01 1",$A986),IF(AND(LEN($A986)=4,VALUE(RIGHT($A986,2))&lt;60),GUS_tabl_2!$A$8:$B$464,GUS_tabl_21!$A$5:$B$4886),2,FALSE)),LEFT(TRIM(VLOOKUP(IF(AND(LEN($A986)=4,VALUE(RIGHT($A986,2))&gt;60),$A986&amp;"01 1",$A986),IF(AND(LEN($A986)=4,VALUE(RIGHT($A986,2))&lt;60),GUS_tabl_2!$A$8:$B$464,GUS_tabl_21!$A$5:$B$4886),2,FALSE)),SUM(FIND("..",TRIM(VLOOKUP(IF(AND(LEN($A986)=4,VALUE(RIGHT($A986,2))&gt;60),$A986&amp;"01 1",$A986),IF(AND(LEN($A986)=4,VALUE(RIGHT($A986,2))&lt;60),GUS_tabl_2!$A$8:$B$464,GUS_tabl_21!$A$5:$B$4886),2,FALSE))),-1)))))</f>
        <v>gm. w. Iwanowice</v>
      </c>
      <c r="D986" s="141">
        <f>IF(OR($A986="",ISERROR(VALUE(LEFT($A986,6)))),"",IF(LEN($A986)=2,SUMIF($A987:$A$2965,$A986&amp;"??",$D987:$D$2965),IF(AND(LEN($A986)=4,VALUE(RIGHT($A986,2))&lt;=60),SUMIF($A987:$A$2965,$A986&amp;"????",$D987:$D$2965),VLOOKUP(IF(LEN($A986)=4,$A986&amp;"01 1",$A986),GUS_tabl_21!$A$5:$F$4886,6,FALSE))))</f>
        <v>9164</v>
      </c>
      <c r="E986" s="29"/>
    </row>
    <row r="987" spans="1:5" ht="12" customHeight="1">
      <c r="A987" s="155" t="str">
        <f>"120604 2"</f>
        <v>120604 2</v>
      </c>
      <c r="B987" s="153" t="s">
        <v>71</v>
      </c>
      <c r="C987" s="156" t="str">
        <f>IF(OR($A987="",ISERROR(VALUE(LEFT($A987,6)))),"",IF(LEN($A987)=2,"WOJ. ",IF(LEN($A987)=4,IF(VALUE(RIGHT($A987,2))&gt;60,"","Powiat "),IF(VALUE(RIGHT($A987,1))=1,"m. ",IF(VALUE(RIGHT($A987,1))=2,"gm. w. ",IF(VALUE(RIGHT($A987,1))=8,"dz. ","gm. m.-w. ")))))&amp;IF(LEN($A987)=2,TRIM(UPPER(VLOOKUP($A987,GUS_tabl_1!$A$7:$B$22,2,FALSE))),IF(ISERROR(FIND("..",TRIM(VLOOKUP(IF(AND(LEN($A987)=4,VALUE(RIGHT($A987,2))&gt;60),$A987&amp;"01 1",$A987),IF(AND(LEN($A987)=4,VALUE(RIGHT($A987,2))&lt;60),GUS_tabl_2!$A$8:$B$464,GUS_tabl_21!$A$5:$B$4886),2,FALSE)))),TRIM(VLOOKUP(IF(AND(LEN($A987)=4,VALUE(RIGHT($A987,2))&gt;60),$A987&amp;"01 1",$A987),IF(AND(LEN($A987)=4,VALUE(RIGHT($A987,2))&lt;60),GUS_tabl_2!$A$8:$B$464,GUS_tabl_21!$A$5:$B$4886),2,FALSE)),LEFT(TRIM(VLOOKUP(IF(AND(LEN($A987)=4,VALUE(RIGHT($A987,2))&gt;60),$A987&amp;"01 1",$A987),IF(AND(LEN($A987)=4,VALUE(RIGHT($A987,2))&lt;60),GUS_tabl_2!$A$8:$B$464,GUS_tabl_21!$A$5:$B$4886),2,FALSE)),SUM(FIND("..",TRIM(VLOOKUP(IF(AND(LEN($A987)=4,VALUE(RIGHT($A987,2))&gt;60),$A987&amp;"01 1",$A987),IF(AND(LEN($A987)=4,VALUE(RIGHT($A987,2))&lt;60),GUS_tabl_2!$A$8:$B$464,GUS_tabl_21!$A$5:$B$4886),2,FALSE))),-1)))))</f>
        <v>gm. w. Jerzmanowice-Przeginia</v>
      </c>
      <c r="D987" s="141">
        <f>IF(OR($A987="",ISERROR(VALUE(LEFT($A987,6)))),"",IF(LEN($A987)=2,SUMIF($A988:$A$2965,$A987&amp;"??",$D988:$D$2965),IF(AND(LEN($A987)=4,VALUE(RIGHT($A987,2))&lt;=60),SUMIF($A988:$A$2965,$A987&amp;"????",$D988:$D$2965),VLOOKUP(IF(LEN($A987)=4,$A987&amp;"01 1",$A987),GUS_tabl_21!$A$5:$F$4886,6,FALSE))))</f>
        <v>10964</v>
      </c>
      <c r="E987" s="29"/>
    </row>
    <row r="988" spans="1:5" ht="12" customHeight="1">
      <c r="A988" s="155" t="str">
        <f>"120605 2"</f>
        <v>120605 2</v>
      </c>
      <c r="B988" s="153" t="s">
        <v>71</v>
      </c>
      <c r="C988" s="156" t="str">
        <f>IF(OR($A988="",ISERROR(VALUE(LEFT($A988,6)))),"",IF(LEN($A988)=2,"WOJ. ",IF(LEN($A988)=4,IF(VALUE(RIGHT($A988,2))&gt;60,"","Powiat "),IF(VALUE(RIGHT($A988,1))=1,"m. ",IF(VALUE(RIGHT($A988,1))=2,"gm. w. ",IF(VALUE(RIGHT($A988,1))=8,"dz. ","gm. m.-w. ")))))&amp;IF(LEN($A988)=2,TRIM(UPPER(VLOOKUP($A988,GUS_tabl_1!$A$7:$B$22,2,FALSE))),IF(ISERROR(FIND("..",TRIM(VLOOKUP(IF(AND(LEN($A988)=4,VALUE(RIGHT($A988,2))&gt;60),$A988&amp;"01 1",$A988),IF(AND(LEN($A988)=4,VALUE(RIGHT($A988,2))&lt;60),GUS_tabl_2!$A$8:$B$464,GUS_tabl_21!$A$5:$B$4886),2,FALSE)))),TRIM(VLOOKUP(IF(AND(LEN($A988)=4,VALUE(RIGHT($A988,2))&gt;60),$A988&amp;"01 1",$A988),IF(AND(LEN($A988)=4,VALUE(RIGHT($A988,2))&lt;60),GUS_tabl_2!$A$8:$B$464,GUS_tabl_21!$A$5:$B$4886),2,FALSE)),LEFT(TRIM(VLOOKUP(IF(AND(LEN($A988)=4,VALUE(RIGHT($A988,2))&gt;60),$A988&amp;"01 1",$A988),IF(AND(LEN($A988)=4,VALUE(RIGHT($A988,2))&lt;60),GUS_tabl_2!$A$8:$B$464,GUS_tabl_21!$A$5:$B$4886),2,FALSE)),SUM(FIND("..",TRIM(VLOOKUP(IF(AND(LEN($A988)=4,VALUE(RIGHT($A988,2))&gt;60),$A988&amp;"01 1",$A988),IF(AND(LEN($A988)=4,VALUE(RIGHT($A988,2))&lt;60),GUS_tabl_2!$A$8:$B$464,GUS_tabl_21!$A$5:$B$4886),2,FALSE))),-1)))))</f>
        <v>gm. w. Kocmyrzów-Luborzyca</v>
      </c>
      <c r="D988" s="141">
        <f>IF(OR($A988="",ISERROR(VALUE(LEFT($A988,6)))),"",IF(LEN($A988)=2,SUMIF($A989:$A$2965,$A988&amp;"??",$D989:$D$2965),IF(AND(LEN($A988)=4,VALUE(RIGHT($A988,2))&lt;=60),SUMIF($A989:$A$2965,$A988&amp;"????",$D989:$D$2965),VLOOKUP(IF(LEN($A988)=4,$A988&amp;"01 1",$A988),GUS_tabl_21!$A$5:$F$4886,6,FALSE))))</f>
        <v>15776</v>
      </c>
      <c r="E988" s="29"/>
    </row>
    <row r="989" spans="1:5" ht="12" customHeight="1">
      <c r="A989" s="155" t="str">
        <f>"120606 3"</f>
        <v>120606 3</v>
      </c>
      <c r="B989" s="153" t="s">
        <v>71</v>
      </c>
      <c r="C989" s="156" t="str">
        <f>IF(OR($A989="",ISERROR(VALUE(LEFT($A989,6)))),"",IF(LEN($A989)=2,"WOJ. ",IF(LEN($A989)=4,IF(VALUE(RIGHT($A989,2))&gt;60,"","Powiat "),IF(VALUE(RIGHT($A989,1))=1,"m. ",IF(VALUE(RIGHT($A989,1))=2,"gm. w. ",IF(VALUE(RIGHT($A989,1))=8,"dz. ","gm. m.-w. ")))))&amp;IF(LEN($A989)=2,TRIM(UPPER(VLOOKUP($A989,GUS_tabl_1!$A$7:$B$22,2,FALSE))),IF(ISERROR(FIND("..",TRIM(VLOOKUP(IF(AND(LEN($A989)=4,VALUE(RIGHT($A989,2))&gt;60),$A989&amp;"01 1",$A989),IF(AND(LEN($A989)=4,VALUE(RIGHT($A989,2))&lt;60),GUS_tabl_2!$A$8:$B$464,GUS_tabl_21!$A$5:$B$4886),2,FALSE)))),TRIM(VLOOKUP(IF(AND(LEN($A989)=4,VALUE(RIGHT($A989,2))&gt;60),$A989&amp;"01 1",$A989),IF(AND(LEN($A989)=4,VALUE(RIGHT($A989,2))&lt;60),GUS_tabl_2!$A$8:$B$464,GUS_tabl_21!$A$5:$B$4886),2,FALSE)),LEFT(TRIM(VLOOKUP(IF(AND(LEN($A989)=4,VALUE(RIGHT($A989,2))&gt;60),$A989&amp;"01 1",$A989),IF(AND(LEN($A989)=4,VALUE(RIGHT($A989,2))&lt;60),GUS_tabl_2!$A$8:$B$464,GUS_tabl_21!$A$5:$B$4886),2,FALSE)),SUM(FIND("..",TRIM(VLOOKUP(IF(AND(LEN($A989)=4,VALUE(RIGHT($A989,2))&gt;60),$A989&amp;"01 1",$A989),IF(AND(LEN($A989)=4,VALUE(RIGHT($A989,2))&lt;60),GUS_tabl_2!$A$8:$B$464,GUS_tabl_21!$A$5:$B$4886),2,FALSE))),-1)))))</f>
        <v>gm. m.-w. Krzeszowice</v>
      </c>
      <c r="D989" s="141">
        <f>IF(OR($A989="",ISERROR(VALUE(LEFT($A989,6)))),"",IF(LEN($A989)=2,SUMIF($A990:$A$2965,$A989&amp;"??",$D990:$D$2965),IF(AND(LEN($A989)=4,VALUE(RIGHT($A989,2))&lt;=60),SUMIF($A990:$A$2965,$A989&amp;"????",$D990:$D$2965),VLOOKUP(IF(LEN($A989)=4,$A989&amp;"01 1",$A989),GUS_tabl_21!$A$5:$F$4886,6,FALSE))))</f>
        <v>32129</v>
      </c>
      <c r="E989" s="29"/>
    </row>
    <row r="990" spans="1:5" ht="12" customHeight="1">
      <c r="A990" s="155" t="str">
        <f>"120607 2"</f>
        <v>120607 2</v>
      </c>
      <c r="B990" s="153" t="s">
        <v>71</v>
      </c>
      <c r="C990" s="156" t="str">
        <f>IF(OR($A990="",ISERROR(VALUE(LEFT($A990,6)))),"",IF(LEN($A990)=2,"WOJ. ",IF(LEN($A990)=4,IF(VALUE(RIGHT($A990,2))&gt;60,"","Powiat "),IF(VALUE(RIGHT($A990,1))=1,"m. ",IF(VALUE(RIGHT($A990,1))=2,"gm. w. ",IF(VALUE(RIGHT($A990,1))=8,"dz. ","gm. m.-w. ")))))&amp;IF(LEN($A990)=2,TRIM(UPPER(VLOOKUP($A990,GUS_tabl_1!$A$7:$B$22,2,FALSE))),IF(ISERROR(FIND("..",TRIM(VLOOKUP(IF(AND(LEN($A990)=4,VALUE(RIGHT($A990,2))&gt;60),$A990&amp;"01 1",$A990),IF(AND(LEN($A990)=4,VALUE(RIGHT($A990,2))&lt;60),GUS_tabl_2!$A$8:$B$464,GUS_tabl_21!$A$5:$B$4886),2,FALSE)))),TRIM(VLOOKUP(IF(AND(LEN($A990)=4,VALUE(RIGHT($A990,2))&gt;60),$A990&amp;"01 1",$A990),IF(AND(LEN($A990)=4,VALUE(RIGHT($A990,2))&lt;60),GUS_tabl_2!$A$8:$B$464,GUS_tabl_21!$A$5:$B$4886),2,FALSE)),LEFT(TRIM(VLOOKUP(IF(AND(LEN($A990)=4,VALUE(RIGHT($A990,2))&gt;60),$A990&amp;"01 1",$A990),IF(AND(LEN($A990)=4,VALUE(RIGHT($A990,2))&lt;60),GUS_tabl_2!$A$8:$B$464,GUS_tabl_21!$A$5:$B$4886),2,FALSE)),SUM(FIND("..",TRIM(VLOOKUP(IF(AND(LEN($A990)=4,VALUE(RIGHT($A990,2))&gt;60),$A990&amp;"01 1",$A990),IF(AND(LEN($A990)=4,VALUE(RIGHT($A990,2))&lt;60),GUS_tabl_2!$A$8:$B$464,GUS_tabl_21!$A$5:$B$4886),2,FALSE))),-1)))))</f>
        <v>gm. w. Liszki</v>
      </c>
      <c r="D990" s="141">
        <f>IF(OR($A990="",ISERROR(VALUE(LEFT($A990,6)))),"",IF(LEN($A990)=2,SUMIF($A991:$A$2965,$A990&amp;"??",$D991:$D$2965),IF(AND(LEN($A990)=4,VALUE(RIGHT($A990,2))&lt;=60),SUMIF($A991:$A$2965,$A990&amp;"????",$D991:$D$2965),VLOOKUP(IF(LEN($A990)=4,$A990&amp;"01 1",$A990),GUS_tabl_21!$A$5:$F$4886,6,FALSE))))</f>
        <v>17447</v>
      </c>
      <c r="E990" s="29"/>
    </row>
    <row r="991" spans="1:5" ht="12" customHeight="1">
      <c r="A991" s="155" t="str">
        <f>"120608 2"</f>
        <v>120608 2</v>
      </c>
      <c r="B991" s="153" t="s">
        <v>71</v>
      </c>
      <c r="C991" s="156" t="str">
        <f>IF(OR($A991="",ISERROR(VALUE(LEFT($A991,6)))),"",IF(LEN($A991)=2,"WOJ. ",IF(LEN($A991)=4,IF(VALUE(RIGHT($A991,2))&gt;60,"","Powiat "),IF(VALUE(RIGHT($A991,1))=1,"m. ",IF(VALUE(RIGHT($A991,1))=2,"gm. w. ",IF(VALUE(RIGHT($A991,1))=8,"dz. ","gm. m.-w. ")))))&amp;IF(LEN($A991)=2,TRIM(UPPER(VLOOKUP($A991,GUS_tabl_1!$A$7:$B$22,2,FALSE))),IF(ISERROR(FIND("..",TRIM(VLOOKUP(IF(AND(LEN($A991)=4,VALUE(RIGHT($A991,2))&gt;60),$A991&amp;"01 1",$A991),IF(AND(LEN($A991)=4,VALUE(RIGHT($A991,2))&lt;60),GUS_tabl_2!$A$8:$B$464,GUS_tabl_21!$A$5:$B$4886),2,FALSE)))),TRIM(VLOOKUP(IF(AND(LEN($A991)=4,VALUE(RIGHT($A991,2))&gt;60),$A991&amp;"01 1",$A991),IF(AND(LEN($A991)=4,VALUE(RIGHT($A991,2))&lt;60),GUS_tabl_2!$A$8:$B$464,GUS_tabl_21!$A$5:$B$4886),2,FALSE)),LEFT(TRIM(VLOOKUP(IF(AND(LEN($A991)=4,VALUE(RIGHT($A991,2))&gt;60),$A991&amp;"01 1",$A991),IF(AND(LEN($A991)=4,VALUE(RIGHT($A991,2))&lt;60),GUS_tabl_2!$A$8:$B$464,GUS_tabl_21!$A$5:$B$4886),2,FALSE)),SUM(FIND("..",TRIM(VLOOKUP(IF(AND(LEN($A991)=4,VALUE(RIGHT($A991,2))&gt;60),$A991&amp;"01 1",$A991),IF(AND(LEN($A991)=4,VALUE(RIGHT($A991,2))&lt;60),GUS_tabl_2!$A$8:$B$464,GUS_tabl_21!$A$5:$B$4886),2,FALSE))),-1)))))</f>
        <v>gm. w. Michałowice</v>
      </c>
      <c r="D991" s="141">
        <f>IF(OR($A991="",ISERROR(VALUE(LEFT($A991,6)))),"",IF(LEN($A991)=2,SUMIF($A992:$A$2965,$A991&amp;"??",$D992:$D$2965),IF(AND(LEN($A991)=4,VALUE(RIGHT($A991,2))&lt;=60),SUMIF($A992:$A$2965,$A991&amp;"????",$D992:$D$2965),VLOOKUP(IF(LEN($A991)=4,$A991&amp;"01 1",$A991),GUS_tabl_21!$A$5:$F$4886,6,FALSE))))</f>
        <v>10762</v>
      </c>
      <c r="E991" s="29"/>
    </row>
    <row r="992" spans="1:5" ht="12" customHeight="1">
      <c r="A992" s="155" t="str">
        <f>"120609 2"</f>
        <v>120609 2</v>
      </c>
      <c r="B992" s="153" t="s">
        <v>71</v>
      </c>
      <c r="C992" s="156" t="str">
        <f>IF(OR($A992="",ISERROR(VALUE(LEFT($A992,6)))),"",IF(LEN($A992)=2,"WOJ. ",IF(LEN($A992)=4,IF(VALUE(RIGHT($A992,2))&gt;60,"","Powiat "),IF(VALUE(RIGHT($A992,1))=1,"m. ",IF(VALUE(RIGHT($A992,1))=2,"gm. w. ",IF(VALUE(RIGHT($A992,1))=8,"dz. ","gm. m.-w. ")))))&amp;IF(LEN($A992)=2,TRIM(UPPER(VLOOKUP($A992,GUS_tabl_1!$A$7:$B$22,2,FALSE))),IF(ISERROR(FIND("..",TRIM(VLOOKUP(IF(AND(LEN($A992)=4,VALUE(RIGHT($A992,2))&gt;60),$A992&amp;"01 1",$A992),IF(AND(LEN($A992)=4,VALUE(RIGHT($A992,2))&lt;60),GUS_tabl_2!$A$8:$B$464,GUS_tabl_21!$A$5:$B$4886),2,FALSE)))),TRIM(VLOOKUP(IF(AND(LEN($A992)=4,VALUE(RIGHT($A992,2))&gt;60),$A992&amp;"01 1",$A992),IF(AND(LEN($A992)=4,VALUE(RIGHT($A992,2))&lt;60),GUS_tabl_2!$A$8:$B$464,GUS_tabl_21!$A$5:$B$4886),2,FALSE)),LEFT(TRIM(VLOOKUP(IF(AND(LEN($A992)=4,VALUE(RIGHT($A992,2))&gt;60),$A992&amp;"01 1",$A992),IF(AND(LEN($A992)=4,VALUE(RIGHT($A992,2))&lt;60),GUS_tabl_2!$A$8:$B$464,GUS_tabl_21!$A$5:$B$4886),2,FALSE)),SUM(FIND("..",TRIM(VLOOKUP(IF(AND(LEN($A992)=4,VALUE(RIGHT($A992,2))&gt;60),$A992&amp;"01 1",$A992),IF(AND(LEN($A992)=4,VALUE(RIGHT($A992,2))&lt;60),GUS_tabl_2!$A$8:$B$464,GUS_tabl_21!$A$5:$B$4886),2,FALSE))),-1)))))</f>
        <v>gm. w. Mogilany</v>
      </c>
      <c r="D992" s="141">
        <f>IF(OR($A992="",ISERROR(VALUE(LEFT($A992,6)))),"",IF(LEN($A992)=2,SUMIF($A993:$A$2965,$A992&amp;"??",$D993:$D$2965),IF(AND(LEN($A992)=4,VALUE(RIGHT($A992,2))&lt;=60),SUMIF($A993:$A$2965,$A992&amp;"????",$D993:$D$2965),VLOOKUP(IF(LEN($A992)=4,$A992&amp;"01 1",$A992),GUS_tabl_21!$A$5:$F$4886,6,FALSE))))</f>
        <v>14233</v>
      </c>
      <c r="E992" s="29"/>
    </row>
    <row r="993" spans="1:5" ht="12" customHeight="1">
      <c r="A993" s="155" t="str">
        <f>"120610 3"</f>
        <v>120610 3</v>
      </c>
      <c r="B993" s="153" t="s">
        <v>71</v>
      </c>
      <c r="C993" s="156" t="str">
        <f>IF(OR($A993="",ISERROR(VALUE(LEFT($A993,6)))),"",IF(LEN($A993)=2,"WOJ. ",IF(LEN($A993)=4,IF(VALUE(RIGHT($A993,2))&gt;60,"","Powiat "),IF(VALUE(RIGHT($A993,1))=1,"m. ",IF(VALUE(RIGHT($A993,1))=2,"gm. w. ",IF(VALUE(RIGHT($A993,1))=8,"dz. ","gm. m.-w. ")))))&amp;IF(LEN($A993)=2,TRIM(UPPER(VLOOKUP($A993,GUS_tabl_1!$A$7:$B$22,2,FALSE))),IF(ISERROR(FIND("..",TRIM(VLOOKUP(IF(AND(LEN($A993)=4,VALUE(RIGHT($A993,2))&gt;60),$A993&amp;"01 1",$A993),IF(AND(LEN($A993)=4,VALUE(RIGHT($A993,2))&lt;60),GUS_tabl_2!$A$8:$B$464,GUS_tabl_21!$A$5:$B$4886),2,FALSE)))),TRIM(VLOOKUP(IF(AND(LEN($A993)=4,VALUE(RIGHT($A993,2))&gt;60),$A993&amp;"01 1",$A993),IF(AND(LEN($A993)=4,VALUE(RIGHT($A993,2))&lt;60),GUS_tabl_2!$A$8:$B$464,GUS_tabl_21!$A$5:$B$4886),2,FALSE)),LEFT(TRIM(VLOOKUP(IF(AND(LEN($A993)=4,VALUE(RIGHT($A993,2))&gt;60),$A993&amp;"01 1",$A993),IF(AND(LEN($A993)=4,VALUE(RIGHT($A993,2))&lt;60),GUS_tabl_2!$A$8:$B$464,GUS_tabl_21!$A$5:$B$4886),2,FALSE)),SUM(FIND("..",TRIM(VLOOKUP(IF(AND(LEN($A993)=4,VALUE(RIGHT($A993,2))&gt;60),$A993&amp;"01 1",$A993),IF(AND(LEN($A993)=4,VALUE(RIGHT($A993,2))&lt;60),GUS_tabl_2!$A$8:$B$464,GUS_tabl_21!$A$5:$B$4886),2,FALSE))),-1)))))</f>
        <v>gm. m.-w. Skała</v>
      </c>
      <c r="D993" s="141">
        <f>IF(OR($A993="",ISERROR(VALUE(LEFT($A993,6)))),"",IF(LEN($A993)=2,SUMIF($A994:$A$2965,$A993&amp;"??",$D994:$D$2965),IF(AND(LEN($A993)=4,VALUE(RIGHT($A993,2))&lt;=60),SUMIF($A994:$A$2965,$A993&amp;"????",$D994:$D$2965),VLOOKUP(IF(LEN($A993)=4,$A993&amp;"01 1",$A993),GUS_tabl_21!$A$5:$F$4886,6,FALSE))))</f>
        <v>10579</v>
      </c>
      <c r="E993" s="29"/>
    </row>
    <row r="994" spans="1:5" ht="12" customHeight="1">
      <c r="A994" s="155" t="str">
        <f>"120611 3"</f>
        <v>120611 3</v>
      </c>
      <c r="B994" s="153" t="s">
        <v>71</v>
      </c>
      <c r="C994" s="156" t="str">
        <f>IF(OR($A994="",ISERROR(VALUE(LEFT($A994,6)))),"",IF(LEN($A994)=2,"WOJ. ",IF(LEN($A994)=4,IF(VALUE(RIGHT($A994,2))&gt;60,"","Powiat "),IF(VALUE(RIGHT($A994,1))=1,"m. ",IF(VALUE(RIGHT($A994,1))=2,"gm. w. ",IF(VALUE(RIGHT($A994,1))=8,"dz. ","gm. m.-w. ")))))&amp;IF(LEN($A994)=2,TRIM(UPPER(VLOOKUP($A994,GUS_tabl_1!$A$7:$B$22,2,FALSE))),IF(ISERROR(FIND("..",TRIM(VLOOKUP(IF(AND(LEN($A994)=4,VALUE(RIGHT($A994,2))&gt;60),$A994&amp;"01 1",$A994),IF(AND(LEN($A994)=4,VALUE(RIGHT($A994,2))&lt;60),GUS_tabl_2!$A$8:$B$464,GUS_tabl_21!$A$5:$B$4886),2,FALSE)))),TRIM(VLOOKUP(IF(AND(LEN($A994)=4,VALUE(RIGHT($A994,2))&gt;60),$A994&amp;"01 1",$A994),IF(AND(LEN($A994)=4,VALUE(RIGHT($A994,2))&lt;60),GUS_tabl_2!$A$8:$B$464,GUS_tabl_21!$A$5:$B$4886),2,FALSE)),LEFT(TRIM(VLOOKUP(IF(AND(LEN($A994)=4,VALUE(RIGHT($A994,2))&gt;60),$A994&amp;"01 1",$A994),IF(AND(LEN($A994)=4,VALUE(RIGHT($A994,2))&lt;60),GUS_tabl_2!$A$8:$B$464,GUS_tabl_21!$A$5:$B$4886),2,FALSE)),SUM(FIND("..",TRIM(VLOOKUP(IF(AND(LEN($A994)=4,VALUE(RIGHT($A994,2))&gt;60),$A994&amp;"01 1",$A994),IF(AND(LEN($A994)=4,VALUE(RIGHT($A994,2))&lt;60),GUS_tabl_2!$A$8:$B$464,GUS_tabl_21!$A$5:$B$4886),2,FALSE))),-1)))))</f>
        <v>gm. m.-w. Skawina</v>
      </c>
      <c r="D994" s="141">
        <f>IF(OR($A994="",ISERROR(VALUE(LEFT($A994,6)))),"",IF(LEN($A994)=2,SUMIF($A995:$A$2965,$A994&amp;"??",$D995:$D$2965),IF(AND(LEN($A994)=4,VALUE(RIGHT($A994,2))&lt;=60),SUMIF($A995:$A$2965,$A994&amp;"????",$D995:$D$2965),VLOOKUP(IF(LEN($A994)=4,$A994&amp;"01 1",$A994),GUS_tabl_21!$A$5:$F$4886,6,FALSE))))</f>
        <v>43586</v>
      </c>
      <c r="E994" s="29"/>
    </row>
    <row r="995" spans="1:5" ht="12" customHeight="1">
      <c r="A995" s="155" t="str">
        <f>"120612 3"</f>
        <v>120612 3</v>
      </c>
      <c r="B995" s="153" t="s">
        <v>71</v>
      </c>
      <c r="C995" s="156" t="str">
        <f>IF(OR($A995="",ISERROR(VALUE(LEFT($A995,6)))),"",IF(LEN($A995)=2,"WOJ. ",IF(LEN($A995)=4,IF(VALUE(RIGHT($A995,2))&gt;60,"","Powiat "),IF(VALUE(RIGHT($A995,1))=1,"m. ",IF(VALUE(RIGHT($A995,1))=2,"gm. w. ",IF(VALUE(RIGHT($A995,1))=8,"dz. ","gm. m.-w. ")))))&amp;IF(LEN($A995)=2,TRIM(UPPER(VLOOKUP($A995,GUS_tabl_1!$A$7:$B$22,2,FALSE))),IF(ISERROR(FIND("..",TRIM(VLOOKUP(IF(AND(LEN($A995)=4,VALUE(RIGHT($A995,2))&gt;60),$A995&amp;"01 1",$A995),IF(AND(LEN($A995)=4,VALUE(RIGHT($A995,2))&lt;60),GUS_tabl_2!$A$8:$B$464,GUS_tabl_21!$A$5:$B$4886),2,FALSE)))),TRIM(VLOOKUP(IF(AND(LEN($A995)=4,VALUE(RIGHT($A995,2))&gt;60),$A995&amp;"01 1",$A995),IF(AND(LEN($A995)=4,VALUE(RIGHT($A995,2))&lt;60),GUS_tabl_2!$A$8:$B$464,GUS_tabl_21!$A$5:$B$4886),2,FALSE)),LEFT(TRIM(VLOOKUP(IF(AND(LEN($A995)=4,VALUE(RIGHT($A995,2))&gt;60),$A995&amp;"01 1",$A995),IF(AND(LEN($A995)=4,VALUE(RIGHT($A995,2))&lt;60),GUS_tabl_2!$A$8:$B$464,GUS_tabl_21!$A$5:$B$4886),2,FALSE)),SUM(FIND("..",TRIM(VLOOKUP(IF(AND(LEN($A995)=4,VALUE(RIGHT($A995,2))&gt;60),$A995&amp;"01 1",$A995),IF(AND(LEN($A995)=4,VALUE(RIGHT($A995,2))&lt;60),GUS_tabl_2!$A$8:$B$464,GUS_tabl_21!$A$5:$B$4886),2,FALSE))),-1)))))</f>
        <v>gm. m.-w. Słomniki</v>
      </c>
      <c r="D995" s="141">
        <f>IF(OR($A995="",ISERROR(VALUE(LEFT($A995,6)))),"",IF(LEN($A995)=2,SUMIF($A996:$A$2965,$A995&amp;"??",$D996:$D$2965),IF(AND(LEN($A995)=4,VALUE(RIGHT($A995,2))&lt;=60),SUMIF($A996:$A$2965,$A995&amp;"????",$D996:$D$2965),VLOOKUP(IF(LEN($A995)=4,$A995&amp;"01 1",$A995),GUS_tabl_21!$A$5:$F$4886,6,FALSE))))</f>
        <v>13638</v>
      </c>
      <c r="E995" s="29"/>
    </row>
    <row r="996" spans="1:5" ht="12" customHeight="1">
      <c r="A996" s="155" t="str">
        <f>"120613 2"</f>
        <v>120613 2</v>
      </c>
      <c r="B996" s="153" t="s">
        <v>71</v>
      </c>
      <c r="C996" s="156" t="str">
        <f>IF(OR($A996="",ISERROR(VALUE(LEFT($A996,6)))),"",IF(LEN($A996)=2,"WOJ. ",IF(LEN($A996)=4,IF(VALUE(RIGHT($A996,2))&gt;60,"","Powiat "),IF(VALUE(RIGHT($A996,1))=1,"m. ",IF(VALUE(RIGHT($A996,1))=2,"gm. w. ",IF(VALUE(RIGHT($A996,1))=8,"dz. ","gm. m.-w. ")))))&amp;IF(LEN($A996)=2,TRIM(UPPER(VLOOKUP($A996,GUS_tabl_1!$A$7:$B$22,2,FALSE))),IF(ISERROR(FIND("..",TRIM(VLOOKUP(IF(AND(LEN($A996)=4,VALUE(RIGHT($A996,2))&gt;60),$A996&amp;"01 1",$A996),IF(AND(LEN($A996)=4,VALUE(RIGHT($A996,2))&lt;60),GUS_tabl_2!$A$8:$B$464,GUS_tabl_21!$A$5:$B$4886),2,FALSE)))),TRIM(VLOOKUP(IF(AND(LEN($A996)=4,VALUE(RIGHT($A996,2))&gt;60),$A996&amp;"01 1",$A996),IF(AND(LEN($A996)=4,VALUE(RIGHT($A996,2))&lt;60),GUS_tabl_2!$A$8:$B$464,GUS_tabl_21!$A$5:$B$4886),2,FALSE)),LEFT(TRIM(VLOOKUP(IF(AND(LEN($A996)=4,VALUE(RIGHT($A996,2))&gt;60),$A996&amp;"01 1",$A996),IF(AND(LEN($A996)=4,VALUE(RIGHT($A996,2))&lt;60),GUS_tabl_2!$A$8:$B$464,GUS_tabl_21!$A$5:$B$4886),2,FALSE)),SUM(FIND("..",TRIM(VLOOKUP(IF(AND(LEN($A996)=4,VALUE(RIGHT($A996,2))&gt;60),$A996&amp;"01 1",$A996),IF(AND(LEN($A996)=4,VALUE(RIGHT($A996,2))&lt;60),GUS_tabl_2!$A$8:$B$464,GUS_tabl_21!$A$5:$B$4886),2,FALSE))),-1)))))</f>
        <v>gm. w. Sułoszowa</v>
      </c>
      <c r="D996" s="141">
        <f>IF(OR($A996="",ISERROR(VALUE(LEFT($A996,6)))),"",IF(LEN($A996)=2,SUMIF($A997:$A$2965,$A996&amp;"??",$D997:$D$2965),IF(AND(LEN($A996)=4,VALUE(RIGHT($A996,2))&lt;=60),SUMIF($A997:$A$2965,$A996&amp;"????",$D997:$D$2965),VLOOKUP(IF(LEN($A996)=4,$A996&amp;"01 1",$A996),GUS_tabl_21!$A$5:$F$4886,6,FALSE))))</f>
        <v>5835</v>
      </c>
      <c r="E996" s="29"/>
    </row>
    <row r="997" spans="1:5" ht="12" customHeight="1">
      <c r="A997" s="155" t="str">
        <f>"120614 3"</f>
        <v>120614 3</v>
      </c>
      <c r="B997" s="153" t="s">
        <v>71</v>
      </c>
      <c r="C997" s="156" t="str">
        <f>IF(OR($A997="",ISERROR(VALUE(LEFT($A997,6)))),"",IF(LEN($A997)=2,"WOJ. ",IF(LEN($A997)=4,IF(VALUE(RIGHT($A997,2))&gt;60,"","Powiat "),IF(VALUE(RIGHT($A997,1))=1,"m. ",IF(VALUE(RIGHT($A997,1))=2,"gm. w. ",IF(VALUE(RIGHT($A997,1))=8,"dz. ","gm. m.-w. ")))))&amp;IF(LEN($A997)=2,TRIM(UPPER(VLOOKUP($A997,GUS_tabl_1!$A$7:$B$22,2,FALSE))),IF(ISERROR(FIND("..",TRIM(VLOOKUP(IF(AND(LEN($A997)=4,VALUE(RIGHT($A997,2))&gt;60),$A997&amp;"01 1",$A997),IF(AND(LEN($A997)=4,VALUE(RIGHT($A997,2))&lt;60),GUS_tabl_2!$A$8:$B$464,GUS_tabl_21!$A$5:$B$4886),2,FALSE)))),TRIM(VLOOKUP(IF(AND(LEN($A997)=4,VALUE(RIGHT($A997,2))&gt;60),$A997&amp;"01 1",$A997),IF(AND(LEN($A997)=4,VALUE(RIGHT($A997,2))&lt;60),GUS_tabl_2!$A$8:$B$464,GUS_tabl_21!$A$5:$B$4886),2,FALSE)),LEFT(TRIM(VLOOKUP(IF(AND(LEN($A997)=4,VALUE(RIGHT($A997,2))&gt;60),$A997&amp;"01 1",$A997),IF(AND(LEN($A997)=4,VALUE(RIGHT($A997,2))&lt;60),GUS_tabl_2!$A$8:$B$464,GUS_tabl_21!$A$5:$B$4886),2,FALSE)),SUM(FIND("..",TRIM(VLOOKUP(IF(AND(LEN($A997)=4,VALUE(RIGHT($A997,2))&gt;60),$A997&amp;"01 1",$A997),IF(AND(LEN($A997)=4,VALUE(RIGHT($A997,2))&lt;60),GUS_tabl_2!$A$8:$B$464,GUS_tabl_21!$A$5:$B$4886),2,FALSE))),-1)))))</f>
        <v>gm. m.-w. Świątniki Górne</v>
      </c>
      <c r="D997" s="141">
        <f>IF(OR($A997="",ISERROR(VALUE(LEFT($A997,6)))),"",IF(LEN($A997)=2,SUMIF($A998:$A$2965,$A997&amp;"??",$D998:$D$2965),IF(AND(LEN($A997)=4,VALUE(RIGHT($A997,2))&lt;=60),SUMIF($A998:$A$2965,$A997&amp;"????",$D998:$D$2965),VLOOKUP(IF(LEN($A997)=4,$A997&amp;"01 1",$A997),GUS_tabl_21!$A$5:$F$4886,6,FALSE))))</f>
        <v>10195</v>
      </c>
      <c r="E997" s="29"/>
    </row>
    <row r="998" spans="1:5" ht="12" customHeight="1">
      <c r="A998" s="155" t="str">
        <f>"120615 2"</f>
        <v>120615 2</v>
      </c>
      <c r="B998" s="153" t="s">
        <v>71</v>
      </c>
      <c r="C998" s="156" t="str">
        <f>IF(OR($A998="",ISERROR(VALUE(LEFT($A998,6)))),"",IF(LEN($A998)=2,"WOJ. ",IF(LEN($A998)=4,IF(VALUE(RIGHT($A998,2))&gt;60,"","Powiat "),IF(VALUE(RIGHT($A998,1))=1,"m. ",IF(VALUE(RIGHT($A998,1))=2,"gm. w. ",IF(VALUE(RIGHT($A998,1))=8,"dz. ","gm. m.-w. ")))))&amp;IF(LEN($A998)=2,TRIM(UPPER(VLOOKUP($A998,GUS_tabl_1!$A$7:$B$22,2,FALSE))),IF(ISERROR(FIND("..",TRIM(VLOOKUP(IF(AND(LEN($A998)=4,VALUE(RIGHT($A998,2))&gt;60),$A998&amp;"01 1",$A998),IF(AND(LEN($A998)=4,VALUE(RIGHT($A998,2))&lt;60),GUS_tabl_2!$A$8:$B$464,GUS_tabl_21!$A$5:$B$4886),2,FALSE)))),TRIM(VLOOKUP(IF(AND(LEN($A998)=4,VALUE(RIGHT($A998,2))&gt;60),$A998&amp;"01 1",$A998),IF(AND(LEN($A998)=4,VALUE(RIGHT($A998,2))&lt;60),GUS_tabl_2!$A$8:$B$464,GUS_tabl_21!$A$5:$B$4886),2,FALSE)),LEFT(TRIM(VLOOKUP(IF(AND(LEN($A998)=4,VALUE(RIGHT($A998,2))&gt;60),$A998&amp;"01 1",$A998),IF(AND(LEN($A998)=4,VALUE(RIGHT($A998,2))&lt;60),GUS_tabl_2!$A$8:$B$464,GUS_tabl_21!$A$5:$B$4886),2,FALSE)),SUM(FIND("..",TRIM(VLOOKUP(IF(AND(LEN($A998)=4,VALUE(RIGHT($A998,2))&gt;60),$A998&amp;"01 1",$A998),IF(AND(LEN($A998)=4,VALUE(RIGHT($A998,2))&lt;60),GUS_tabl_2!$A$8:$B$464,GUS_tabl_21!$A$5:$B$4886),2,FALSE))),-1)))))</f>
        <v>gm. w. Wielka Wieś</v>
      </c>
      <c r="D998" s="141">
        <f>IF(OR($A998="",ISERROR(VALUE(LEFT($A998,6)))),"",IF(LEN($A998)=2,SUMIF($A999:$A$2965,$A998&amp;"??",$D999:$D$2965),IF(AND(LEN($A998)=4,VALUE(RIGHT($A998,2))&lt;=60),SUMIF($A999:$A$2965,$A998&amp;"????",$D999:$D$2965),VLOOKUP(IF(LEN($A998)=4,$A998&amp;"01 1",$A998),GUS_tabl_21!$A$5:$F$4886,6,FALSE))))</f>
        <v>12721</v>
      </c>
      <c r="E998" s="29"/>
    </row>
    <row r="999" spans="1:5" ht="12" customHeight="1">
      <c r="A999" s="155" t="str">
        <f>"120616 2"</f>
        <v>120616 2</v>
      </c>
      <c r="B999" s="153" t="s">
        <v>71</v>
      </c>
      <c r="C999" s="156" t="str">
        <f>IF(OR($A999="",ISERROR(VALUE(LEFT($A999,6)))),"",IF(LEN($A999)=2,"WOJ. ",IF(LEN($A999)=4,IF(VALUE(RIGHT($A999,2))&gt;60,"","Powiat "),IF(VALUE(RIGHT($A999,1))=1,"m. ",IF(VALUE(RIGHT($A999,1))=2,"gm. w. ",IF(VALUE(RIGHT($A999,1))=8,"dz. ","gm. m.-w. ")))))&amp;IF(LEN($A999)=2,TRIM(UPPER(VLOOKUP($A999,GUS_tabl_1!$A$7:$B$22,2,FALSE))),IF(ISERROR(FIND("..",TRIM(VLOOKUP(IF(AND(LEN($A999)=4,VALUE(RIGHT($A999,2))&gt;60),$A999&amp;"01 1",$A999),IF(AND(LEN($A999)=4,VALUE(RIGHT($A999,2))&lt;60),GUS_tabl_2!$A$8:$B$464,GUS_tabl_21!$A$5:$B$4886),2,FALSE)))),TRIM(VLOOKUP(IF(AND(LEN($A999)=4,VALUE(RIGHT($A999,2))&gt;60),$A999&amp;"01 1",$A999),IF(AND(LEN($A999)=4,VALUE(RIGHT($A999,2))&lt;60),GUS_tabl_2!$A$8:$B$464,GUS_tabl_21!$A$5:$B$4886),2,FALSE)),LEFT(TRIM(VLOOKUP(IF(AND(LEN($A999)=4,VALUE(RIGHT($A999,2))&gt;60),$A999&amp;"01 1",$A999),IF(AND(LEN($A999)=4,VALUE(RIGHT($A999,2))&lt;60),GUS_tabl_2!$A$8:$B$464,GUS_tabl_21!$A$5:$B$4886),2,FALSE)),SUM(FIND("..",TRIM(VLOOKUP(IF(AND(LEN($A999)=4,VALUE(RIGHT($A999,2))&gt;60),$A999&amp;"01 1",$A999),IF(AND(LEN($A999)=4,VALUE(RIGHT($A999,2))&lt;60),GUS_tabl_2!$A$8:$B$464,GUS_tabl_21!$A$5:$B$4886),2,FALSE))),-1)))))</f>
        <v>gm. w. Zabierzów</v>
      </c>
      <c r="D999" s="141">
        <f>IF(OR($A999="",ISERROR(VALUE(LEFT($A999,6)))),"",IF(LEN($A999)=2,SUMIF($A1000:$A$2965,$A999&amp;"??",$D1000:$D$2965),IF(AND(LEN($A999)=4,VALUE(RIGHT($A999,2))&lt;=60),SUMIF($A1000:$A$2965,$A999&amp;"????",$D1000:$D$2965),VLOOKUP(IF(LEN($A999)=4,$A999&amp;"01 1",$A999),GUS_tabl_21!$A$5:$F$4886,6,FALSE))))</f>
        <v>26708</v>
      </c>
      <c r="E999" s="29"/>
    </row>
    <row r="1000" spans="1:5" ht="12" customHeight="1">
      <c r="A1000" s="155" t="str">
        <f>"120617 2"</f>
        <v>120617 2</v>
      </c>
      <c r="B1000" s="153" t="s">
        <v>71</v>
      </c>
      <c r="C1000" s="156" t="str">
        <f>IF(OR($A1000="",ISERROR(VALUE(LEFT($A1000,6)))),"",IF(LEN($A1000)=2,"WOJ. ",IF(LEN($A1000)=4,IF(VALUE(RIGHT($A1000,2))&gt;60,"","Powiat "),IF(VALUE(RIGHT($A1000,1))=1,"m. ",IF(VALUE(RIGHT($A1000,1))=2,"gm. w. ",IF(VALUE(RIGHT($A1000,1))=8,"dz. ","gm. m.-w. ")))))&amp;IF(LEN($A1000)=2,TRIM(UPPER(VLOOKUP($A1000,GUS_tabl_1!$A$7:$B$22,2,FALSE))),IF(ISERROR(FIND("..",TRIM(VLOOKUP(IF(AND(LEN($A1000)=4,VALUE(RIGHT($A1000,2))&gt;60),$A1000&amp;"01 1",$A1000),IF(AND(LEN($A1000)=4,VALUE(RIGHT($A1000,2))&lt;60),GUS_tabl_2!$A$8:$B$464,GUS_tabl_21!$A$5:$B$4886),2,FALSE)))),TRIM(VLOOKUP(IF(AND(LEN($A1000)=4,VALUE(RIGHT($A1000,2))&gt;60),$A1000&amp;"01 1",$A1000),IF(AND(LEN($A1000)=4,VALUE(RIGHT($A1000,2))&lt;60),GUS_tabl_2!$A$8:$B$464,GUS_tabl_21!$A$5:$B$4886),2,FALSE)),LEFT(TRIM(VLOOKUP(IF(AND(LEN($A1000)=4,VALUE(RIGHT($A1000,2))&gt;60),$A1000&amp;"01 1",$A1000),IF(AND(LEN($A1000)=4,VALUE(RIGHT($A1000,2))&lt;60),GUS_tabl_2!$A$8:$B$464,GUS_tabl_21!$A$5:$B$4886),2,FALSE)),SUM(FIND("..",TRIM(VLOOKUP(IF(AND(LEN($A1000)=4,VALUE(RIGHT($A1000,2))&gt;60),$A1000&amp;"01 1",$A1000),IF(AND(LEN($A1000)=4,VALUE(RIGHT($A1000,2))&lt;60),GUS_tabl_2!$A$8:$B$464,GUS_tabl_21!$A$5:$B$4886),2,FALSE))),-1)))))</f>
        <v>gm. w. Zielonki</v>
      </c>
      <c r="D1000" s="141">
        <f>IF(OR($A1000="",ISERROR(VALUE(LEFT($A1000,6)))),"",IF(LEN($A1000)=2,SUMIF($A1001:$A$2965,$A1000&amp;"??",$D1001:$D$2965),IF(AND(LEN($A1000)=4,VALUE(RIGHT($A1000,2))&lt;=60),SUMIF($A1001:$A$2965,$A1000&amp;"????",$D1001:$D$2965),VLOOKUP(IF(LEN($A1000)=4,$A1000&amp;"01 1",$A1000),GUS_tabl_21!$A$5:$F$4886,6,FALSE))))</f>
        <v>23092</v>
      </c>
      <c r="E1000" s="29"/>
    </row>
    <row r="1001" spans="1:5" ht="12" customHeight="1">
      <c r="A1001" s="152" t="str">
        <f>"1207"</f>
        <v>1207</v>
      </c>
      <c r="B1001" s="153" t="s">
        <v>71</v>
      </c>
      <c r="C1001" s="154" t="str">
        <f>IF(OR($A1001="",ISERROR(VALUE(LEFT($A1001,6)))),"",IF(LEN($A1001)=2,"WOJ. ",IF(LEN($A1001)=4,IF(VALUE(RIGHT($A1001,2))&gt;60,"","Powiat "),IF(VALUE(RIGHT($A1001,1))=1,"m. ",IF(VALUE(RIGHT($A1001,1))=2,"gm. w. ",IF(VALUE(RIGHT($A1001,1))=8,"dz. ","gm. m.-w. ")))))&amp;IF(LEN($A1001)=2,TRIM(UPPER(VLOOKUP($A1001,GUS_tabl_1!$A$7:$B$22,2,FALSE))),IF(ISERROR(FIND("..",TRIM(VLOOKUP(IF(AND(LEN($A1001)=4,VALUE(RIGHT($A1001,2))&gt;60),$A1001&amp;"01 1",$A1001),IF(AND(LEN($A1001)=4,VALUE(RIGHT($A1001,2))&lt;60),GUS_tabl_2!$A$8:$B$464,GUS_tabl_21!$A$5:$B$4886),2,FALSE)))),TRIM(VLOOKUP(IF(AND(LEN($A1001)=4,VALUE(RIGHT($A1001,2))&gt;60),$A1001&amp;"01 1",$A1001),IF(AND(LEN($A1001)=4,VALUE(RIGHT($A1001,2))&lt;60),GUS_tabl_2!$A$8:$B$464,GUS_tabl_21!$A$5:$B$4886),2,FALSE)),LEFT(TRIM(VLOOKUP(IF(AND(LEN($A1001)=4,VALUE(RIGHT($A1001,2))&gt;60),$A1001&amp;"01 1",$A1001),IF(AND(LEN($A1001)=4,VALUE(RIGHT($A1001,2))&lt;60),GUS_tabl_2!$A$8:$B$464,GUS_tabl_21!$A$5:$B$4886),2,FALSE)),SUM(FIND("..",TRIM(VLOOKUP(IF(AND(LEN($A1001)=4,VALUE(RIGHT($A1001,2))&gt;60),$A1001&amp;"01 1",$A1001),IF(AND(LEN($A1001)=4,VALUE(RIGHT($A1001,2))&lt;60),GUS_tabl_2!$A$8:$B$464,GUS_tabl_21!$A$5:$B$4886),2,FALSE))),-1)))))</f>
        <v>Powiat limanowski</v>
      </c>
      <c r="D1001" s="140">
        <f>IF(OR($A1001="",ISERROR(VALUE(LEFT($A1001,6)))),"",IF(LEN($A1001)=2,SUMIF($A1002:$A$2965,$A1001&amp;"??",$D1002:$D$2965),IF(AND(LEN($A1001)=4,VALUE(RIGHT($A1001,2))&lt;=60),SUMIF($A1002:$A$2965,$A1001&amp;"????",$D1002:$D$2965),VLOOKUP(IF(LEN($A1001)=4,$A1001&amp;"01 1",$A1001),GUS_tabl_21!$A$5:$F$4886,6,FALSE))))</f>
        <v>131764</v>
      </c>
      <c r="E1001" s="29"/>
    </row>
    <row r="1002" spans="1:5" ht="12" customHeight="1">
      <c r="A1002" s="155" t="str">
        <f>"120701 1"</f>
        <v>120701 1</v>
      </c>
      <c r="B1002" s="153" t="s">
        <v>71</v>
      </c>
      <c r="C1002" s="156" t="str">
        <f>IF(OR($A1002="",ISERROR(VALUE(LEFT($A1002,6)))),"",IF(LEN($A1002)=2,"WOJ. ",IF(LEN($A1002)=4,IF(VALUE(RIGHT($A1002,2))&gt;60,"","Powiat "),IF(VALUE(RIGHT($A1002,1))=1,"m. ",IF(VALUE(RIGHT($A1002,1))=2,"gm. w. ",IF(VALUE(RIGHT($A1002,1))=8,"dz. ","gm. m.-w. ")))))&amp;IF(LEN($A1002)=2,TRIM(UPPER(VLOOKUP($A1002,GUS_tabl_1!$A$7:$B$22,2,FALSE))),IF(ISERROR(FIND("..",TRIM(VLOOKUP(IF(AND(LEN($A1002)=4,VALUE(RIGHT($A1002,2))&gt;60),$A1002&amp;"01 1",$A1002),IF(AND(LEN($A1002)=4,VALUE(RIGHT($A1002,2))&lt;60),GUS_tabl_2!$A$8:$B$464,GUS_tabl_21!$A$5:$B$4886),2,FALSE)))),TRIM(VLOOKUP(IF(AND(LEN($A1002)=4,VALUE(RIGHT($A1002,2))&gt;60),$A1002&amp;"01 1",$A1002),IF(AND(LEN($A1002)=4,VALUE(RIGHT($A1002,2))&lt;60),GUS_tabl_2!$A$8:$B$464,GUS_tabl_21!$A$5:$B$4886),2,FALSE)),LEFT(TRIM(VLOOKUP(IF(AND(LEN($A1002)=4,VALUE(RIGHT($A1002,2))&gt;60),$A1002&amp;"01 1",$A1002),IF(AND(LEN($A1002)=4,VALUE(RIGHT($A1002,2))&lt;60),GUS_tabl_2!$A$8:$B$464,GUS_tabl_21!$A$5:$B$4886),2,FALSE)),SUM(FIND("..",TRIM(VLOOKUP(IF(AND(LEN($A1002)=4,VALUE(RIGHT($A1002,2))&gt;60),$A1002&amp;"01 1",$A1002),IF(AND(LEN($A1002)=4,VALUE(RIGHT($A1002,2))&lt;60),GUS_tabl_2!$A$8:$B$464,GUS_tabl_21!$A$5:$B$4886),2,FALSE))),-1)))))</f>
        <v>m. Limanowa</v>
      </c>
      <c r="D1002" s="141">
        <f>IF(OR($A1002="",ISERROR(VALUE(LEFT($A1002,6)))),"",IF(LEN($A1002)=2,SUMIF($A1003:$A$2965,$A1002&amp;"??",$D1003:$D$2965),IF(AND(LEN($A1002)=4,VALUE(RIGHT($A1002,2))&lt;=60),SUMIF($A1003:$A$2965,$A1002&amp;"????",$D1003:$D$2965),VLOOKUP(IF(LEN($A1002)=4,$A1002&amp;"01 1",$A1002),GUS_tabl_21!$A$5:$F$4886,6,FALSE))))</f>
        <v>15162</v>
      </c>
      <c r="E1002" s="29"/>
    </row>
    <row r="1003" spans="1:5" ht="12" customHeight="1">
      <c r="A1003" s="155" t="str">
        <f>"120702 1"</f>
        <v>120702 1</v>
      </c>
      <c r="B1003" s="153" t="s">
        <v>71</v>
      </c>
      <c r="C1003" s="156" t="str">
        <f>IF(OR($A1003="",ISERROR(VALUE(LEFT($A1003,6)))),"",IF(LEN($A1003)=2,"WOJ. ",IF(LEN($A1003)=4,IF(VALUE(RIGHT($A1003,2))&gt;60,"","Powiat "),IF(VALUE(RIGHT($A1003,1))=1,"m. ",IF(VALUE(RIGHT($A1003,1))=2,"gm. w. ",IF(VALUE(RIGHT($A1003,1))=8,"dz. ","gm. m.-w. ")))))&amp;IF(LEN($A1003)=2,TRIM(UPPER(VLOOKUP($A1003,GUS_tabl_1!$A$7:$B$22,2,FALSE))),IF(ISERROR(FIND("..",TRIM(VLOOKUP(IF(AND(LEN($A1003)=4,VALUE(RIGHT($A1003,2))&gt;60),$A1003&amp;"01 1",$A1003),IF(AND(LEN($A1003)=4,VALUE(RIGHT($A1003,2))&lt;60),GUS_tabl_2!$A$8:$B$464,GUS_tabl_21!$A$5:$B$4886),2,FALSE)))),TRIM(VLOOKUP(IF(AND(LEN($A1003)=4,VALUE(RIGHT($A1003,2))&gt;60),$A1003&amp;"01 1",$A1003),IF(AND(LEN($A1003)=4,VALUE(RIGHT($A1003,2))&lt;60),GUS_tabl_2!$A$8:$B$464,GUS_tabl_21!$A$5:$B$4886),2,FALSE)),LEFT(TRIM(VLOOKUP(IF(AND(LEN($A1003)=4,VALUE(RIGHT($A1003,2))&gt;60),$A1003&amp;"01 1",$A1003),IF(AND(LEN($A1003)=4,VALUE(RIGHT($A1003,2))&lt;60),GUS_tabl_2!$A$8:$B$464,GUS_tabl_21!$A$5:$B$4886),2,FALSE)),SUM(FIND("..",TRIM(VLOOKUP(IF(AND(LEN($A1003)=4,VALUE(RIGHT($A1003,2))&gt;60),$A1003&amp;"01 1",$A1003),IF(AND(LEN($A1003)=4,VALUE(RIGHT($A1003,2))&lt;60),GUS_tabl_2!$A$8:$B$464,GUS_tabl_21!$A$5:$B$4886),2,FALSE))),-1)))))</f>
        <v>m. Mszana Dolna</v>
      </c>
      <c r="D1003" s="141">
        <f>IF(OR($A1003="",ISERROR(VALUE(LEFT($A1003,6)))),"",IF(LEN($A1003)=2,SUMIF($A1004:$A$2965,$A1003&amp;"??",$D1004:$D$2965),IF(AND(LEN($A1003)=4,VALUE(RIGHT($A1003,2))&lt;=60),SUMIF($A1004:$A$2965,$A1003&amp;"????",$D1004:$D$2965),VLOOKUP(IF(LEN($A1003)=4,$A1003&amp;"01 1",$A1003),GUS_tabl_21!$A$5:$F$4886,6,FALSE))))</f>
        <v>7889</v>
      </c>
      <c r="E1003" s="29"/>
    </row>
    <row r="1004" spans="1:5" ht="12" customHeight="1">
      <c r="A1004" s="155" t="str">
        <f>"120703 2"</f>
        <v>120703 2</v>
      </c>
      <c r="B1004" s="153" t="s">
        <v>71</v>
      </c>
      <c r="C1004" s="156" t="str">
        <f>IF(OR($A1004="",ISERROR(VALUE(LEFT($A1004,6)))),"",IF(LEN($A1004)=2,"WOJ. ",IF(LEN($A1004)=4,IF(VALUE(RIGHT($A1004,2))&gt;60,"","Powiat "),IF(VALUE(RIGHT($A1004,1))=1,"m. ",IF(VALUE(RIGHT($A1004,1))=2,"gm. w. ",IF(VALUE(RIGHT($A1004,1))=8,"dz. ","gm. m.-w. ")))))&amp;IF(LEN($A1004)=2,TRIM(UPPER(VLOOKUP($A1004,GUS_tabl_1!$A$7:$B$22,2,FALSE))),IF(ISERROR(FIND("..",TRIM(VLOOKUP(IF(AND(LEN($A1004)=4,VALUE(RIGHT($A1004,2))&gt;60),$A1004&amp;"01 1",$A1004),IF(AND(LEN($A1004)=4,VALUE(RIGHT($A1004,2))&lt;60),GUS_tabl_2!$A$8:$B$464,GUS_tabl_21!$A$5:$B$4886),2,FALSE)))),TRIM(VLOOKUP(IF(AND(LEN($A1004)=4,VALUE(RIGHT($A1004,2))&gt;60),$A1004&amp;"01 1",$A1004),IF(AND(LEN($A1004)=4,VALUE(RIGHT($A1004,2))&lt;60),GUS_tabl_2!$A$8:$B$464,GUS_tabl_21!$A$5:$B$4886),2,FALSE)),LEFT(TRIM(VLOOKUP(IF(AND(LEN($A1004)=4,VALUE(RIGHT($A1004,2))&gt;60),$A1004&amp;"01 1",$A1004),IF(AND(LEN($A1004)=4,VALUE(RIGHT($A1004,2))&lt;60),GUS_tabl_2!$A$8:$B$464,GUS_tabl_21!$A$5:$B$4886),2,FALSE)),SUM(FIND("..",TRIM(VLOOKUP(IF(AND(LEN($A1004)=4,VALUE(RIGHT($A1004,2))&gt;60),$A1004&amp;"01 1",$A1004),IF(AND(LEN($A1004)=4,VALUE(RIGHT($A1004,2))&lt;60),GUS_tabl_2!$A$8:$B$464,GUS_tabl_21!$A$5:$B$4886),2,FALSE))),-1)))))</f>
        <v>gm. w. Dobra</v>
      </c>
      <c r="D1004" s="141">
        <f>IF(OR($A1004="",ISERROR(VALUE(LEFT($A1004,6)))),"",IF(LEN($A1004)=2,SUMIF($A1005:$A$2965,$A1004&amp;"??",$D1005:$D$2965),IF(AND(LEN($A1004)=4,VALUE(RIGHT($A1004,2))&lt;=60),SUMIF($A1005:$A$2965,$A1004&amp;"????",$D1005:$D$2965),VLOOKUP(IF(LEN($A1004)=4,$A1004&amp;"01 1",$A1004),GUS_tabl_21!$A$5:$F$4886,6,FALSE))))</f>
        <v>9983</v>
      </c>
      <c r="E1004" s="29"/>
    </row>
    <row r="1005" spans="1:5" ht="12" customHeight="1">
      <c r="A1005" s="155" t="str">
        <f>"120704 2"</f>
        <v>120704 2</v>
      </c>
      <c r="B1005" s="153" t="s">
        <v>71</v>
      </c>
      <c r="C1005" s="156" t="str">
        <f>IF(OR($A1005="",ISERROR(VALUE(LEFT($A1005,6)))),"",IF(LEN($A1005)=2,"WOJ. ",IF(LEN($A1005)=4,IF(VALUE(RIGHT($A1005,2))&gt;60,"","Powiat "),IF(VALUE(RIGHT($A1005,1))=1,"m. ",IF(VALUE(RIGHT($A1005,1))=2,"gm. w. ",IF(VALUE(RIGHT($A1005,1))=8,"dz. ","gm. m.-w. ")))))&amp;IF(LEN($A1005)=2,TRIM(UPPER(VLOOKUP($A1005,GUS_tabl_1!$A$7:$B$22,2,FALSE))),IF(ISERROR(FIND("..",TRIM(VLOOKUP(IF(AND(LEN($A1005)=4,VALUE(RIGHT($A1005,2))&gt;60),$A1005&amp;"01 1",$A1005),IF(AND(LEN($A1005)=4,VALUE(RIGHT($A1005,2))&lt;60),GUS_tabl_2!$A$8:$B$464,GUS_tabl_21!$A$5:$B$4886),2,FALSE)))),TRIM(VLOOKUP(IF(AND(LEN($A1005)=4,VALUE(RIGHT($A1005,2))&gt;60),$A1005&amp;"01 1",$A1005),IF(AND(LEN($A1005)=4,VALUE(RIGHT($A1005,2))&lt;60),GUS_tabl_2!$A$8:$B$464,GUS_tabl_21!$A$5:$B$4886),2,FALSE)),LEFT(TRIM(VLOOKUP(IF(AND(LEN($A1005)=4,VALUE(RIGHT($A1005,2))&gt;60),$A1005&amp;"01 1",$A1005),IF(AND(LEN($A1005)=4,VALUE(RIGHT($A1005,2))&lt;60),GUS_tabl_2!$A$8:$B$464,GUS_tabl_21!$A$5:$B$4886),2,FALSE)),SUM(FIND("..",TRIM(VLOOKUP(IF(AND(LEN($A1005)=4,VALUE(RIGHT($A1005,2))&gt;60),$A1005&amp;"01 1",$A1005),IF(AND(LEN($A1005)=4,VALUE(RIGHT($A1005,2))&lt;60),GUS_tabl_2!$A$8:$B$464,GUS_tabl_21!$A$5:$B$4886),2,FALSE))),-1)))))</f>
        <v>gm. w. Jodłownik</v>
      </c>
      <c r="D1005" s="141">
        <f>IF(OR($A1005="",ISERROR(VALUE(LEFT($A1005,6)))),"",IF(LEN($A1005)=2,SUMIF($A1006:$A$2965,$A1005&amp;"??",$D1006:$D$2965),IF(AND(LEN($A1005)=4,VALUE(RIGHT($A1005,2))&lt;=60),SUMIF($A1006:$A$2965,$A1005&amp;"????",$D1006:$D$2965),VLOOKUP(IF(LEN($A1005)=4,$A1005&amp;"01 1",$A1005),GUS_tabl_21!$A$5:$F$4886,6,FALSE))))</f>
        <v>8690</v>
      </c>
      <c r="E1005" s="29"/>
    </row>
    <row r="1006" spans="1:5" ht="12" customHeight="1">
      <c r="A1006" s="155" t="str">
        <f>"120705 2"</f>
        <v>120705 2</v>
      </c>
      <c r="B1006" s="153" t="s">
        <v>71</v>
      </c>
      <c r="C1006" s="156" t="str">
        <f>IF(OR($A1006="",ISERROR(VALUE(LEFT($A1006,6)))),"",IF(LEN($A1006)=2,"WOJ. ",IF(LEN($A1006)=4,IF(VALUE(RIGHT($A1006,2))&gt;60,"","Powiat "),IF(VALUE(RIGHT($A1006,1))=1,"m. ",IF(VALUE(RIGHT($A1006,1))=2,"gm. w. ",IF(VALUE(RIGHT($A1006,1))=8,"dz. ","gm. m.-w. ")))))&amp;IF(LEN($A1006)=2,TRIM(UPPER(VLOOKUP($A1006,GUS_tabl_1!$A$7:$B$22,2,FALSE))),IF(ISERROR(FIND("..",TRIM(VLOOKUP(IF(AND(LEN($A1006)=4,VALUE(RIGHT($A1006,2))&gt;60),$A1006&amp;"01 1",$A1006),IF(AND(LEN($A1006)=4,VALUE(RIGHT($A1006,2))&lt;60),GUS_tabl_2!$A$8:$B$464,GUS_tabl_21!$A$5:$B$4886),2,FALSE)))),TRIM(VLOOKUP(IF(AND(LEN($A1006)=4,VALUE(RIGHT($A1006,2))&gt;60),$A1006&amp;"01 1",$A1006),IF(AND(LEN($A1006)=4,VALUE(RIGHT($A1006,2))&lt;60),GUS_tabl_2!$A$8:$B$464,GUS_tabl_21!$A$5:$B$4886),2,FALSE)),LEFT(TRIM(VLOOKUP(IF(AND(LEN($A1006)=4,VALUE(RIGHT($A1006,2))&gt;60),$A1006&amp;"01 1",$A1006),IF(AND(LEN($A1006)=4,VALUE(RIGHT($A1006,2))&lt;60),GUS_tabl_2!$A$8:$B$464,GUS_tabl_21!$A$5:$B$4886),2,FALSE)),SUM(FIND("..",TRIM(VLOOKUP(IF(AND(LEN($A1006)=4,VALUE(RIGHT($A1006,2))&gt;60),$A1006&amp;"01 1",$A1006),IF(AND(LEN($A1006)=4,VALUE(RIGHT($A1006,2))&lt;60),GUS_tabl_2!$A$8:$B$464,GUS_tabl_21!$A$5:$B$4886),2,FALSE))),-1)))))</f>
        <v>gm. w. Kamienica</v>
      </c>
      <c r="D1006" s="141">
        <f>IF(OR($A1006="",ISERROR(VALUE(LEFT($A1006,6)))),"",IF(LEN($A1006)=2,SUMIF($A1007:$A$2965,$A1006&amp;"??",$D1007:$D$2965),IF(AND(LEN($A1006)=4,VALUE(RIGHT($A1006,2))&lt;=60),SUMIF($A1007:$A$2965,$A1006&amp;"????",$D1007:$D$2965),VLOOKUP(IF(LEN($A1006)=4,$A1006&amp;"01 1",$A1006),GUS_tabl_21!$A$5:$F$4886,6,FALSE))))</f>
        <v>7850</v>
      </c>
      <c r="E1006" s="29"/>
    </row>
    <row r="1007" spans="1:5" ht="12" customHeight="1">
      <c r="A1007" s="155" t="str">
        <f>"120706 2"</f>
        <v>120706 2</v>
      </c>
      <c r="B1007" s="153" t="s">
        <v>71</v>
      </c>
      <c r="C1007" s="156" t="str">
        <f>IF(OR($A1007="",ISERROR(VALUE(LEFT($A1007,6)))),"",IF(LEN($A1007)=2,"WOJ. ",IF(LEN($A1007)=4,IF(VALUE(RIGHT($A1007,2))&gt;60,"","Powiat "),IF(VALUE(RIGHT($A1007,1))=1,"m. ",IF(VALUE(RIGHT($A1007,1))=2,"gm. w. ",IF(VALUE(RIGHT($A1007,1))=8,"dz. ","gm. m.-w. ")))))&amp;IF(LEN($A1007)=2,TRIM(UPPER(VLOOKUP($A1007,GUS_tabl_1!$A$7:$B$22,2,FALSE))),IF(ISERROR(FIND("..",TRIM(VLOOKUP(IF(AND(LEN($A1007)=4,VALUE(RIGHT($A1007,2))&gt;60),$A1007&amp;"01 1",$A1007),IF(AND(LEN($A1007)=4,VALUE(RIGHT($A1007,2))&lt;60),GUS_tabl_2!$A$8:$B$464,GUS_tabl_21!$A$5:$B$4886),2,FALSE)))),TRIM(VLOOKUP(IF(AND(LEN($A1007)=4,VALUE(RIGHT($A1007,2))&gt;60),$A1007&amp;"01 1",$A1007),IF(AND(LEN($A1007)=4,VALUE(RIGHT($A1007,2))&lt;60),GUS_tabl_2!$A$8:$B$464,GUS_tabl_21!$A$5:$B$4886),2,FALSE)),LEFT(TRIM(VLOOKUP(IF(AND(LEN($A1007)=4,VALUE(RIGHT($A1007,2))&gt;60),$A1007&amp;"01 1",$A1007),IF(AND(LEN($A1007)=4,VALUE(RIGHT($A1007,2))&lt;60),GUS_tabl_2!$A$8:$B$464,GUS_tabl_21!$A$5:$B$4886),2,FALSE)),SUM(FIND("..",TRIM(VLOOKUP(IF(AND(LEN($A1007)=4,VALUE(RIGHT($A1007,2))&gt;60),$A1007&amp;"01 1",$A1007),IF(AND(LEN($A1007)=4,VALUE(RIGHT($A1007,2))&lt;60),GUS_tabl_2!$A$8:$B$464,GUS_tabl_21!$A$5:$B$4886),2,FALSE))),-1)))))</f>
        <v>gm. w. Laskowa</v>
      </c>
      <c r="D1007" s="141">
        <f>IF(OR($A1007="",ISERROR(VALUE(LEFT($A1007,6)))),"",IF(LEN($A1007)=2,SUMIF($A1008:$A$2965,$A1007&amp;"??",$D1008:$D$2965),IF(AND(LEN($A1007)=4,VALUE(RIGHT($A1007,2))&lt;=60),SUMIF($A1008:$A$2965,$A1007&amp;"????",$D1008:$D$2965),VLOOKUP(IF(LEN($A1007)=4,$A1007&amp;"01 1",$A1007),GUS_tabl_21!$A$5:$F$4886,6,FALSE))))</f>
        <v>8206</v>
      </c>
      <c r="E1007" s="29"/>
    </row>
    <row r="1008" spans="1:5" ht="12" customHeight="1">
      <c r="A1008" s="155" t="str">
        <f>"120707 2"</f>
        <v>120707 2</v>
      </c>
      <c r="B1008" s="153" t="s">
        <v>71</v>
      </c>
      <c r="C1008" s="156" t="str">
        <f>IF(OR($A1008="",ISERROR(VALUE(LEFT($A1008,6)))),"",IF(LEN($A1008)=2,"WOJ. ",IF(LEN($A1008)=4,IF(VALUE(RIGHT($A1008,2))&gt;60,"","Powiat "),IF(VALUE(RIGHT($A1008,1))=1,"m. ",IF(VALUE(RIGHT($A1008,1))=2,"gm. w. ",IF(VALUE(RIGHT($A1008,1))=8,"dz. ","gm. m.-w. ")))))&amp;IF(LEN($A1008)=2,TRIM(UPPER(VLOOKUP($A1008,GUS_tabl_1!$A$7:$B$22,2,FALSE))),IF(ISERROR(FIND("..",TRIM(VLOOKUP(IF(AND(LEN($A1008)=4,VALUE(RIGHT($A1008,2))&gt;60),$A1008&amp;"01 1",$A1008),IF(AND(LEN($A1008)=4,VALUE(RIGHT($A1008,2))&lt;60),GUS_tabl_2!$A$8:$B$464,GUS_tabl_21!$A$5:$B$4886),2,FALSE)))),TRIM(VLOOKUP(IF(AND(LEN($A1008)=4,VALUE(RIGHT($A1008,2))&gt;60),$A1008&amp;"01 1",$A1008),IF(AND(LEN($A1008)=4,VALUE(RIGHT($A1008,2))&lt;60),GUS_tabl_2!$A$8:$B$464,GUS_tabl_21!$A$5:$B$4886),2,FALSE)),LEFT(TRIM(VLOOKUP(IF(AND(LEN($A1008)=4,VALUE(RIGHT($A1008,2))&gt;60),$A1008&amp;"01 1",$A1008),IF(AND(LEN($A1008)=4,VALUE(RIGHT($A1008,2))&lt;60),GUS_tabl_2!$A$8:$B$464,GUS_tabl_21!$A$5:$B$4886),2,FALSE)),SUM(FIND("..",TRIM(VLOOKUP(IF(AND(LEN($A1008)=4,VALUE(RIGHT($A1008,2))&gt;60),$A1008&amp;"01 1",$A1008),IF(AND(LEN($A1008)=4,VALUE(RIGHT($A1008,2))&lt;60),GUS_tabl_2!$A$8:$B$464,GUS_tabl_21!$A$5:$B$4886),2,FALSE))),-1)))))</f>
        <v>gm. w. Limanowa</v>
      </c>
      <c r="D1008" s="141">
        <f>IF(OR($A1008="",ISERROR(VALUE(LEFT($A1008,6)))),"",IF(LEN($A1008)=2,SUMIF($A1009:$A$2965,$A1008&amp;"??",$D1009:$D$2965),IF(AND(LEN($A1008)=4,VALUE(RIGHT($A1008,2))&lt;=60),SUMIF($A1009:$A$2965,$A1008&amp;"????",$D1009:$D$2965),VLOOKUP(IF(LEN($A1008)=4,$A1008&amp;"01 1",$A1008),GUS_tabl_21!$A$5:$F$4886,6,FALSE))))</f>
        <v>25607</v>
      </c>
      <c r="E1008" s="29"/>
    </row>
    <row r="1009" spans="1:5" ht="12" customHeight="1">
      <c r="A1009" s="155" t="str">
        <f>"120708 2"</f>
        <v>120708 2</v>
      </c>
      <c r="B1009" s="153" t="s">
        <v>71</v>
      </c>
      <c r="C1009" s="156" t="str">
        <f>IF(OR($A1009="",ISERROR(VALUE(LEFT($A1009,6)))),"",IF(LEN($A1009)=2,"WOJ. ",IF(LEN($A1009)=4,IF(VALUE(RIGHT($A1009,2))&gt;60,"","Powiat "),IF(VALUE(RIGHT($A1009,1))=1,"m. ",IF(VALUE(RIGHT($A1009,1))=2,"gm. w. ",IF(VALUE(RIGHT($A1009,1))=8,"dz. ","gm. m.-w. ")))))&amp;IF(LEN($A1009)=2,TRIM(UPPER(VLOOKUP($A1009,GUS_tabl_1!$A$7:$B$22,2,FALSE))),IF(ISERROR(FIND("..",TRIM(VLOOKUP(IF(AND(LEN($A1009)=4,VALUE(RIGHT($A1009,2))&gt;60),$A1009&amp;"01 1",$A1009),IF(AND(LEN($A1009)=4,VALUE(RIGHT($A1009,2))&lt;60),GUS_tabl_2!$A$8:$B$464,GUS_tabl_21!$A$5:$B$4886),2,FALSE)))),TRIM(VLOOKUP(IF(AND(LEN($A1009)=4,VALUE(RIGHT($A1009,2))&gt;60),$A1009&amp;"01 1",$A1009),IF(AND(LEN($A1009)=4,VALUE(RIGHT($A1009,2))&lt;60),GUS_tabl_2!$A$8:$B$464,GUS_tabl_21!$A$5:$B$4886),2,FALSE)),LEFT(TRIM(VLOOKUP(IF(AND(LEN($A1009)=4,VALUE(RIGHT($A1009,2))&gt;60),$A1009&amp;"01 1",$A1009),IF(AND(LEN($A1009)=4,VALUE(RIGHT($A1009,2))&lt;60),GUS_tabl_2!$A$8:$B$464,GUS_tabl_21!$A$5:$B$4886),2,FALSE)),SUM(FIND("..",TRIM(VLOOKUP(IF(AND(LEN($A1009)=4,VALUE(RIGHT($A1009,2))&gt;60),$A1009&amp;"01 1",$A1009),IF(AND(LEN($A1009)=4,VALUE(RIGHT($A1009,2))&lt;60),GUS_tabl_2!$A$8:$B$464,GUS_tabl_21!$A$5:$B$4886),2,FALSE))),-1)))))</f>
        <v>gm. w. Łukowica</v>
      </c>
      <c r="D1009" s="141">
        <f>IF(OR($A1009="",ISERROR(VALUE(LEFT($A1009,6)))),"",IF(LEN($A1009)=2,SUMIF($A1010:$A$2965,$A1009&amp;"??",$D1010:$D$2965),IF(AND(LEN($A1009)=4,VALUE(RIGHT($A1009,2))&lt;=60),SUMIF($A1010:$A$2965,$A1009&amp;"????",$D1010:$D$2965),VLOOKUP(IF(LEN($A1009)=4,$A1009&amp;"01 1",$A1009),GUS_tabl_21!$A$5:$F$4886,6,FALSE))))</f>
        <v>10062</v>
      </c>
      <c r="E1009" s="29"/>
    </row>
    <row r="1010" spans="1:5" ht="12" customHeight="1">
      <c r="A1010" s="155" t="str">
        <f>"120709 2"</f>
        <v>120709 2</v>
      </c>
      <c r="B1010" s="153" t="s">
        <v>71</v>
      </c>
      <c r="C1010" s="156" t="str">
        <f>IF(OR($A1010="",ISERROR(VALUE(LEFT($A1010,6)))),"",IF(LEN($A1010)=2,"WOJ. ",IF(LEN($A1010)=4,IF(VALUE(RIGHT($A1010,2))&gt;60,"","Powiat "),IF(VALUE(RIGHT($A1010,1))=1,"m. ",IF(VALUE(RIGHT($A1010,1))=2,"gm. w. ",IF(VALUE(RIGHT($A1010,1))=8,"dz. ","gm. m.-w. ")))))&amp;IF(LEN($A1010)=2,TRIM(UPPER(VLOOKUP($A1010,GUS_tabl_1!$A$7:$B$22,2,FALSE))),IF(ISERROR(FIND("..",TRIM(VLOOKUP(IF(AND(LEN($A1010)=4,VALUE(RIGHT($A1010,2))&gt;60),$A1010&amp;"01 1",$A1010),IF(AND(LEN($A1010)=4,VALUE(RIGHT($A1010,2))&lt;60),GUS_tabl_2!$A$8:$B$464,GUS_tabl_21!$A$5:$B$4886),2,FALSE)))),TRIM(VLOOKUP(IF(AND(LEN($A1010)=4,VALUE(RIGHT($A1010,2))&gt;60),$A1010&amp;"01 1",$A1010),IF(AND(LEN($A1010)=4,VALUE(RIGHT($A1010,2))&lt;60),GUS_tabl_2!$A$8:$B$464,GUS_tabl_21!$A$5:$B$4886),2,FALSE)),LEFT(TRIM(VLOOKUP(IF(AND(LEN($A1010)=4,VALUE(RIGHT($A1010,2))&gt;60),$A1010&amp;"01 1",$A1010),IF(AND(LEN($A1010)=4,VALUE(RIGHT($A1010,2))&lt;60),GUS_tabl_2!$A$8:$B$464,GUS_tabl_21!$A$5:$B$4886),2,FALSE)),SUM(FIND("..",TRIM(VLOOKUP(IF(AND(LEN($A1010)=4,VALUE(RIGHT($A1010,2))&gt;60),$A1010&amp;"01 1",$A1010),IF(AND(LEN($A1010)=4,VALUE(RIGHT($A1010,2))&lt;60),GUS_tabl_2!$A$8:$B$464,GUS_tabl_21!$A$5:$B$4886),2,FALSE))),-1)))))</f>
        <v>gm. w. Mszana Dolna</v>
      </c>
      <c r="D1010" s="141">
        <f>IF(OR($A1010="",ISERROR(VALUE(LEFT($A1010,6)))),"",IF(LEN($A1010)=2,SUMIF($A1011:$A$2965,$A1010&amp;"??",$D1011:$D$2965),IF(AND(LEN($A1010)=4,VALUE(RIGHT($A1010,2))&lt;=60),SUMIF($A1011:$A$2965,$A1010&amp;"????",$D1011:$D$2965),VLOOKUP(IF(LEN($A1010)=4,$A1010&amp;"01 1",$A1010),GUS_tabl_21!$A$5:$F$4886,6,FALSE))))</f>
        <v>17623</v>
      </c>
      <c r="E1010" s="29"/>
    </row>
    <row r="1011" spans="1:5" ht="12" customHeight="1">
      <c r="A1011" s="155" t="str">
        <f>"120710 2"</f>
        <v>120710 2</v>
      </c>
      <c r="B1011" s="153" t="s">
        <v>71</v>
      </c>
      <c r="C1011" s="156" t="str">
        <f>IF(OR($A1011="",ISERROR(VALUE(LEFT($A1011,6)))),"",IF(LEN($A1011)=2,"WOJ. ",IF(LEN($A1011)=4,IF(VALUE(RIGHT($A1011,2))&gt;60,"","Powiat "),IF(VALUE(RIGHT($A1011,1))=1,"m. ",IF(VALUE(RIGHT($A1011,1))=2,"gm. w. ",IF(VALUE(RIGHT($A1011,1))=8,"dz. ","gm. m.-w. ")))))&amp;IF(LEN($A1011)=2,TRIM(UPPER(VLOOKUP($A1011,GUS_tabl_1!$A$7:$B$22,2,FALSE))),IF(ISERROR(FIND("..",TRIM(VLOOKUP(IF(AND(LEN($A1011)=4,VALUE(RIGHT($A1011,2))&gt;60),$A1011&amp;"01 1",$A1011),IF(AND(LEN($A1011)=4,VALUE(RIGHT($A1011,2))&lt;60),GUS_tabl_2!$A$8:$B$464,GUS_tabl_21!$A$5:$B$4886),2,FALSE)))),TRIM(VLOOKUP(IF(AND(LEN($A1011)=4,VALUE(RIGHT($A1011,2))&gt;60),$A1011&amp;"01 1",$A1011),IF(AND(LEN($A1011)=4,VALUE(RIGHT($A1011,2))&lt;60),GUS_tabl_2!$A$8:$B$464,GUS_tabl_21!$A$5:$B$4886),2,FALSE)),LEFT(TRIM(VLOOKUP(IF(AND(LEN($A1011)=4,VALUE(RIGHT($A1011,2))&gt;60),$A1011&amp;"01 1",$A1011),IF(AND(LEN($A1011)=4,VALUE(RIGHT($A1011,2))&lt;60),GUS_tabl_2!$A$8:$B$464,GUS_tabl_21!$A$5:$B$4886),2,FALSE)),SUM(FIND("..",TRIM(VLOOKUP(IF(AND(LEN($A1011)=4,VALUE(RIGHT($A1011,2))&gt;60),$A1011&amp;"01 1",$A1011),IF(AND(LEN($A1011)=4,VALUE(RIGHT($A1011,2))&lt;60),GUS_tabl_2!$A$8:$B$464,GUS_tabl_21!$A$5:$B$4886),2,FALSE))),-1)))))</f>
        <v>gm. w. Niedźwiedź</v>
      </c>
      <c r="D1011" s="141">
        <f>IF(OR($A1011="",ISERROR(VALUE(LEFT($A1011,6)))),"",IF(LEN($A1011)=2,SUMIF($A1012:$A$2965,$A1011&amp;"??",$D1012:$D$2965),IF(AND(LEN($A1011)=4,VALUE(RIGHT($A1011,2))&lt;=60),SUMIF($A1012:$A$2965,$A1011&amp;"????",$D1012:$D$2965),VLOOKUP(IF(LEN($A1011)=4,$A1011&amp;"01 1",$A1011),GUS_tabl_21!$A$5:$F$4886,6,FALSE))))</f>
        <v>7337</v>
      </c>
      <c r="E1011" s="29"/>
    </row>
    <row r="1012" spans="1:5" ht="12" customHeight="1">
      <c r="A1012" s="155" t="str">
        <f>"120711 2"</f>
        <v>120711 2</v>
      </c>
      <c r="B1012" s="153" t="s">
        <v>71</v>
      </c>
      <c r="C1012" s="156" t="str">
        <f>IF(OR($A1012="",ISERROR(VALUE(LEFT($A1012,6)))),"",IF(LEN($A1012)=2,"WOJ. ",IF(LEN($A1012)=4,IF(VALUE(RIGHT($A1012,2))&gt;60,"","Powiat "),IF(VALUE(RIGHT($A1012,1))=1,"m. ",IF(VALUE(RIGHT($A1012,1))=2,"gm. w. ",IF(VALUE(RIGHT($A1012,1))=8,"dz. ","gm. m.-w. ")))))&amp;IF(LEN($A1012)=2,TRIM(UPPER(VLOOKUP($A1012,GUS_tabl_1!$A$7:$B$22,2,FALSE))),IF(ISERROR(FIND("..",TRIM(VLOOKUP(IF(AND(LEN($A1012)=4,VALUE(RIGHT($A1012,2))&gt;60),$A1012&amp;"01 1",$A1012),IF(AND(LEN($A1012)=4,VALUE(RIGHT($A1012,2))&lt;60),GUS_tabl_2!$A$8:$B$464,GUS_tabl_21!$A$5:$B$4886),2,FALSE)))),TRIM(VLOOKUP(IF(AND(LEN($A1012)=4,VALUE(RIGHT($A1012,2))&gt;60),$A1012&amp;"01 1",$A1012),IF(AND(LEN($A1012)=4,VALUE(RIGHT($A1012,2))&lt;60),GUS_tabl_2!$A$8:$B$464,GUS_tabl_21!$A$5:$B$4886),2,FALSE)),LEFT(TRIM(VLOOKUP(IF(AND(LEN($A1012)=4,VALUE(RIGHT($A1012,2))&gt;60),$A1012&amp;"01 1",$A1012),IF(AND(LEN($A1012)=4,VALUE(RIGHT($A1012,2))&lt;60),GUS_tabl_2!$A$8:$B$464,GUS_tabl_21!$A$5:$B$4886),2,FALSE)),SUM(FIND("..",TRIM(VLOOKUP(IF(AND(LEN($A1012)=4,VALUE(RIGHT($A1012,2))&gt;60),$A1012&amp;"01 1",$A1012),IF(AND(LEN($A1012)=4,VALUE(RIGHT($A1012,2))&lt;60),GUS_tabl_2!$A$8:$B$464,GUS_tabl_21!$A$5:$B$4886),2,FALSE))),-1)))))</f>
        <v>gm. w. Słopnice</v>
      </c>
      <c r="D1012" s="141">
        <f>IF(OR($A1012="",ISERROR(VALUE(LEFT($A1012,6)))),"",IF(LEN($A1012)=2,SUMIF($A1013:$A$2965,$A1012&amp;"??",$D1013:$D$2965),IF(AND(LEN($A1012)=4,VALUE(RIGHT($A1012,2))&lt;=60),SUMIF($A1013:$A$2965,$A1012&amp;"????",$D1013:$D$2965),VLOOKUP(IF(LEN($A1012)=4,$A1012&amp;"01 1",$A1012),GUS_tabl_21!$A$5:$F$4886,6,FALSE))))</f>
        <v>6764</v>
      </c>
      <c r="E1012" s="29"/>
    </row>
    <row r="1013" spans="1:5" ht="12" customHeight="1">
      <c r="A1013" s="155" t="str">
        <f>"120712 2"</f>
        <v>120712 2</v>
      </c>
      <c r="B1013" s="153" t="s">
        <v>71</v>
      </c>
      <c r="C1013" s="156" t="str">
        <f>IF(OR($A1013="",ISERROR(VALUE(LEFT($A1013,6)))),"",IF(LEN($A1013)=2,"WOJ. ",IF(LEN($A1013)=4,IF(VALUE(RIGHT($A1013,2))&gt;60,"","Powiat "),IF(VALUE(RIGHT($A1013,1))=1,"m. ",IF(VALUE(RIGHT($A1013,1))=2,"gm. w. ",IF(VALUE(RIGHT($A1013,1))=8,"dz. ","gm. m.-w. ")))))&amp;IF(LEN($A1013)=2,TRIM(UPPER(VLOOKUP($A1013,GUS_tabl_1!$A$7:$B$22,2,FALSE))),IF(ISERROR(FIND("..",TRIM(VLOOKUP(IF(AND(LEN($A1013)=4,VALUE(RIGHT($A1013,2))&gt;60),$A1013&amp;"01 1",$A1013),IF(AND(LEN($A1013)=4,VALUE(RIGHT($A1013,2))&lt;60),GUS_tabl_2!$A$8:$B$464,GUS_tabl_21!$A$5:$B$4886),2,FALSE)))),TRIM(VLOOKUP(IF(AND(LEN($A1013)=4,VALUE(RIGHT($A1013,2))&gt;60),$A1013&amp;"01 1",$A1013),IF(AND(LEN($A1013)=4,VALUE(RIGHT($A1013,2))&lt;60),GUS_tabl_2!$A$8:$B$464,GUS_tabl_21!$A$5:$B$4886),2,FALSE)),LEFT(TRIM(VLOOKUP(IF(AND(LEN($A1013)=4,VALUE(RIGHT($A1013,2))&gt;60),$A1013&amp;"01 1",$A1013),IF(AND(LEN($A1013)=4,VALUE(RIGHT($A1013,2))&lt;60),GUS_tabl_2!$A$8:$B$464,GUS_tabl_21!$A$5:$B$4886),2,FALSE)),SUM(FIND("..",TRIM(VLOOKUP(IF(AND(LEN($A1013)=4,VALUE(RIGHT($A1013,2))&gt;60),$A1013&amp;"01 1",$A1013),IF(AND(LEN($A1013)=4,VALUE(RIGHT($A1013,2))&lt;60),GUS_tabl_2!$A$8:$B$464,GUS_tabl_21!$A$5:$B$4886),2,FALSE))),-1)))))</f>
        <v>gm. w. Tymbark</v>
      </c>
      <c r="D1013" s="141">
        <f>IF(OR($A1013="",ISERROR(VALUE(LEFT($A1013,6)))),"",IF(LEN($A1013)=2,SUMIF($A1014:$A$2965,$A1013&amp;"??",$D1014:$D$2965),IF(AND(LEN($A1013)=4,VALUE(RIGHT($A1013,2))&lt;=60),SUMIF($A1014:$A$2965,$A1013&amp;"????",$D1014:$D$2965),VLOOKUP(IF(LEN($A1013)=4,$A1013&amp;"01 1",$A1013),GUS_tabl_21!$A$5:$F$4886,6,FALSE))))</f>
        <v>6591</v>
      </c>
      <c r="E1013" s="29"/>
    </row>
    <row r="1014" spans="1:5" ht="12" customHeight="1">
      <c r="A1014" s="152" t="str">
        <f>"1208"</f>
        <v>1208</v>
      </c>
      <c r="B1014" s="153" t="s">
        <v>71</v>
      </c>
      <c r="C1014" s="154" t="str">
        <f>IF(OR($A1014="",ISERROR(VALUE(LEFT($A1014,6)))),"",IF(LEN($A1014)=2,"WOJ. ",IF(LEN($A1014)=4,IF(VALUE(RIGHT($A1014,2))&gt;60,"","Powiat "),IF(VALUE(RIGHT($A1014,1))=1,"m. ",IF(VALUE(RIGHT($A1014,1))=2,"gm. w. ",IF(VALUE(RIGHT($A1014,1))=8,"dz. ","gm. m.-w. ")))))&amp;IF(LEN($A1014)=2,TRIM(UPPER(VLOOKUP($A1014,GUS_tabl_1!$A$7:$B$22,2,FALSE))),IF(ISERROR(FIND("..",TRIM(VLOOKUP(IF(AND(LEN($A1014)=4,VALUE(RIGHT($A1014,2))&gt;60),$A1014&amp;"01 1",$A1014),IF(AND(LEN($A1014)=4,VALUE(RIGHT($A1014,2))&lt;60),GUS_tabl_2!$A$8:$B$464,GUS_tabl_21!$A$5:$B$4886),2,FALSE)))),TRIM(VLOOKUP(IF(AND(LEN($A1014)=4,VALUE(RIGHT($A1014,2))&gt;60),$A1014&amp;"01 1",$A1014),IF(AND(LEN($A1014)=4,VALUE(RIGHT($A1014,2))&lt;60),GUS_tabl_2!$A$8:$B$464,GUS_tabl_21!$A$5:$B$4886),2,FALSE)),LEFT(TRIM(VLOOKUP(IF(AND(LEN($A1014)=4,VALUE(RIGHT($A1014,2))&gt;60),$A1014&amp;"01 1",$A1014),IF(AND(LEN($A1014)=4,VALUE(RIGHT($A1014,2))&lt;60),GUS_tabl_2!$A$8:$B$464,GUS_tabl_21!$A$5:$B$4886),2,FALSE)),SUM(FIND("..",TRIM(VLOOKUP(IF(AND(LEN($A1014)=4,VALUE(RIGHT($A1014,2))&gt;60),$A1014&amp;"01 1",$A1014),IF(AND(LEN($A1014)=4,VALUE(RIGHT($A1014,2))&lt;60),GUS_tabl_2!$A$8:$B$464,GUS_tabl_21!$A$5:$B$4886),2,FALSE))),-1)))))</f>
        <v>Powiat miechowski</v>
      </c>
      <c r="D1014" s="140">
        <f>IF(OR($A1014="",ISERROR(VALUE(LEFT($A1014,6)))),"",IF(LEN($A1014)=2,SUMIF($A1015:$A$2965,$A1014&amp;"??",$D1015:$D$2965),IF(AND(LEN($A1014)=4,VALUE(RIGHT($A1014,2))&lt;=60),SUMIF($A1015:$A$2965,$A1014&amp;"????",$D1015:$D$2965),VLOOKUP(IF(LEN($A1014)=4,$A1014&amp;"01 1",$A1014),GUS_tabl_21!$A$5:$F$4886,6,FALSE))))</f>
        <v>48818</v>
      </c>
      <c r="E1014" s="29"/>
    </row>
    <row r="1015" spans="1:5" ht="12" customHeight="1">
      <c r="A1015" s="155" t="str">
        <f>"120801 2"</f>
        <v>120801 2</v>
      </c>
      <c r="B1015" s="153" t="s">
        <v>71</v>
      </c>
      <c r="C1015" s="156" t="str">
        <f>IF(OR($A1015="",ISERROR(VALUE(LEFT($A1015,6)))),"",IF(LEN($A1015)=2,"WOJ. ",IF(LEN($A1015)=4,IF(VALUE(RIGHT($A1015,2))&gt;60,"","Powiat "),IF(VALUE(RIGHT($A1015,1))=1,"m. ",IF(VALUE(RIGHT($A1015,1))=2,"gm. w. ",IF(VALUE(RIGHT($A1015,1))=8,"dz. ","gm. m.-w. ")))))&amp;IF(LEN($A1015)=2,TRIM(UPPER(VLOOKUP($A1015,GUS_tabl_1!$A$7:$B$22,2,FALSE))),IF(ISERROR(FIND("..",TRIM(VLOOKUP(IF(AND(LEN($A1015)=4,VALUE(RIGHT($A1015,2))&gt;60),$A1015&amp;"01 1",$A1015),IF(AND(LEN($A1015)=4,VALUE(RIGHT($A1015,2))&lt;60),GUS_tabl_2!$A$8:$B$464,GUS_tabl_21!$A$5:$B$4886),2,FALSE)))),TRIM(VLOOKUP(IF(AND(LEN($A1015)=4,VALUE(RIGHT($A1015,2))&gt;60),$A1015&amp;"01 1",$A1015),IF(AND(LEN($A1015)=4,VALUE(RIGHT($A1015,2))&lt;60),GUS_tabl_2!$A$8:$B$464,GUS_tabl_21!$A$5:$B$4886),2,FALSE)),LEFT(TRIM(VLOOKUP(IF(AND(LEN($A1015)=4,VALUE(RIGHT($A1015,2))&gt;60),$A1015&amp;"01 1",$A1015),IF(AND(LEN($A1015)=4,VALUE(RIGHT($A1015,2))&lt;60),GUS_tabl_2!$A$8:$B$464,GUS_tabl_21!$A$5:$B$4886),2,FALSE)),SUM(FIND("..",TRIM(VLOOKUP(IF(AND(LEN($A1015)=4,VALUE(RIGHT($A1015,2))&gt;60),$A1015&amp;"01 1",$A1015),IF(AND(LEN($A1015)=4,VALUE(RIGHT($A1015,2))&lt;60),GUS_tabl_2!$A$8:$B$464,GUS_tabl_21!$A$5:$B$4886),2,FALSE))),-1)))))</f>
        <v>gm. w. Charsznica</v>
      </c>
      <c r="D1015" s="141">
        <f>IF(OR($A1015="",ISERROR(VALUE(LEFT($A1015,6)))),"",IF(LEN($A1015)=2,SUMIF($A1016:$A$2965,$A1015&amp;"??",$D1016:$D$2965),IF(AND(LEN($A1015)=4,VALUE(RIGHT($A1015,2))&lt;=60),SUMIF($A1016:$A$2965,$A1015&amp;"????",$D1016:$D$2965),VLOOKUP(IF(LEN($A1015)=4,$A1015&amp;"01 1",$A1015),GUS_tabl_21!$A$5:$F$4886,6,FALSE))))</f>
        <v>7441</v>
      </c>
      <c r="E1015" s="29"/>
    </row>
    <row r="1016" spans="1:5" ht="12" customHeight="1">
      <c r="A1016" s="155" t="str">
        <f>"120802 2"</f>
        <v>120802 2</v>
      </c>
      <c r="B1016" s="153" t="s">
        <v>71</v>
      </c>
      <c r="C1016" s="156" t="str">
        <f>IF(OR($A1016="",ISERROR(VALUE(LEFT($A1016,6)))),"",IF(LEN($A1016)=2,"WOJ. ",IF(LEN($A1016)=4,IF(VALUE(RIGHT($A1016,2))&gt;60,"","Powiat "),IF(VALUE(RIGHT($A1016,1))=1,"m. ",IF(VALUE(RIGHT($A1016,1))=2,"gm. w. ",IF(VALUE(RIGHT($A1016,1))=8,"dz. ","gm. m.-w. ")))))&amp;IF(LEN($A1016)=2,TRIM(UPPER(VLOOKUP($A1016,GUS_tabl_1!$A$7:$B$22,2,FALSE))),IF(ISERROR(FIND("..",TRIM(VLOOKUP(IF(AND(LEN($A1016)=4,VALUE(RIGHT($A1016,2))&gt;60),$A1016&amp;"01 1",$A1016),IF(AND(LEN($A1016)=4,VALUE(RIGHT($A1016,2))&lt;60),GUS_tabl_2!$A$8:$B$464,GUS_tabl_21!$A$5:$B$4886),2,FALSE)))),TRIM(VLOOKUP(IF(AND(LEN($A1016)=4,VALUE(RIGHT($A1016,2))&gt;60),$A1016&amp;"01 1",$A1016),IF(AND(LEN($A1016)=4,VALUE(RIGHT($A1016,2))&lt;60),GUS_tabl_2!$A$8:$B$464,GUS_tabl_21!$A$5:$B$4886),2,FALSE)),LEFT(TRIM(VLOOKUP(IF(AND(LEN($A1016)=4,VALUE(RIGHT($A1016,2))&gt;60),$A1016&amp;"01 1",$A1016),IF(AND(LEN($A1016)=4,VALUE(RIGHT($A1016,2))&lt;60),GUS_tabl_2!$A$8:$B$464,GUS_tabl_21!$A$5:$B$4886),2,FALSE)),SUM(FIND("..",TRIM(VLOOKUP(IF(AND(LEN($A1016)=4,VALUE(RIGHT($A1016,2))&gt;60),$A1016&amp;"01 1",$A1016),IF(AND(LEN($A1016)=4,VALUE(RIGHT($A1016,2))&lt;60),GUS_tabl_2!$A$8:$B$464,GUS_tabl_21!$A$5:$B$4886),2,FALSE))),-1)))))</f>
        <v>gm. w. Gołcza</v>
      </c>
      <c r="D1016" s="141">
        <f>IF(OR($A1016="",ISERROR(VALUE(LEFT($A1016,6)))),"",IF(LEN($A1016)=2,SUMIF($A1017:$A$2965,$A1016&amp;"??",$D1017:$D$2965),IF(AND(LEN($A1016)=4,VALUE(RIGHT($A1016,2))&lt;=60),SUMIF($A1017:$A$2965,$A1016&amp;"????",$D1017:$D$2965),VLOOKUP(IF(LEN($A1016)=4,$A1016&amp;"01 1",$A1016),GUS_tabl_21!$A$5:$F$4886,6,FALSE))))</f>
        <v>6047</v>
      </c>
      <c r="E1016" s="29"/>
    </row>
    <row r="1017" spans="1:5" ht="12" customHeight="1">
      <c r="A1017" s="155" t="str">
        <f>"120803 2"</f>
        <v>120803 2</v>
      </c>
      <c r="B1017" s="153" t="s">
        <v>71</v>
      </c>
      <c r="C1017" s="156" t="str">
        <f>IF(OR($A1017="",ISERROR(VALUE(LEFT($A1017,6)))),"",IF(LEN($A1017)=2,"WOJ. ",IF(LEN($A1017)=4,IF(VALUE(RIGHT($A1017,2))&gt;60,"","Powiat "),IF(VALUE(RIGHT($A1017,1))=1,"m. ",IF(VALUE(RIGHT($A1017,1))=2,"gm. w. ",IF(VALUE(RIGHT($A1017,1))=8,"dz. ","gm. m.-w. ")))))&amp;IF(LEN($A1017)=2,TRIM(UPPER(VLOOKUP($A1017,GUS_tabl_1!$A$7:$B$22,2,FALSE))),IF(ISERROR(FIND("..",TRIM(VLOOKUP(IF(AND(LEN($A1017)=4,VALUE(RIGHT($A1017,2))&gt;60),$A1017&amp;"01 1",$A1017),IF(AND(LEN($A1017)=4,VALUE(RIGHT($A1017,2))&lt;60),GUS_tabl_2!$A$8:$B$464,GUS_tabl_21!$A$5:$B$4886),2,FALSE)))),TRIM(VLOOKUP(IF(AND(LEN($A1017)=4,VALUE(RIGHT($A1017,2))&gt;60),$A1017&amp;"01 1",$A1017),IF(AND(LEN($A1017)=4,VALUE(RIGHT($A1017,2))&lt;60),GUS_tabl_2!$A$8:$B$464,GUS_tabl_21!$A$5:$B$4886),2,FALSE)),LEFT(TRIM(VLOOKUP(IF(AND(LEN($A1017)=4,VALUE(RIGHT($A1017,2))&gt;60),$A1017&amp;"01 1",$A1017),IF(AND(LEN($A1017)=4,VALUE(RIGHT($A1017,2))&lt;60),GUS_tabl_2!$A$8:$B$464,GUS_tabl_21!$A$5:$B$4886),2,FALSE)),SUM(FIND("..",TRIM(VLOOKUP(IF(AND(LEN($A1017)=4,VALUE(RIGHT($A1017,2))&gt;60),$A1017&amp;"01 1",$A1017),IF(AND(LEN($A1017)=4,VALUE(RIGHT($A1017,2))&lt;60),GUS_tabl_2!$A$8:$B$464,GUS_tabl_21!$A$5:$B$4886),2,FALSE))),-1)))))</f>
        <v>gm. w. Kozłów</v>
      </c>
      <c r="D1017" s="141">
        <f>IF(OR($A1017="",ISERROR(VALUE(LEFT($A1017,6)))),"",IF(LEN($A1017)=2,SUMIF($A1018:$A$2965,$A1017&amp;"??",$D1018:$D$2965),IF(AND(LEN($A1017)=4,VALUE(RIGHT($A1017,2))&lt;=60),SUMIF($A1018:$A$2965,$A1017&amp;"????",$D1018:$D$2965),VLOOKUP(IF(LEN($A1017)=4,$A1017&amp;"01 1",$A1017),GUS_tabl_21!$A$5:$F$4886,6,FALSE))))</f>
        <v>4582</v>
      </c>
      <c r="E1017" s="29"/>
    </row>
    <row r="1018" spans="1:5" ht="12" customHeight="1">
      <c r="A1018" s="155" t="str">
        <f>"120804 2"</f>
        <v>120804 2</v>
      </c>
      <c r="B1018" s="153" t="s">
        <v>71</v>
      </c>
      <c r="C1018" s="156" t="str">
        <f>IF(OR($A1018="",ISERROR(VALUE(LEFT($A1018,6)))),"",IF(LEN($A1018)=2,"WOJ. ",IF(LEN($A1018)=4,IF(VALUE(RIGHT($A1018,2))&gt;60,"","Powiat "),IF(VALUE(RIGHT($A1018,1))=1,"m. ",IF(VALUE(RIGHT($A1018,1))=2,"gm. w. ",IF(VALUE(RIGHT($A1018,1))=8,"dz. ","gm. m.-w. ")))))&amp;IF(LEN($A1018)=2,TRIM(UPPER(VLOOKUP($A1018,GUS_tabl_1!$A$7:$B$22,2,FALSE))),IF(ISERROR(FIND("..",TRIM(VLOOKUP(IF(AND(LEN($A1018)=4,VALUE(RIGHT($A1018,2))&gt;60),$A1018&amp;"01 1",$A1018),IF(AND(LEN($A1018)=4,VALUE(RIGHT($A1018,2))&lt;60),GUS_tabl_2!$A$8:$B$464,GUS_tabl_21!$A$5:$B$4886),2,FALSE)))),TRIM(VLOOKUP(IF(AND(LEN($A1018)=4,VALUE(RIGHT($A1018,2))&gt;60),$A1018&amp;"01 1",$A1018),IF(AND(LEN($A1018)=4,VALUE(RIGHT($A1018,2))&lt;60),GUS_tabl_2!$A$8:$B$464,GUS_tabl_21!$A$5:$B$4886),2,FALSE)),LEFT(TRIM(VLOOKUP(IF(AND(LEN($A1018)=4,VALUE(RIGHT($A1018,2))&gt;60),$A1018&amp;"01 1",$A1018),IF(AND(LEN($A1018)=4,VALUE(RIGHT($A1018,2))&lt;60),GUS_tabl_2!$A$8:$B$464,GUS_tabl_21!$A$5:$B$4886),2,FALSE)),SUM(FIND("..",TRIM(VLOOKUP(IF(AND(LEN($A1018)=4,VALUE(RIGHT($A1018,2))&gt;60),$A1018&amp;"01 1",$A1018),IF(AND(LEN($A1018)=4,VALUE(RIGHT($A1018,2))&lt;60),GUS_tabl_2!$A$8:$B$464,GUS_tabl_21!$A$5:$B$4886),2,FALSE))),-1)))))</f>
        <v>gm. w. Książ Wielki</v>
      </c>
      <c r="D1018" s="141">
        <f>IF(OR($A1018="",ISERROR(VALUE(LEFT($A1018,6)))),"",IF(LEN($A1018)=2,SUMIF($A1019:$A$2965,$A1018&amp;"??",$D1019:$D$2965),IF(AND(LEN($A1018)=4,VALUE(RIGHT($A1018,2))&lt;=60),SUMIF($A1019:$A$2965,$A1018&amp;"????",$D1019:$D$2965),VLOOKUP(IF(LEN($A1018)=4,$A1018&amp;"01 1",$A1018),GUS_tabl_21!$A$5:$F$4886,6,FALSE))))</f>
        <v>5073</v>
      </c>
      <c r="E1018" s="29"/>
    </row>
    <row r="1019" spans="1:5" ht="12" customHeight="1">
      <c r="A1019" s="155" t="str">
        <f>"120805 3"</f>
        <v>120805 3</v>
      </c>
      <c r="B1019" s="153" t="s">
        <v>71</v>
      </c>
      <c r="C1019" s="156" t="str">
        <f>IF(OR($A1019="",ISERROR(VALUE(LEFT($A1019,6)))),"",IF(LEN($A1019)=2,"WOJ. ",IF(LEN($A1019)=4,IF(VALUE(RIGHT($A1019,2))&gt;60,"","Powiat "),IF(VALUE(RIGHT($A1019,1))=1,"m. ",IF(VALUE(RIGHT($A1019,1))=2,"gm. w. ",IF(VALUE(RIGHT($A1019,1))=8,"dz. ","gm. m.-w. ")))))&amp;IF(LEN($A1019)=2,TRIM(UPPER(VLOOKUP($A1019,GUS_tabl_1!$A$7:$B$22,2,FALSE))),IF(ISERROR(FIND("..",TRIM(VLOOKUP(IF(AND(LEN($A1019)=4,VALUE(RIGHT($A1019,2))&gt;60),$A1019&amp;"01 1",$A1019),IF(AND(LEN($A1019)=4,VALUE(RIGHT($A1019,2))&lt;60),GUS_tabl_2!$A$8:$B$464,GUS_tabl_21!$A$5:$B$4886),2,FALSE)))),TRIM(VLOOKUP(IF(AND(LEN($A1019)=4,VALUE(RIGHT($A1019,2))&gt;60),$A1019&amp;"01 1",$A1019),IF(AND(LEN($A1019)=4,VALUE(RIGHT($A1019,2))&lt;60),GUS_tabl_2!$A$8:$B$464,GUS_tabl_21!$A$5:$B$4886),2,FALSE)),LEFT(TRIM(VLOOKUP(IF(AND(LEN($A1019)=4,VALUE(RIGHT($A1019,2))&gt;60),$A1019&amp;"01 1",$A1019),IF(AND(LEN($A1019)=4,VALUE(RIGHT($A1019,2))&lt;60),GUS_tabl_2!$A$8:$B$464,GUS_tabl_21!$A$5:$B$4886),2,FALSE)),SUM(FIND("..",TRIM(VLOOKUP(IF(AND(LEN($A1019)=4,VALUE(RIGHT($A1019,2))&gt;60),$A1019&amp;"01 1",$A1019),IF(AND(LEN($A1019)=4,VALUE(RIGHT($A1019,2))&lt;60),GUS_tabl_2!$A$8:$B$464,GUS_tabl_21!$A$5:$B$4886),2,FALSE))),-1)))))</f>
        <v>gm. m.-w. Miechów</v>
      </c>
      <c r="D1019" s="141">
        <f>IF(OR($A1019="",ISERROR(VALUE(LEFT($A1019,6)))),"",IF(LEN($A1019)=2,SUMIF($A1020:$A$2965,$A1019&amp;"??",$D1020:$D$2965),IF(AND(LEN($A1019)=4,VALUE(RIGHT($A1019,2))&lt;=60),SUMIF($A1020:$A$2965,$A1019&amp;"????",$D1020:$D$2965),VLOOKUP(IF(LEN($A1019)=4,$A1019&amp;"01 1",$A1019),GUS_tabl_21!$A$5:$F$4886,6,FALSE))))</f>
        <v>19645</v>
      </c>
      <c r="E1019" s="29"/>
    </row>
    <row r="1020" spans="1:5" ht="12" customHeight="1">
      <c r="A1020" s="155" t="str">
        <f>"120806 2"</f>
        <v>120806 2</v>
      </c>
      <c r="B1020" s="153" t="s">
        <v>71</v>
      </c>
      <c r="C1020" s="156" t="str">
        <f>IF(OR($A1020="",ISERROR(VALUE(LEFT($A1020,6)))),"",IF(LEN($A1020)=2,"WOJ. ",IF(LEN($A1020)=4,IF(VALUE(RIGHT($A1020,2))&gt;60,"","Powiat "),IF(VALUE(RIGHT($A1020,1))=1,"m. ",IF(VALUE(RIGHT($A1020,1))=2,"gm. w. ",IF(VALUE(RIGHT($A1020,1))=8,"dz. ","gm. m.-w. ")))))&amp;IF(LEN($A1020)=2,TRIM(UPPER(VLOOKUP($A1020,GUS_tabl_1!$A$7:$B$22,2,FALSE))),IF(ISERROR(FIND("..",TRIM(VLOOKUP(IF(AND(LEN($A1020)=4,VALUE(RIGHT($A1020,2))&gt;60),$A1020&amp;"01 1",$A1020),IF(AND(LEN($A1020)=4,VALUE(RIGHT($A1020,2))&lt;60),GUS_tabl_2!$A$8:$B$464,GUS_tabl_21!$A$5:$B$4886),2,FALSE)))),TRIM(VLOOKUP(IF(AND(LEN($A1020)=4,VALUE(RIGHT($A1020,2))&gt;60),$A1020&amp;"01 1",$A1020),IF(AND(LEN($A1020)=4,VALUE(RIGHT($A1020,2))&lt;60),GUS_tabl_2!$A$8:$B$464,GUS_tabl_21!$A$5:$B$4886),2,FALSE)),LEFT(TRIM(VLOOKUP(IF(AND(LEN($A1020)=4,VALUE(RIGHT($A1020,2))&gt;60),$A1020&amp;"01 1",$A1020),IF(AND(LEN($A1020)=4,VALUE(RIGHT($A1020,2))&lt;60),GUS_tabl_2!$A$8:$B$464,GUS_tabl_21!$A$5:$B$4886),2,FALSE)),SUM(FIND("..",TRIM(VLOOKUP(IF(AND(LEN($A1020)=4,VALUE(RIGHT($A1020,2))&gt;60),$A1020&amp;"01 1",$A1020),IF(AND(LEN($A1020)=4,VALUE(RIGHT($A1020,2))&lt;60),GUS_tabl_2!$A$8:$B$464,GUS_tabl_21!$A$5:$B$4886),2,FALSE))),-1)))))</f>
        <v>gm. w. Racławice</v>
      </c>
      <c r="D1020" s="141">
        <f>IF(OR($A1020="",ISERROR(VALUE(LEFT($A1020,6)))),"",IF(LEN($A1020)=2,SUMIF($A1021:$A$2965,$A1020&amp;"??",$D1021:$D$2965),IF(AND(LEN($A1020)=4,VALUE(RIGHT($A1020,2))&lt;=60),SUMIF($A1021:$A$2965,$A1020&amp;"????",$D1021:$D$2965),VLOOKUP(IF(LEN($A1020)=4,$A1020&amp;"01 1",$A1020),GUS_tabl_21!$A$5:$F$4886,6,FALSE))))</f>
        <v>2508</v>
      </c>
      <c r="E1020" s="29"/>
    </row>
    <row r="1021" spans="1:5" ht="12" customHeight="1">
      <c r="A1021" s="155" t="str">
        <f>"120807 2"</f>
        <v>120807 2</v>
      </c>
      <c r="B1021" s="153" t="s">
        <v>71</v>
      </c>
      <c r="C1021" s="156" t="str">
        <f>IF(OR($A1021="",ISERROR(VALUE(LEFT($A1021,6)))),"",IF(LEN($A1021)=2,"WOJ. ",IF(LEN($A1021)=4,IF(VALUE(RIGHT($A1021,2))&gt;60,"","Powiat "),IF(VALUE(RIGHT($A1021,1))=1,"m. ",IF(VALUE(RIGHT($A1021,1))=2,"gm. w. ",IF(VALUE(RIGHT($A1021,1))=8,"dz. ","gm. m.-w. ")))))&amp;IF(LEN($A1021)=2,TRIM(UPPER(VLOOKUP($A1021,GUS_tabl_1!$A$7:$B$22,2,FALSE))),IF(ISERROR(FIND("..",TRIM(VLOOKUP(IF(AND(LEN($A1021)=4,VALUE(RIGHT($A1021,2))&gt;60),$A1021&amp;"01 1",$A1021),IF(AND(LEN($A1021)=4,VALUE(RIGHT($A1021,2))&lt;60),GUS_tabl_2!$A$8:$B$464,GUS_tabl_21!$A$5:$B$4886),2,FALSE)))),TRIM(VLOOKUP(IF(AND(LEN($A1021)=4,VALUE(RIGHT($A1021,2))&gt;60),$A1021&amp;"01 1",$A1021),IF(AND(LEN($A1021)=4,VALUE(RIGHT($A1021,2))&lt;60),GUS_tabl_2!$A$8:$B$464,GUS_tabl_21!$A$5:$B$4886),2,FALSE)),LEFT(TRIM(VLOOKUP(IF(AND(LEN($A1021)=4,VALUE(RIGHT($A1021,2))&gt;60),$A1021&amp;"01 1",$A1021),IF(AND(LEN($A1021)=4,VALUE(RIGHT($A1021,2))&lt;60),GUS_tabl_2!$A$8:$B$464,GUS_tabl_21!$A$5:$B$4886),2,FALSE)),SUM(FIND("..",TRIM(VLOOKUP(IF(AND(LEN($A1021)=4,VALUE(RIGHT($A1021,2))&gt;60),$A1021&amp;"01 1",$A1021),IF(AND(LEN($A1021)=4,VALUE(RIGHT($A1021,2))&lt;60),GUS_tabl_2!$A$8:$B$464,GUS_tabl_21!$A$5:$B$4886),2,FALSE))),-1)))))</f>
        <v>gm. w. Słaboszów</v>
      </c>
      <c r="D1021" s="141">
        <f>IF(OR($A1021="",ISERROR(VALUE(LEFT($A1021,6)))),"",IF(LEN($A1021)=2,SUMIF($A1022:$A$2965,$A1021&amp;"??",$D1022:$D$2965),IF(AND(LEN($A1021)=4,VALUE(RIGHT($A1021,2))&lt;=60),SUMIF($A1022:$A$2965,$A1021&amp;"????",$D1022:$D$2965),VLOOKUP(IF(LEN($A1021)=4,$A1021&amp;"01 1",$A1021),GUS_tabl_21!$A$5:$F$4886,6,FALSE))))</f>
        <v>3522</v>
      </c>
      <c r="E1021" s="29"/>
    </row>
    <row r="1022" spans="1:5" ht="12" customHeight="1">
      <c r="A1022" s="152" t="str">
        <f>"1209"</f>
        <v>1209</v>
      </c>
      <c r="B1022" s="153" t="s">
        <v>71</v>
      </c>
      <c r="C1022" s="154" t="str">
        <f>IF(OR($A1022="",ISERROR(VALUE(LEFT($A1022,6)))),"",IF(LEN($A1022)=2,"WOJ. ",IF(LEN($A1022)=4,IF(VALUE(RIGHT($A1022,2))&gt;60,"","Powiat "),IF(VALUE(RIGHT($A1022,1))=1,"m. ",IF(VALUE(RIGHT($A1022,1))=2,"gm. w. ",IF(VALUE(RIGHT($A1022,1))=8,"dz. ","gm. m.-w. ")))))&amp;IF(LEN($A1022)=2,TRIM(UPPER(VLOOKUP($A1022,GUS_tabl_1!$A$7:$B$22,2,FALSE))),IF(ISERROR(FIND("..",TRIM(VLOOKUP(IF(AND(LEN($A1022)=4,VALUE(RIGHT($A1022,2))&gt;60),$A1022&amp;"01 1",$A1022),IF(AND(LEN($A1022)=4,VALUE(RIGHT($A1022,2))&lt;60),GUS_tabl_2!$A$8:$B$464,GUS_tabl_21!$A$5:$B$4886),2,FALSE)))),TRIM(VLOOKUP(IF(AND(LEN($A1022)=4,VALUE(RIGHT($A1022,2))&gt;60),$A1022&amp;"01 1",$A1022),IF(AND(LEN($A1022)=4,VALUE(RIGHT($A1022,2))&lt;60),GUS_tabl_2!$A$8:$B$464,GUS_tabl_21!$A$5:$B$4886),2,FALSE)),LEFT(TRIM(VLOOKUP(IF(AND(LEN($A1022)=4,VALUE(RIGHT($A1022,2))&gt;60),$A1022&amp;"01 1",$A1022),IF(AND(LEN($A1022)=4,VALUE(RIGHT($A1022,2))&lt;60),GUS_tabl_2!$A$8:$B$464,GUS_tabl_21!$A$5:$B$4886),2,FALSE)),SUM(FIND("..",TRIM(VLOOKUP(IF(AND(LEN($A1022)=4,VALUE(RIGHT($A1022,2))&gt;60),$A1022&amp;"01 1",$A1022),IF(AND(LEN($A1022)=4,VALUE(RIGHT($A1022,2))&lt;60),GUS_tabl_2!$A$8:$B$464,GUS_tabl_21!$A$5:$B$4886),2,FALSE))),-1)))))</f>
        <v>Powiat myślenicki</v>
      </c>
      <c r="D1022" s="140">
        <f>IF(OR($A1022="",ISERROR(VALUE(LEFT($A1022,6)))),"",IF(LEN($A1022)=2,SUMIF($A1023:$A$2965,$A1022&amp;"??",$D1023:$D$2965),IF(AND(LEN($A1022)=4,VALUE(RIGHT($A1022,2))&lt;=60),SUMIF($A1023:$A$2965,$A1022&amp;"????",$D1023:$D$2965),VLOOKUP(IF(LEN($A1022)=4,$A1022&amp;"01 1",$A1022),GUS_tabl_21!$A$5:$F$4886,6,FALSE))))</f>
        <v>127600</v>
      </c>
      <c r="E1022" s="29"/>
    </row>
    <row r="1023" spans="1:5" ht="12" customHeight="1">
      <c r="A1023" s="155" t="str">
        <f>"120901 3"</f>
        <v>120901 3</v>
      </c>
      <c r="B1023" s="153" t="s">
        <v>71</v>
      </c>
      <c r="C1023" s="156" t="str">
        <f>IF(OR($A1023="",ISERROR(VALUE(LEFT($A1023,6)))),"",IF(LEN($A1023)=2,"WOJ. ",IF(LEN($A1023)=4,IF(VALUE(RIGHT($A1023,2))&gt;60,"","Powiat "),IF(VALUE(RIGHT($A1023,1))=1,"m. ",IF(VALUE(RIGHT($A1023,1))=2,"gm. w. ",IF(VALUE(RIGHT($A1023,1))=8,"dz. ","gm. m.-w. ")))))&amp;IF(LEN($A1023)=2,TRIM(UPPER(VLOOKUP($A1023,GUS_tabl_1!$A$7:$B$22,2,FALSE))),IF(ISERROR(FIND("..",TRIM(VLOOKUP(IF(AND(LEN($A1023)=4,VALUE(RIGHT($A1023,2))&gt;60),$A1023&amp;"01 1",$A1023),IF(AND(LEN($A1023)=4,VALUE(RIGHT($A1023,2))&lt;60),GUS_tabl_2!$A$8:$B$464,GUS_tabl_21!$A$5:$B$4886),2,FALSE)))),TRIM(VLOOKUP(IF(AND(LEN($A1023)=4,VALUE(RIGHT($A1023,2))&gt;60),$A1023&amp;"01 1",$A1023),IF(AND(LEN($A1023)=4,VALUE(RIGHT($A1023,2))&lt;60),GUS_tabl_2!$A$8:$B$464,GUS_tabl_21!$A$5:$B$4886),2,FALSE)),LEFT(TRIM(VLOOKUP(IF(AND(LEN($A1023)=4,VALUE(RIGHT($A1023,2))&gt;60),$A1023&amp;"01 1",$A1023),IF(AND(LEN($A1023)=4,VALUE(RIGHT($A1023,2))&lt;60),GUS_tabl_2!$A$8:$B$464,GUS_tabl_21!$A$5:$B$4886),2,FALSE)),SUM(FIND("..",TRIM(VLOOKUP(IF(AND(LEN($A1023)=4,VALUE(RIGHT($A1023,2))&gt;60),$A1023&amp;"01 1",$A1023),IF(AND(LEN($A1023)=4,VALUE(RIGHT($A1023,2))&lt;60),GUS_tabl_2!$A$8:$B$464,GUS_tabl_21!$A$5:$B$4886),2,FALSE))),-1)))))</f>
        <v>gm. m.-w. Dobczyce</v>
      </c>
      <c r="D1023" s="141">
        <f>IF(OR($A1023="",ISERROR(VALUE(LEFT($A1023,6)))),"",IF(LEN($A1023)=2,SUMIF($A1024:$A$2965,$A1023&amp;"??",$D1024:$D$2965),IF(AND(LEN($A1023)=4,VALUE(RIGHT($A1023,2))&lt;=60),SUMIF($A1024:$A$2965,$A1023&amp;"????",$D1024:$D$2965),VLOOKUP(IF(LEN($A1023)=4,$A1023&amp;"01 1",$A1023),GUS_tabl_21!$A$5:$F$4886,6,FALSE))))</f>
        <v>15321</v>
      </c>
      <c r="E1023" s="29"/>
    </row>
    <row r="1024" spans="1:5" ht="12" customHeight="1">
      <c r="A1024" s="155" t="str">
        <f>"120902 2"</f>
        <v>120902 2</v>
      </c>
      <c r="B1024" s="153" t="s">
        <v>71</v>
      </c>
      <c r="C1024" s="156" t="str">
        <f>IF(OR($A1024="",ISERROR(VALUE(LEFT($A1024,6)))),"",IF(LEN($A1024)=2,"WOJ. ",IF(LEN($A1024)=4,IF(VALUE(RIGHT($A1024,2))&gt;60,"","Powiat "),IF(VALUE(RIGHT($A1024,1))=1,"m. ",IF(VALUE(RIGHT($A1024,1))=2,"gm. w. ",IF(VALUE(RIGHT($A1024,1))=8,"dz. ","gm. m.-w. ")))))&amp;IF(LEN($A1024)=2,TRIM(UPPER(VLOOKUP($A1024,GUS_tabl_1!$A$7:$B$22,2,FALSE))),IF(ISERROR(FIND("..",TRIM(VLOOKUP(IF(AND(LEN($A1024)=4,VALUE(RIGHT($A1024,2))&gt;60),$A1024&amp;"01 1",$A1024),IF(AND(LEN($A1024)=4,VALUE(RIGHT($A1024,2))&lt;60),GUS_tabl_2!$A$8:$B$464,GUS_tabl_21!$A$5:$B$4886),2,FALSE)))),TRIM(VLOOKUP(IF(AND(LEN($A1024)=4,VALUE(RIGHT($A1024,2))&gt;60),$A1024&amp;"01 1",$A1024),IF(AND(LEN($A1024)=4,VALUE(RIGHT($A1024,2))&lt;60),GUS_tabl_2!$A$8:$B$464,GUS_tabl_21!$A$5:$B$4886),2,FALSE)),LEFT(TRIM(VLOOKUP(IF(AND(LEN($A1024)=4,VALUE(RIGHT($A1024,2))&gt;60),$A1024&amp;"01 1",$A1024),IF(AND(LEN($A1024)=4,VALUE(RIGHT($A1024,2))&lt;60),GUS_tabl_2!$A$8:$B$464,GUS_tabl_21!$A$5:$B$4886),2,FALSE)),SUM(FIND("..",TRIM(VLOOKUP(IF(AND(LEN($A1024)=4,VALUE(RIGHT($A1024,2))&gt;60),$A1024&amp;"01 1",$A1024),IF(AND(LEN($A1024)=4,VALUE(RIGHT($A1024,2))&lt;60),GUS_tabl_2!$A$8:$B$464,GUS_tabl_21!$A$5:$B$4886),2,FALSE))),-1)))))</f>
        <v>gm. w. Lubień</v>
      </c>
      <c r="D1024" s="141">
        <f>IF(OR($A1024="",ISERROR(VALUE(LEFT($A1024,6)))),"",IF(LEN($A1024)=2,SUMIF($A1025:$A$2965,$A1024&amp;"??",$D1025:$D$2965),IF(AND(LEN($A1024)=4,VALUE(RIGHT($A1024,2))&lt;=60),SUMIF($A1025:$A$2965,$A1024&amp;"????",$D1025:$D$2965),VLOOKUP(IF(LEN($A1024)=4,$A1024&amp;"01 1",$A1024),GUS_tabl_21!$A$5:$F$4886,6,FALSE))))</f>
        <v>10076</v>
      </c>
      <c r="E1024" s="29"/>
    </row>
    <row r="1025" spans="1:5" ht="12" customHeight="1">
      <c r="A1025" s="155" t="str">
        <f>"120903 3"</f>
        <v>120903 3</v>
      </c>
      <c r="B1025" s="153" t="s">
        <v>71</v>
      </c>
      <c r="C1025" s="156" t="str">
        <f>IF(OR($A1025="",ISERROR(VALUE(LEFT($A1025,6)))),"",IF(LEN($A1025)=2,"WOJ. ",IF(LEN($A1025)=4,IF(VALUE(RIGHT($A1025,2))&gt;60,"","Powiat "),IF(VALUE(RIGHT($A1025,1))=1,"m. ",IF(VALUE(RIGHT($A1025,1))=2,"gm. w. ",IF(VALUE(RIGHT($A1025,1))=8,"dz. ","gm. m.-w. ")))))&amp;IF(LEN($A1025)=2,TRIM(UPPER(VLOOKUP($A1025,GUS_tabl_1!$A$7:$B$22,2,FALSE))),IF(ISERROR(FIND("..",TRIM(VLOOKUP(IF(AND(LEN($A1025)=4,VALUE(RIGHT($A1025,2))&gt;60),$A1025&amp;"01 1",$A1025),IF(AND(LEN($A1025)=4,VALUE(RIGHT($A1025,2))&lt;60),GUS_tabl_2!$A$8:$B$464,GUS_tabl_21!$A$5:$B$4886),2,FALSE)))),TRIM(VLOOKUP(IF(AND(LEN($A1025)=4,VALUE(RIGHT($A1025,2))&gt;60),$A1025&amp;"01 1",$A1025),IF(AND(LEN($A1025)=4,VALUE(RIGHT($A1025,2))&lt;60),GUS_tabl_2!$A$8:$B$464,GUS_tabl_21!$A$5:$B$4886),2,FALSE)),LEFT(TRIM(VLOOKUP(IF(AND(LEN($A1025)=4,VALUE(RIGHT($A1025,2))&gt;60),$A1025&amp;"01 1",$A1025),IF(AND(LEN($A1025)=4,VALUE(RIGHT($A1025,2))&lt;60),GUS_tabl_2!$A$8:$B$464,GUS_tabl_21!$A$5:$B$4886),2,FALSE)),SUM(FIND("..",TRIM(VLOOKUP(IF(AND(LEN($A1025)=4,VALUE(RIGHT($A1025,2))&gt;60),$A1025&amp;"01 1",$A1025),IF(AND(LEN($A1025)=4,VALUE(RIGHT($A1025,2))&lt;60),GUS_tabl_2!$A$8:$B$464,GUS_tabl_21!$A$5:$B$4886),2,FALSE))),-1)))))</f>
        <v>gm. m.-w. Myślenice</v>
      </c>
      <c r="D1025" s="141">
        <f>IF(OR($A1025="",ISERROR(VALUE(LEFT($A1025,6)))),"",IF(LEN($A1025)=2,SUMIF($A1026:$A$2965,$A1025&amp;"??",$D1026:$D$2965),IF(AND(LEN($A1025)=4,VALUE(RIGHT($A1025,2))&lt;=60),SUMIF($A1026:$A$2965,$A1025&amp;"????",$D1026:$D$2965),VLOOKUP(IF(LEN($A1025)=4,$A1025&amp;"01 1",$A1025),GUS_tabl_21!$A$5:$F$4886,6,FALSE))))</f>
        <v>44444</v>
      </c>
      <c r="E1025" s="29"/>
    </row>
    <row r="1026" spans="1:5" ht="12" customHeight="1">
      <c r="A1026" s="155" t="str">
        <f>"120904 2"</f>
        <v>120904 2</v>
      </c>
      <c r="B1026" s="153" t="s">
        <v>71</v>
      </c>
      <c r="C1026" s="156" t="str">
        <f>IF(OR($A1026="",ISERROR(VALUE(LEFT($A1026,6)))),"",IF(LEN($A1026)=2,"WOJ. ",IF(LEN($A1026)=4,IF(VALUE(RIGHT($A1026,2))&gt;60,"","Powiat "),IF(VALUE(RIGHT($A1026,1))=1,"m. ",IF(VALUE(RIGHT($A1026,1))=2,"gm. w. ",IF(VALUE(RIGHT($A1026,1))=8,"dz. ","gm. m.-w. ")))))&amp;IF(LEN($A1026)=2,TRIM(UPPER(VLOOKUP($A1026,GUS_tabl_1!$A$7:$B$22,2,FALSE))),IF(ISERROR(FIND("..",TRIM(VLOOKUP(IF(AND(LEN($A1026)=4,VALUE(RIGHT($A1026,2))&gt;60),$A1026&amp;"01 1",$A1026),IF(AND(LEN($A1026)=4,VALUE(RIGHT($A1026,2))&lt;60),GUS_tabl_2!$A$8:$B$464,GUS_tabl_21!$A$5:$B$4886),2,FALSE)))),TRIM(VLOOKUP(IF(AND(LEN($A1026)=4,VALUE(RIGHT($A1026,2))&gt;60),$A1026&amp;"01 1",$A1026),IF(AND(LEN($A1026)=4,VALUE(RIGHT($A1026,2))&lt;60),GUS_tabl_2!$A$8:$B$464,GUS_tabl_21!$A$5:$B$4886),2,FALSE)),LEFT(TRIM(VLOOKUP(IF(AND(LEN($A1026)=4,VALUE(RIGHT($A1026,2))&gt;60),$A1026&amp;"01 1",$A1026),IF(AND(LEN($A1026)=4,VALUE(RIGHT($A1026,2))&lt;60),GUS_tabl_2!$A$8:$B$464,GUS_tabl_21!$A$5:$B$4886),2,FALSE)),SUM(FIND("..",TRIM(VLOOKUP(IF(AND(LEN($A1026)=4,VALUE(RIGHT($A1026,2))&gt;60),$A1026&amp;"01 1",$A1026),IF(AND(LEN($A1026)=4,VALUE(RIGHT($A1026,2))&lt;60),GUS_tabl_2!$A$8:$B$464,GUS_tabl_21!$A$5:$B$4886),2,FALSE))),-1)))))</f>
        <v>gm. w. Pcim</v>
      </c>
      <c r="D1026" s="141">
        <f>IF(OR($A1026="",ISERROR(VALUE(LEFT($A1026,6)))),"",IF(LEN($A1026)=2,SUMIF($A1027:$A$2965,$A1026&amp;"??",$D1027:$D$2965),IF(AND(LEN($A1026)=4,VALUE(RIGHT($A1026,2))&lt;=60),SUMIF($A1027:$A$2965,$A1026&amp;"????",$D1027:$D$2965),VLOOKUP(IF(LEN($A1026)=4,$A1026&amp;"01 1",$A1026),GUS_tabl_21!$A$5:$F$4886,6,FALSE))))</f>
        <v>11131</v>
      </c>
      <c r="E1026" s="29"/>
    </row>
    <row r="1027" spans="1:5" ht="12" customHeight="1">
      <c r="A1027" s="155" t="str">
        <f>"120905 2"</f>
        <v>120905 2</v>
      </c>
      <c r="B1027" s="153" t="s">
        <v>71</v>
      </c>
      <c r="C1027" s="156" t="str">
        <f>IF(OR($A1027="",ISERROR(VALUE(LEFT($A1027,6)))),"",IF(LEN($A1027)=2,"WOJ. ",IF(LEN($A1027)=4,IF(VALUE(RIGHT($A1027,2))&gt;60,"","Powiat "),IF(VALUE(RIGHT($A1027,1))=1,"m. ",IF(VALUE(RIGHT($A1027,1))=2,"gm. w. ",IF(VALUE(RIGHT($A1027,1))=8,"dz. ","gm. m.-w. ")))))&amp;IF(LEN($A1027)=2,TRIM(UPPER(VLOOKUP($A1027,GUS_tabl_1!$A$7:$B$22,2,FALSE))),IF(ISERROR(FIND("..",TRIM(VLOOKUP(IF(AND(LEN($A1027)=4,VALUE(RIGHT($A1027,2))&gt;60),$A1027&amp;"01 1",$A1027),IF(AND(LEN($A1027)=4,VALUE(RIGHT($A1027,2))&lt;60),GUS_tabl_2!$A$8:$B$464,GUS_tabl_21!$A$5:$B$4886),2,FALSE)))),TRIM(VLOOKUP(IF(AND(LEN($A1027)=4,VALUE(RIGHT($A1027,2))&gt;60),$A1027&amp;"01 1",$A1027),IF(AND(LEN($A1027)=4,VALUE(RIGHT($A1027,2))&lt;60),GUS_tabl_2!$A$8:$B$464,GUS_tabl_21!$A$5:$B$4886),2,FALSE)),LEFT(TRIM(VLOOKUP(IF(AND(LEN($A1027)=4,VALUE(RIGHT($A1027,2))&gt;60),$A1027&amp;"01 1",$A1027),IF(AND(LEN($A1027)=4,VALUE(RIGHT($A1027,2))&lt;60),GUS_tabl_2!$A$8:$B$464,GUS_tabl_21!$A$5:$B$4886),2,FALSE)),SUM(FIND("..",TRIM(VLOOKUP(IF(AND(LEN($A1027)=4,VALUE(RIGHT($A1027,2))&gt;60),$A1027&amp;"01 1",$A1027),IF(AND(LEN($A1027)=4,VALUE(RIGHT($A1027,2))&lt;60),GUS_tabl_2!$A$8:$B$464,GUS_tabl_21!$A$5:$B$4886),2,FALSE))),-1)))))</f>
        <v>gm. w. Raciechowice</v>
      </c>
      <c r="D1027" s="141">
        <f>IF(OR($A1027="",ISERROR(VALUE(LEFT($A1027,6)))),"",IF(LEN($A1027)=2,SUMIF($A1028:$A$2965,$A1027&amp;"??",$D1028:$D$2965),IF(AND(LEN($A1027)=4,VALUE(RIGHT($A1027,2))&lt;=60),SUMIF($A1028:$A$2965,$A1027&amp;"????",$D1028:$D$2965),VLOOKUP(IF(LEN($A1027)=4,$A1027&amp;"01 1",$A1027),GUS_tabl_21!$A$5:$F$4886,6,FALSE))))</f>
        <v>6413</v>
      </c>
      <c r="E1027" s="29"/>
    </row>
    <row r="1028" spans="1:5" ht="12" customHeight="1">
      <c r="A1028" s="155" t="str">
        <f>"120906 2"</f>
        <v>120906 2</v>
      </c>
      <c r="B1028" s="153" t="s">
        <v>71</v>
      </c>
      <c r="C1028" s="156" t="str">
        <f>IF(OR($A1028="",ISERROR(VALUE(LEFT($A1028,6)))),"",IF(LEN($A1028)=2,"WOJ. ",IF(LEN($A1028)=4,IF(VALUE(RIGHT($A1028,2))&gt;60,"","Powiat "),IF(VALUE(RIGHT($A1028,1))=1,"m. ",IF(VALUE(RIGHT($A1028,1))=2,"gm. w. ",IF(VALUE(RIGHT($A1028,1))=8,"dz. ","gm. m.-w. ")))))&amp;IF(LEN($A1028)=2,TRIM(UPPER(VLOOKUP($A1028,GUS_tabl_1!$A$7:$B$22,2,FALSE))),IF(ISERROR(FIND("..",TRIM(VLOOKUP(IF(AND(LEN($A1028)=4,VALUE(RIGHT($A1028,2))&gt;60),$A1028&amp;"01 1",$A1028),IF(AND(LEN($A1028)=4,VALUE(RIGHT($A1028,2))&lt;60),GUS_tabl_2!$A$8:$B$464,GUS_tabl_21!$A$5:$B$4886),2,FALSE)))),TRIM(VLOOKUP(IF(AND(LEN($A1028)=4,VALUE(RIGHT($A1028,2))&gt;60),$A1028&amp;"01 1",$A1028),IF(AND(LEN($A1028)=4,VALUE(RIGHT($A1028,2))&lt;60),GUS_tabl_2!$A$8:$B$464,GUS_tabl_21!$A$5:$B$4886),2,FALSE)),LEFT(TRIM(VLOOKUP(IF(AND(LEN($A1028)=4,VALUE(RIGHT($A1028,2))&gt;60),$A1028&amp;"01 1",$A1028),IF(AND(LEN($A1028)=4,VALUE(RIGHT($A1028,2))&lt;60),GUS_tabl_2!$A$8:$B$464,GUS_tabl_21!$A$5:$B$4886),2,FALSE)),SUM(FIND("..",TRIM(VLOOKUP(IF(AND(LEN($A1028)=4,VALUE(RIGHT($A1028,2))&gt;60),$A1028&amp;"01 1",$A1028),IF(AND(LEN($A1028)=4,VALUE(RIGHT($A1028,2))&lt;60),GUS_tabl_2!$A$8:$B$464,GUS_tabl_21!$A$5:$B$4886),2,FALSE))),-1)))))</f>
        <v>gm. w. Siepraw</v>
      </c>
      <c r="D1028" s="141">
        <f>IF(OR($A1028="",ISERROR(VALUE(LEFT($A1028,6)))),"",IF(LEN($A1028)=2,SUMIF($A1029:$A$2965,$A1028&amp;"??",$D1029:$D$2965),IF(AND(LEN($A1028)=4,VALUE(RIGHT($A1028,2))&lt;=60),SUMIF($A1029:$A$2965,$A1028&amp;"????",$D1029:$D$2965),VLOOKUP(IF(LEN($A1028)=4,$A1028&amp;"01 1",$A1028),GUS_tabl_21!$A$5:$F$4886,6,FALSE))))</f>
        <v>9001</v>
      </c>
      <c r="E1028" s="29"/>
    </row>
    <row r="1029" spans="1:5" ht="12" customHeight="1">
      <c r="A1029" s="155" t="str">
        <f>"120907 3"</f>
        <v>120907 3</v>
      </c>
      <c r="B1029" s="153" t="s">
        <v>71</v>
      </c>
      <c r="C1029" s="156" t="str">
        <f>IF(OR($A1029="",ISERROR(VALUE(LEFT($A1029,6)))),"",IF(LEN($A1029)=2,"WOJ. ",IF(LEN($A1029)=4,IF(VALUE(RIGHT($A1029,2))&gt;60,"","Powiat "),IF(VALUE(RIGHT($A1029,1))=1,"m. ",IF(VALUE(RIGHT($A1029,1))=2,"gm. w. ",IF(VALUE(RIGHT($A1029,1))=8,"dz. ","gm. m.-w. ")))))&amp;IF(LEN($A1029)=2,TRIM(UPPER(VLOOKUP($A1029,GUS_tabl_1!$A$7:$B$22,2,FALSE))),IF(ISERROR(FIND("..",TRIM(VLOOKUP(IF(AND(LEN($A1029)=4,VALUE(RIGHT($A1029,2))&gt;60),$A1029&amp;"01 1",$A1029),IF(AND(LEN($A1029)=4,VALUE(RIGHT($A1029,2))&lt;60),GUS_tabl_2!$A$8:$B$464,GUS_tabl_21!$A$5:$B$4886),2,FALSE)))),TRIM(VLOOKUP(IF(AND(LEN($A1029)=4,VALUE(RIGHT($A1029,2))&gt;60),$A1029&amp;"01 1",$A1029),IF(AND(LEN($A1029)=4,VALUE(RIGHT($A1029,2))&lt;60),GUS_tabl_2!$A$8:$B$464,GUS_tabl_21!$A$5:$B$4886),2,FALSE)),LEFT(TRIM(VLOOKUP(IF(AND(LEN($A1029)=4,VALUE(RIGHT($A1029,2))&gt;60),$A1029&amp;"01 1",$A1029),IF(AND(LEN($A1029)=4,VALUE(RIGHT($A1029,2))&lt;60),GUS_tabl_2!$A$8:$B$464,GUS_tabl_21!$A$5:$B$4886),2,FALSE)),SUM(FIND("..",TRIM(VLOOKUP(IF(AND(LEN($A1029)=4,VALUE(RIGHT($A1029,2))&gt;60),$A1029&amp;"01 1",$A1029),IF(AND(LEN($A1029)=4,VALUE(RIGHT($A1029,2))&lt;60),GUS_tabl_2!$A$8:$B$464,GUS_tabl_21!$A$5:$B$4886),2,FALSE))),-1)))))</f>
        <v>gm. m.-w. Sułkowice</v>
      </c>
      <c r="D1029" s="141">
        <f>IF(OR($A1029="",ISERROR(VALUE(LEFT($A1029,6)))),"",IF(LEN($A1029)=2,SUMIF($A1030:$A$2965,$A1029&amp;"??",$D1030:$D$2965),IF(AND(LEN($A1029)=4,VALUE(RIGHT($A1029,2))&lt;=60),SUMIF($A1030:$A$2965,$A1029&amp;"????",$D1030:$D$2965),VLOOKUP(IF(LEN($A1029)=4,$A1029&amp;"01 1",$A1029),GUS_tabl_21!$A$5:$F$4886,6,FALSE))))</f>
        <v>14982</v>
      </c>
      <c r="E1029" s="29"/>
    </row>
    <row r="1030" spans="1:5" ht="12" customHeight="1">
      <c r="A1030" s="155" t="str">
        <f>"120908 2"</f>
        <v>120908 2</v>
      </c>
      <c r="B1030" s="153" t="s">
        <v>71</v>
      </c>
      <c r="C1030" s="156" t="str">
        <f>IF(OR($A1030="",ISERROR(VALUE(LEFT($A1030,6)))),"",IF(LEN($A1030)=2,"WOJ. ",IF(LEN($A1030)=4,IF(VALUE(RIGHT($A1030,2))&gt;60,"","Powiat "),IF(VALUE(RIGHT($A1030,1))=1,"m. ",IF(VALUE(RIGHT($A1030,1))=2,"gm. w. ",IF(VALUE(RIGHT($A1030,1))=8,"dz. ","gm. m.-w. ")))))&amp;IF(LEN($A1030)=2,TRIM(UPPER(VLOOKUP($A1030,GUS_tabl_1!$A$7:$B$22,2,FALSE))),IF(ISERROR(FIND("..",TRIM(VLOOKUP(IF(AND(LEN($A1030)=4,VALUE(RIGHT($A1030,2))&gt;60),$A1030&amp;"01 1",$A1030),IF(AND(LEN($A1030)=4,VALUE(RIGHT($A1030,2))&lt;60),GUS_tabl_2!$A$8:$B$464,GUS_tabl_21!$A$5:$B$4886),2,FALSE)))),TRIM(VLOOKUP(IF(AND(LEN($A1030)=4,VALUE(RIGHT($A1030,2))&gt;60),$A1030&amp;"01 1",$A1030),IF(AND(LEN($A1030)=4,VALUE(RIGHT($A1030,2))&lt;60),GUS_tabl_2!$A$8:$B$464,GUS_tabl_21!$A$5:$B$4886),2,FALSE)),LEFT(TRIM(VLOOKUP(IF(AND(LEN($A1030)=4,VALUE(RIGHT($A1030,2))&gt;60),$A1030&amp;"01 1",$A1030),IF(AND(LEN($A1030)=4,VALUE(RIGHT($A1030,2))&lt;60),GUS_tabl_2!$A$8:$B$464,GUS_tabl_21!$A$5:$B$4886),2,FALSE)),SUM(FIND("..",TRIM(VLOOKUP(IF(AND(LEN($A1030)=4,VALUE(RIGHT($A1030,2))&gt;60),$A1030&amp;"01 1",$A1030),IF(AND(LEN($A1030)=4,VALUE(RIGHT($A1030,2))&lt;60),GUS_tabl_2!$A$8:$B$464,GUS_tabl_21!$A$5:$B$4886),2,FALSE))),-1)))))</f>
        <v>gm. w. Tokarnia</v>
      </c>
      <c r="D1030" s="141">
        <f>IF(OR($A1030="",ISERROR(VALUE(LEFT($A1030,6)))),"",IF(LEN($A1030)=2,SUMIF($A1031:$A$2965,$A1030&amp;"??",$D1031:$D$2965),IF(AND(LEN($A1030)=4,VALUE(RIGHT($A1030,2))&lt;=60),SUMIF($A1031:$A$2965,$A1030&amp;"????",$D1031:$D$2965),VLOOKUP(IF(LEN($A1030)=4,$A1030&amp;"01 1",$A1030),GUS_tabl_21!$A$5:$F$4886,6,FALSE))))</f>
        <v>8820</v>
      </c>
      <c r="E1030" s="29"/>
    </row>
    <row r="1031" spans="1:5" ht="12" customHeight="1">
      <c r="A1031" s="155" t="str">
        <f>"120909 2"</f>
        <v>120909 2</v>
      </c>
      <c r="B1031" s="153" t="s">
        <v>71</v>
      </c>
      <c r="C1031" s="156" t="str">
        <f>IF(OR($A1031="",ISERROR(VALUE(LEFT($A1031,6)))),"",IF(LEN($A1031)=2,"WOJ. ",IF(LEN($A1031)=4,IF(VALUE(RIGHT($A1031,2))&gt;60,"","Powiat "),IF(VALUE(RIGHT($A1031,1))=1,"m. ",IF(VALUE(RIGHT($A1031,1))=2,"gm. w. ",IF(VALUE(RIGHT($A1031,1))=8,"dz. ","gm. m.-w. ")))))&amp;IF(LEN($A1031)=2,TRIM(UPPER(VLOOKUP($A1031,GUS_tabl_1!$A$7:$B$22,2,FALSE))),IF(ISERROR(FIND("..",TRIM(VLOOKUP(IF(AND(LEN($A1031)=4,VALUE(RIGHT($A1031,2))&gt;60),$A1031&amp;"01 1",$A1031),IF(AND(LEN($A1031)=4,VALUE(RIGHT($A1031,2))&lt;60),GUS_tabl_2!$A$8:$B$464,GUS_tabl_21!$A$5:$B$4886),2,FALSE)))),TRIM(VLOOKUP(IF(AND(LEN($A1031)=4,VALUE(RIGHT($A1031,2))&gt;60),$A1031&amp;"01 1",$A1031),IF(AND(LEN($A1031)=4,VALUE(RIGHT($A1031,2))&lt;60),GUS_tabl_2!$A$8:$B$464,GUS_tabl_21!$A$5:$B$4886),2,FALSE)),LEFT(TRIM(VLOOKUP(IF(AND(LEN($A1031)=4,VALUE(RIGHT($A1031,2))&gt;60),$A1031&amp;"01 1",$A1031),IF(AND(LEN($A1031)=4,VALUE(RIGHT($A1031,2))&lt;60),GUS_tabl_2!$A$8:$B$464,GUS_tabl_21!$A$5:$B$4886),2,FALSE)),SUM(FIND("..",TRIM(VLOOKUP(IF(AND(LEN($A1031)=4,VALUE(RIGHT($A1031,2))&gt;60),$A1031&amp;"01 1",$A1031),IF(AND(LEN($A1031)=4,VALUE(RIGHT($A1031,2))&lt;60),GUS_tabl_2!$A$8:$B$464,GUS_tabl_21!$A$5:$B$4886),2,FALSE))),-1)))))</f>
        <v>gm. w. Wiśniowa</v>
      </c>
      <c r="D1031" s="141">
        <f>IF(OR($A1031="",ISERROR(VALUE(LEFT($A1031,6)))),"",IF(LEN($A1031)=2,SUMIF($A1032:$A$2965,$A1031&amp;"??",$D1032:$D$2965),IF(AND(LEN($A1031)=4,VALUE(RIGHT($A1031,2))&lt;=60),SUMIF($A1032:$A$2965,$A1031&amp;"????",$D1032:$D$2965),VLOOKUP(IF(LEN($A1031)=4,$A1031&amp;"01 1",$A1031),GUS_tabl_21!$A$5:$F$4886,6,FALSE))))</f>
        <v>7412</v>
      </c>
      <c r="E1031" s="29"/>
    </row>
    <row r="1032" spans="1:5" ht="12" customHeight="1">
      <c r="A1032" s="152" t="str">
        <f>"1210"</f>
        <v>1210</v>
      </c>
      <c r="B1032" s="153" t="s">
        <v>71</v>
      </c>
      <c r="C1032" s="154" t="str">
        <f>IF(OR($A1032="",ISERROR(VALUE(LEFT($A1032,6)))),"",IF(LEN($A1032)=2,"WOJ. ",IF(LEN($A1032)=4,IF(VALUE(RIGHT($A1032,2))&gt;60,"","Powiat "),IF(VALUE(RIGHT($A1032,1))=1,"m. ",IF(VALUE(RIGHT($A1032,1))=2,"gm. w. ",IF(VALUE(RIGHT($A1032,1))=8,"dz. ","gm. m.-w. ")))))&amp;IF(LEN($A1032)=2,TRIM(UPPER(VLOOKUP($A1032,GUS_tabl_1!$A$7:$B$22,2,FALSE))),IF(ISERROR(FIND("..",TRIM(VLOOKUP(IF(AND(LEN($A1032)=4,VALUE(RIGHT($A1032,2))&gt;60),$A1032&amp;"01 1",$A1032),IF(AND(LEN($A1032)=4,VALUE(RIGHT($A1032,2))&lt;60),GUS_tabl_2!$A$8:$B$464,GUS_tabl_21!$A$5:$B$4886),2,FALSE)))),TRIM(VLOOKUP(IF(AND(LEN($A1032)=4,VALUE(RIGHT($A1032,2))&gt;60),$A1032&amp;"01 1",$A1032),IF(AND(LEN($A1032)=4,VALUE(RIGHT($A1032,2))&lt;60),GUS_tabl_2!$A$8:$B$464,GUS_tabl_21!$A$5:$B$4886),2,FALSE)),LEFT(TRIM(VLOOKUP(IF(AND(LEN($A1032)=4,VALUE(RIGHT($A1032,2))&gt;60),$A1032&amp;"01 1",$A1032),IF(AND(LEN($A1032)=4,VALUE(RIGHT($A1032,2))&lt;60),GUS_tabl_2!$A$8:$B$464,GUS_tabl_21!$A$5:$B$4886),2,FALSE)),SUM(FIND("..",TRIM(VLOOKUP(IF(AND(LEN($A1032)=4,VALUE(RIGHT($A1032,2))&gt;60),$A1032&amp;"01 1",$A1032),IF(AND(LEN($A1032)=4,VALUE(RIGHT($A1032,2))&lt;60),GUS_tabl_2!$A$8:$B$464,GUS_tabl_21!$A$5:$B$4886),2,FALSE))),-1)))))</f>
        <v>Powiat nowosądecki</v>
      </c>
      <c r="D1032" s="140">
        <f>IF(OR($A1032="",ISERROR(VALUE(LEFT($A1032,6)))),"",IF(LEN($A1032)=2,SUMIF($A1033:$A$2965,$A1032&amp;"??",$D1033:$D$2965),IF(AND(LEN($A1032)=4,VALUE(RIGHT($A1032,2))&lt;=60),SUMIF($A1033:$A$2965,$A1032&amp;"????",$D1033:$D$2965),VLOOKUP(IF(LEN($A1032)=4,$A1032&amp;"01 1",$A1032),GUS_tabl_21!$A$5:$F$4886,6,FALSE))))</f>
        <v>216796</v>
      </c>
      <c r="E1032" s="29"/>
    </row>
    <row r="1033" spans="1:5" ht="12" customHeight="1">
      <c r="A1033" s="155" t="str">
        <f>"121001 1"</f>
        <v>121001 1</v>
      </c>
      <c r="B1033" s="153" t="s">
        <v>71</v>
      </c>
      <c r="C1033" s="156" t="str">
        <f>IF(OR($A1033="",ISERROR(VALUE(LEFT($A1033,6)))),"",IF(LEN($A1033)=2,"WOJ. ",IF(LEN($A1033)=4,IF(VALUE(RIGHT($A1033,2))&gt;60,"","Powiat "),IF(VALUE(RIGHT($A1033,1))=1,"m. ",IF(VALUE(RIGHT($A1033,1))=2,"gm. w. ",IF(VALUE(RIGHT($A1033,1))=8,"dz. ","gm. m.-w. ")))))&amp;IF(LEN($A1033)=2,TRIM(UPPER(VLOOKUP($A1033,GUS_tabl_1!$A$7:$B$22,2,FALSE))),IF(ISERROR(FIND("..",TRIM(VLOOKUP(IF(AND(LEN($A1033)=4,VALUE(RIGHT($A1033,2))&gt;60),$A1033&amp;"01 1",$A1033),IF(AND(LEN($A1033)=4,VALUE(RIGHT($A1033,2))&lt;60),GUS_tabl_2!$A$8:$B$464,GUS_tabl_21!$A$5:$B$4886),2,FALSE)))),TRIM(VLOOKUP(IF(AND(LEN($A1033)=4,VALUE(RIGHT($A1033,2))&gt;60),$A1033&amp;"01 1",$A1033),IF(AND(LEN($A1033)=4,VALUE(RIGHT($A1033,2))&lt;60),GUS_tabl_2!$A$8:$B$464,GUS_tabl_21!$A$5:$B$4886),2,FALSE)),LEFT(TRIM(VLOOKUP(IF(AND(LEN($A1033)=4,VALUE(RIGHT($A1033,2))&gt;60),$A1033&amp;"01 1",$A1033),IF(AND(LEN($A1033)=4,VALUE(RIGHT($A1033,2))&lt;60),GUS_tabl_2!$A$8:$B$464,GUS_tabl_21!$A$5:$B$4886),2,FALSE)),SUM(FIND("..",TRIM(VLOOKUP(IF(AND(LEN($A1033)=4,VALUE(RIGHT($A1033,2))&gt;60),$A1033&amp;"01 1",$A1033),IF(AND(LEN($A1033)=4,VALUE(RIGHT($A1033,2))&lt;60),GUS_tabl_2!$A$8:$B$464,GUS_tabl_21!$A$5:$B$4886),2,FALSE))),-1)))))</f>
        <v>m. Grybów</v>
      </c>
      <c r="D1033" s="141">
        <f>IF(OR($A1033="",ISERROR(VALUE(LEFT($A1033,6)))),"",IF(LEN($A1033)=2,SUMIF($A1034:$A$2965,$A1033&amp;"??",$D1034:$D$2965),IF(AND(LEN($A1033)=4,VALUE(RIGHT($A1033,2))&lt;=60),SUMIF($A1034:$A$2965,$A1033&amp;"????",$D1034:$D$2965),VLOOKUP(IF(LEN($A1033)=4,$A1033&amp;"01 1",$A1033),GUS_tabl_21!$A$5:$F$4886,6,FALSE))))</f>
        <v>6026</v>
      </c>
      <c r="E1033" s="29"/>
    </row>
    <row r="1034" spans="1:5" ht="12" customHeight="1">
      <c r="A1034" s="155" t="str">
        <f>"121002 2"</f>
        <v>121002 2</v>
      </c>
      <c r="B1034" s="153" t="s">
        <v>71</v>
      </c>
      <c r="C1034" s="156" t="str">
        <f>IF(OR($A1034="",ISERROR(VALUE(LEFT($A1034,6)))),"",IF(LEN($A1034)=2,"WOJ. ",IF(LEN($A1034)=4,IF(VALUE(RIGHT($A1034,2))&gt;60,"","Powiat "),IF(VALUE(RIGHT($A1034,1))=1,"m. ",IF(VALUE(RIGHT($A1034,1))=2,"gm. w. ",IF(VALUE(RIGHT($A1034,1))=8,"dz. ","gm. m.-w. ")))))&amp;IF(LEN($A1034)=2,TRIM(UPPER(VLOOKUP($A1034,GUS_tabl_1!$A$7:$B$22,2,FALSE))),IF(ISERROR(FIND("..",TRIM(VLOOKUP(IF(AND(LEN($A1034)=4,VALUE(RIGHT($A1034,2))&gt;60),$A1034&amp;"01 1",$A1034),IF(AND(LEN($A1034)=4,VALUE(RIGHT($A1034,2))&lt;60),GUS_tabl_2!$A$8:$B$464,GUS_tabl_21!$A$5:$B$4886),2,FALSE)))),TRIM(VLOOKUP(IF(AND(LEN($A1034)=4,VALUE(RIGHT($A1034,2))&gt;60),$A1034&amp;"01 1",$A1034),IF(AND(LEN($A1034)=4,VALUE(RIGHT($A1034,2))&lt;60),GUS_tabl_2!$A$8:$B$464,GUS_tabl_21!$A$5:$B$4886),2,FALSE)),LEFT(TRIM(VLOOKUP(IF(AND(LEN($A1034)=4,VALUE(RIGHT($A1034,2))&gt;60),$A1034&amp;"01 1",$A1034),IF(AND(LEN($A1034)=4,VALUE(RIGHT($A1034,2))&lt;60),GUS_tabl_2!$A$8:$B$464,GUS_tabl_21!$A$5:$B$4886),2,FALSE)),SUM(FIND("..",TRIM(VLOOKUP(IF(AND(LEN($A1034)=4,VALUE(RIGHT($A1034,2))&gt;60),$A1034&amp;"01 1",$A1034),IF(AND(LEN($A1034)=4,VALUE(RIGHT($A1034,2))&lt;60),GUS_tabl_2!$A$8:$B$464,GUS_tabl_21!$A$5:$B$4886),2,FALSE))),-1)))))</f>
        <v>gm. w. Chełmiec</v>
      </c>
      <c r="D1034" s="141">
        <f>IF(OR($A1034="",ISERROR(VALUE(LEFT($A1034,6)))),"",IF(LEN($A1034)=2,SUMIF($A1035:$A$2965,$A1034&amp;"??",$D1035:$D$2965),IF(AND(LEN($A1034)=4,VALUE(RIGHT($A1034,2))&lt;=60),SUMIF($A1035:$A$2965,$A1034&amp;"????",$D1035:$D$2965),VLOOKUP(IF(LEN($A1034)=4,$A1034&amp;"01 1",$A1034),GUS_tabl_21!$A$5:$F$4886,6,FALSE))))</f>
        <v>28834</v>
      </c>
      <c r="E1034" s="29"/>
    </row>
    <row r="1035" spans="1:5" ht="12" customHeight="1">
      <c r="A1035" s="155" t="str">
        <f>"121003 2"</f>
        <v>121003 2</v>
      </c>
      <c r="B1035" s="153" t="s">
        <v>71</v>
      </c>
      <c r="C1035" s="156" t="str">
        <f>IF(OR($A1035="",ISERROR(VALUE(LEFT($A1035,6)))),"",IF(LEN($A1035)=2,"WOJ. ",IF(LEN($A1035)=4,IF(VALUE(RIGHT($A1035,2))&gt;60,"","Powiat "),IF(VALUE(RIGHT($A1035,1))=1,"m. ",IF(VALUE(RIGHT($A1035,1))=2,"gm. w. ",IF(VALUE(RIGHT($A1035,1))=8,"dz. ","gm. m.-w. ")))))&amp;IF(LEN($A1035)=2,TRIM(UPPER(VLOOKUP($A1035,GUS_tabl_1!$A$7:$B$22,2,FALSE))),IF(ISERROR(FIND("..",TRIM(VLOOKUP(IF(AND(LEN($A1035)=4,VALUE(RIGHT($A1035,2))&gt;60),$A1035&amp;"01 1",$A1035),IF(AND(LEN($A1035)=4,VALUE(RIGHT($A1035,2))&lt;60),GUS_tabl_2!$A$8:$B$464,GUS_tabl_21!$A$5:$B$4886),2,FALSE)))),TRIM(VLOOKUP(IF(AND(LEN($A1035)=4,VALUE(RIGHT($A1035,2))&gt;60),$A1035&amp;"01 1",$A1035),IF(AND(LEN($A1035)=4,VALUE(RIGHT($A1035,2))&lt;60),GUS_tabl_2!$A$8:$B$464,GUS_tabl_21!$A$5:$B$4886),2,FALSE)),LEFT(TRIM(VLOOKUP(IF(AND(LEN($A1035)=4,VALUE(RIGHT($A1035,2))&gt;60),$A1035&amp;"01 1",$A1035),IF(AND(LEN($A1035)=4,VALUE(RIGHT($A1035,2))&lt;60),GUS_tabl_2!$A$8:$B$464,GUS_tabl_21!$A$5:$B$4886),2,FALSE)),SUM(FIND("..",TRIM(VLOOKUP(IF(AND(LEN($A1035)=4,VALUE(RIGHT($A1035,2))&gt;60),$A1035&amp;"01 1",$A1035),IF(AND(LEN($A1035)=4,VALUE(RIGHT($A1035,2))&lt;60),GUS_tabl_2!$A$8:$B$464,GUS_tabl_21!$A$5:$B$4886),2,FALSE))),-1)))))</f>
        <v>gm. w. Gródek nad Dunajcem</v>
      </c>
      <c r="D1035" s="141">
        <f>IF(OR($A1035="",ISERROR(VALUE(LEFT($A1035,6)))),"",IF(LEN($A1035)=2,SUMIF($A1036:$A$2965,$A1035&amp;"??",$D1036:$D$2965),IF(AND(LEN($A1035)=4,VALUE(RIGHT($A1035,2))&lt;=60),SUMIF($A1036:$A$2965,$A1035&amp;"????",$D1036:$D$2965),VLOOKUP(IF(LEN($A1035)=4,$A1035&amp;"01 1",$A1035),GUS_tabl_21!$A$5:$F$4886,6,FALSE))))</f>
        <v>9252</v>
      </c>
      <c r="E1035" s="29"/>
    </row>
    <row r="1036" spans="1:5" ht="12" customHeight="1">
      <c r="A1036" s="155" t="str">
        <f>"121004 2"</f>
        <v>121004 2</v>
      </c>
      <c r="B1036" s="153" t="s">
        <v>71</v>
      </c>
      <c r="C1036" s="156" t="str">
        <f>IF(OR($A1036="",ISERROR(VALUE(LEFT($A1036,6)))),"",IF(LEN($A1036)=2,"WOJ. ",IF(LEN($A1036)=4,IF(VALUE(RIGHT($A1036,2))&gt;60,"","Powiat "),IF(VALUE(RIGHT($A1036,1))=1,"m. ",IF(VALUE(RIGHT($A1036,1))=2,"gm. w. ",IF(VALUE(RIGHT($A1036,1))=8,"dz. ","gm. m.-w. ")))))&amp;IF(LEN($A1036)=2,TRIM(UPPER(VLOOKUP($A1036,GUS_tabl_1!$A$7:$B$22,2,FALSE))),IF(ISERROR(FIND("..",TRIM(VLOOKUP(IF(AND(LEN($A1036)=4,VALUE(RIGHT($A1036,2))&gt;60),$A1036&amp;"01 1",$A1036),IF(AND(LEN($A1036)=4,VALUE(RIGHT($A1036,2))&lt;60),GUS_tabl_2!$A$8:$B$464,GUS_tabl_21!$A$5:$B$4886),2,FALSE)))),TRIM(VLOOKUP(IF(AND(LEN($A1036)=4,VALUE(RIGHT($A1036,2))&gt;60),$A1036&amp;"01 1",$A1036),IF(AND(LEN($A1036)=4,VALUE(RIGHT($A1036,2))&lt;60),GUS_tabl_2!$A$8:$B$464,GUS_tabl_21!$A$5:$B$4886),2,FALSE)),LEFT(TRIM(VLOOKUP(IF(AND(LEN($A1036)=4,VALUE(RIGHT($A1036,2))&gt;60),$A1036&amp;"01 1",$A1036),IF(AND(LEN($A1036)=4,VALUE(RIGHT($A1036,2))&lt;60),GUS_tabl_2!$A$8:$B$464,GUS_tabl_21!$A$5:$B$4886),2,FALSE)),SUM(FIND("..",TRIM(VLOOKUP(IF(AND(LEN($A1036)=4,VALUE(RIGHT($A1036,2))&gt;60),$A1036&amp;"01 1",$A1036),IF(AND(LEN($A1036)=4,VALUE(RIGHT($A1036,2))&lt;60),GUS_tabl_2!$A$8:$B$464,GUS_tabl_21!$A$5:$B$4886),2,FALSE))),-1)))))</f>
        <v>gm. w. Grybów</v>
      </c>
      <c r="D1036" s="141">
        <f>IF(OR($A1036="",ISERROR(VALUE(LEFT($A1036,6)))),"",IF(LEN($A1036)=2,SUMIF($A1037:$A$2965,$A1036&amp;"??",$D1037:$D$2965),IF(AND(LEN($A1036)=4,VALUE(RIGHT($A1036,2))&lt;=60),SUMIF($A1037:$A$2965,$A1036&amp;"????",$D1037:$D$2965),VLOOKUP(IF(LEN($A1036)=4,$A1036&amp;"01 1",$A1036),GUS_tabl_21!$A$5:$F$4886,6,FALSE))))</f>
        <v>25579</v>
      </c>
      <c r="E1036" s="29"/>
    </row>
    <row r="1037" spans="1:5" ht="12" customHeight="1">
      <c r="A1037" s="155" t="str">
        <f>"121005 2"</f>
        <v>121005 2</v>
      </c>
      <c r="B1037" s="153" t="s">
        <v>71</v>
      </c>
      <c r="C1037" s="156" t="str">
        <f>IF(OR($A1037="",ISERROR(VALUE(LEFT($A1037,6)))),"",IF(LEN($A1037)=2,"WOJ. ",IF(LEN($A1037)=4,IF(VALUE(RIGHT($A1037,2))&gt;60,"","Powiat "),IF(VALUE(RIGHT($A1037,1))=1,"m. ",IF(VALUE(RIGHT($A1037,1))=2,"gm. w. ",IF(VALUE(RIGHT($A1037,1))=8,"dz. ","gm. m.-w. ")))))&amp;IF(LEN($A1037)=2,TRIM(UPPER(VLOOKUP($A1037,GUS_tabl_1!$A$7:$B$22,2,FALSE))),IF(ISERROR(FIND("..",TRIM(VLOOKUP(IF(AND(LEN($A1037)=4,VALUE(RIGHT($A1037,2))&gt;60),$A1037&amp;"01 1",$A1037),IF(AND(LEN($A1037)=4,VALUE(RIGHT($A1037,2))&lt;60),GUS_tabl_2!$A$8:$B$464,GUS_tabl_21!$A$5:$B$4886),2,FALSE)))),TRIM(VLOOKUP(IF(AND(LEN($A1037)=4,VALUE(RIGHT($A1037,2))&gt;60),$A1037&amp;"01 1",$A1037),IF(AND(LEN($A1037)=4,VALUE(RIGHT($A1037,2))&lt;60),GUS_tabl_2!$A$8:$B$464,GUS_tabl_21!$A$5:$B$4886),2,FALSE)),LEFT(TRIM(VLOOKUP(IF(AND(LEN($A1037)=4,VALUE(RIGHT($A1037,2))&gt;60),$A1037&amp;"01 1",$A1037),IF(AND(LEN($A1037)=4,VALUE(RIGHT($A1037,2))&lt;60),GUS_tabl_2!$A$8:$B$464,GUS_tabl_21!$A$5:$B$4886),2,FALSE)),SUM(FIND("..",TRIM(VLOOKUP(IF(AND(LEN($A1037)=4,VALUE(RIGHT($A1037,2))&gt;60),$A1037&amp;"01 1",$A1037),IF(AND(LEN($A1037)=4,VALUE(RIGHT($A1037,2))&lt;60),GUS_tabl_2!$A$8:$B$464,GUS_tabl_21!$A$5:$B$4886),2,FALSE))),-1)))))</f>
        <v>gm. w. Kamionka Wielka</v>
      </c>
      <c r="D1037" s="141">
        <f>IF(OR($A1037="",ISERROR(VALUE(LEFT($A1037,6)))),"",IF(LEN($A1037)=2,SUMIF($A1038:$A$2965,$A1037&amp;"??",$D1038:$D$2965),IF(AND(LEN($A1037)=4,VALUE(RIGHT($A1037,2))&lt;=60),SUMIF($A1038:$A$2965,$A1037&amp;"????",$D1038:$D$2965),VLOOKUP(IF(LEN($A1037)=4,$A1037&amp;"01 1",$A1037),GUS_tabl_21!$A$5:$F$4886,6,FALSE))))</f>
        <v>10432</v>
      </c>
      <c r="E1037" s="29"/>
    </row>
    <row r="1038" spans="1:5" ht="12" customHeight="1">
      <c r="A1038" s="155" t="str">
        <f>"121006 2"</f>
        <v>121006 2</v>
      </c>
      <c r="B1038" s="153" t="s">
        <v>71</v>
      </c>
      <c r="C1038" s="156" t="str">
        <f>IF(OR($A1038="",ISERROR(VALUE(LEFT($A1038,6)))),"",IF(LEN($A1038)=2,"WOJ. ",IF(LEN($A1038)=4,IF(VALUE(RIGHT($A1038,2))&gt;60,"","Powiat "),IF(VALUE(RIGHT($A1038,1))=1,"m. ",IF(VALUE(RIGHT($A1038,1))=2,"gm. w. ",IF(VALUE(RIGHT($A1038,1))=8,"dz. ","gm. m.-w. ")))))&amp;IF(LEN($A1038)=2,TRIM(UPPER(VLOOKUP($A1038,GUS_tabl_1!$A$7:$B$22,2,FALSE))),IF(ISERROR(FIND("..",TRIM(VLOOKUP(IF(AND(LEN($A1038)=4,VALUE(RIGHT($A1038,2))&gt;60),$A1038&amp;"01 1",$A1038),IF(AND(LEN($A1038)=4,VALUE(RIGHT($A1038,2))&lt;60),GUS_tabl_2!$A$8:$B$464,GUS_tabl_21!$A$5:$B$4886),2,FALSE)))),TRIM(VLOOKUP(IF(AND(LEN($A1038)=4,VALUE(RIGHT($A1038,2))&gt;60),$A1038&amp;"01 1",$A1038),IF(AND(LEN($A1038)=4,VALUE(RIGHT($A1038,2))&lt;60),GUS_tabl_2!$A$8:$B$464,GUS_tabl_21!$A$5:$B$4886),2,FALSE)),LEFT(TRIM(VLOOKUP(IF(AND(LEN($A1038)=4,VALUE(RIGHT($A1038,2))&gt;60),$A1038&amp;"01 1",$A1038),IF(AND(LEN($A1038)=4,VALUE(RIGHT($A1038,2))&lt;60),GUS_tabl_2!$A$8:$B$464,GUS_tabl_21!$A$5:$B$4886),2,FALSE)),SUM(FIND("..",TRIM(VLOOKUP(IF(AND(LEN($A1038)=4,VALUE(RIGHT($A1038,2))&gt;60),$A1038&amp;"01 1",$A1038),IF(AND(LEN($A1038)=4,VALUE(RIGHT($A1038,2))&lt;60),GUS_tabl_2!$A$8:$B$464,GUS_tabl_21!$A$5:$B$4886),2,FALSE))),-1)))))</f>
        <v>gm. w. Korzenna</v>
      </c>
      <c r="D1038" s="141">
        <f>IF(OR($A1038="",ISERROR(VALUE(LEFT($A1038,6)))),"",IF(LEN($A1038)=2,SUMIF($A1039:$A$2965,$A1038&amp;"??",$D1039:$D$2965),IF(AND(LEN($A1038)=4,VALUE(RIGHT($A1038,2))&lt;=60),SUMIF($A1039:$A$2965,$A1038&amp;"????",$D1039:$D$2965),VLOOKUP(IF(LEN($A1038)=4,$A1038&amp;"01 1",$A1038),GUS_tabl_21!$A$5:$F$4886,6,FALSE))))</f>
        <v>14497</v>
      </c>
      <c r="E1038" s="29"/>
    </row>
    <row r="1039" spans="1:5" ht="12" customHeight="1">
      <c r="A1039" s="155" t="str">
        <f>"121007 3"</f>
        <v>121007 3</v>
      </c>
      <c r="B1039" s="153" t="s">
        <v>71</v>
      </c>
      <c r="C1039" s="156" t="str">
        <f>IF(OR($A1039="",ISERROR(VALUE(LEFT($A1039,6)))),"",IF(LEN($A1039)=2,"WOJ. ",IF(LEN($A1039)=4,IF(VALUE(RIGHT($A1039,2))&gt;60,"","Powiat "),IF(VALUE(RIGHT($A1039,1))=1,"m. ",IF(VALUE(RIGHT($A1039,1))=2,"gm. w. ",IF(VALUE(RIGHT($A1039,1))=8,"dz. ","gm. m.-w. ")))))&amp;IF(LEN($A1039)=2,TRIM(UPPER(VLOOKUP($A1039,GUS_tabl_1!$A$7:$B$22,2,FALSE))),IF(ISERROR(FIND("..",TRIM(VLOOKUP(IF(AND(LEN($A1039)=4,VALUE(RIGHT($A1039,2))&gt;60),$A1039&amp;"01 1",$A1039),IF(AND(LEN($A1039)=4,VALUE(RIGHT($A1039,2))&lt;60),GUS_tabl_2!$A$8:$B$464,GUS_tabl_21!$A$5:$B$4886),2,FALSE)))),TRIM(VLOOKUP(IF(AND(LEN($A1039)=4,VALUE(RIGHT($A1039,2))&gt;60),$A1039&amp;"01 1",$A1039),IF(AND(LEN($A1039)=4,VALUE(RIGHT($A1039,2))&lt;60),GUS_tabl_2!$A$8:$B$464,GUS_tabl_21!$A$5:$B$4886),2,FALSE)),LEFT(TRIM(VLOOKUP(IF(AND(LEN($A1039)=4,VALUE(RIGHT($A1039,2))&gt;60),$A1039&amp;"01 1",$A1039),IF(AND(LEN($A1039)=4,VALUE(RIGHT($A1039,2))&lt;60),GUS_tabl_2!$A$8:$B$464,GUS_tabl_21!$A$5:$B$4886),2,FALSE)),SUM(FIND("..",TRIM(VLOOKUP(IF(AND(LEN($A1039)=4,VALUE(RIGHT($A1039,2))&gt;60),$A1039&amp;"01 1",$A1039),IF(AND(LEN($A1039)=4,VALUE(RIGHT($A1039,2))&lt;60),GUS_tabl_2!$A$8:$B$464,GUS_tabl_21!$A$5:$B$4886),2,FALSE))),-1)))))</f>
        <v>gm. m.-w. Krynica-Zdrój</v>
      </c>
      <c r="D1039" s="141">
        <f>IF(OR($A1039="",ISERROR(VALUE(LEFT($A1039,6)))),"",IF(LEN($A1039)=2,SUMIF($A1040:$A$2965,$A1039&amp;"??",$D1040:$D$2965),IF(AND(LEN($A1039)=4,VALUE(RIGHT($A1039,2))&lt;=60),SUMIF($A1040:$A$2965,$A1039&amp;"????",$D1040:$D$2965),VLOOKUP(IF(LEN($A1039)=4,$A1039&amp;"01 1",$A1039),GUS_tabl_21!$A$5:$F$4886,6,FALSE))))</f>
        <v>16680</v>
      </c>
      <c r="E1039" s="29"/>
    </row>
    <row r="1040" spans="1:5" ht="12" customHeight="1">
      <c r="A1040" s="155" t="str">
        <f>"121008 2"</f>
        <v>121008 2</v>
      </c>
      <c r="B1040" s="153" t="s">
        <v>71</v>
      </c>
      <c r="C1040" s="156" t="str">
        <f>IF(OR($A1040="",ISERROR(VALUE(LEFT($A1040,6)))),"",IF(LEN($A1040)=2,"WOJ. ",IF(LEN($A1040)=4,IF(VALUE(RIGHT($A1040,2))&gt;60,"","Powiat "),IF(VALUE(RIGHT($A1040,1))=1,"m. ",IF(VALUE(RIGHT($A1040,1))=2,"gm. w. ",IF(VALUE(RIGHT($A1040,1))=8,"dz. ","gm. m.-w. ")))))&amp;IF(LEN($A1040)=2,TRIM(UPPER(VLOOKUP($A1040,GUS_tabl_1!$A$7:$B$22,2,FALSE))),IF(ISERROR(FIND("..",TRIM(VLOOKUP(IF(AND(LEN($A1040)=4,VALUE(RIGHT($A1040,2))&gt;60),$A1040&amp;"01 1",$A1040),IF(AND(LEN($A1040)=4,VALUE(RIGHT($A1040,2))&lt;60),GUS_tabl_2!$A$8:$B$464,GUS_tabl_21!$A$5:$B$4886),2,FALSE)))),TRIM(VLOOKUP(IF(AND(LEN($A1040)=4,VALUE(RIGHT($A1040,2))&gt;60),$A1040&amp;"01 1",$A1040),IF(AND(LEN($A1040)=4,VALUE(RIGHT($A1040,2))&lt;60),GUS_tabl_2!$A$8:$B$464,GUS_tabl_21!$A$5:$B$4886),2,FALSE)),LEFT(TRIM(VLOOKUP(IF(AND(LEN($A1040)=4,VALUE(RIGHT($A1040,2))&gt;60),$A1040&amp;"01 1",$A1040),IF(AND(LEN($A1040)=4,VALUE(RIGHT($A1040,2))&lt;60),GUS_tabl_2!$A$8:$B$464,GUS_tabl_21!$A$5:$B$4886),2,FALSE)),SUM(FIND("..",TRIM(VLOOKUP(IF(AND(LEN($A1040)=4,VALUE(RIGHT($A1040,2))&gt;60),$A1040&amp;"01 1",$A1040),IF(AND(LEN($A1040)=4,VALUE(RIGHT($A1040,2))&lt;60),GUS_tabl_2!$A$8:$B$464,GUS_tabl_21!$A$5:$B$4886),2,FALSE))),-1)))))</f>
        <v>gm. w. Łabowa</v>
      </c>
      <c r="D1040" s="141">
        <f>IF(OR($A1040="",ISERROR(VALUE(LEFT($A1040,6)))),"",IF(LEN($A1040)=2,SUMIF($A1041:$A$2965,$A1040&amp;"??",$D1041:$D$2965),IF(AND(LEN($A1040)=4,VALUE(RIGHT($A1040,2))&lt;=60),SUMIF($A1041:$A$2965,$A1040&amp;"????",$D1041:$D$2965),VLOOKUP(IF(LEN($A1040)=4,$A1040&amp;"01 1",$A1040),GUS_tabl_21!$A$5:$F$4886,6,FALSE))))</f>
        <v>6089</v>
      </c>
      <c r="E1040" s="29"/>
    </row>
    <row r="1041" spans="1:5" ht="12" customHeight="1">
      <c r="A1041" s="155" t="str">
        <f>"121009 2"</f>
        <v>121009 2</v>
      </c>
      <c r="B1041" s="153" t="s">
        <v>71</v>
      </c>
      <c r="C1041" s="156" t="str">
        <f>IF(OR($A1041="",ISERROR(VALUE(LEFT($A1041,6)))),"",IF(LEN($A1041)=2,"WOJ. ",IF(LEN($A1041)=4,IF(VALUE(RIGHT($A1041,2))&gt;60,"","Powiat "),IF(VALUE(RIGHT($A1041,1))=1,"m. ",IF(VALUE(RIGHT($A1041,1))=2,"gm. w. ",IF(VALUE(RIGHT($A1041,1))=8,"dz. ","gm. m.-w. ")))))&amp;IF(LEN($A1041)=2,TRIM(UPPER(VLOOKUP($A1041,GUS_tabl_1!$A$7:$B$22,2,FALSE))),IF(ISERROR(FIND("..",TRIM(VLOOKUP(IF(AND(LEN($A1041)=4,VALUE(RIGHT($A1041,2))&gt;60),$A1041&amp;"01 1",$A1041),IF(AND(LEN($A1041)=4,VALUE(RIGHT($A1041,2))&lt;60),GUS_tabl_2!$A$8:$B$464,GUS_tabl_21!$A$5:$B$4886),2,FALSE)))),TRIM(VLOOKUP(IF(AND(LEN($A1041)=4,VALUE(RIGHT($A1041,2))&gt;60),$A1041&amp;"01 1",$A1041),IF(AND(LEN($A1041)=4,VALUE(RIGHT($A1041,2))&lt;60),GUS_tabl_2!$A$8:$B$464,GUS_tabl_21!$A$5:$B$4886),2,FALSE)),LEFT(TRIM(VLOOKUP(IF(AND(LEN($A1041)=4,VALUE(RIGHT($A1041,2))&gt;60),$A1041&amp;"01 1",$A1041),IF(AND(LEN($A1041)=4,VALUE(RIGHT($A1041,2))&lt;60),GUS_tabl_2!$A$8:$B$464,GUS_tabl_21!$A$5:$B$4886),2,FALSE)),SUM(FIND("..",TRIM(VLOOKUP(IF(AND(LEN($A1041)=4,VALUE(RIGHT($A1041,2))&gt;60),$A1041&amp;"01 1",$A1041),IF(AND(LEN($A1041)=4,VALUE(RIGHT($A1041,2))&lt;60),GUS_tabl_2!$A$8:$B$464,GUS_tabl_21!$A$5:$B$4886),2,FALSE))),-1)))))</f>
        <v>gm. w. Łącko</v>
      </c>
      <c r="D1041" s="141">
        <f>IF(OR($A1041="",ISERROR(VALUE(LEFT($A1041,6)))),"",IF(LEN($A1041)=2,SUMIF($A1042:$A$2965,$A1041&amp;"??",$D1042:$D$2965),IF(AND(LEN($A1041)=4,VALUE(RIGHT($A1041,2))&lt;=60),SUMIF($A1042:$A$2965,$A1041&amp;"????",$D1042:$D$2965),VLOOKUP(IF(LEN($A1041)=4,$A1041&amp;"01 1",$A1041),GUS_tabl_21!$A$5:$F$4886,6,FALSE))))</f>
        <v>16522</v>
      </c>
      <c r="E1041" s="29"/>
    </row>
    <row r="1042" spans="1:5" ht="12" customHeight="1">
      <c r="A1042" s="155" t="str">
        <f>"121010 2"</f>
        <v>121010 2</v>
      </c>
      <c r="B1042" s="153" t="s">
        <v>71</v>
      </c>
      <c r="C1042" s="156" t="str">
        <f>IF(OR($A1042="",ISERROR(VALUE(LEFT($A1042,6)))),"",IF(LEN($A1042)=2,"WOJ. ",IF(LEN($A1042)=4,IF(VALUE(RIGHT($A1042,2))&gt;60,"","Powiat "),IF(VALUE(RIGHT($A1042,1))=1,"m. ",IF(VALUE(RIGHT($A1042,1))=2,"gm. w. ",IF(VALUE(RIGHT($A1042,1))=8,"dz. ","gm. m.-w. ")))))&amp;IF(LEN($A1042)=2,TRIM(UPPER(VLOOKUP($A1042,GUS_tabl_1!$A$7:$B$22,2,FALSE))),IF(ISERROR(FIND("..",TRIM(VLOOKUP(IF(AND(LEN($A1042)=4,VALUE(RIGHT($A1042,2))&gt;60),$A1042&amp;"01 1",$A1042),IF(AND(LEN($A1042)=4,VALUE(RIGHT($A1042,2))&lt;60),GUS_tabl_2!$A$8:$B$464,GUS_tabl_21!$A$5:$B$4886),2,FALSE)))),TRIM(VLOOKUP(IF(AND(LEN($A1042)=4,VALUE(RIGHT($A1042,2))&gt;60),$A1042&amp;"01 1",$A1042),IF(AND(LEN($A1042)=4,VALUE(RIGHT($A1042,2))&lt;60),GUS_tabl_2!$A$8:$B$464,GUS_tabl_21!$A$5:$B$4886),2,FALSE)),LEFT(TRIM(VLOOKUP(IF(AND(LEN($A1042)=4,VALUE(RIGHT($A1042,2))&gt;60),$A1042&amp;"01 1",$A1042),IF(AND(LEN($A1042)=4,VALUE(RIGHT($A1042,2))&lt;60),GUS_tabl_2!$A$8:$B$464,GUS_tabl_21!$A$5:$B$4886),2,FALSE)),SUM(FIND("..",TRIM(VLOOKUP(IF(AND(LEN($A1042)=4,VALUE(RIGHT($A1042,2))&gt;60),$A1042&amp;"01 1",$A1042),IF(AND(LEN($A1042)=4,VALUE(RIGHT($A1042,2))&lt;60),GUS_tabl_2!$A$8:$B$464,GUS_tabl_21!$A$5:$B$4886),2,FALSE))),-1)))))</f>
        <v>gm. w. Łososina Dolna</v>
      </c>
      <c r="D1042" s="141">
        <f>IF(OR($A1042="",ISERROR(VALUE(LEFT($A1042,6)))),"",IF(LEN($A1042)=2,SUMIF($A1043:$A$2965,$A1042&amp;"??",$D1043:$D$2965),IF(AND(LEN($A1042)=4,VALUE(RIGHT($A1042,2))&lt;=60),SUMIF($A1043:$A$2965,$A1042&amp;"????",$D1043:$D$2965),VLOOKUP(IF(LEN($A1042)=4,$A1042&amp;"01 1",$A1042),GUS_tabl_21!$A$5:$F$4886,6,FALSE))))</f>
        <v>11144</v>
      </c>
      <c r="E1042" s="29"/>
    </row>
    <row r="1043" spans="1:5" ht="12" customHeight="1">
      <c r="A1043" s="155" t="str">
        <f>"121011 3"</f>
        <v>121011 3</v>
      </c>
      <c r="B1043" s="153" t="s">
        <v>71</v>
      </c>
      <c r="C1043" s="156" t="str">
        <f>IF(OR($A1043="",ISERROR(VALUE(LEFT($A1043,6)))),"",IF(LEN($A1043)=2,"WOJ. ",IF(LEN($A1043)=4,IF(VALUE(RIGHT($A1043,2))&gt;60,"","Powiat "),IF(VALUE(RIGHT($A1043,1))=1,"m. ",IF(VALUE(RIGHT($A1043,1))=2,"gm. w. ",IF(VALUE(RIGHT($A1043,1))=8,"dz. ","gm. m.-w. ")))))&amp;IF(LEN($A1043)=2,TRIM(UPPER(VLOOKUP($A1043,GUS_tabl_1!$A$7:$B$22,2,FALSE))),IF(ISERROR(FIND("..",TRIM(VLOOKUP(IF(AND(LEN($A1043)=4,VALUE(RIGHT($A1043,2))&gt;60),$A1043&amp;"01 1",$A1043),IF(AND(LEN($A1043)=4,VALUE(RIGHT($A1043,2))&lt;60),GUS_tabl_2!$A$8:$B$464,GUS_tabl_21!$A$5:$B$4886),2,FALSE)))),TRIM(VLOOKUP(IF(AND(LEN($A1043)=4,VALUE(RIGHT($A1043,2))&gt;60),$A1043&amp;"01 1",$A1043),IF(AND(LEN($A1043)=4,VALUE(RIGHT($A1043,2))&lt;60),GUS_tabl_2!$A$8:$B$464,GUS_tabl_21!$A$5:$B$4886),2,FALSE)),LEFT(TRIM(VLOOKUP(IF(AND(LEN($A1043)=4,VALUE(RIGHT($A1043,2))&gt;60),$A1043&amp;"01 1",$A1043),IF(AND(LEN($A1043)=4,VALUE(RIGHT($A1043,2))&lt;60),GUS_tabl_2!$A$8:$B$464,GUS_tabl_21!$A$5:$B$4886),2,FALSE)),SUM(FIND("..",TRIM(VLOOKUP(IF(AND(LEN($A1043)=4,VALUE(RIGHT($A1043,2))&gt;60),$A1043&amp;"01 1",$A1043),IF(AND(LEN($A1043)=4,VALUE(RIGHT($A1043,2))&lt;60),GUS_tabl_2!$A$8:$B$464,GUS_tabl_21!$A$5:$B$4886),2,FALSE))),-1)))))</f>
        <v>gm. m.-w. Muszyna</v>
      </c>
      <c r="D1043" s="141">
        <f>IF(OR($A1043="",ISERROR(VALUE(LEFT($A1043,6)))),"",IF(LEN($A1043)=2,SUMIF($A1044:$A$2965,$A1043&amp;"??",$D1044:$D$2965),IF(AND(LEN($A1043)=4,VALUE(RIGHT($A1043,2))&lt;=60),SUMIF($A1044:$A$2965,$A1043&amp;"????",$D1044:$D$2965),VLOOKUP(IF(LEN($A1043)=4,$A1043&amp;"01 1",$A1043),GUS_tabl_21!$A$5:$F$4886,6,FALSE))))</f>
        <v>11566</v>
      </c>
      <c r="E1043" s="29"/>
    </row>
    <row r="1044" spans="1:5" ht="12" customHeight="1">
      <c r="A1044" s="155" t="str">
        <f>"121012 2"</f>
        <v>121012 2</v>
      </c>
      <c r="B1044" s="153" t="s">
        <v>71</v>
      </c>
      <c r="C1044" s="156" t="str">
        <f>IF(OR($A1044="",ISERROR(VALUE(LEFT($A1044,6)))),"",IF(LEN($A1044)=2,"WOJ. ",IF(LEN($A1044)=4,IF(VALUE(RIGHT($A1044,2))&gt;60,"","Powiat "),IF(VALUE(RIGHT($A1044,1))=1,"m. ",IF(VALUE(RIGHT($A1044,1))=2,"gm. w. ",IF(VALUE(RIGHT($A1044,1))=8,"dz. ","gm. m.-w. ")))))&amp;IF(LEN($A1044)=2,TRIM(UPPER(VLOOKUP($A1044,GUS_tabl_1!$A$7:$B$22,2,FALSE))),IF(ISERROR(FIND("..",TRIM(VLOOKUP(IF(AND(LEN($A1044)=4,VALUE(RIGHT($A1044,2))&gt;60),$A1044&amp;"01 1",$A1044),IF(AND(LEN($A1044)=4,VALUE(RIGHT($A1044,2))&lt;60),GUS_tabl_2!$A$8:$B$464,GUS_tabl_21!$A$5:$B$4886),2,FALSE)))),TRIM(VLOOKUP(IF(AND(LEN($A1044)=4,VALUE(RIGHT($A1044,2))&gt;60),$A1044&amp;"01 1",$A1044),IF(AND(LEN($A1044)=4,VALUE(RIGHT($A1044,2))&lt;60),GUS_tabl_2!$A$8:$B$464,GUS_tabl_21!$A$5:$B$4886),2,FALSE)),LEFT(TRIM(VLOOKUP(IF(AND(LEN($A1044)=4,VALUE(RIGHT($A1044,2))&gt;60),$A1044&amp;"01 1",$A1044),IF(AND(LEN($A1044)=4,VALUE(RIGHT($A1044,2))&lt;60),GUS_tabl_2!$A$8:$B$464,GUS_tabl_21!$A$5:$B$4886),2,FALSE)),SUM(FIND("..",TRIM(VLOOKUP(IF(AND(LEN($A1044)=4,VALUE(RIGHT($A1044,2))&gt;60),$A1044&amp;"01 1",$A1044),IF(AND(LEN($A1044)=4,VALUE(RIGHT($A1044,2))&lt;60),GUS_tabl_2!$A$8:$B$464,GUS_tabl_21!$A$5:$B$4886),2,FALSE))),-1)))))</f>
        <v>gm. w. Nawojowa</v>
      </c>
      <c r="D1044" s="141">
        <f>IF(OR($A1044="",ISERROR(VALUE(LEFT($A1044,6)))),"",IF(LEN($A1044)=2,SUMIF($A1045:$A$2965,$A1044&amp;"??",$D1045:$D$2965),IF(AND(LEN($A1044)=4,VALUE(RIGHT($A1044,2))&lt;=60),SUMIF($A1045:$A$2965,$A1044&amp;"????",$D1045:$D$2965),VLOOKUP(IF(LEN($A1044)=4,$A1044&amp;"01 1",$A1044),GUS_tabl_21!$A$5:$F$4886,6,FALSE))))</f>
        <v>8730</v>
      </c>
      <c r="E1044" s="29"/>
    </row>
    <row r="1045" spans="1:5" ht="12" customHeight="1">
      <c r="A1045" s="155" t="str">
        <f>"121013 3"</f>
        <v>121013 3</v>
      </c>
      <c r="B1045" s="153" t="s">
        <v>71</v>
      </c>
      <c r="C1045" s="156" t="str">
        <f>IF(OR($A1045="",ISERROR(VALUE(LEFT($A1045,6)))),"",IF(LEN($A1045)=2,"WOJ. ",IF(LEN($A1045)=4,IF(VALUE(RIGHT($A1045,2))&gt;60,"","Powiat "),IF(VALUE(RIGHT($A1045,1))=1,"m. ",IF(VALUE(RIGHT($A1045,1))=2,"gm. w. ",IF(VALUE(RIGHT($A1045,1))=8,"dz. ","gm. m.-w. ")))))&amp;IF(LEN($A1045)=2,TRIM(UPPER(VLOOKUP($A1045,GUS_tabl_1!$A$7:$B$22,2,FALSE))),IF(ISERROR(FIND("..",TRIM(VLOOKUP(IF(AND(LEN($A1045)=4,VALUE(RIGHT($A1045,2))&gt;60),$A1045&amp;"01 1",$A1045),IF(AND(LEN($A1045)=4,VALUE(RIGHT($A1045,2))&lt;60),GUS_tabl_2!$A$8:$B$464,GUS_tabl_21!$A$5:$B$4886),2,FALSE)))),TRIM(VLOOKUP(IF(AND(LEN($A1045)=4,VALUE(RIGHT($A1045,2))&gt;60),$A1045&amp;"01 1",$A1045),IF(AND(LEN($A1045)=4,VALUE(RIGHT($A1045,2))&lt;60),GUS_tabl_2!$A$8:$B$464,GUS_tabl_21!$A$5:$B$4886),2,FALSE)),LEFT(TRIM(VLOOKUP(IF(AND(LEN($A1045)=4,VALUE(RIGHT($A1045,2))&gt;60),$A1045&amp;"01 1",$A1045),IF(AND(LEN($A1045)=4,VALUE(RIGHT($A1045,2))&lt;60),GUS_tabl_2!$A$8:$B$464,GUS_tabl_21!$A$5:$B$4886),2,FALSE)),SUM(FIND("..",TRIM(VLOOKUP(IF(AND(LEN($A1045)=4,VALUE(RIGHT($A1045,2))&gt;60),$A1045&amp;"01 1",$A1045),IF(AND(LEN($A1045)=4,VALUE(RIGHT($A1045,2))&lt;60),GUS_tabl_2!$A$8:$B$464,GUS_tabl_21!$A$5:$B$4886),2,FALSE))),-1)))))</f>
        <v>gm. m.-w. Piwniczna-Zdrój</v>
      </c>
      <c r="D1045" s="141">
        <f>IF(OR($A1045="",ISERROR(VALUE(LEFT($A1045,6)))),"",IF(LEN($A1045)=2,SUMIF($A1046:$A$2965,$A1045&amp;"??",$D1046:$D$2965),IF(AND(LEN($A1045)=4,VALUE(RIGHT($A1045,2))&lt;=60),SUMIF($A1046:$A$2965,$A1045&amp;"????",$D1046:$D$2965),VLOOKUP(IF(LEN($A1045)=4,$A1045&amp;"01 1",$A1045),GUS_tabl_21!$A$5:$F$4886,6,FALSE))))</f>
        <v>10588</v>
      </c>
      <c r="E1045" s="29"/>
    </row>
    <row r="1046" spans="1:5" ht="12" customHeight="1">
      <c r="A1046" s="155" t="str">
        <f>"121014 2"</f>
        <v>121014 2</v>
      </c>
      <c r="B1046" s="153" t="s">
        <v>71</v>
      </c>
      <c r="C1046" s="156" t="str">
        <f>IF(OR($A1046="",ISERROR(VALUE(LEFT($A1046,6)))),"",IF(LEN($A1046)=2,"WOJ. ",IF(LEN($A1046)=4,IF(VALUE(RIGHT($A1046,2))&gt;60,"","Powiat "),IF(VALUE(RIGHT($A1046,1))=1,"m. ",IF(VALUE(RIGHT($A1046,1))=2,"gm. w. ",IF(VALUE(RIGHT($A1046,1))=8,"dz. ","gm. m.-w. ")))))&amp;IF(LEN($A1046)=2,TRIM(UPPER(VLOOKUP($A1046,GUS_tabl_1!$A$7:$B$22,2,FALSE))),IF(ISERROR(FIND("..",TRIM(VLOOKUP(IF(AND(LEN($A1046)=4,VALUE(RIGHT($A1046,2))&gt;60),$A1046&amp;"01 1",$A1046),IF(AND(LEN($A1046)=4,VALUE(RIGHT($A1046,2))&lt;60),GUS_tabl_2!$A$8:$B$464,GUS_tabl_21!$A$5:$B$4886),2,FALSE)))),TRIM(VLOOKUP(IF(AND(LEN($A1046)=4,VALUE(RIGHT($A1046,2))&gt;60),$A1046&amp;"01 1",$A1046),IF(AND(LEN($A1046)=4,VALUE(RIGHT($A1046,2))&lt;60),GUS_tabl_2!$A$8:$B$464,GUS_tabl_21!$A$5:$B$4886),2,FALSE)),LEFT(TRIM(VLOOKUP(IF(AND(LEN($A1046)=4,VALUE(RIGHT($A1046,2))&gt;60),$A1046&amp;"01 1",$A1046),IF(AND(LEN($A1046)=4,VALUE(RIGHT($A1046,2))&lt;60),GUS_tabl_2!$A$8:$B$464,GUS_tabl_21!$A$5:$B$4886),2,FALSE)),SUM(FIND("..",TRIM(VLOOKUP(IF(AND(LEN($A1046)=4,VALUE(RIGHT($A1046,2))&gt;60),$A1046&amp;"01 1",$A1046),IF(AND(LEN($A1046)=4,VALUE(RIGHT($A1046,2))&lt;60),GUS_tabl_2!$A$8:$B$464,GUS_tabl_21!$A$5:$B$4886),2,FALSE))),-1)))))</f>
        <v>gm. w. Podegrodzie</v>
      </c>
      <c r="D1046" s="141">
        <f>IF(OR($A1046="",ISERROR(VALUE(LEFT($A1046,6)))),"",IF(LEN($A1046)=2,SUMIF($A1047:$A$2965,$A1046&amp;"??",$D1047:$D$2965),IF(AND(LEN($A1046)=4,VALUE(RIGHT($A1046,2))&lt;=60),SUMIF($A1047:$A$2965,$A1046&amp;"????",$D1047:$D$2965),VLOOKUP(IF(LEN($A1046)=4,$A1046&amp;"01 1",$A1046),GUS_tabl_21!$A$5:$F$4886,6,FALSE))))</f>
        <v>13279</v>
      </c>
      <c r="E1046" s="29"/>
    </row>
    <row r="1047" spans="1:5" ht="12" customHeight="1">
      <c r="A1047" s="155" t="str">
        <f>"121015 2"</f>
        <v>121015 2</v>
      </c>
      <c r="B1047" s="153" t="s">
        <v>71</v>
      </c>
      <c r="C1047" s="156" t="str">
        <f>IF(OR($A1047="",ISERROR(VALUE(LEFT($A1047,6)))),"",IF(LEN($A1047)=2,"WOJ. ",IF(LEN($A1047)=4,IF(VALUE(RIGHT($A1047,2))&gt;60,"","Powiat "),IF(VALUE(RIGHT($A1047,1))=1,"m. ",IF(VALUE(RIGHT($A1047,1))=2,"gm. w. ",IF(VALUE(RIGHT($A1047,1))=8,"dz. ","gm. m.-w. ")))))&amp;IF(LEN($A1047)=2,TRIM(UPPER(VLOOKUP($A1047,GUS_tabl_1!$A$7:$B$22,2,FALSE))),IF(ISERROR(FIND("..",TRIM(VLOOKUP(IF(AND(LEN($A1047)=4,VALUE(RIGHT($A1047,2))&gt;60),$A1047&amp;"01 1",$A1047),IF(AND(LEN($A1047)=4,VALUE(RIGHT($A1047,2))&lt;60),GUS_tabl_2!$A$8:$B$464,GUS_tabl_21!$A$5:$B$4886),2,FALSE)))),TRIM(VLOOKUP(IF(AND(LEN($A1047)=4,VALUE(RIGHT($A1047,2))&gt;60),$A1047&amp;"01 1",$A1047),IF(AND(LEN($A1047)=4,VALUE(RIGHT($A1047,2))&lt;60),GUS_tabl_2!$A$8:$B$464,GUS_tabl_21!$A$5:$B$4886),2,FALSE)),LEFT(TRIM(VLOOKUP(IF(AND(LEN($A1047)=4,VALUE(RIGHT($A1047,2))&gt;60),$A1047&amp;"01 1",$A1047),IF(AND(LEN($A1047)=4,VALUE(RIGHT($A1047,2))&lt;60),GUS_tabl_2!$A$8:$B$464,GUS_tabl_21!$A$5:$B$4886),2,FALSE)),SUM(FIND("..",TRIM(VLOOKUP(IF(AND(LEN($A1047)=4,VALUE(RIGHT($A1047,2))&gt;60),$A1047&amp;"01 1",$A1047),IF(AND(LEN($A1047)=4,VALUE(RIGHT($A1047,2))&lt;60),GUS_tabl_2!$A$8:$B$464,GUS_tabl_21!$A$5:$B$4886),2,FALSE))),-1)))))</f>
        <v>gm. w. Rytro</v>
      </c>
      <c r="D1047" s="141">
        <f>IF(OR($A1047="",ISERROR(VALUE(LEFT($A1047,6)))),"",IF(LEN($A1047)=2,SUMIF($A1048:$A$2965,$A1047&amp;"??",$D1048:$D$2965),IF(AND(LEN($A1047)=4,VALUE(RIGHT($A1047,2))&lt;=60),SUMIF($A1048:$A$2965,$A1047&amp;"????",$D1048:$D$2965),VLOOKUP(IF(LEN($A1047)=4,$A1047&amp;"01 1",$A1047),GUS_tabl_21!$A$5:$F$4886,6,FALSE))))</f>
        <v>3777</v>
      </c>
      <c r="E1047" s="29"/>
    </row>
    <row r="1048" spans="1:5" ht="12" customHeight="1">
      <c r="A1048" s="155" t="str">
        <f>"121016 3"</f>
        <v>121016 3</v>
      </c>
      <c r="B1048" s="153" t="s">
        <v>71</v>
      </c>
      <c r="C1048" s="156" t="str">
        <f>IF(OR($A1048="",ISERROR(VALUE(LEFT($A1048,6)))),"",IF(LEN($A1048)=2,"WOJ. ",IF(LEN($A1048)=4,IF(VALUE(RIGHT($A1048,2))&gt;60,"","Powiat "),IF(VALUE(RIGHT($A1048,1))=1,"m. ",IF(VALUE(RIGHT($A1048,1))=2,"gm. w. ",IF(VALUE(RIGHT($A1048,1))=8,"dz. ","gm. m.-w. ")))))&amp;IF(LEN($A1048)=2,TRIM(UPPER(VLOOKUP($A1048,GUS_tabl_1!$A$7:$B$22,2,FALSE))),IF(ISERROR(FIND("..",TRIM(VLOOKUP(IF(AND(LEN($A1048)=4,VALUE(RIGHT($A1048,2))&gt;60),$A1048&amp;"01 1",$A1048),IF(AND(LEN($A1048)=4,VALUE(RIGHT($A1048,2))&lt;60),GUS_tabl_2!$A$8:$B$464,GUS_tabl_21!$A$5:$B$4886),2,FALSE)))),TRIM(VLOOKUP(IF(AND(LEN($A1048)=4,VALUE(RIGHT($A1048,2))&gt;60),$A1048&amp;"01 1",$A1048),IF(AND(LEN($A1048)=4,VALUE(RIGHT($A1048,2))&lt;60),GUS_tabl_2!$A$8:$B$464,GUS_tabl_21!$A$5:$B$4886),2,FALSE)),LEFT(TRIM(VLOOKUP(IF(AND(LEN($A1048)=4,VALUE(RIGHT($A1048,2))&gt;60),$A1048&amp;"01 1",$A1048),IF(AND(LEN($A1048)=4,VALUE(RIGHT($A1048,2))&lt;60),GUS_tabl_2!$A$8:$B$464,GUS_tabl_21!$A$5:$B$4886),2,FALSE)),SUM(FIND("..",TRIM(VLOOKUP(IF(AND(LEN($A1048)=4,VALUE(RIGHT($A1048,2))&gt;60),$A1048&amp;"01 1",$A1048),IF(AND(LEN($A1048)=4,VALUE(RIGHT($A1048,2))&lt;60),GUS_tabl_2!$A$8:$B$464,GUS_tabl_21!$A$5:$B$4886),2,FALSE))),-1)))))</f>
        <v>gm. m.-w. Stary Sącz</v>
      </c>
      <c r="D1048" s="141">
        <f>IF(OR($A1048="",ISERROR(VALUE(LEFT($A1048,6)))),"",IF(LEN($A1048)=2,SUMIF($A1049:$A$2965,$A1048&amp;"??",$D1049:$D$2965),IF(AND(LEN($A1048)=4,VALUE(RIGHT($A1048,2))&lt;=60),SUMIF($A1049:$A$2965,$A1048&amp;"????",$D1049:$D$2965),VLOOKUP(IF(LEN($A1048)=4,$A1048&amp;"01 1",$A1048),GUS_tabl_21!$A$5:$F$4886,6,FALSE))))</f>
        <v>23801</v>
      </c>
      <c r="E1048" s="29"/>
    </row>
    <row r="1049" spans="1:5" ht="12" customHeight="1">
      <c r="A1049" s="152" t="str">
        <f>"1211"</f>
        <v>1211</v>
      </c>
      <c r="B1049" s="153" t="s">
        <v>71</v>
      </c>
      <c r="C1049" s="154" t="str">
        <f>IF(OR($A1049="",ISERROR(VALUE(LEFT($A1049,6)))),"",IF(LEN($A1049)=2,"WOJ. ",IF(LEN($A1049)=4,IF(VALUE(RIGHT($A1049,2))&gt;60,"","Powiat "),IF(VALUE(RIGHT($A1049,1))=1,"m. ",IF(VALUE(RIGHT($A1049,1))=2,"gm. w. ",IF(VALUE(RIGHT($A1049,1))=8,"dz. ","gm. m.-w. ")))))&amp;IF(LEN($A1049)=2,TRIM(UPPER(VLOOKUP($A1049,GUS_tabl_1!$A$7:$B$22,2,FALSE))),IF(ISERROR(FIND("..",TRIM(VLOOKUP(IF(AND(LEN($A1049)=4,VALUE(RIGHT($A1049,2))&gt;60),$A1049&amp;"01 1",$A1049),IF(AND(LEN($A1049)=4,VALUE(RIGHT($A1049,2))&lt;60),GUS_tabl_2!$A$8:$B$464,GUS_tabl_21!$A$5:$B$4886),2,FALSE)))),TRIM(VLOOKUP(IF(AND(LEN($A1049)=4,VALUE(RIGHT($A1049,2))&gt;60),$A1049&amp;"01 1",$A1049),IF(AND(LEN($A1049)=4,VALUE(RIGHT($A1049,2))&lt;60),GUS_tabl_2!$A$8:$B$464,GUS_tabl_21!$A$5:$B$4886),2,FALSE)),LEFT(TRIM(VLOOKUP(IF(AND(LEN($A1049)=4,VALUE(RIGHT($A1049,2))&gt;60),$A1049&amp;"01 1",$A1049),IF(AND(LEN($A1049)=4,VALUE(RIGHT($A1049,2))&lt;60),GUS_tabl_2!$A$8:$B$464,GUS_tabl_21!$A$5:$B$4886),2,FALSE)),SUM(FIND("..",TRIM(VLOOKUP(IF(AND(LEN($A1049)=4,VALUE(RIGHT($A1049,2))&gt;60),$A1049&amp;"01 1",$A1049),IF(AND(LEN($A1049)=4,VALUE(RIGHT($A1049,2))&lt;60),GUS_tabl_2!$A$8:$B$464,GUS_tabl_21!$A$5:$B$4886),2,FALSE))),-1)))))</f>
        <v>Powiat nowotarski</v>
      </c>
      <c r="D1049" s="140">
        <f>IF(OR($A1049="",ISERROR(VALUE(LEFT($A1049,6)))),"",IF(LEN($A1049)=2,SUMIF($A1050:$A$2965,$A1049&amp;"??",$D1050:$D$2965),IF(AND(LEN($A1049)=4,VALUE(RIGHT($A1049,2))&lt;=60),SUMIF($A1050:$A$2965,$A1049&amp;"????",$D1050:$D$2965),VLOOKUP(IF(LEN($A1049)=4,$A1049&amp;"01 1",$A1049),GUS_tabl_21!$A$5:$F$4886,6,FALSE))))</f>
        <v>191782</v>
      </c>
      <c r="E1049" s="29"/>
    </row>
    <row r="1050" spans="1:5" ht="12" customHeight="1">
      <c r="A1050" s="155" t="str">
        <f>"121101 1"</f>
        <v>121101 1</v>
      </c>
      <c r="B1050" s="153" t="s">
        <v>71</v>
      </c>
      <c r="C1050" s="156" t="str">
        <f>IF(OR($A1050="",ISERROR(VALUE(LEFT($A1050,6)))),"",IF(LEN($A1050)=2,"WOJ. ",IF(LEN($A1050)=4,IF(VALUE(RIGHT($A1050,2))&gt;60,"","Powiat "),IF(VALUE(RIGHT($A1050,1))=1,"m. ",IF(VALUE(RIGHT($A1050,1))=2,"gm. w. ",IF(VALUE(RIGHT($A1050,1))=8,"dz. ","gm. m.-w. ")))))&amp;IF(LEN($A1050)=2,TRIM(UPPER(VLOOKUP($A1050,GUS_tabl_1!$A$7:$B$22,2,FALSE))),IF(ISERROR(FIND("..",TRIM(VLOOKUP(IF(AND(LEN($A1050)=4,VALUE(RIGHT($A1050,2))&gt;60),$A1050&amp;"01 1",$A1050),IF(AND(LEN($A1050)=4,VALUE(RIGHT($A1050,2))&lt;60),GUS_tabl_2!$A$8:$B$464,GUS_tabl_21!$A$5:$B$4886),2,FALSE)))),TRIM(VLOOKUP(IF(AND(LEN($A1050)=4,VALUE(RIGHT($A1050,2))&gt;60),$A1050&amp;"01 1",$A1050),IF(AND(LEN($A1050)=4,VALUE(RIGHT($A1050,2))&lt;60),GUS_tabl_2!$A$8:$B$464,GUS_tabl_21!$A$5:$B$4886),2,FALSE)),LEFT(TRIM(VLOOKUP(IF(AND(LEN($A1050)=4,VALUE(RIGHT($A1050,2))&gt;60),$A1050&amp;"01 1",$A1050),IF(AND(LEN($A1050)=4,VALUE(RIGHT($A1050,2))&lt;60),GUS_tabl_2!$A$8:$B$464,GUS_tabl_21!$A$5:$B$4886),2,FALSE)),SUM(FIND("..",TRIM(VLOOKUP(IF(AND(LEN($A1050)=4,VALUE(RIGHT($A1050,2))&gt;60),$A1050&amp;"01 1",$A1050),IF(AND(LEN($A1050)=4,VALUE(RIGHT($A1050,2))&lt;60),GUS_tabl_2!$A$8:$B$464,GUS_tabl_21!$A$5:$B$4886),2,FALSE))),-1)))))</f>
        <v>m. Nowy Targ</v>
      </c>
      <c r="D1050" s="141">
        <f>IF(OR($A1050="",ISERROR(VALUE(LEFT($A1050,6)))),"",IF(LEN($A1050)=2,SUMIF($A1051:$A$2965,$A1050&amp;"??",$D1051:$D$2965),IF(AND(LEN($A1050)=4,VALUE(RIGHT($A1050,2))&lt;=60),SUMIF($A1051:$A$2965,$A1050&amp;"????",$D1051:$D$2965),VLOOKUP(IF(LEN($A1050)=4,$A1050&amp;"01 1",$A1050),GUS_tabl_21!$A$5:$F$4886,6,FALSE))))</f>
        <v>33293</v>
      </c>
      <c r="E1050" s="29"/>
    </row>
    <row r="1051" spans="1:5" ht="12" customHeight="1">
      <c r="A1051" s="155" t="str">
        <f>"121102 3"</f>
        <v>121102 3</v>
      </c>
      <c r="B1051" s="153" t="s">
        <v>71</v>
      </c>
      <c r="C1051" s="156" t="str">
        <f>IF(OR($A1051="",ISERROR(VALUE(LEFT($A1051,6)))),"",IF(LEN($A1051)=2,"WOJ. ",IF(LEN($A1051)=4,IF(VALUE(RIGHT($A1051,2))&gt;60,"","Powiat "),IF(VALUE(RIGHT($A1051,1))=1,"m. ",IF(VALUE(RIGHT($A1051,1))=2,"gm. w. ",IF(VALUE(RIGHT($A1051,1))=8,"dz. ","gm. m.-w. ")))))&amp;IF(LEN($A1051)=2,TRIM(UPPER(VLOOKUP($A1051,GUS_tabl_1!$A$7:$B$22,2,FALSE))),IF(ISERROR(FIND("..",TRIM(VLOOKUP(IF(AND(LEN($A1051)=4,VALUE(RIGHT($A1051,2))&gt;60),$A1051&amp;"01 1",$A1051),IF(AND(LEN($A1051)=4,VALUE(RIGHT($A1051,2))&lt;60),GUS_tabl_2!$A$8:$B$464,GUS_tabl_21!$A$5:$B$4886),2,FALSE)))),TRIM(VLOOKUP(IF(AND(LEN($A1051)=4,VALUE(RIGHT($A1051,2))&gt;60),$A1051&amp;"01 1",$A1051),IF(AND(LEN($A1051)=4,VALUE(RIGHT($A1051,2))&lt;60),GUS_tabl_2!$A$8:$B$464,GUS_tabl_21!$A$5:$B$4886),2,FALSE)),LEFT(TRIM(VLOOKUP(IF(AND(LEN($A1051)=4,VALUE(RIGHT($A1051,2))&gt;60),$A1051&amp;"01 1",$A1051),IF(AND(LEN($A1051)=4,VALUE(RIGHT($A1051,2))&lt;60),GUS_tabl_2!$A$8:$B$464,GUS_tabl_21!$A$5:$B$4886),2,FALSE)),SUM(FIND("..",TRIM(VLOOKUP(IF(AND(LEN($A1051)=4,VALUE(RIGHT($A1051,2))&gt;60),$A1051&amp;"01 1",$A1051),IF(AND(LEN($A1051)=4,VALUE(RIGHT($A1051,2))&lt;60),GUS_tabl_2!$A$8:$B$464,GUS_tabl_21!$A$5:$B$4886),2,FALSE))),-1)))))</f>
        <v>gm. m.-w. Szczawnica</v>
      </c>
      <c r="D1051" s="141">
        <f>IF(OR($A1051="",ISERROR(VALUE(LEFT($A1051,6)))),"",IF(LEN($A1051)=2,SUMIF($A1052:$A$2965,$A1051&amp;"??",$D1052:$D$2965),IF(AND(LEN($A1051)=4,VALUE(RIGHT($A1051,2))&lt;=60),SUMIF($A1052:$A$2965,$A1051&amp;"????",$D1052:$D$2965),VLOOKUP(IF(LEN($A1051)=4,$A1051&amp;"01 1",$A1051),GUS_tabl_21!$A$5:$F$4886,6,FALSE))))</f>
        <v>7204</v>
      </c>
      <c r="E1051" s="29"/>
    </row>
    <row r="1052" spans="1:5" ht="12" customHeight="1">
      <c r="A1052" s="155" t="str">
        <f>"121103 2"</f>
        <v>121103 2</v>
      </c>
      <c r="B1052" s="153" t="s">
        <v>71</v>
      </c>
      <c r="C1052" s="156" t="str">
        <f>IF(OR($A1052="",ISERROR(VALUE(LEFT($A1052,6)))),"",IF(LEN($A1052)=2,"WOJ. ",IF(LEN($A1052)=4,IF(VALUE(RIGHT($A1052,2))&gt;60,"","Powiat "),IF(VALUE(RIGHT($A1052,1))=1,"m. ",IF(VALUE(RIGHT($A1052,1))=2,"gm. w. ",IF(VALUE(RIGHT($A1052,1))=8,"dz. ","gm. m.-w. ")))))&amp;IF(LEN($A1052)=2,TRIM(UPPER(VLOOKUP($A1052,GUS_tabl_1!$A$7:$B$22,2,FALSE))),IF(ISERROR(FIND("..",TRIM(VLOOKUP(IF(AND(LEN($A1052)=4,VALUE(RIGHT($A1052,2))&gt;60),$A1052&amp;"01 1",$A1052),IF(AND(LEN($A1052)=4,VALUE(RIGHT($A1052,2))&lt;60),GUS_tabl_2!$A$8:$B$464,GUS_tabl_21!$A$5:$B$4886),2,FALSE)))),TRIM(VLOOKUP(IF(AND(LEN($A1052)=4,VALUE(RIGHT($A1052,2))&gt;60),$A1052&amp;"01 1",$A1052),IF(AND(LEN($A1052)=4,VALUE(RIGHT($A1052,2))&lt;60),GUS_tabl_2!$A$8:$B$464,GUS_tabl_21!$A$5:$B$4886),2,FALSE)),LEFT(TRIM(VLOOKUP(IF(AND(LEN($A1052)=4,VALUE(RIGHT($A1052,2))&gt;60),$A1052&amp;"01 1",$A1052),IF(AND(LEN($A1052)=4,VALUE(RIGHT($A1052,2))&lt;60),GUS_tabl_2!$A$8:$B$464,GUS_tabl_21!$A$5:$B$4886),2,FALSE)),SUM(FIND("..",TRIM(VLOOKUP(IF(AND(LEN($A1052)=4,VALUE(RIGHT($A1052,2))&gt;60),$A1052&amp;"01 1",$A1052),IF(AND(LEN($A1052)=4,VALUE(RIGHT($A1052,2))&lt;60),GUS_tabl_2!$A$8:$B$464,GUS_tabl_21!$A$5:$B$4886),2,FALSE))),-1)))))</f>
        <v>gm. w. Czarny Dunajec</v>
      </c>
      <c r="D1052" s="141">
        <f>IF(OR($A1052="",ISERROR(VALUE(LEFT($A1052,6)))),"",IF(LEN($A1052)=2,SUMIF($A1053:$A$2965,$A1052&amp;"??",$D1053:$D$2965),IF(AND(LEN($A1052)=4,VALUE(RIGHT($A1052,2))&lt;=60),SUMIF($A1053:$A$2965,$A1052&amp;"????",$D1053:$D$2965),VLOOKUP(IF(LEN($A1052)=4,$A1052&amp;"01 1",$A1052),GUS_tabl_21!$A$5:$F$4886,6,FALSE))))</f>
        <v>22626</v>
      </c>
      <c r="E1052" s="29"/>
    </row>
    <row r="1053" spans="1:5" ht="12" customHeight="1">
      <c r="A1053" s="155" t="str">
        <f>"121104 2"</f>
        <v>121104 2</v>
      </c>
      <c r="B1053" s="153" t="s">
        <v>71</v>
      </c>
      <c r="C1053" s="156" t="str">
        <f>IF(OR($A1053="",ISERROR(VALUE(LEFT($A1053,6)))),"",IF(LEN($A1053)=2,"WOJ. ",IF(LEN($A1053)=4,IF(VALUE(RIGHT($A1053,2))&gt;60,"","Powiat "),IF(VALUE(RIGHT($A1053,1))=1,"m. ",IF(VALUE(RIGHT($A1053,1))=2,"gm. w. ",IF(VALUE(RIGHT($A1053,1))=8,"dz. ","gm. m.-w. ")))))&amp;IF(LEN($A1053)=2,TRIM(UPPER(VLOOKUP($A1053,GUS_tabl_1!$A$7:$B$22,2,FALSE))),IF(ISERROR(FIND("..",TRIM(VLOOKUP(IF(AND(LEN($A1053)=4,VALUE(RIGHT($A1053,2))&gt;60),$A1053&amp;"01 1",$A1053),IF(AND(LEN($A1053)=4,VALUE(RIGHT($A1053,2))&lt;60),GUS_tabl_2!$A$8:$B$464,GUS_tabl_21!$A$5:$B$4886),2,FALSE)))),TRIM(VLOOKUP(IF(AND(LEN($A1053)=4,VALUE(RIGHT($A1053,2))&gt;60),$A1053&amp;"01 1",$A1053),IF(AND(LEN($A1053)=4,VALUE(RIGHT($A1053,2))&lt;60),GUS_tabl_2!$A$8:$B$464,GUS_tabl_21!$A$5:$B$4886),2,FALSE)),LEFT(TRIM(VLOOKUP(IF(AND(LEN($A1053)=4,VALUE(RIGHT($A1053,2))&gt;60),$A1053&amp;"01 1",$A1053),IF(AND(LEN($A1053)=4,VALUE(RIGHT($A1053,2))&lt;60),GUS_tabl_2!$A$8:$B$464,GUS_tabl_21!$A$5:$B$4886),2,FALSE)),SUM(FIND("..",TRIM(VLOOKUP(IF(AND(LEN($A1053)=4,VALUE(RIGHT($A1053,2))&gt;60),$A1053&amp;"01 1",$A1053),IF(AND(LEN($A1053)=4,VALUE(RIGHT($A1053,2))&lt;60),GUS_tabl_2!$A$8:$B$464,GUS_tabl_21!$A$5:$B$4886),2,FALSE))),-1)))))</f>
        <v>gm. w. Czorsztyn</v>
      </c>
      <c r="D1053" s="141">
        <f>IF(OR($A1053="",ISERROR(VALUE(LEFT($A1053,6)))),"",IF(LEN($A1053)=2,SUMIF($A1054:$A$2965,$A1053&amp;"??",$D1054:$D$2965),IF(AND(LEN($A1053)=4,VALUE(RIGHT($A1053,2))&lt;=60),SUMIF($A1054:$A$2965,$A1053&amp;"????",$D1054:$D$2965),VLOOKUP(IF(LEN($A1053)=4,$A1053&amp;"01 1",$A1053),GUS_tabl_21!$A$5:$F$4886,6,FALSE))))</f>
        <v>7663</v>
      </c>
      <c r="E1053" s="29"/>
    </row>
    <row r="1054" spans="1:5" ht="12" customHeight="1">
      <c r="A1054" s="155" t="str">
        <f>"121105 2"</f>
        <v>121105 2</v>
      </c>
      <c r="B1054" s="153" t="s">
        <v>71</v>
      </c>
      <c r="C1054" s="156" t="str">
        <f>IF(OR($A1054="",ISERROR(VALUE(LEFT($A1054,6)))),"",IF(LEN($A1054)=2,"WOJ. ",IF(LEN($A1054)=4,IF(VALUE(RIGHT($A1054,2))&gt;60,"","Powiat "),IF(VALUE(RIGHT($A1054,1))=1,"m. ",IF(VALUE(RIGHT($A1054,1))=2,"gm. w. ",IF(VALUE(RIGHT($A1054,1))=8,"dz. ","gm. m.-w. ")))))&amp;IF(LEN($A1054)=2,TRIM(UPPER(VLOOKUP($A1054,GUS_tabl_1!$A$7:$B$22,2,FALSE))),IF(ISERROR(FIND("..",TRIM(VLOOKUP(IF(AND(LEN($A1054)=4,VALUE(RIGHT($A1054,2))&gt;60),$A1054&amp;"01 1",$A1054),IF(AND(LEN($A1054)=4,VALUE(RIGHT($A1054,2))&lt;60),GUS_tabl_2!$A$8:$B$464,GUS_tabl_21!$A$5:$B$4886),2,FALSE)))),TRIM(VLOOKUP(IF(AND(LEN($A1054)=4,VALUE(RIGHT($A1054,2))&gt;60),$A1054&amp;"01 1",$A1054),IF(AND(LEN($A1054)=4,VALUE(RIGHT($A1054,2))&lt;60),GUS_tabl_2!$A$8:$B$464,GUS_tabl_21!$A$5:$B$4886),2,FALSE)),LEFT(TRIM(VLOOKUP(IF(AND(LEN($A1054)=4,VALUE(RIGHT($A1054,2))&gt;60),$A1054&amp;"01 1",$A1054),IF(AND(LEN($A1054)=4,VALUE(RIGHT($A1054,2))&lt;60),GUS_tabl_2!$A$8:$B$464,GUS_tabl_21!$A$5:$B$4886),2,FALSE)),SUM(FIND("..",TRIM(VLOOKUP(IF(AND(LEN($A1054)=4,VALUE(RIGHT($A1054,2))&gt;60),$A1054&amp;"01 1",$A1054),IF(AND(LEN($A1054)=4,VALUE(RIGHT($A1054,2))&lt;60),GUS_tabl_2!$A$8:$B$464,GUS_tabl_21!$A$5:$B$4886),2,FALSE))),-1)))))</f>
        <v>gm. w. Jabłonka</v>
      </c>
      <c r="D1054" s="141">
        <f>IF(OR($A1054="",ISERROR(VALUE(LEFT($A1054,6)))),"",IF(LEN($A1054)=2,SUMIF($A1055:$A$2965,$A1054&amp;"??",$D1055:$D$2965),IF(AND(LEN($A1054)=4,VALUE(RIGHT($A1054,2))&lt;=60),SUMIF($A1055:$A$2965,$A1054&amp;"????",$D1055:$D$2965),VLOOKUP(IF(LEN($A1054)=4,$A1054&amp;"01 1",$A1054),GUS_tabl_21!$A$5:$F$4886,6,FALSE))))</f>
        <v>18664</v>
      </c>
      <c r="E1054" s="29"/>
    </row>
    <row r="1055" spans="1:5" ht="12" customHeight="1">
      <c r="A1055" s="155" t="str">
        <f>"121106 2"</f>
        <v>121106 2</v>
      </c>
      <c r="B1055" s="153" t="s">
        <v>71</v>
      </c>
      <c r="C1055" s="156" t="str">
        <f>IF(OR($A1055="",ISERROR(VALUE(LEFT($A1055,6)))),"",IF(LEN($A1055)=2,"WOJ. ",IF(LEN($A1055)=4,IF(VALUE(RIGHT($A1055,2))&gt;60,"","Powiat "),IF(VALUE(RIGHT($A1055,1))=1,"m. ",IF(VALUE(RIGHT($A1055,1))=2,"gm. w. ",IF(VALUE(RIGHT($A1055,1))=8,"dz. ","gm. m.-w. ")))))&amp;IF(LEN($A1055)=2,TRIM(UPPER(VLOOKUP($A1055,GUS_tabl_1!$A$7:$B$22,2,FALSE))),IF(ISERROR(FIND("..",TRIM(VLOOKUP(IF(AND(LEN($A1055)=4,VALUE(RIGHT($A1055,2))&gt;60),$A1055&amp;"01 1",$A1055),IF(AND(LEN($A1055)=4,VALUE(RIGHT($A1055,2))&lt;60),GUS_tabl_2!$A$8:$B$464,GUS_tabl_21!$A$5:$B$4886),2,FALSE)))),TRIM(VLOOKUP(IF(AND(LEN($A1055)=4,VALUE(RIGHT($A1055,2))&gt;60),$A1055&amp;"01 1",$A1055),IF(AND(LEN($A1055)=4,VALUE(RIGHT($A1055,2))&lt;60),GUS_tabl_2!$A$8:$B$464,GUS_tabl_21!$A$5:$B$4886),2,FALSE)),LEFT(TRIM(VLOOKUP(IF(AND(LEN($A1055)=4,VALUE(RIGHT($A1055,2))&gt;60),$A1055&amp;"01 1",$A1055),IF(AND(LEN($A1055)=4,VALUE(RIGHT($A1055,2))&lt;60),GUS_tabl_2!$A$8:$B$464,GUS_tabl_21!$A$5:$B$4886),2,FALSE)),SUM(FIND("..",TRIM(VLOOKUP(IF(AND(LEN($A1055)=4,VALUE(RIGHT($A1055,2))&gt;60),$A1055&amp;"01 1",$A1055),IF(AND(LEN($A1055)=4,VALUE(RIGHT($A1055,2))&lt;60),GUS_tabl_2!$A$8:$B$464,GUS_tabl_21!$A$5:$B$4886),2,FALSE))),-1)))))</f>
        <v>gm. w. Krościenko nad Dunajcem</v>
      </c>
      <c r="D1055" s="141">
        <f>IF(OR($A1055="",ISERROR(VALUE(LEFT($A1055,6)))),"",IF(LEN($A1055)=2,SUMIF($A1056:$A$2965,$A1055&amp;"??",$D1056:$D$2965),IF(AND(LEN($A1055)=4,VALUE(RIGHT($A1055,2))&lt;=60),SUMIF($A1056:$A$2965,$A1055&amp;"????",$D1056:$D$2965),VLOOKUP(IF(LEN($A1055)=4,$A1055&amp;"01 1",$A1055),GUS_tabl_21!$A$5:$F$4886,6,FALSE))))</f>
        <v>6802</v>
      </c>
      <c r="E1055" s="29"/>
    </row>
    <row r="1056" spans="1:5" ht="12" customHeight="1">
      <c r="A1056" s="155" t="str">
        <f>"121107 2"</f>
        <v>121107 2</v>
      </c>
      <c r="B1056" s="153" t="s">
        <v>71</v>
      </c>
      <c r="C1056" s="156" t="str">
        <f>IF(OR($A1056="",ISERROR(VALUE(LEFT($A1056,6)))),"",IF(LEN($A1056)=2,"WOJ. ",IF(LEN($A1056)=4,IF(VALUE(RIGHT($A1056,2))&gt;60,"","Powiat "),IF(VALUE(RIGHT($A1056,1))=1,"m. ",IF(VALUE(RIGHT($A1056,1))=2,"gm. w. ",IF(VALUE(RIGHT($A1056,1))=8,"dz. ","gm. m.-w. ")))))&amp;IF(LEN($A1056)=2,TRIM(UPPER(VLOOKUP($A1056,GUS_tabl_1!$A$7:$B$22,2,FALSE))),IF(ISERROR(FIND("..",TRIM(VLOOKUP(IF(AND(LEN($A1056)=4,VALUE(RIGHT($A1056,2))&gt;60),$A1056&amp;"01 1",$A1056),IF(AND(LEN($A1056)=4,VALUE(RIGHT($A1056,2))&lt;60),GUS_tabl_2!$A$8:$B$464,GUS_tabl_21!$A$5:$B$4886),2,FALSE)))),TRIM(VLOOKUP(IF(AND(LEN($A1056)=4,VALUE(RIGHT($A1056,2))&gt;60),$A1056&amp;"01 1",$A1056),IF(AND(LEN($A1056)=4,VALUE(RIGHT($A1056,2))&lt;60),GUS_tabl_2!$A$8:$B$464,GUS_tabl_21!$A$5:$B$4886),2,FALSE)),LEFT(TRIM(VLOOKUP(IF(AND(LEN($A1056)=4,VALUE(RIGHT($A1056,2))&gt;60),$A1056&amp;"01 1",$A1056),IF(AND(LEN($A1056)=4,VALUE(RIGHT($A1056,2))&lt;60),GUS_tabl_2!$A$8:$B$464,GUS_tabl_21!$A$5:$B$4886),2,FALSE)),SUM(FIND("..",TRIM(VLOOKUP(IF(AND(LEN($A1056)=4,VALUE(RIGHT($A1056,2))&gt;60),$A1056&amp;"01 1",$A1056),IF(AND(LEN($A1056)=4,VALUE(RIGHT($A1056,2))&lt;60),GUS_tabl_2!$A$8:$B$464,GUS_tabl_21!$A$5:$B$4886),2,FALSE))),-1)))))</f>
        <v>gm. w. Lipnica Wielka</v>
      </c>
      <c r="D1056" s="141">
        <f>IF(OR($A1056="",ISERROR(VALUE(LEFT($A1056,6)))),"",IF(LEN($A1056)=2,SUMIF($A1057:$A$2965,$A1056&amp;"??",$D1057:$D$2965),IF(AND(LEN($A1056)=4,VALUE(RIGHT($A1056,2))&lt;=60),SUMIF($A1057:$A$2965,$A1056&amp;"????",$D1057:$D$2965),VLOOKUP(IF(LEN($A1056)=4,$A1056&amp;"01 1",$A1056),GUS_tabl_21!$A$5:$F$4886,6,FALSE))))</f>
        <v>6015</v>
      </c>
      <c r="E1056" s="29"/>
    </row>
    <row r="1057" spans="1:5" ht="12" customHeight="1">
      <c r="A1057" s="155" t="str">
        <f>"121108 2"</f>
        <v>121108 2</v>
      </c>
      <c r="B1057" s="153" t="s">
        <v>71</v>
      </c>
      <c r="C1057" s="156" t="str">
        <f>IF(OR($A1057="",ISERROR(VALUE(LEFT($A1057,6)))),"",IF(LEN($A1057)=2,"WOJ. ",IF(LEN($A1057)=4,IF(VALUE(RIGHT($A1057,2))&gt;60,"","Powiat "),IF(VALUE(RIGHT($A1057,1))=1,"m. ",IF(VALUE(RIGHT($A1057,1))=2,"gm. w. ",IF(VALUE(RIGHT($A1057,1))=8,"dz. ","gm. m.-w. ")))))&amp;IF(LEN($A1057)=2,TRIM(UPPER(VLOOKUP($A1057,GUS_tabl_1!$A$7:$B$22,2,FALSE))),IF(ISERROR(FIND("..",TRIM(VLOOKUP(IF(AND(LEN($A1057)=4,VALUE(RIGHT($A1057,2))&gt;60),$A1057&amp;"01 1",$A1057),IF(AND(LEN($A1057)=4,VALUE(RIGHT($A1057,2))&lt;60),GUS_tabl_2!$A$8:$B$464,GUS_tabl_21!$A$5:$B$4886),2,FALSE)))),TRIM(VLOOKUP(IF(AND(LEN($A1057)=4,VALUE(RIGHT($A1057,2))&gt;60),$A1057&amp;"01 1",$A1057),IF(AND(LEN($A1057)=4,VALUE(RIGHT($A1057,2))&lt;60),GUS_tabl_2!$A$8:$B$464,GUS_tabl_21!$A$5:$B$4886),2,FALSE)),LEFT(TRIM(VLOOKUP(IF(AND(LEN($A1057)=4,VALUE(RIGHT($A1057,2))&gt;60),$A1057&amp;"01 1",$A1057),IF(AND(LEN($A1057)=4,VALUE(RIGHT($A1057,2))&lt;60),GUS_tabl_2!$A$8:$B$464,GUS_tabl_21!$A$5:$B$4886),2,FALSE)),SUM(FIND("..",TRIM(VLOOKUP(IF(AND(LEN($A1057)=4,VALUE(RIGHT($A1057,2))&gt;60),$A1057&amp;"01 1",$A1057),IF(AND(LEN($A1057)=4,VALUE(RIGHT($A1057,2))&lt;60),GUS_tabl_2!$A$8:$B$464,GUS_tabl_21!$A$5:$B$4886),2,FALSE))),-1)))))</f>
        <v>gm. w. Łapsze Niżne</v>
      </c>
      <c r="D1057" s="141">
        <f>IF(OR($A1057="",ISERROR(VALUE(LEFT($A1057,6)))),"",IF(LEN($A1057)=2,SUMIF($A1058:$A$2965,$A1057&amp;"??",$D1058:$D$2965),IF(AND(LEN($A1057)=4,VALUE(RIGHT($A1057,2))&lt;=60),SUMIF($A1058:$A$2965,$A1057&amp;"????",$D1058:$D$2965),VLOOKUP(IF(LEN($A1057)=4,$A1057&amp;"01 1",$A1057),GUS_tabl_21!$A$5:$F$4886,6,FALSE))))</f>
        <v>9379</v>
      </c>
      <c r="E1057" s="29"/>
    </row>
    <row r="1058" spans="1:5" ht="12" customHeight="1">
      <c r="A1058" s="155" t="str">
        <f>"121109 2"</f>
        <v>121109 2</v>
      </c>
      <c r="B1058" s="153" t="s">
        <v>71</v>
      </c>
      <c r="C1058" s="156" t="str">
        <f>IF(OR($A1058="",ISERROR(VALUE(LEFT($A1058,6)))),"",IF(LEN($A1058)=2,"WOJ. ",IF(LEN($A1058)=4,IF(VALUE(RIGHT($A1058,2))&gt;60,"","Powiat "),IF(VALUE(RIGHT($A1058,1))=1,"m. ",IF(VALUE(RIGHT($A1058,1))=2,"gm. w. ",IF(VALUE(RIGHT($A1058,1))=8,"dz. ","gm. m.-w. ")))))&amp;IF(LEN($A1058)=2,TRIM(UPPER(VLOOKUP($A1058,GUS_tabl_1!$A$7:$B$22,2,FALSE))),IF(ISERROR(FIND("..",TRIM(VLOOKUP(IF(AND(LEN($A1058)=4,VALUE(RIGHT($A1058,2))&gt;60),$A1058&amp;"01 1",$A1058),IF(AND(LEN($A1058)=4,VALUE(RIGHT($A1058,2))&lt;60),GUS_tabl_2!$A$8:$B$464,GUS_tabl_21!$A$5:$B$4886),2,FALSE)))),TRIM(VLOOKUP(IF(AND(LEN($A1058)=4,VALUE(RIGHT($A1058,2))&gt;60),$A1058&amp;"01 1",$A1058),IF(AND(LEN($A1058)=4,VALUE(RIGHT($A1058,2))&lt;60),GUS_tabl_2!$A$8:$B$464,GUS_tabl_21!$A$5:$B$4886),2,FALSE)),LEFT(TRIM(VLOOKUP(IF(AND(LEN($A1058)=4,VALUE(RIGHT($A1058,2))&gt;60),$A1058&amp;"01 1",$A1058),IF(AND(LEN($A1058)=4,VALUE(RIGHT($A1058,2))&lt;60),GUS_tabl_2!$A$8:$B$464,GUS_tabl_21!$A$5:$B$4886),2,FALSE)),SUM(FIND("..",TRIM(VLOOKUP(IF(AND(LEN($A1058)=4,VALUE(RIGHT($A1058,2))&gt;60),$A1058&amp;"01 1",$A1058),IF(AND(LEN($A1058)=4,VALUE(RIGHT($A1058,2))&lt;60),GUS_tabl_2!$A$8:$B$464,GUS_tabl_21!$A$5:$B$4886),2,FALSE))),-1)))))</f>
        <v>gm. w. Nowy Targ</v>
      </c>
      <c r="D1058" s="141">
        <f>IF(OR($A1058="",ISERROR(VALUE(LEFT($A1058,6)))),"",IF(LEN($A1058)=2,SUMIF($A1059:$A$2965,$A1058&amp;"??",$D1059:$D$2965),IF(AND(LEN($A1058)=4,VALUE(RIGHT($A1058,2))&lt;=60),SUMIF($A1059:$A$2965,$A1058&amp;"????",$D1059:$D$2965),VLOOKUP(IF(LEN($A1058)=4,$A1058&amp;"01 1",$A1058),GUS_tabl_21!$A$5:$F$4886,6,FALSE))))</f>
        <v>24070</v>
      </c>
      <c r="E1058" s="29"/>
    </row>
    <row r="1059" spans="1:5" ht="12" customHeight="1">
      <c r="A1059" s="155" t="str">
        <f>"121110 2"</f>
        <v>121110 2</v>
      </c>
      <c r="B1059" s="153" t="s">
        <v>71</v>
      </c>
      <c r="C1059" s="156" t="str">
        <f>IF(OR($A1059="",ISERROR(VALUE(LEFT($A1059,6)))),"",IF(LEN($A1059)=2,"WOJ. ",IF(LEN($A1059)=4,IF(VALUE(RIGHT($A1059,2))&gt;60,"","Powiat "),IF(VALUE(RIGHT($A1059,1))=1,"m. ",IF(VALUE(RIGHT($A1059,1))=2,"gm. w. ",IF(VALUE(RIGHT($A1059,1))=8,"dz. ","gm. m.-w. ")))))&amp;IF(LEN($A1059)=2,TRIM(UPPER(VLOOKUP($A1059,GUS_tabl_1!$A$7:$B$22,2,FALSE))),IF(ISERROR(FIND("..",TRIM(VLOOKUP(IF(AND(LEN($A1059)=4,VALUE(RIGHT($A1059,2))&gt;60),$A1059&amp;"01 1",$A1059),IF(AND(LEN($A1059)=4,VALUE(RIGHT($A1059,2))&lt;60),GUS_tabl_2!$A$8:$B$464,GUS_tabl_21!$A$5:$B$4886),2,FALSE)))),TRIM(VLOOKUP(IF(AND(LEN($A1059)=4,VALUE(RIGHT($A1059,2))&gt;60),$A1059&amp;"01 1",$A1059),IF(AND(LEN($A1059)=4,VALUE(RIGHT($A1059,2))&lt;60),GUS_tabl_2!$A$8:$B$464,GUS_tabl_21!$A$5:$B$4886),2,FALSE)),LEFT(TRIM(VLOOKUP(IF(AND(LEN($A1059)=4,VALUE(RIGHT($A1059,2))&gt;60),$A1059&amp;"01 1",$A1059),IF(AND(LEN($A1059)=4,VALUE(RIGHT($A1059,2))&lt;60),GUS_tabl_2!$A$8:$B$464,GUS_tabl_21!$A$5:$B$4886),2,FALSE)),SUM(FIND("..",TRIM(VLOOKUP(IF(AND(LEN($A1059)=4,VALUE(RIGHT($A1059,2))&gt;60),$A1059&amp;"01 1",$A1059),IF(AND(LEN($A1059)=4,VALUE(RIGHT($A1059,2))&lt;60),GUS_tabl_2!$A$8:$B$464,GUS_tabl_21!$A$5:$B$4886),2,FALSE))),-1)))))</f>
        <v>gm. w. Ochotnica Dolna</v>
      </c>
      <c r="D1059" s="141">
        <f>IF(OR($A1059="",ISERROR(VALUE(LEFT($A1059,6)))),"",IF(LEN($A1059)=2,SUMIF($A1060:$A$2965,$A1059&amp;"??",$D1060:$D$2965),IF(AND(LEN($A1059)=4,VALUE(RIGHT($A1059,2))&lt;=60),SUMIF($A1060:$A$2965,$A1059&amp;"????",$D1060:$D$2965),VLOOKUP(IF(LEN($A1059)=4,$A1059&amp;"01 1",$A1059),GUS_tabl_21!$A$5:$F$4886,6,FALSE))))</f>
        <v>8513</v>
      </c>
      <c r="E1059" s="29"/>
    </row>
    <row r="1060" spans="1:5" ht="12" customHeight="1">
      <c r="A1060" s="155" t="str">
        <f>"121111 2"</f>
        <v>121111 2</v>
      </c>
      <c r="B1060" s="153" t="s">
        <v>71</v>
      </c>
      <c r="C1060" s="156" t="str">
        <f>IF(OR($A1060="",ISERROR(VALUE(LEFT($A1060,6)))),"",IF(LEN($A1060)=2,"WOJ. ",IF(LEN($A1060)=4,IF(VALUE(RIGHT($A1060,2))&gt;60,"","Powiat "),IF(VALUE(RIGHT($A1060,1))=1,"m. ",IF(VALUE(RIGHT($A1060,1))=2,"gm. w. ",IF(VALUE(RIGHT($A1060,1))=8,"dz. ","gm. m.-w. ")))))&amp;IF(LEN($A1060)=2,TRIM(UPPER(VLOOKUP($A1060,GUS_tabl_1!$A$7:$B$22,2,FALSE))),IF(ISERROR(FIND("..",TRIM(VLOOKUP(IF(AND(LEN($A1060)=4,VALUE(RIGHT($A1060,2))&gt;60),$A1060&amp;"01 1",$A1060),IF(AND(LEN($A1060)=4,VALUE(RIGHT($A1060,2))&lt;60),GUS_tabl_2!$A$8:$B$464,GUS_tabl_21!$A$5:$B$4886),2,FALSE)))),TRIM(VLOOKUP(IF(AND(LEN($A1060)=4,VALUE(RIGHT($A1060,2))&gt;60),$A1060&amp;"01 1",$A1060),IF(AND(LEN($A1060)=4,VALUE(RIGHT($A1060,2))&lt;60),GUS_tabl_2!$A$8:$B$464,GUS_tabl_21!$A$5:$B$4886),2,FALSE)),LEFT(TRIM(VLOOKUP(IF(AND(LEN($A1060)=4,VALUE(RIGHT($A1060,2))&gt;60),$A1060&amp;"01 1",$A1060),IF(AND(LEN($A1060)=4,VALUE(RIGHT($A1060,2))&lt;60),GUS_tabl_2!$A$8:$B$464,GUS_tabl_21!$A$5:$B$4886),2,FALSE)),SUM(FIND("..",TRIM(VLOOKUP(IF(AND(LEN($A1060)=4,VALUE(RIGHT($A1060,2))&gt;60),$A1060&amp;"01 1",$A1060),IF(AND(LEN($A1060)=4,VALUE(RIGHT($A1060,2))&lt;60),GUS_tabl_2!$A$8:$B$464,GUS_tabl_21!$A$5:$B$4886),2,FALSE))),-1)))))</f>
        <v>gm. w. Raba Wyżna</v>
      </c>
      <c r="D1060" s="141">
        <f>IF(OR($A1060="",ISERROR(VALUE(LEFT($A1060,6)))),"",IF(LEN($A1060)=2,SUMIF($A1061:$A$2965,$A1060&amp;"??",$D1061:$D$2965),IF(AND(LEN($A1060)=4,VALUE(RIGHT($A1060,2))&lt;=60),SUMIF($A1061:$A$2965,$A1060&amp;"????",$D1061:$D$2965),VLOOKUP(IF(LEN($A1060)=4,$A1060&amp;"01 1",$A1060),GUS_tabl_21!$A$5:$F$4886,6,FALSE))))</f>
        <v>14750</v>
      </c>
      <c r="E1060" s="29"/>
    </row>
    <row r="1061" spans="1:5" ht="12" customHeight="1">
      <c r="A1061" s="155" t="str">
        <f>"121112 3"</f>
        <v>121112 3</v>
      </c>
      <c r="B1061" s="153" t="s">
        <v>71</v>
      </c>
      <c r="C1061" s="156" t="str">
        <f>IF(OR($A1061="",ISERROR(VALUE(LEFT($A1061,6)))),"",IF(LEN($A1061)=2,"WOJ. ",IF(LEN($A1061)=4,IF(VALUE(RIGHT($A1061,2))&gt;60,"","Powiat "),IF(VALUE(RIGHT($A1061,1))=1,"m. ",IF(VALUE(RIGHT($A1061,1))=2,"gm. w. ",IF(VALUE(RIGHT($A1061,1))=8,"dz. ","gm. m.-w. ")))))&amp;IF(LEN($A1061)=2,TRIM(UPPER(VLOOKUP($A1061,GUS_tabl_1!$A$7:$B$22,2,FALSE))),IF(ISERROR(FIND("..",TRIM(VLOOKUP(IF(AND(LEN($A1061)=4,VALUE(RIGHT($A1061,2))&gt;60),$A1061&amp;"01 1",$A1061),IF(AND(LEN($A1061)=4,VALUE(RIGHT($A1061,2))&lt;60),GUS_tabl_2!$A$8:$B$464,GUS_tabl_21!$A$5:$B$4886),2,FALSE)))),TRIM(VLOOKUP(IF(AND(LEN($A1061)=4,VALUE(RIGHT($A1061,2))&gt;60),$A1061&amp;"01 1",$A1061),IF(AND(LEN($A1061)=4,VALUE(RIGHT($A1061,2))&lt;60),GUS_tabl_2!$A$8:$B$464,GUS_tabl_21!$A$5:$B$4886),2,FALSE)),LEFT(TRIM(VLOOKUP(IF(AND(LEN($A1061)=4,VALUE(RIGHT($A1061,2))&gt;60),$A1061&amp;"01 1",$A1061),IF(AND(LEN($A1061)=4,VALUE(RIGHT($A1061,2))&lt;60),GUS_tabl_2!$A$8:$B$464,GUS_tabl_21!$A$5:$B$4886),2,FALSE)),SUM(FIND("..",TRIM(VLOOKUP(IF(AND(LEN($A1061)=4,VALUE(RIGHT($A1061,2))&gt;60),$A1061&amp;"01 1",$A1061),IF(AND(LEN($A1061)=4,VALUE(RIGHT($A1061,2))&lt;60),GUS_tabl_2!$A$8:$B$464,GUS_tabl_21!$A$5:$B$4886),2,FALSE))),-1)))))</f>
        <v>gm. m.-w. Rabka-Zdrój</v>
      </c>
      <c r="D1061" s="141">
        <f>IF(OR($A1061="",ISERROR(VALUE(LEFT($A1061,6)))),"",IF(LEN($A1061)=2,SUMIF($A1062:$A$2965,$A1061&amp;"??",$D1062:$D$2965),IF(AND(LEN($A1061)=4,VALUE(RIGHT($A1061,2))&lt;=60),SUMIF($A1062:$A$2965,$A1061&amp;"????",$D1062:$D$2965),VLOOKUP(IF(LEN($A1061)=4,$A1061&amp;"01 1",$A1061),GUS_tabl_21!$A$5:$F$4886,6,FALSE))))</f>
        <v>17091</v>
      </c>
      <c r="E1061" s="29"/>
    </row>
    <row r="1062" spans="1:5" ht="12" customHeight="1">
      <c r="A1062" s="155" t="str">
        <f>"121113 2"</f>
        <v>121113 2</v>
      </c>
      <c r="B1062" s="153" t="s">
        <v>71</v>
      </c>
      <c r="C1062" s="156" t="str">
        <f>IF(OR($A1062="",ISERROR(VALUE(LEFT($A1062,6)))),"",IF(LEN($A1062)=2,"WOJ. ",IF(LEN($A1062)=4,IF(VALUE(RIGHT($A1062,2))&gt;60,"","Powiat "),IF(VALUE(RIGHT($A1062,1))=1,"m. ",IF(VALUE(RIGHT($A1062,1))=2,"gm. w. ",IF(VALUE(RIGHT($A1062,1))=8,"dz. ","gm. m.-w. ")))))&amp;IF(LEN($A1062)=2,TRIM(UPPER(VLOOKUP($A1062,GUS_tabl_1!$A$7:$B$22,2,FALSE))),IF(ISERROR(FIND("..",TRIM(VLOOKUP(IF(AND(LEN($A1062)=4,VALUE(RIGHT($A1062,2))&gt;60),$A1062&amp;"01 1",$A1062),IF(AND(LEN($A1062)=4,VALUE(RIGHT($A1062,2))&lt;60),GUS_tabl_2!$A$8:$B$464,GUS_tabl_21!$A$5:$B$4886),2,FALSE)))),TRIM(VLOOKUP(IF(AND(LEN($A1062)=4,VALUE(RIGHT($A1062,2))&gt;60),$A1062&amp;"01 1",$A1062),IF(AND(LEN($A1062)=4,VALUE(RIGHT($A1062,2))&lt;60),GUS_tabl_2!$A$8:$B$464,GUS_tabl_21!$A$5:$B$4886),2,FALSE)),LEFT(TRIM(VLOOKUP(IF(AND(LEN($A1062)=4,VALUE(RIGHT($A1062,2))&gt;60),$A1062&amp;"01 1",$A1062),IF(AND(LEN($A1062)=4,VALUE(RIGHT($A1062,2))&lt;60),GUS_tabl_2!$A$8:$B$464,GUS_tabl_21!$A$5:$B$4886),2,FALSE)),SUM(FIND("..",TRIM(VLOOKUP(IF(AND(LEN($A1062)=4,VALUE(RIGHT($A1062,2))&gt;60),$A1062&amp;"01 1",$A1062),IF(AND(LEN($A1062)=4,VALUE(RIGHT($A1062,2))&lt;60),GUS_tabl_2!$A$8:$B$464,GUS_tabl_21!$A$5:$B$4886),2,FALSE))),-1)))))</f>
        <v>gm. w. Spytkowice</v>
      </c>
      <c r="D1062" s="141">
        <f>IF(OR($A1062="",ISERROR(VALUE(LEFT($A1062,6)))),"",IF(LEN($A1062)=2,SUMIF($A1063:$A$2965,$A1062&amp;"??",$D1063:$D$2965),IF(AND(LEN($A1062)=4,VALUE(RIGHT($A1062,2))&lt;=60),SUMIF($A1063:$A$2965,$A1062&amp;"????",$D1063:$D$2965),VLOOKUP(IF(LEN($A1062)=4,$A1062&amp;"01 1",$A1062),GUS_tabl_21!$A$5:$F$4886,6,FALSE))))</f>
        <v>4609</v>
      </c>
      <c r="E1062" s="29"/>
    </row>
    <row r="1063" spans="1:5" ht="12" customHeight="1">
      <c r="A1063" s="155" t="str">
        <f>"121114 2"</f>
        <v>121114 2</v>
      </c>
      <c r="B1063" s="153" t="s">
        <v>71</v>
      </c>
      <c r="C1063" s="156" t="str">
        <f>IF(OR($A1063="",ISERROR(VALUE(LEFT($A1063,6)))),"",IF(LEN($A1063)=2,"WOJ. ",IF(LEN($A1063)=4,IF(VALUE(RIGHT($A1063,2))&gt;60,"","Powiat "),IF(VALUE(RIGHT($A1063,1))=1,"m. ",IF(VALUE(RIGHT($A1063,1))=2,"gm. w. ",IF(VALUE(RIGHT($A1063,1))=8,"dz. ","gm. m.-w. ")))))&amp;IF(LEN($A1063)=2,TRIM(UPPER(VLOOKUP($A1063,GUS_tabl_1!$A$7:$B$22,2,FALSE))),IF(ISERROR(FIND("..",TRIM(VLOOKUP(IF(AND(LEN($A1063)=4,VALUE(RIGHT($A1063,2))&gt;60),$A1063&amp;"01 1",$A1063),IF(AND(LEN($A1063)=4,VALUE(RIGHT($A1063,2))&lt;60),GUS_tabl_2!$A$8:$B$464,GUS_tabl_21!$A$5:$B$4886),2,FALSE)))),TRIM(VLOOKUP(IF(AND(LEN($A1063)=4,VALUE(RIGHT($A1063,2))&gt;60),$A1063&amp;"01 1",$A1063),IF(AND(LEN($A1063)=4,VALUE(RIGHT($A1063,2))&lt;60),GUS_tabl_2!$A$8:$B$464,GUS_tabl_21!$A$5:$B$4886),2,FALSE)),LEFT(TRIM(VLOOKUP(IF(AND(LEN($A1063)=4,VALUE(RIGHT($A1063,2))&gt;60),$A1063&amp;"01 1",$A1063),IF(AND(LEN($A1063)=4,VALUE(RIGHT($A1063,2))&lt;60),GUS_tabl_2!$A$8:$B$464,GUS_tabl_21!$A$5:$B$4886),2,FALSE)),SUM(FIND("..",TRIM(VLOOKUP(IF(AND(LEN($A1063)=4,VALUE(RIGHT($A1063,2))&gt;60),$A1063&amp;"01 1",$A1063),IF(AND(LEN($A1063)=4,VALUE(RIGHT($A1063,2))&lt;60),GUS_tabl_2!$A$8:$B$464,GUS_tabl_21!$A$5:$B$4886),2,FALSE))),-1)))))</f>
        <v>gm. w. Szaflary</v>
      </c>
      <c r="D1063" s="141">
        <f>IF(OR($A1063="",ISERROR(VALUE(LEFT($A1063,6)))),"",IF(LEN($A1063)=2,SUMIF($A1064:$A$2965,$A1063&amp;"??",$D1064:$D$2965),IF(AND(LEN($A1063)=4,VALUE(RIGHT($A1063,2))&lt;=60),SUMIF($A1064:$A$2965,$A1063&amp;"????",$D1064:$D$2965),VLOOKUP(IF(LEN($A1063)=4,$A1063&amp;"01 1",$A1063),GUS_tabl_21!$A$5:$F$4886,6,FALSE))))</f>
        <v>11103</v>
      </c>
      <c r="E1063" s="29"/>
    </row>
    <row r="1064" spans="1:5" ht="12" customHeight="1">
      <c r="A1064" s="152" t="str">
        <f>"1212"</f>
        <v>1212</v>
      </c>
      <c r="B1064" s="153" t="s">
        <v>71</v>
      </c>
      <c r="C1064" s="154" t="str">
        <f>IF(OR($A1064="",ISERROR(VALUE(LEFT($A1064,6)))),"",IF(LEN($A1064)=2,"WOJ. ",IF(LEN($A1064)=4,IF(VALUE(RIGHT($A1064,2))&gt;60,"","Powiat "),IF(VALUE(RIGHT($A1064,1))=1,"m. ",IF(VALUE(RIGHT($A1064,1))=2,"gm. w. ",IF(VALUE(RIGHT($A1064,1))=8,"dz. ","gm. m.-w. ")))))&amp;IF(LEN($A1064)=2,TRIM(UPPER(VLOOKUP($A1064,GUS_tabl_1!$A$7:$B$22,2,FALSE))),IF(ISERROR(FIND("..",TRIM(VLOOKUP(IF(AND(LEN($A1064)=4,VALUE(RIGHT($A1064,2))&gt;60),$A1064&amp;"01 1",$A1064),IF(AND(LEN($A1064)=4,VALUE(RIGHT($A1064,2))&lt;60),GUS_tabl_2!$A$8:$B$464,GUS_tabl_21!$A$5:$B$4886),2,FALSE)))),TRIM(VLOOKUP(IF(AND(LEN($A1064)=4,VALUE(RIGHT($A1064,2))&gt;60),$A1064&amp;"01 1",$A1064),IF(AND(LEN($A1064)=4,VALUE(RIGHT($A1064,2))&lt;60),GUS_tabl_2!$A$8:$B$464,GUS_tabl_21!$A$5:$B$4886),2,FALSE)),LEFT(TRIM(VLOOKUP(IF(AND(LEN($A1064)=4,VALUE(RIGHT($A1064,2))&gt;60),$A1064&amp;"01 1",$A1064),IF(AND(LEN($A1064)=4,VALUE(RIGHT($A1064,2))&lt;60),GUS_tabl_2!$A$8:$B$464,GUS_tabl_21!$A$5:$B$4886),2,FALSE)),SUM(FIND("..",TRIM(VLOOKUP(IF(AND(LEN($A1064)=4,VALUE(RIGHT($A1064,2))&gt;60),$A1064&amp;"01 1",$A1064),IF(AND(LEN($A1064)=4,VALUE(RIGHT($A1064,2))&lt;60),GUS_tabl_2!$A$8:$B$464,GUS_tabl_21!$A$5:$B$4886),2,FALSE))),-1)))))</f>
        <v>Powiat olkuski</v>
      </c>
      <c r="D1064" s="140">
        <f>IF(OR($A1064="",ISERROR(VALUE(LEFT($A1064,6)))),"",IF(LEN($A1064)=2,SUMIF($A1065:$A$2965,$A1064&amp;"??",$D1065:$D$2965),IF(AND(LEN($A1064)=4,VALUE(RIGHT($A1064,2))&lt;=60),SUMIF($A1065:$A$2965,$A1064&amp;"????",$D1065:$D$2965),VLOOKUP(IF(LEN($A1064)=4,$A1064&amp;"01 1",$A1064),GUS_tabl_21!$A$5:$F$4886,6,FALSE))))</f>
        <v>111217</v>
      </c>
      <c r="E1064" s="29"/>
    </row>
    <row r="1065" spans="1:5" ht="12" customHeight="1">
      <c r="A1065" s="155" t="str">
        <f>"121201 1"</f>
        <v>121201 1</v>
      </c>
      <c r="B1065" s="153" t="s">
        <v>71</v>
      </c>
      <c r="C1065" s="156" t="str">
        <f>IF(OR($A1065="",ISERROR(VALUE(LEFT($A1065,6)))),"",IF(LEN($A1065)=2,"WOJ. ",IF(LEN($A1065)=4,IF(VALUE(RIGHT($A1065,2))&gt;60,"","Powiat "),IF(VALUE(RIGHT($A1065,1))=1,"m. ",IF(VALUE(RIGHT($A1065,1))=2,"gm. w. ",IF(VALUE(RIGHT($A1065,1))=8,"dz. ","gm. m.-w. ")))))&amp;IF(LEN($A1065)=2,TRIM(UPPER(VLOOKUP($A1065,GUS_tabl_1!$A$7:$B$22,2,FALSE))),IF(ISERROR(FIND("..",TRIM(VLOOKUP(IF(AND(LEN($A1065)=4,VALUE(RIGHT($A1065,2))&gt;60),$A1065&amp;"01 1",$A1065),IF(AND(LEN($A1065)=4,VALUE(RIGHT($A1065,2))&lt;60),GUS_tabl_2!$A$8:$B$464,GUS_tabl_21!$A$5:$B$4886),2,FALSE)))),TRIM(VLOOKUP(IF(AND(LEN($A1065)=4,VALUE(RIGHT($A1065,2))&gt;60),$A1065&amp;"01 1",$A1065),IF(AND(LEN($A1065)=4,VALUE(RIGHT($A1065,2))&lt;60),GUS_tabl_2!$A$8:$B$464,GUS_tabl_21!$A$5:$B$4886),2,FALSE)),LEFT(TRIM(VLOOKUP(IF(AND(LEN($A1065)=4,VALUE(RIGHT($A1065,2))&gt;60),$A1065&amp;"01 1",$A1065),IF(AND(LEN($A1065)=4,VALUE(RIGHT($A1065,2))&lt;60),GUS_tabl_2!$A$8:$B$464,GUS_tabl_21!$A$5:$B$4886),2,FALSE)),SUM(FIND("..",TRIM(VLOOKUP(IF(AND(LEN($A1065)=4,VALUE(RIGHT($A1065,2))&gt;60),$A1065&amp;"01 1",$A1065),IF(AND(LEN($A1065)=4,VALUE(RIGHT($A1065,2))&lt;60),GUS_tabl_2!$A$8:$B$464,GUS_tabl_21!$A$5:$B$4886),2,FALSE))),-1)))))</f>
        <v>m. Bukowno</v>
      </c>
      <c r="D1065" s="141">
        <f>IF(OR($A1065="",ISERROR(VALUE(LEFT($A1065,6)))),"",IF(LEN($A1065)=2,SUMIF($A1066:$A$2965,$A1065&amp;"??",$D1066:$D$2965),IF(AND(LEN($A1065)=4,VALUE(RIGHT($A1065,2))&lt;=60),SUMIF($A1066:$A$2965,$A1065&amp;"????",$D1066:$D$2965),VLOOKUP(IF(LEN($A1065)=4,$A1065&amp;"01 1",$A1065),GUS_tabl_21!$A$5:$F$4886,6,FALSE))))</f>
        <v>10106</v>
      </c>
      <c r="E1065" s="29"/>
    </row>
    <row r="1066" spans="1:5" ht="12" customHeight="1">
      <c r="A1066" s="155" t="str">
        <f>"121203 2"</f>
        <v>121203 2</v>
      </c>
      <c r="B1066" s="153" t="s">
        <v>71</v>
      </c>
      <c r="C1066" s="156" t="str">
        <f>IF(OR($A1066="",ISERROR(VALUE(LEFT($A1066,6)))),"",IF(LEN($A1066)=2,"WOJ. ",IF(LEN($A1066)=4,IF(VALUE(RIGHT($A1066,2))&gt;60,"","Powiat "),IF(VALUE(RIGHT($A1066,1))=1,"m. ",IF(VALUE(RIGHT($A1066,1))=2,"gm. w. ",IF(VALUE(RIGHT($A1066,1))=8,"dz. ","gm. m.-w. ")))))&amp;IF(LEN($A1066)=2,TRIM(UPPER(VLOOKUP($A1066,GUS_tabl_1!$A$7:$B$22,2,FALSE))),IF(ISERROR(FIND("..",TRIM(VLOOKUP(IF(AND(LEN($A1066)=4,VALUE(RIGHT($A1066,2))&gt;60),$A1066&amp;"01 1",$A1066),IF(AND(LEN($A1066)=4,VALUE(RIGHT($A1066,2))&lt;60),GUS_tabl_2!$A$8:$B$464,GUS_tabl_21!$A$5:$B$4886),2,FALSE)))),TRIM(VLOOKUP(IF(AND(LEN($A1066)=4,VALUE(RIGHT($A1066,2))&gt;60),$A1066&amp;"01 1",$A1066),IF(AND(LEN($A1066)=4,VALUE(RIGHT($A1066,2))&lt;60),GUS_tabl_2!$A$8:$B$464,GUS_tabl_21!$A$5:$B$4886),2,FALSE)),LEFT(TRIM(VLOOKUP(IF(AND(LEN($A1066)=4,VALUE(RIGHT($A1066,2))&gt;60),$A1066&amp;"01 1",$A1066),IF(AND(LEN($A1066)=4,VALUE(RIGHT($A1066,2))&lt;60),GUS_tabl_2!$A$8:$B$464,GUS_tabl_21!$A$5:$B$4886),2,FALSE)),SUM(FIND("..",TRIM(VLOOKUP(IF(AND(LEN($A1066)=4,VALUE(RIGHT($A1066,2))&gt;60),$A1066&amp;"01 1",$A1066),IF(AND(LEN($A1066)=4,VALUE(RIGHT($A1066,2))&lt;60),GUS_tabl_2!$A$8:$B$464,GUS_tabl_21!$A$5:$B$4886),2,FALSE))),-1)))))</f>
        <v>gm. w. Bolesław</v>
      </c>
      <c r="D1066" s="141">
        <f>IF(OR($A1066="",ISERROR(VALUE(LEFT($A1066,6)))),"",IF(LEN($A1066)=2,SUMIF($A1067:$A$2965,$A1066&amp;"??",$D1067:$D$2965),IF(AND(LEN($A1066)=4,VALUE(RIGHT($A1066,2))&lt;=60),SUMIF($A1067:$A$2965,$A1066&amp;"????",$D1067:$D$2965),VLOOKUP(IF(LEN($A1066)=4,$A1066&amp;"01 1",$A1066),GUS_tabl_21!$A$5:$F$4886,6,FALSE))))</f>
        <v>7745</v>
      </c>
      <c r="E1066" s="29"/>
    </row>
    <row r="1067" spans="1:5" ht="12" customHeight="1">
      <c r="A1067" s="155" t="str">
        <f>"121204 2"</f>
        <v>121204 2</v>
      </c>
      <c r="B1067" s="153" t="s">
        <v>71</v>
      </c>
      <c r="C1067" s="156" t="str">
        <f>IF(OR($A1067="",ISERROR(VALUE(LEFT($A1067,6)))),"",IF(LEN($A1067)=2,"WOJ. ",IF(LEN($A1067)=4,IF(VALUE(RIGHT($A1067,2))&gt;60,"","Powiat "),IF(VALUE(RIGHT($A1067,1))=1,"m. ",IF(VALUE(RIGHT($A1067,1))=2,"gm. w. ",IF(VALUE(RIGHT($A1067,1))=8,"dz. ","gm. m.-w. ")))))&amp;IF(LEN($A1067)=2,TRIM(UPPER(VLOOKUP($A1067,GUS_tabl_1!$A$7:$B$22,2,FALSE))),IF(ISERROR(FIND("..",TRIM(VLOOKUP(IF(AND(LEN($A1067)=4,VALUE(RIGHT($A1067,2))&gt;60),$A1067&amp;"01 1",$A1067),IF(AND(LEN($A1067)=4,VALUE(RIGHT($A1067,2))&lt;60),GUS_tabl_2!$A$8:$B$464,GUS_tabl_21!$A$5:$B$4886),2,FALSE)))),TRIM(VLOOKUP(IF(AND(LEN($A1067)=4,VALUE(RIGHT($A1067,2))&gt;60),$A1067&amp;"01 1",$A1067),IF(AND(LEN($A1067)=4,VALUE(RIGHT($A1067,2))&lt;60),GUS_tabl_2!$A$8:$B$464,GUS_tabl_21!$A$5:$B$4886),2,FALSE)),LEFT(TRIM(VLOOKUP(IF(AND(LEN($A1067)=4,VALUE(RIGHT($A1067,2))&gt;60),$A1067&amp;"01 1",$A1067),IF(AND(LEN($A1067)=4,VALUE(RIGHT($A1067,2))&lt;60),GUS_tabl_2!$A$8:$B$464,GUS_tabl_21!$A$5:$B$4886),2,FALSE)),SUM(FIND("..",TRIM(VLOOKUP(IF(AND(LEN($A1067)=4,VALUE(RIGHT($A1067,2))&gt;60),$A1067&amp;"01 1",$A1067),IF(AND(LEN($A1067)=4,VALUE(RIGHT($A1067,2))&lt;60),GUS_tabl_2!$A$8:$B$464,GUS_tabl_21!$A$5:$B$4886),2,FALSE))),-1)))))</f>
        <v>gm. w. Klucze</v>
      </c>
      <c r="D1067" s="141">
        <f>IF(OR($A1067="",ISERROR(VALUE(LEFT($A1067,6)))),"",IF(LEN($A1067)=2,SUMIF($A1068:$A$2965,$A1067&amp;"??",$D1068:$D$2965),IF(AND(LEN($A1067)=4,VALUE(RIGHT($A1067,2))&lt;=60),SUMIF($A1068:$A$2965,$A1067&amp;"????",$D1068:$D$2965),VLOOKUP(IF(LEN($A1067)=4,$A1067&amp;"01 1",$A1067),GUS_tabl_21!$A$5:$F$4886,6,FALSE))))</f>
        <v>14973</v>
      </c>
      <c r="E1067" s="29"/>
    </row>
    <row r="1068" spans="1:5" ht="12" customHeight="1">
      <c r="A1068" s="155" t="str">
        <f>"121205 3"</f>
        <v>121205 3</v>
      </c>
      <c r="B1068" s="153" t="s">
        <v>71</v>
      </c>
      <c r="C1068" s="156" t="str">
        <f>IF(OR($A1068="",ISERROR(VALUE(LEFT($A1068,6)))),"",IF(LEN($A1068)=2,"WOJ. ",IF(LEN($A1068)=4,IF(VALUE(RIGHT($A1068,2))&gt;60,"","Powiat "),IF(VALUE(RIGHT($A1068,1))=1,"m. ",IF(VALUE(RIGHT($A1068,1))=2,"gm. w. ",IF(VALUE(RIGHT($A1068,1))=8,"dz. ","gm. m.-w. ")))))&amp;IF(LEN($A1068)=2,TRIM(UPPER(VLOOKUP($A1068,GUS_tabl_1!$A$7:$B$22,2,FALSE))),IF(ISERROR(FIND("..",TRIM(VLOOKUP(IF(AND(LEN($A1068)=4,VALUE(RIGHT($A1068,2))&gt;60),$A1068&amp;"01 1",$A1068),IF(AND(LEN($A1068)=4,VALUE(RIGHT($A1068,2))&lt;60),GUS_tabl_2!$A$8:$B$464,GUS_tabl_21!$A$5:$B$4886),2,FALSE)))),TRIM(VLOOKUP(IF(AND(LEN($A1068)=4,VALUE(RIGHT($A1068,2))&gt;60),$A1068&amp;"01 1",$A1068),IF(AND(LEN($A1068)=4,VALUE(RIGHT($A1068,2))&lt;60),GUS_tabl_2!$A$8:$B$464,GUS_tabl_21!$A$5:$B$4886),2,FALSE)),LEFT(TRIM(VLOOKUP(IF(AND(LEN($A1068)=4,VALUE(RIGHT($A1068,2))&gt;60),$A1068&amp;"01 1",$A1068),IF(AND(LEN($A1068)=4,VALUE(RIGHT($A1068,2))&lt;60),GUS_tabl_2!$A$8:$B$464,GUS_tabl_21!$A$5:$B$4886),2,FALSE)),SUM(FIND("..",TRIM(VLOOKUP(IF(AND(LEN($A1068)=4,VALUE(RIGHT($A1068,2))&gt;60),$A1068&amp;"01 1",$A1068),IF(AND(LEN($A1068)=4,VALUE(RIGHT($A1068,2))&lt;60),GUS_tabl_2!$A$8:$B$464,GUS_tabl_21!$A$5:$B$4886),2,FALSE))),-1)))))</f>
        <v>gm. m.-w. Olkusz</v>
      </c>
      <c r="D1068" s="141">
        <f>IF(OR($A1068="",ISERROR(VALUE(LEFT($A1068,6)))),"",IF(LEN($A1068)=2,SUMIF($A1069:$A$2965,$A1068&amp;"??",$D1069:$D$2965),IF(AND(LEN($A1068)=4,VALUE(RIGHT($A1068,2))&lt;=60),SUMIF($A1069:$A$2965,$A1068&amp;"????",$D1069:$D$2965),VLOOKUP(IF(LEN($A1068)=4,$A1068&amp;"01 1",$A1068),GUS_tabl_21!$A$5:$F$4886,6,FALSE))))</f>
        <v>48601</v>
      </c>
      <c r="E1068" s="29"/>
    </row>
    <row r="1069" spans="1:5" ht="12" customHeight="1">
      <c r="A1069" s="155" t="str">
        <f>"121206 2"</f>
        <v>121206 2</v>
      </c>
      <c r="B1069" s="153" t="s">
        <v>71</v>
      </c>
      <c r="C1069" s="156" t="str">
        <f>IF(OR($A1069="",ISERROR(VALUE(LEFT($A1069,6)))),"",IF(LEN($A1069)=2,"WOJ. ",IF(LEN($A1069)=4,IF(VALUE(RIGHT($A1069,2))&gt;60,"","Powiat "),IF(VALUE(RIGHT($A1069,1))=1,"m. ",IF(VALUE(RIGHT($A1069,1))=2,"gm. w. ",IF(VALUE(RIGHT($A1069,1))=8,"dz. ","gm. m.-w. ")))))&amp;IF(LEN($A1069)=2,TRIM(UPPER(VLOOKUP($A1069,GUS_tabl_1!$A$7:$B$22,2,FALSE))),IF(ISERROR(FIND("..",TRIM(VLOOKUP(IF(AND(LEN($A1069)=4,VALUE(RIGHT($A1069,2))&gt;60),$A1069&amp;"01 1",$A1069),IF(AND(LEN($A1069)=4,VALUE(RIGHT($A1069,2))&lt;60),GUS_tabl_2!$A$8:$B$464,GUS_tabl_21!$A$5:$B$4886),2,FALSE)))),TRIM(VLOOKUP(IF(AND(LEN($A1069)=4,VALUE(RIGHT($A1069,2))&gt;60),$A1069&amp;"01 1",$A1069),IF(AND(LEN($A1069)=4,VALUE(RIGHT($A1069,2))&lt;60),GUS_tabl_2!$A$8:$B$464,GUS_tabl_21!$A$5:$B$4886),2,FALSE)),LEFT(TRIM(VLOOKUP(IF(AND(LEN($A1069)=4,VALUE(RIGHT($A1069,2))&gt;60),$A1069&amp;"01 1",$A1069),IF(AND(LEN($A1069)=4,VALUE(RIGHT($A1069,2))&lt;60),GUS_tabl_2!$A$8:$B$464,GUS_tabl_21!$A$5:$B$4886),2,FALSE)),SUM(FIND("..",TRIM(VLOOKUP(IF(AND(LEN($A1069)=4,VALUE(RIGHT($A1069,2))&gt;60),$A1069&amp;"01 1",$A1069),IF(AND(LEN($A1069)=4,VALUE(RIGHT($A1069,2))&lt;60),GUS_tabl_2!$A$8:$B$464,GUS_tabl_21!$A$5:$B$4886),2,FALSE))),-1)))))</f>
        <v>gm. w. Trzyciąż</v>
      </c>
      <c r="D1069" s="141">
        <f>IF(OR($A1069="",ISERROR(VALUE(LEFT($A1069,6)))),"",IF(LEN($A1069)=2,SUMIF($A1070:$A$2965,$A1069&amp;"??",$D1070:$D$2965),IF(AND(LEN($A1069)=4,VALUE(RIGHT($A1069,2))&lt;=60),SUMIF($A1070:$A$2965,$A1069&amp;"????",$D1070:$D$2965),VLOOKUP(IF(LEN($A1069)=4,$A1069&amp;"01 1",$A1069),GUS_tabl_21!$A$5:$F$4886,6,FALSE))))</f>
        <v>7039</v>
      </c>
      <c r="E1069" s="29"/>
    </row>
    <row r="1070" spans="1:5" ht="12" customHeight="1">
      <c r="A1070" s="155" t="str">
        <f>"121207 3"</f>
        <v>121207 3</v>
      </c>
      <c r="B1070" s="153" t="s">
        <v>71</v>
      </c>
      <c r="C1070" s="156" t="str">
        <f>IF(OR($A1070="",ISERROR(VALUE(LEFT($A1070,6)))),"",IF(LEN($A1070)=2,"WOJ. ",IF(LEN($A1070)=4,IF(VALUE(RIGHT($A1070,2))&gt;60,"","Powiat "),IF(VALUE(RIGHT($A1070,1))=1,"m. ",IF(VALUE(RIGHT($A1070,1))=2,"gm. w. ",IF(VALUE(RIGHT($A1070,1))=8,"dz. ","gm. m.-w. ")))))&amp;IF(LEN($A1070)=2,TRIM(UPPER(VLOOKUP($A1070,GUS_tabl_1!$A$7:$B$22,2,FALSE))),IF(ISERROR(FIND("..",TRIM(VLOOKUP(IF(AND(LEN($A1070)=4,VALUE(RIGHT($A1070,2))&gt;60),$A1070&amp;"01 1",$A1070),IF(AND(LEN($A1070)=4,VALUE(RIGHT($A1070,2))&lt;60),GUS_tabl_2!$A$8:$B$464,GUS_tabl_21!$A$5:$B$4886),2,FALSE)))),TRIM(VLOOKUP(IF(AND(LEN($A1070)=4,VALUE(RIGHT($A1070,2))&gt;60),$A1070&amp;"01 1",$A1070),IF(AND(LEN($A1070)=4,VALUE(RIGHT($A1070,2))&lt;60),GUS_tabl_2!$A$8:$B$464,GUS_tabl_21!$A$5:$B$4886),2,FALSE)),LEFT(TRIM(VLOOKUP(IF(AND(LEN($A1070)=4,VALUE(RIGHT($A1070,2))&gt;60),$A1070&amp;"01 1",$A1070),IF(AND(LEN($A1070)=4,VALUE(RIGHT($A1070,2))&lt;60),GUS_tabl_2!$A$8:$B$464,GUS_tabl_21!$A$5:$B$4886),2,FALSE)),SUM(FIND("..",TRIM(VLOOKUP(IF(AND(LEN($A1070)=4,VALUE(RIGHT($A1070,2))&gt;60),$A1070&amp;"01 1",$A1070),IF(AND(LEN($A1070)=4,VALUE(RIGHT($A1070,2))&lt;60),GUS_tabl_2!$A$8:$B$464,GUS_tabl_21!$A$5:$B$4886),2,FALSE))),-1)))))</f>
        <v>gm. m.-w. Wolbrom</v>
      </c>
      <c r="D1070" s="141">
        <f>IF(OR($A1070="",ISERROR(VALUE(LEFT($A1070,6)))),"",IF(LEN($A1070)=2,SUMIF($A1071:$A$2965,$A1070&amp;"??",$D1071:$D$2965),IF(AND(LEN($A1070)=4,VALUE(RIGHT($A1070,2))&lt;=60),SUMIF($A1071:$A$2965,$A1070&amp;"????",$D1071:$D$2965),VLOOKUP(IF(LEN($A1070)=4,$A1070&amp;"01 1",$A1070),GUS_tabl_21!$A$5:$F$4886,6,FALSE))))</f>
        <v>22753</v>
      </c>
      <c r="E1070" s="29"/>
    </row>
    <row r="1071" spans="1:5" ht="12" customHeight="1">
      <c r="A1071" s="152" t="str">
        <f>"1213"</f>
        <v>1213</v>
      </c>
      <c r="B1071" s="153" t="s">
        <v>71</v>
      </c>
      <c r="C1071" s="154" t="str">
        <f>IF(OR($A1071="",ISERROR(VALUE(LEFT($A1071,6)))),"",IF(LEN($A1071)=2,"WOJ. ",IF(LEN($A1071)=4,IF(VALUE(RIGHT($A1071,2))&gt;60,"","Powiat "),IF(VALUE(RIGHT($A1071,1))=1,"m. ",IF(VALUE(RIGHT($A1071,1))=2,"gm. w. ",IF(VALUE(RIGHT($A1071,1))=8,"dz. ","gm. m.-w. ")))))&amp;IF(LEN($A1071)=2,TRIM(UPPER(VLOOKUP($A1071,GUS_tabl_1!$A$7:$B$22,2,FALSE))),IF(ISERROR(FIND("..",TRIM(VLOOKUP(IF(AND(LEN($A1071)=4,VALUE(RIGHT($A1071,2))&gt;60),$A1071&amp;"01 1",$A1071),IF(AND(LEN($A1071)=4,VALUE(RIGHT($A1071,2))&lt;60),GUS_tabl_2!$A$8:$B$464,GUS_tabl_21!$A$5:$B$4886),2,FALSE)))),TRIM(VLOOKUP(IF(AND(LEN($A1071)=4,VALUE(RIGHT($A1071,2))&gt;60),$A1071&amp;"01 1",$A1071),IF(AND(LEN($A1071)=4,VALUE(RIGHT($A1071,2))&lt;60),GUS_tabl_2!$A$8:$B$464,GUS_tabl_21!$A$5:$B$4886),2,FALSE)),LEFT(TRIM(VLOOKUP(IF(AND(LEN($A1071)=4,VALUE(RIGHT($A1071,2))&gt;60),$A1071&amp;"01 1",$A1071),IF(AND(LEN($A1071)=4,VALUE(RIGHT($A1071,2))&lt;60),GUS_tabl_2!$A$8:$B$464,GUS_tabl_21!$A$5:$B$4886),2,FALSE)),SUM(FIND("..",TRIM(VLOOKUP(IF(AND(LEN($A1071)=4,VALUE(RIGHT($A1071,2))&gt;60),$A1071&amp;"01 1",$A1071),IF(AND(LEN($A1071)=4,VALUE(RIGHT($A1071,2))&lt;60),GUS_tabl_2!$A$8:$B$464,GUS_tabl_21!$A$5:$B$4886),2,FALSE))),-1)))))</f>
        <v>Powiat oświęcimski</v>
      </c>
      <c r="D1071" s="140">
        <f>IF(OR($A1071="",ISERROR(VALUE(LEFT($A1071,6)))),"",IF(LEN($A1071)=2,SUMIF($A1072:$A$2965,$A1071&amp;"??",$D1072:$D$2965),IF(AND(LEN($A1071)=4,VALUE(RIGHT($A1071,2))&lt;=60),SUMIF($A1072:$A$2965,$A1071&amp;"????",$D1072:$D$2965),VLOOKUP(IF(LEN($A1071)=4,$A1071&amp;"01 1",$A1071),GUS_tabl_21!$A$5:$F$4886,6,FALSE))))</f>
        <v>153486</v>
      </c>
      <c r="E1071" s="29"/>
    </row>
    <row r="1072" spans="1:5" ht="12" customHeight="1">
      <c r="A1072" s="155" t="str">
        <f>"121301 1"</f>
        <v>121301 1</v>
      </c>
      <c r="B1072" s="153" t="s">
        <v>71</v>
      </c>
      <c r="C1072" s="156" t="str">
        <f>IF(OR($A1072="",ISERROR(VALUE(LEFT($A1072,6)))),"",IF(LEN($A1072)=2,"WOJ. ",IF(LEN($A1072)=4,IF(VALUE(RIGHT($A1072,2))&gt;60,"","Powiat "),IF(VALUE(RIGHT($A1072,1))=1,"m. ",IF(VALUE(RIGHT($A1072,1))=2,"gm. w. ",IF(VALUE(RIGHT($A1072,1))=8,"dz. ","gm. m.-w. ")))))&amp;IF(LEN($A1072)=2,TRIM(UPPER(VLOOKUP($A1072,GUS_tabl_1!$A$7:$B$22,2,FALSE))),IF(ISERROR(FIND("..",TRIM(VLOOKUP(IF(AND(LEN($A1072)=4,VALUE(RIGHT($A1072,2))&gt;60),$A1072&amp;"01 1",$A1072),IF(AND(LEN($A1072)=4,VALUE(RIGHT($A1072,2))&lt;60),GUS_tabl_2!$A$8:$B$464,GUS_tabl_21!$A$5:$B$4886),2,FALSE)))),TRIM(VLOOKUP(IF(AND(LEN($A1072)=4,VALUE(RIGHT($A1072,2))&gt;60),$A1072&amp;"01 1",$A1072),IF(AND(LEN($A1072)=4,VALUE(RIGHT($A1072,2))&lt;60),GUS_tabl_2!$A$8:$B$464,GUS_tabl_21!$A$5:$B$4886),2,FALSE)),LEFT(TRIM(VLOOKUP(IF(AND(LEN($A1072)=4,VALUE(RIGHT($A1072,2))&gt;60),$A1072&amp;"01 1",$A1072),IF(AND(LEN($A1072)=4,VALUE(RIGHT($A1072,2))&lt;60),GUS_tabl_2!$A$8:$B$464,GUS_tabl_21!$A$5:$B$4886),2,FALSE)),SUM(FIND("..",TRIM(VLOOKUP(IF(AND(LEN($A1072)=4,VALUE(RIGHT($A1072,2))&gt;60),$A1072&amp;"01 1",$A1072),IF(AND(LEN($A1072)=4,VALUE(RIGHT($A1072,2))&lt;60),GUS_tabl_2!$A$8:$B$464,GUS_tabl_21!$A$5:$B$4886),2,FALSE))),-1)))))</f>
        <v>m. Oświęcim</v>
      </c>
      <c r="D1072" s="141">
        <f>IF(OR($A1072="",ISERROR(VALUE(LEFT($A1072,6)))),"",IF(LEN($A1072)=2,SUMIF($A1073:$A$2965,$A1072&amp;"??",$D1073:$D$2965),IF(AND(LEN($A1072)=4,VALUE(RIGHT($A1072,2))&lt;=60),SUMIF($A1073:$A$2965,$A1072&amp;"????",$D1073:$D$2965),VLOOKUP(IF(LEN($A1072)=4,$A1072&amp;"01 1",$A1072),GUS_tabl_21!$A$5:$F$4886,6,FALSE))))</f>
        <v>38005</v>
      </c>
      <c r="E1072" s="29"/>
    </row>
    <row r="1073" spans="1:5" ht="12" customHeight="1">
      <c r="A1073" s="155" t="str">
        <f>"121302 3"</f>
        <v>121302 3</v>
      </c>
      <c r="B1073" s="153" t="s">
        <v>71</v>
      </c>
      <c r="C1073" s="156" t="str">
        <f>IF(OR($A1073="",ISERROR(VALUE(LEFT($A1073,6)))),"",IF(LEN($A1073)=2,"WOJ. ",IF(LEN($A1073)=4,IF(VALUE(RIGHT($A1073,2))&gt;60,"","Powiat "),IF(VALUE(RIGHT($A1073,1))=1,"m. ",IF(VALUE(RIGHT($A1073,1))=2,"gm. w. ",IF(VALUE(RIGHT($A1073,1))=8,"dz. ","gm. m.-w. ")))))&amp;IF(LEN($A1073)=2,TRIM(UPPER(VLOOKUP($A1073,GUS_tabl_1!$A$7:$B$22,2,FALSE))),IF(ISERROR(FIND("..",TRIM(VLOOKUP(IF(AND(LEN($A1073)=4,VALUE(RIGHT($A1073,2))&gt;60),$A1073&amp;"01 1",$A1073),IF(AND(LEN($A1073)=4,VALUE(RIGHT($A1073,2))&lt;60),GUS_tabl_2!$A$8:$B$464,GUS_tabl_21!$A$5:$B$4886),2,FALSE)))),TRIM(VLOOKUP(IF(AND(LEN($A1073)=4,VALUE(RIGHT($A1073,2))&gt;60),$A1073&amp;"01 1",$A1073),IF(AND(LEN($A1073)=4,VALUE(RIGHT($A1073,2))&lt;60),GUS_tabl_2!$A$8:$B$464,GUS_tabl_21!$A$5:$B$4886),2,FALSE)),LEFT(TRIM(VLOOKUP(IF(AND(LEN($A1073)=4,VALUE(RIGHT($A1073,2))&gt;60),$A1073&amp;"01 1",$A1073),IF(AND(LEN($A1073)=4,VALUE(RIGHT($A1073,2))&lt;60),GUS_tabl_2!$A$8:$B$464,GUS_tabl_21!$A$5:$B$4886),2,FALSE)),SUM(FIND("..",TRIM(VLOOKUP(IF(AND(LEN($A1073)=4,VALUE(RIGHT($A1073,2))&gt;60),$A1073&amp;"01 1",$A1073),IF(AND(LEN($A1073)=4,VALUE(RIGHT($A1073,2))&lt;60),GUS_tabl_2!$A$8:$B$464,GUS_tabl_21!$A$5:$B$4886),2,FALSE))),-1)))))</f>
        <v>gm. m.-w. Brzeszcze</v>
      </c>
      <c r="D1073" s="141">
        <f>IF(OR($A1073="",ISERROR(VALUE(LEFT($A1073,6)))),"",IF(LEN($A1073)=2,SUMIF($A1074:$A$2965,$A1073&amp;"??",$D1074:$D$2965),IF(AND(LEN($A1073)=4,VALUE(RIGHT($A1073,2))&lt;=60),SUMIF($A1074:$A$2965,$A1073&amp;"????",$D1074:$D$2965),VLOOKUP(IF(LEN($A1073)=4,$A1073&amp;"01 1",$A1073),GUS_tabl_21!$A$5:$F$4886,6,FALSE))))</f>
        <v>21214</v>
      </c>
      <c r="E1073" s="29"/>
    </row>
    <row r="1074" spans="1:5" ht="12" customHeight="1">
      <c r="A1074" s="155" t="str">
        <f>"121303 3"</f>
        <v>121303 3</v>
      </c>
      <c r="B1074" s="153" t="s">
        <v>71</v>
      </c>
      <c r="C1074" s="156" t="str">
        <f>IF(OR($A1074="",ISERROR(VALUE(LEFT($A1074,6)))),"",IF(LEN($A1074)=2,"WOJ. ",IF(LEN($A1074)=4,IF(VALUE(RIGHT($A1074,2))&gt;60,"","Powiat "),IF(VALUE(RIGHT($A1074,1))=1,"m. ",IF(VALUE(RIGHT($A1074,1))=2,"gm. w. ",IF(VALUE(RIGHT($A1074,1))=8,"dz. ","gm. m.-w. ")))))&amp;IF(LEN($A1074)=2,TRIM(UPPER(VLOOKUP($A1074,GUS_tabl_1!$A$7:$B$22,2,FALSE))),IF(ISERROR(FIND("..",TRIM(VLOOKUP(IF(AND(LEN($A1074)=4,VALUE(RIGHT($A1074,2))&gt;60),$A1074&amp;"01 1",$A1074),IF(AND(LEN($A1074)=4,VALUE(RIGHT($A1074,2))&lt;60),GUS_tabl_2!$A$8:$B$464,GUS_tabl_21!$A$5:$B$4886),2,FALSE)))),TRIM(VLOOKUP(IF(AND(LEN($A1074)=4,VALUE(RIGHT($A1074,2))&gt;60),$A1074&amp;"01 1",$A1074),IF(AND(LEN($A1074)=4,VALUE(RIGHT($A1074,2))&lt;60),GUS_tabl_2!$A$8:$B$464,GUS_tabl_21!$A$5:$B$4886),2,FALSE)),LEFT(TRIM(VLOOKUP(IF(AND(LEN($A1074)=4,VALUE(RIGHT($A1074,2))&gt;60),$A1074&amp;"01 1",$A1074),IF(AND(LEN($A1074)=4,VALUE(RIGHT($A1074,2))&lt;60),GUS_tabl_2!$A$8:$B$464,GUS_tabl_21!$A$5:$B$4886),2,FALSE)),SUM(FIND("..",TRIM(VLOOKUP(IF(AND(LEN($A1074)=4,VALUE(RIGHT($A1074,2))&gt;60),$A1074&amp;"01 1",$A1074),IF(AND(LEN($A1074)=4,VALUE(RIGHT($A1074,2))&lt;60),GUS_tabl_2!$A$8:$B$464,GUS_tabl_21!$A$5:$B$4886),2,FALSE))),-1)))))</f>
        <v>gm. m.-w. Chełmek</v>
      </c>
      <c r="D1074" s="141">
        <f>IF(OR($A1074="",ISERROR(VALUE(LEFT($A1074,6)))),"",IF(LEN($A1074)=2,SUMIF($A1075:$A$2965,$A1074&amp;"??",$D1075:$D$2965),IF(AND(LEN($A1074)=4,VALUE(RIGHT($A1074,2))&lt;=60),SUMIF($A1075:$A$2965,$A1074&amp;"????",$D1075:$D$2965),VLOOKUP(IF(LEN($A1074)=4,$A1074&amp;"01 1",$A1074),GUS_tabl_21!$A$5:$F$4886,6,FALSE))))</f>
        <v>12990</v>
      </c>
      <c r="E1074" s="29"/>
    </row>
    <row r="1075" spans="1:5" ht="12" customHeight="1">
      <c r="A1075" s="155" t="str">
        <f>"121304 3"</f>
        <v>121304 3</v>
      </c>
      <c r="B1075" s="153" t="s">
        <v>71</v>
      </c>
      <c r="C1075" s="156" t="str">
        <f>IF(OR($A1075="",ISERROR(VALUE(LEFT($A1075,6)))),"",IF(LEN($A1075)=2,"WOJ. ",IF(LEN($A1075)=4,IF(VALUE(RIGHT($A1075,2))&gt;60,"","Powiat "),IF(VALUE(RIGHT($A1075,1))=1,"m. ",IF(VALUE(RIGHT($A1075,1))=2,"gm. w. ",IF(VALUE(RIGHT($A1075,1))=8,"dz. ","gm. m.-w. ")))))&amp;IF(LEN($A1075)=2,TRIM(UPPER(VLOOKUP($A1075,GUS_tabl_1!$A$7:$B$22,2,FALSE))),IF(ISERROR(FIND("..",TRIM(VLOOKUP(IF(AND(LEN($A1075)=4,VALUE(RIGHT($A1075,2))&gt;60),$A1075&amp;"01 1",$A1075),IF(AND(LEN($A1075)=4,VALUE(RIGHT($A1075,2))&lt;60),GUS_tabl_2!$A$8:$B$464,GUS_tabl_21!$A$5:$B$4886),2,FALSE)))),TRIM(VLOOKUP(IF(AND(LEN($A1075)=4,VALUE(RIGHT($A1075,2))&gt;60),$A1075&amp;"01 1",$A1075),IF(AND(LEN($A1075)=4,VALUE(RIGHT($A1075,2))&lt;60),GUS_tabl_2!$A$8:$B$464,GUS_tabl_21!$A$5:$B$4886),2,FALSE)),LEFT(TRIM(VLOOKUP(IF(AND(LEN($A1075)=4,VALUE(RIGHT($A1075,2))&gt;60),$A1075&amp;"01 1",$A1075),IF(AND(LEN($A1075)=4,VALUE(RIGHT($A1075,2))&lt;60),GUS_tabl_2!$A$8:$B$464,GUS_tabl_21!$A$5:$B$4886),2,FALSE)),SUM(FIND("..",TRIM(VLOOKUP(IF(AND(LEN($A1075)=4,VALUE(RIGHT($A1075,2))&gt;60),$A1075&amp;"01 1",$A1075),IF(AND(LEN($A1075)=4,VALUE(RIGHT($A1075,2))&lt;60),GUS_tabl_2!$A$8:$B$464,GUS_tabl_21!$A$5:$B$4886),2,FALSE))),-1)))))</f>
        <v>gm. m.-w. Kęty</v>
      </c>
      <c r="D1075" s="141">
        <f>IF(OR($A1075="",ISERROR(VALUE(LEFT($A1075,6)))),"",IF(LEN($A1075)=2,SUMIF($A1076:$A$2965,$A1075&amp;"??",$D1076:$D$2965),IF(AND(LEN($A1075)=4,VALUE(RIGHT($A1075,2))&lt;=60),SUMIF($A1076:$A$2965,$A1075&amp;"????",$D1076:$D$2965),VLOOKUP(IF(LEN($A1075)=4,$A1075&amp;"01 1",$A1075),GUS_tabl_21!$A$5:$F$4886,6,FALSE))))</f>
        <v>34157</v>
      </c>
      <c r="E1075" s="29"/>
    </row>
    <row r="1076" spans="1:5" ht="12" customHeight="1">
      <c r="A1076" s="155" t="str">
        <f>"121305 2"</f>
        <v>121305 2</v>
      </c>
      <c r="B1076" s="153" t="s">
        <v>71</v>
      </c>
      <c r="C1076" s="156" t="str">
        <f>IF(OR($A1076="",ISERROR(VALUE(LEFT($A1076,6)))),"",IF(LEN($A1076)=2,"WOJ. ",IF(LEN($A1076)=4,IF(VALUE(RIGHT($A1076,2))&gt;60,"","Powiat "),IF(VALUE(RIGHT($A1076,1))=1,"m. ",IF(VALUE(RIGHT($A1076,1))=2,"gm. w. ",IF(VALUE(RIGHT($A1076,1))=8,"dz. ","gm. m.-w. ")))))&amp;IF(LEN($A1076)=2,TRIM(UPPER(VLOOKUP($A1076,GUS_tabl_1!$A$7:$B$22,2,FALSE))),IF(ISERROR(FIND("..",TRIM(VLOOKUP(IF(AND(LEN($A1076)=4,VALUE(RIGHT($A1076,2))&gt;60),$A1076&amp;"01 1",$A1076),IF(AND(LEN($A1076)=4,VALUE(RIGHT($A1076,2))&lt;60),GUS_tabl_2!$A$8:$B$464,GUS_tabl_21!$A$5:$B$4886),2,FALSE)))),TRIM(VLOOKUP(IF(AND(LEN($A1076)=4,VALUE(RIGHT($A1076,2))&gt;60),$A1076&amp;"01 1",$A1076),IF(AND(LEN($A1076)=4,VALUE(RIGHT($A1076,2))&lt;60),GUS_tabl_2!$A$8:$B$464,GUS_tabl_21!$A$5:$B$4886),2,FALSE)),LEFT(TRIM(VLOOKUP(IF(AND(LEN($A1076)=4,VALUE(RIGHT($A1076,2))&gt;60),$A1076&amp;"01 1",$A1076),IF(AND(LEN($A1076)=4,VALUE(RIGHT($A1076,2))&lt;60),GUS_tabl_2!$A$8:$B$464,GUS_tabl_21!$A$5:$B$4886),2,FALSE)),SUM(FIND("..",TRIM(VLOOKUP(IF(AND(LEN($A1076)=4,VALUE(RIGHT($A1076,2))&gt;60),$A1076&amp;"01 1",$A1076),IF(AND(LEN($A1076)=4,VALUE(RIGHT($A1076,2))&lt;60),GUS_tabl_2!$A$8:$B$464,GUS_tabl_21!$A$5:$B$4886),2,FALSE))),-1)))))</f>
        <v>gm. w. Osiek</v>
      </c>
      <c r="D1076" s="141">
        <f>IF(OR($A1076="",ISERROR(VALUE(LEFT($A1076,6)))),"",IF(LEN($A1076)=2,SUMIF($A1077:$A$2965,$A1076&amp;"??",$D1077:$D$2965),IF(AND(LEN($A1076)=4,VALUE(RIGHT($A1076,2))&lt;=60),SUMIF($A1077:$A$2965,$A1076&amp;"????",$D1077:$D$2965),VLOOKUP(IF(LEN($A1076)=4,$A1076&amp;"01 1",$A1076),GUS_tabl_21!$A$5:$F$4886,6,FALSE))))</f>
        <v>8224</v>
      </c>
      <c r="E1076" s="29"/>
    </row>
    <row r="1077" spans="1:5" ht="12" customHeight="1">
      <c r="A1077" s="155" t="str">
        <f>"121306 2"</f>
        <v>121306 2</v>
      </c>
      <c r="B1077" s="153" t="s">
        <v>71</v>
      </c>
      <c r="C1077" s="156" t="str">
        <f>IF(OR($A1077="",ISERROR(VALUE(LEFT($A1077,6)))),"",IF(LEN($A1077)=2,"WOJ. ",IF(LEN($A1077)=4,IF(VALUE(RIGHT($A1077,2))&gt;60,"","Powiat "),IF(VALUE(RIGHT($A1077,1))=1,"m. ",IF(VALUE(RIGHT($A1077,1))=2,"gm. w. ",IF(VALUE(RIGHT($A1077,1))=8,"dz. ","gm. m.-w. ")))))&amp;IF(LEN($A1077)=2,TRIM(UPPER(VLOOKUP($A1077,GUS_tabl_1!$A$7:$B$22,2,FALSE))),IF(ISERROR(FIND("..",TRIM(VLOOKUP(IF(AND(LEN($A1077)=4,VALUE(RIGHT($A1077,2))&gt;60),$A1077&amp;"01 1",$A1077),IF(AND(LEN($A1077)=4,VALUE(RIGHT($A1077,2))&lt;60),GUS_tabl_2!$A$8:$B$464,GUS_tabl_21!$A$5:$B$4886),2,FALSE)))),TRIM(VLOOKUP(IF(AND(LEN($A1077)=4,VALUE(RIGHT($A1077,2))&gt;60),$A1077&amp;"01 1",$A1077),IF(AND(LEN($A1077)=4,VALUE(RIGHT($A1077,2))&lt;60),GUS_tabl_2!$A$8:$B$464,GUS_tabl_21!$A$5:$B$4886),2,FALSE)),LEFT(TRIM(VLOOKUP(IF(AND(LEN($A1077)=4,VALUE(RIGHT($A1077,2))&gt;60),$A1077&amp;"01 1",$A1077),IF(AND(LEN($A1077)=4,VALUE(RIGHT($A1077,2))&lt;60),GUS_tabl_2!$A$8:$B$464,GUS_tabl_21!$A$5:$B$4886),2,FALSE)),SUM(FIND("..",TRIM(VLOOKUP(IF(AND(LEN($A1077)=4,VALUE(RIGHT($A1077,2))&gt;60),$A1077&amp;"01 1",$A1077),IF(AND(LEN($A1077)=4,VALUE(RIGHT($A1077,2))&lt;60),GUS_tabl_2!$A$8:$B$464,GUS_tabl_21!$A$5:$B$4886),2,FALSE))),-1)))))</f>
        <v>gm. w. Oświęcim</v>
      </c>
      <c r="D1077" s="141">
        <f>IF(OR($A1077="",ISERROR(VALUE(LEFT($A1077,6)))),"",IF(LEN($A1077)=2,SUMIF($A1078:$A$2965,$A1077&amp;"??",$D1078:$D$2965),IF(AND(LEN($A1077)=4,VALUE(RIGHT($A1077,2))&lt;=60),SUMIF($A1078:$A$2965,$A1077&amp;"????",$D1078:$D$2965),VLOOKUP(IF(LEN($A1077)=4,$A1077&amp;"01 1",$A1077),GUS_tabl_21!$A$5:$F$4886,6,FALSE))))</f>
        <v>18505</v>
      </c>
      <c r="E1077" s="29"/>
    </row>
    <row r="1078" spans="1:5" ht="12" customHeight="1">
      <c r="A1078" s="155" t="str">
        <f>"121307 2"</f>
        <v>121307 2</v>
      </c>
      <c r="B1078" s="153" t="s">
        <v>71</v>
      </c>
      <c r="C1078" s="156" t="str">
        <f>IF(OR($A1078="",ISERROR(VALUE(LEFT($A1078,6)))),"",IF(LEN($A1078)=2,"WOJ. ",IF(LEN($A1078)=4,IF(VALUE(RIGHT($A1078,2))&gt;60,"","Powiat "),IF(VALUE(RIGHT($A1078,1))=1,"m. ",IF(VALUE(RIGHT($A1078,1))=2,"gm. w. ",IF(VALUE(RIGHT($A1078,1))=8,"dz. ","gm. m.-w. ")))))&amp;IF(LEN($A1078)=2,TRIM(UPPER(VLOOKUP($A1078,GUS_tabl_1!$A$7:$B$22,2,FALSE))),IF(ISERROR(FIND("..",TRIM(VLOOKUP(IF(AND(LEN($A1078)=4,VALUE(RIGHT($A1078,2))&gt;60),$A1078&amp;"01 1",$A1078),IF(AND(LEN($A1078)=4,VALUE(RIGHT($A1078,2))&lt;60),GUS_tabl_2!$A$8:$B$464,GUS_tabl_21!$A$5:$B$4886),2,FALSE)))),TRIM(VLOOKUP(IF(AND(LEN($A1078)=4,VALUE(RIGHT($A1078,2))&gt;60),$A1078&amp;"01 1",$A1078),IF(AND(LEN($A1078)=4,VALUE(RIGHT($A1078,2))&lt;60),GUS_tabl_2!$A$8:$B$464,GUS_tabl_21!$A$5:$B$4886),2,FALSE)),LEFT(TRIM(VLOOKUP(IF(AND(LEN($A1078)=4,VALUE(RIGHT($A1078,2))&gt;60),$A1078&amp;"01 1",$A1078),IF(AND(LEN($A1078)=4,VALUE(RIGHT($A1078,2))&lt;60),GUS_tabl_2!$A$8:$B$464,GUS_tabl_21!$A$5:$B$4886),2,FALSE)),SUM(FIND("..",TRIM(VLOOKUP(IF(AND(LEN($A1078)=4,VALUE(RIGHT($A1078,2))&gt;60),$A1078&amp;"01 1",$A1078),IF(AND(LEN($A1078)=4,VALUE(RIGHT($A1078,2))&lt;60),GUS_tabl_2!$A$8:$B$464,GUS_tabl_21!$A$5:$B$4886),2,FALSE))),-1)))))</f>
        <v>gm. w. Polanka Wielka</v>
      </c>
      <c r="D1078" s="141">
        <f>IF(OR($A1078="",ISERROR(VALUE(LEFT($A1078,6)))),"",IF(LEN($A1078)=2,SUMIF($A1079:$A$2965,$A1078&amp;"??",$D1079:$D$2965),IF(AND(LEN($A1078)=4,VALUE(RIGHT($A1078,2))&lt;=60),SUMIF($A1079:$A$2965,$A1078&amp;"????",$D1079:$D$2965),VLOOKUP(IF(LEN($A1078)=4,$A1078&amp;"01 1",$A1078),GUS_tabl_21!$A$5:$F$4886,6,FALSE))))</f>
        <v>4313</v>
      </c>
      <c r="E1078" s="29"/>
    </row>
    <row r="1079" spans="1:5" ht="12" customHeight="1">
      <c r="A1079" s="155" t="str">
        <f>"121308 2"</f>
        <v>121308 2</v>
      </c>
      <c r="B1079" s="153" t="s">
        <v>71</v>
      </c>
      <c r="C1079" s="156" t="str">
        <f>IF(OR($A1079="",ISERROR(VALUE(LEFT($A1079,6)))),"",IF(LEN($A1079)=2,"WOJ. ",IF(LEN($A1079)=4,IF(VALUE(RIGHT($A1079,2))&gt;60,"","Powiat "),IF(VALUE(RIGHT($A1079,1))=1,"m. ",IF(VALUE(RIGHT($A1079,1))=2,"gm. w. ",IF(VALUE(RIGHT($A1079,1))=8,"dz. ","gm. m.-w. ")))))&amp;IF(LEN($A1079)=2,TRIM(UPPER(VLOOKUP($A1079,GUS_tabl_1!$A$7:$B$22,2,FALSE))),IF(ISERROR(FIND("..",TRIM(VLOOKUP(IF(AND(LEN($A1079)=4,VALUE(RIGHT($A1079,2))&gt;60),$A1079&amp;"01 1",$A1079),IF(AND(LEN($A1079)=4,VALUE(RIGHT($A1079,2))&lt;60),GUS_tabl_2!$A$8:$B$464,GUS_tabl_21!$A$5:$B$4886),2,FALSE)))),TRIM(VLOOKUP(IF(AND(LEN($A1079)=4,VALUE(RIGHT($A1079,2))&gt;60),$A1079&amp;"01 1",$A1079),IF(AND(LEN($A1079)=4,VALUE(RIGHT($A1079,2))&lt;60),GUS_tabl_2!$A$8:$B$464,GUS_tabl_21!$A$5:$B$4886),2,FALSE)),LEFT(TRIM(VLOOKUP(IF(AND(LEN($A1079)=4,VALUE(RIGHT($A1079,2))&gt;60),$A1079&amp;"01 1",$A1079),IF(AND(LEN($A1079)=4,VALUE(RIGHT($A1079,2))&lt;60),GUS_tabl_2!$A$8:$B$464,GUS_tabl_21!$A$5:$B$4886),2,FALSE)),SUM(FIND("..",TRIM(VLOOKUP(IF(AND(LEN($A1079)=4,VALUE(RIGHT($A1079,2))&gt;60),$A1079&amp;"01 1",$A1079),IF(AND(LEN($A1079)=4,VALUE(RIGHT($A1079,2))&lt;60),GUS_tabl_2!$A$8:$B$464,GUS_tabl_21!$A$5:$B$4886),2,FALSE))),-1)))))</f>
        <v>gm. w. Przeciszów</v>
      </c>
      <c r="D1079" s="141">
        <f>IF(OR($A1079="",ISERROR(VALUE(LEFT($A1079,6)))),"",IF(LEN($A1079)=2,SUMIF($A1080:$A$2965,$A1079&amp;"??",$D1080:$D$2965),IF(AND(LEN($A1079)=4,VALUE(RIGHT($A1079,2))&lt;=60),SUMIF($A1080:$A$2965,$A1079&amp;"????",$D1080:$D$2965),VLOOKUP(IF(LEN($A1079)=4,$A1079&amp;"01 1",$A1079),GUS_tabl_21!$A$5:$F$4886,6,FALSE))))</f>
        <v>6761</v>
      </c>
      <c r="E1079" s="29"/>
    </row>
    <row r="1080" spans="1:5" ht="12" customHeight="1">
      <c r="A1080" s="155" t="str">
        <f>"121309 3"</f>
        <v>121309 3</v>
      </c>
      <c r="B1080" s="153" t="s">
        <v>71</v>
      </c>
      <c r="C1080" s="156" t="str">
        <f>IF(OR($A1080="",ISERROR(VALUE(LEFT($A1080,6)))),"",IF(LEN($A1080)=2,"WOJ. ",IF(LEN($A1080)=4,IF(VALUE(RIGHT($A1080,2))&gt;60,"","Powiat "),IF(VALUE(RIGHT($A1080,1))=1,"m. ",IF(VALUE(RIGHT($A1080,1))=2,"gm. w. ",IF(VALUE(RIGHT($A1080,1))=8,"dz. ","gm. m.-w. ")))))&amp;IF(LEN($A1080)=2,TRIM(UPPER(VLOOKUP($A1080,GUS_tabl_1!$A$7:$B$22,2,FALSE))),IF(ISERROR(FIND("..",TRIM(VLOOKUP(IF(AND(LEN($A1080)=4,VALUE(RIGHT($A1080,2))&gt;60),$A1080&amp;"01 1",$A1080),IF(AND(LEN($A1080)=4,VALUE(RIGHT($A1080,2))&lt;60),GUS_tabl_2!$A$8:$B$464,GUS_tabl_21!$A$5:$B$4886),2,FALSE)))),TRIM(VLOOKUP(IF(AND(LEN($A1080)=4,VALUE(RIGHT($A1080,2))&gt;60),$A1080&amp;"01 1",$A1080),IF(AND(LEN($A1080)=4,VALUE(RIGHT($A1080,2))&lt;60),GUS_tabl_2!$A$8:$B$464,GUS_tabl_21!$A$5:$B$4886),2,FALSE)),LEFT(TRIM(VLOOKUP(IF(AND(LEN($A1080)=4,VALUE(RIGHT($A1080,2))&gt;60),$A1080&amp;"01 1",$A1080),IF(AND(LEN($A1080)=4,VALUE(RIGHT($A1080,2))&lt;60),GUS_tabl_2!$A$8:$B$464,GUS_tabl_21!$A$5:$B$4886),2,FALSE)),SUM(FIND("..",TRIM(VLOOKUP(IF(AND(LEN($A1080)=4,VALUE(RIGHT($A1080,2))&gt;60),$A1080&amp;"01 1",$A1080),IF(AND(LEN($A1080)=4,VALUE(RIGHT($A1080,2))&lt;60),GUS_tabl_2!$A$8:$B$464,GUS_tabl_21!$A$5:$B$4886),2,FALSE))),-1)))))</f>
        <v>gm. m.-w. Zator</v>
      </c>
      <c r="D1080" s="141">
        <f>IF(OR($A1080="",ISERROR(VALUE(LEFT($A1080,6)))),"",IF(LEN($A1080)=2,SUMIF($A1081:$A$2965,$A1080&amp;"??",$D1081:$D$2965),IF(AND(LEN($A1080)=4,VALUE(RIGHT($A1080,2))&lt;=60),SUMIF($A1081:$A$2965,$A1080&amp;"????",$D1081:$D$2965),VLOOKUP(IF(LEN($A1080)=4,$A1080&amp;"01 1",$A1080),GUS_tabl_21!$A$5:$F$4886,6,FALSE))))</f>
        <v>9317</v>
      </c>
      <c r="E1080" s="29"/>
    </row>
    <row r="1081" spans="1:5" ht="12" customHeight="1">
      <c r="A1081" s="152" t="str">
        <f>"1214"</f>
        <v>1214</v>
      </c>
      <c r="B1081" s="153" t="s">
        <v>71</v>
      </c>
      <c r="C1081" s="154" t="str">
        <f>IF(OR($A1081="",ISERROR(VALUE(LEFT($A1081,6)))),"",IF(LEN($A1081)=2,"WOJ. ",IF(LEN($A1081)=4,IF(VALUE(RIGHT($A1081,2))&gt;60,"","Powiat "),IF(VALUE(RIGHT($A1081,1))=1,"m. ",IF(VALUE(RIGHT($A1081,1))=2,"gm. w. ",IF(VALUE(RIGHT($A1081,1))=8,"dz. ","gm. m.-w. ")))))&amp;IF(LEN($A1081)=2,TRIM(UPPER(VLOOKUP($A1081,GUS_tabl_1!$A$7:$B$22,2,FALSE))),IF(ISERROR(FIND("..",TRIM(VLOOKUP(IF(AND(LEN($A1081)=4,VALUE(RIGHT($A1081,2))&gt;60),$A1081&amp;"01 1",$A1081),IF(AND(LEN($A1081)=4,VALUE(RIGHT($A1081,2))&lt;60),GUS_tabl_2!$A$8:$B$464,GUS_tabl_21!$A$5:$B$4886),2,FALSE)))),TRIM(VLOOKUP(IF(AND(LEN($A1081)=4,VALUE(RIGHT($A1081,2))&gt;60),$A1081&amp;"01 1",$A1081),IF(AND(LEN($A1081)=4,VALUE(RIGHT($A1081,2))&lt;60),GUS_tabl_2!$A$8:$B$464,GUS_tabl_21!$A$5:$B$4886),2,FALSE)),LEFT(TRIM(VLOOKUP(IF(AND(LEN($A1081)=4,VALUE(RIGHT($A1081,2))&gt;60),$A1081&amp;"01 1",$A1081),IF(AND(LEN($A1081)=4,VALUE(RIGHT($A1081,2))&lt;60),GUS_tabl_2!$A$8:$B$464,GUS_tabl_21!$A$5:$B$4886),2,FALSE)),SUM(FIND("..",TRIM(VLOOKUP(IF(AND(LEN($A1081)=4,VALUE(RIGHT($A1081,2))&gt;60),$A1081&amp;"01 1",$A1081),IF(AND(LEN($A1081)=4,VALUE(RIGHT($A1081,2))&lt;60),GUS_tabl_2!$A$8:$B$464,GUS_tabl_21!$A$5:$B$4886),2,FALSE))),-1)))))</f>
        <v>Powiat proszowicki</v>
      </c>
      <c r="D1081" s="140">
        <f>IF(OR($A1081="",ISERROR(VALUE(LEFT($A1081,6)))),"",IF(LEN($A1081)=2,SUMIF($A1082:$A$2965,$A1081&amp;"??",$D1082:$D$2965),IF(AND(LEN($A1081)=4,VALUE(RIGHT($A1081,2))&lt;=60),SUMIF($A1082:$A$2965,$A1081&amp;"????",$D1082:$D$2965),VLOOKUP(IF(LEN($A1081)=4,$A1081&amp;"01 1",$A1081),GUS_tabl_21!$A$5:$F$4886,6,FALSE))))</f>
        <v>43222</v>
      </c>
      <c r="E1081" s="29"/>
    </row>
    <row r="1082" spans="1:5" ht="12" customHeight="1">
      <c r="A1082" s="155" t="str">
        <f>"121401 2"</f>
        <v>121401 2</v>
      </c>
      <c r="B1082" s="153" t="s">
        <v>71</v>
      </c>
      <c r="C1082" s="156" t="str">
        <f>IF(OR($A1082="",ISERROR(VALUE(LEFT($A1082,6)))),"",IF(LEN($A1082)=2,"WOJ. ",IF(LEN($A1082)=4,IF(VALUE(RIGHT($A1082,2))&gt;60,"","Powiat "),IF(VALUE(RIGHT($A1082,1))=1,"m. ",IF(VALUE(RIGHT($A1082,1))=2,"gm. w. ",IF(VALUE(RIGHT($A1082,1))=8,"dz. ","gm. m.-w. ")))))&amp;IF(LEN($A1082)=2,TRIM(UPPER(VLOOKUP($A1082,GUS_tabl_1!$A$7:$B$22,2,FALSE))),IF(ISERROR(FIND("..",TRIM(VLOOKUP(IF(AND(LEN($A1082)=4,VALUE(RIGHT($A1082,2))&gt;60),$A1082&amp;"01 1",$A1082),IF(AND(LEN($A1082)=4,VALUE(RIGHT($A1082,2))&lt;60),GUS_tabl_2!$A$8:$B$464,GUS_tabl_21!$A$5:$B$4886),2,FALSE)))),TRIM(VLOOKUP(IF(AND(LEN($A1082)=4,VALUE(RIGHT($A1082,2))&gt;60),$A1082&amp;"01 1",$A1082),IF(AND(LEN($A1082)=4,VALUE(RIGHT($A1082,2))&lt;60),GUS_tabl_2!$A$8:$B$464,GUS_tabl_21!$A$5:$B$4886),2,FALSE)),LEFT(TRIM(VLOOKUP(IF(AND(LEN($A1082)=4,VALUE(RIGHT($A1082,2))&gt;60),$A1082&amp;"01 1",$A1082),IF(AND(LEN($A1082)=4,VALUE(RIGHT($A1082,2))&lt;60),GUS_tabl_2!$A$8:$B$464,GUS_tabl_21!$A$5:$B$4886),2,FALSE)),SUM(FIND("..",TRIM(VLOOKUP(IF(AND(LEN($A1082)=4,VALUE(RIGHT($A1082,2))&gt;60),$A1082&amp;"01 1",$A1082),IF(AND(LEN($A1082)=4,VALUE(RIGHT($A1082,2))&lt;60),GUS_tabl_2!$A$8:$B$464,GUS_tabl_21!$A$5:$B$4886),2,FALSE))),-1)))))</f>
        <v>gm. w. Koniusza</v>
      </c>
      <c r="D1082" s="141">
        <f>IF(OR($A1082="",ISERROR(VALUE(LEFT($A1082,6)))),"",IF(LEN($A1082)=2,SUMIF($A1083:$A$2965,$A1082&amp;"??",$D1083:$D$2965),IF(AND(LEN($A1082)=4,VALUE(RIGHT($A1082,2))&lt;=60),SUMIF($A1083:$A$2965,$A1082&amp;"????",$D1083:$D$2965),VLOOKUP(IF(LEN($A1082)=4,$A1082&amp;"01 1",$A1082),GUS_tabl_21!$A$5:$F$4886,6,FALSE))))</f>
        <v>9007</v>
      </c>
      <c r="E1082" s="29"/>
    </row>
    <row r="1083" spans="1:5" ht="12" customHeight="1">
      <c r="A1083" s="155" t="str">
        <f>"121402 3"</f>
        <v>121402 3</v>
      </c>
      <c r="B1083" s="153" t="s">
        <v>71</v>
      </c>
      <c r="C1083" s="156" t="str">
        <f>IF(OR($A1083="",ISERROR(VALUE(LEFT($A1083,6)))),"",IF(LEN($A1083)=2,"WOJ. ",IF(LEN($A1083)=4,IF(VALUE(RIGHT($A1083,2))&gt;60,"","Powiat "),IF(VALUE(RIGHT($A1083,1))=1,"m. ",IF(VALUE(RIGHT($A1083,1))=2,"gm. w. ",IF(VALUE(RIGHT($A1083,1))=8,"dz. ","gm. m.-w. ")))))&amp;IF(LEN($A1083)=2,TRIM(UPPER(VLOOKUP($A1083,GUS_tabl_1!$A$7:$B$22,2,FALSE))),IF(ISERROR(FIND("..",TRIM(VLOOKUP(IF(AND(LEN($A1083)=4,VALUE(RIGHT($A1083,2))&gt;60),$A1083&amp;"01 1",$A1083),IF(AND(LEN($A1083)=4,VALUE(RIGHT($A1083,2))&lt;60),GUS_tabl_2!$A$8:$B$464,GUS_tabl_21!$A$5:$B$4886),2,FALSE)))),TRIM(VLOOKUP(IF(AND(LEN($A1083)=4,VALUE(RIGHT($A1083,2))&gt;60),$A1083&amp;"01 1",$A1083),IF(AND(LEN($A1083)=4,VALUE(RIGHT($A1083,2))&lt;60),GUS_tabl_2!$A$8:$B$464,GUS_tabl_21!$A$5:$B$4886),2,FALSE)),LEFT(TRIM(VLOOKUP(IF(AND(LEN($A1083)=4,VALUE(RIGHT($A1083,2))&gt;60),$A1083&amp;"01 1",$A1083),IF(AND(LEN($A1083)=4,VALUE(RIGHT($A1083,2))&lt;60),GUS_tabl_2!$A$8:$B$464,GUS_tabl_21!$A$5:$B$4886),2,FALSE)),SUM(FIND("..",TRIM(VLOOKUP(IF(AND(LEN($A1083)=4,VALUE(RIGHT($A1083,2))&gt;60),$A1083&amp;"01 1",$A1083),IF(AND(LEN($A1083)=4,VALUE(RIGHT($A1083,2))&lt;60),GUS_tabl_2!$A$8:$B$464,GUS_tabl_21!$A$5:$B$4886),2,FALSE))),-1)))))</f>
        <v>gm. m.-w. Koszyce</v>
      </c>
      <c r="D1083" s="141">
        <f>IF(OR($A1083="",ISERROR(VALUE(LEFT($A1083,6)))),"",IF(LEN($A1083)=2,SUMIF($A1084:$A$2965,$A1083&amp;"??",$D1084:$D$2965),IF(AND(LEN($A1083)=4,VALUE(RIGHT($A1083,2))&lt;=60),SUMIF($A1084:$A$2965,$A1083&amp;"????",$D1084:$D$2965),VLOOKUP(IF(LEN($A1083)=4,$A1083&amp;"01 1",$A1083),GUS_tabl_21!$A$5:$F$4886,6,FALSE))))</f>
        <v>5454</v>
      </c>
      <c r="E1083" s="29"/>
    </row>
    <row r="1084" spans="1:5" ht="12" customHeight="1">
      <c r="A1084" s="155" t="str">
        <f>"121403 3"</f>
        <v>121403 3</v>
      </c>
      <c r="B1084" s="153" t="s">
        <v>71</v>
      </c>
      <c r="C1084" s="156" t="str">
        <f>IF(OR($A1084="",ISERROR(VALUE(LEFT($A1084,6)))),"",IF(LEN($A1084)=2,"WOJ. ",IF(LEN($A1084)=4,IF(VALUE(RIGHT($A1084,2))&gt;60,"","Powiat "),IF(VALUE(RIGHT($A1084,1))=1,"m. ",IF(VALUE(RIGHT($A1084,1))=2,"gm. w. ",IF(VALUE(RIGHT($A1084,1))=8,"dz. ","gm. m.-w. ")))))&amp;IF(LEN($A1084)=2,TRIM(UPPER(VLOOKUP($A1084,GUS_tabl_1!$A$7:$B$22,2,FALSE))),IF(ISERROR(FIND("..",TRIM(VLOOKUP(IF(AND(LEN($A1084)=4,VALUE(RIGHT($A1084,2))&gt;60),$A1084&amp;"01 1",$A1084),IF(AND(LEN($A1084)=4,VALUE(RIGHT($A1084,2))&lt;60),GUS_tabl_2!$A$8:$B$464,GUS_tabl_21!$A$5:$B$4886),2,FALSE)))),TRIM(VLOOKUP(IF(AND(LEN($A1084)=4,VALUE(RIGHT($A1084,2))&gt;60),$A1084&amp;"01 1",$A1084),IF(AND(LEN($A1084)=4,VALUE(RIGHT($A1084,2))&lt;60),GUS_tabl_2!$A$8:$B$464,GUS_tabl_21!$A$5:$B$4886),2,FALSE)),LEFT(TRIM(VLOOKUP(IF(AND(LEN($A1084)=4,VALUE(RIGHT($A1084,2))&gt;60),$A1084&amp;"01 1",$A1084),IF(AND(LEN($A1084)=4,VALUE(RIGHT($A1084,2))&lt;60),GUS_tabl_2!$A$8:$B$464,GUS_tabl_21!$A$5:$B$4886),2,FALSE)),SUM(FIND("..",TRIM(VLOOKUP(IF(AND(LEN($A1084)=4,VALUE(RIGHT($A1084,2))&gt;60),$A1084&amp;"01 1",$A1084),IF(AND(LEN($A1084)=4,VALUE(RIGHT($A1084,2))&lt;60),GUS_tabl_2!$A$8:$B$464,GUS_tabl_21!$A$5:$B$4886),2,FALSE))),-1)))))</f>
        <v>gm. m.-w. Nowe Brzesko</v>
      </c>
      <c r="D1084" s="141">
        <f>IF(OR($A1084="",ISERROR(VALUE(LEFT($A1084,6)))),"",IF(LEN($A1084)=2,SUMIF($A1085:$A$2965,$A1084&amp;"??",$D1085:$D$2965),IF(AND(LEN($A1084)=4,VALUE(RIGHT($A1084,2))&lt;=60),SUMIF($A1085:$A$2965,$A1084&amp;"????",$D1085:$D$2965),VLOOKUP(IF(LEN($A1084)=4,$A1084&amp;"01 1",$A1084),GUS_tabl_21!$A$5:$F$4886,6,FALSE))))</f>
        <v>5712</v>
      </c>
      <c r="E1084" s="29"/>
    </row>
    <row r="1085" spans="1:5" ht="12" customHeight="1">
      <c r="A1085" s="155" t="str">
        <f>"121404 2"</f>
        <v>121404 2</v>
      </c>
      <c r="B1085" s="153" t="s">
        <v>71</v>
      </c>
      <c r="C1085" s="156" t="str">
        <f>IF(OR($A1085="",ISERROR(VALUE(LEFT($A1085,6)))),"",IF(LEN($A1085)=2,"WOJ. ",IF(LEN($A1085)=4,IF(VALUE(RIGHT($A1085,2))&gt;60,"","Powiat "),IF(VALUE(RIGHT($A1085,1))=1,"m. ",IF(VALUE(RIGHT($A1085,1))=2,"gm. w. ",IF(VALUE(RIGHT($A1085,1))=8,"dz. ","gm. m.-w. ")))))&amp;IF(LEN($A1085)=2,TRIM(UPPER(VLOOKUP($A1085,GUS_tabl_1!$A$7:$B$22,2,FALSE))),IF(ISERROR(FIND("..",TRIM(VLOOKUP(IF(AND(LEN($A1085)=4,VALUE(RIGHT($A1085,2))&gt;60),$A1085&amp;"01 1",$A1085),IF(AND(LEN($A1085)=4,VALUE(RIGHT($A1085,2))&lt;60),GUS_tabl_2!$A$8:$B$464,GUS_tabl_21!$A$5:$B$4886),2,FALSE)))),TRIM(VLOOKUP(IF(AND(LEN($A1085)=4,VALUE(RIGHT($A1085,2))&gt;60),$A1085&amp;"01 1",$A1085),IF(AND(LEN($A1085)=4,VALUE(RIGHT($A1085,2))&lt;60),GUS_tabl_2!$A$8:$B$464,GUS_tabl_21!$A$5:$B$4886),2,FALSE)),LEFT(TRIM(VLOOKUP(IF(AND(LEN($A1085)=4,VALUE(RIGHT($A1085,2))&gt;60),$A1085&amp;"01 1",$A1085),IF(AND(LEN($A1085)=4,VALUE(RIGHT($A1085,2))&lt;60),GUS_tabl_2!$A$8:$B$464,GUS_tabl_21!$A$5:$B$4886),2,FALSE)),SUM(FIND("..",TRIM(VLOOKUP(IF(AND(LEN($A1085)=4,VALUE(RIGHT($A1085,2))&gt;60),$A1085&amp;"01 1",$A1085),IF(AND(LEN($A1085)=4,VALUE(RIGHT($A1085,2))&lt;60),GUS_tabl_2!$A$8:$B$464,GUS_tabl_21!$A$5:$B$4886),2,FALSE))),-1)))))</f>
        <v>gm. w. Pałecznica</v>
      </c>
      <c r="D1085" s="141">
        <f>IF(OR($A1085="",ISERROR(VALUE(LEFT($A1085,6)))),"",IF(LEN($A1085)=2,SUMIF($A1086:$A$2965,$A1085&amp;"??",$D1086:$D$2965),IF(AND(LEN($A1085)=4,VALUE(RIGHT($A1085,2))&lt;=60),SUMIF($A1086:$A$2965,$A1085&amp;"????",$D1086:$D$2965),VLOOKUP(IF(LEN($A1085)=4,$A1085&amp;"01 1",$A1085),GUS_tabl_21!$A$5:$F$4886,6,FALSE))))</f>
        <v>3568</v>
      </c>
      <c r="E1085" s="29"/>
    </row>
    <row r="1086" spans="1:5" ht="12" customHeight="1">
      <c r="A1086" s="155" t="str">
        <f>"121405 3"</f>
        <v>121405 3</v>
      </c>
      <c r="B1086" s="153" t="s">
        <v>71</v>
      </c>
      <c r="C1086" s="156" t="str">
        <f>IF(OR($A1086="",ISERROR(VALUE(LEFT($A1086,6)))),"",IF(LEN($A1086)=2,"WOJ. ",IF(LEN($A1086)=4,IF(VALUE(RIGHT($A1086,2))&gt;60,"","Powiat "),IF(VALUE(RIGHT($A1086,1))=1,"m. ",IF(VALUE(RIGHT($A1086,1))=2,"gm. w. ",IF(VALUE(RIGHT($A1086,1))=8,"dz. ","gm. m.-w. ")))))&amp;IF(LEN($A1086)=2,TRIM(UPPER(VLOOKUP($A1086,GUS_tabl_1!$A$7:$B$22,2,FALSE))),IF(ISERROR(FIND("..",TRIM(VLOOKUP(IF(AND(LEN($A1086)=4,VALUE(RIGHT($A1086,2))&gt;60),$A1086&amp;"01 1",$A1086),IF(AND(LEN($A1086)=4,VALUE(RIGHT($A1086,2))&lt;60),GUS_tabl_2!$A$8:$B$464,GUS_tabl_21!$A$5:$B$4886),2,FALSE)))),TRIM(VLOOKUP(IF(AND(LEN($A1086)=4,VALUE(RIGHT($A1086,2))&gt;60),$A1086&amp;"01 1",$A1086),IF(AND(LEN($A1086)=4,VALUE(RIGHT($A1086,2))&lt;60),GUS_tabl_2!$A$8:$B$464,GUS_tabl_21!$A$5:$B$4886),2,FALSE)),LEFT(TRIM(VLOOKUP(IF(AND(LEN($A1086)=4,VALUE(RIGHT($A1086,2))&gt;60),$A1086&amp;"01 1",$A1086),IF(AND(LEN($A1086)=4,VALUE(RIGHT($A1086,2))&lt;60),GUS_tabl_2!$A$8:$B$464,GUS_tabl_21!$A$5:$B$4886),2,FALSE)),SUM(FIND("..",TRIM(VLOOKUP(IF(AND(LEN($A1086)=4,VALUE(RIGHT($A1086,2))&gt;60),$A1086&amp;"01 1",$A1086),IF(AND(LEN($A1086)=4,VALUE(RIGHT($A1086,2))&lt;60),GUS_tabl_2!$A$8:$B$464,GUS_tabl_21!$A$5:$B$4886),2,FALSE))),-1)))))</f>
        <v>gm. m.-w. Proszowice</v>
      </c>
      <c r="D1086" s="141">
        <f>IF(OR($A1086="",ISERROR(VALUE(LEFT($A1086,6)))),"",IF(LEN($A1086)=2,SUMIF($A1087:$A$2965,$A1086&amp;"??",$D1087:$D$2965),IF(AND(LEN($A1086)=4,VALUE(RIGHT($A1086,2))&lt;=60),SUMIF($A1087:$A$2965,$A1086&amp;"????",$D1087:$D$2965),VLOOKUP(IF(LEN($A1086)=4,$A1086&amp;"01 1",$A1086),GUS_tabl_21!$A$5:$F$4886,6,FALSE))))</f>
        <v>16139</v>
      </c>
      <c r="E1086" s="29"/>
    </row>
    <row r="1087" spans="1:5" ht="12" customHeight="1">
      <c r="A1087" s="155" t="str">
        <f>"121406 2"</f>
        <v>121406 2</v>
      </c>
      <c r="B1087" s="153" t="s">
        <v>71</v>
      </c>
      <c r="C1087" s="156" t="str">
        <f>IF(OR($A1087="",ISERROR(VALUE(LEFT($A1087,6)))),"",IF(LEN($A1087)=2,"WOJ. ",IF(LEN($A1087)=4,IF(VALUE(RIGHT($A1087,2))&gt;60,"","Powiat "),IF(VALUE(RIGHT($A1087,1))=1,"m. ",IF(VALUE(RIGHT($A1087,1))=2,"gm. w. ",IF(VALUE(RIGHT($A1087,1))=8,"dz. ","gm. m.-w. ")))))&amp;IF(LEN($A1087)=2,TRIM(UPPER(VLOOKUP($A1087,GUS_tabl_1!$A$7:$B$22,2,FALSE))),IF(ISERROR(FIND("..",TRIM(VLOOKUP(IF(AND(LEN($A1087)=4,VALUE(RIGHT($A1087,2))&gt;60),$A1087&amp;"01 1",$A1087),IF(AND(LEN($A1087)=4,VALUE(RIGHT($A1087,2))&lt;60),GUS_tabl_2!$A$8:$B$464,GUS_tabl_21!$A$5:$B$4886),2,FALSE)))),TRIM(VLOOKUP(IF(AND(LEN($A1087)=4,VALUE(RIGHT($A1087,2))&gt;60),$A1087&amp;"01 1",$A1087),IF(AND(LEN($A1087)=4,VALUE(RIGHT($A1087,2))&lt;60),GUS_tabl_2!$A$8:$B$464,GUS_tabl_21!$A$5:$B$4886),2,FALSE)),LEFT(TRIM(VLOOKUP(IF(AND(LEN($A1087)=4,VALUE(RIGHT($A1087,2))&gt;60),$A1087&amp;"01 1",$A1087),IF(AND(LEN($A1087)=4,VALUE(RIGHT($A1087,2))&lt;60),GUS_tabl_2!$A$8:$B$464,GUS_tabl_21!$A$5:$B$4886),2,FALSE)),SUM(FIND("..",TRIM(VLOOKUP(IF(AND(LEN($A1087)=4,VALUE(RIGHT($A1087,2))&gt;60),$A1087&amp;"01 1",$A1087),IF(AND(LEN($A1087)=4,VALUE(RIGHT($A1087,2))&lt;60),GUS_tabl_2!$A$8:$B$464,GUS_tabl_21!$A$5:$B$4886),2,FALSE))),-1)))))</f>
        <v>gm. w. Radziemice</v>
      </c>
      <c r="D1087" s="141">
        <f>IF(OR($A1087="",ISERROR(VALUE(LEFT($A1087,6)))),"",IF(LEN($A1087)=2,SUMIF($A1088:$A$2965,$A1087&amp;"??",$D1088:$D$2965),IF(AND(LEN($A1087)=4,VALUE(RIGHT($A1087,2))&lt;=60),SUMIF($A1088:$A$2965,$A1087&amp;"????",$D1088:$D$2965),VLOOKUP(IF(LEN($A1087)=4,$A1087&amp;"01 1",$A1087),GUS_tabl_21!$A$5:$F$4886,6,FALSE))))</f>
        <v>3342</v>
      </c>
      <c r="E1087" s="29"/>
    </row>
    <row r="1088" spans="1:5" ht="12" customHeight="1">
      <c r="A1088" s="152" t="str">
        <f>"1215"</f>
        <v>1215</v>
      </c>
      <c r="B1088" s="153" t="s">
        <v>71</v>
      </c>
      <c r="C1088" s="154" t="str">
        <f>IF(OR($A1088="",ISERROR(VALUE(LEFT($A1088,6)))),"",IF(LEN($A1088)=2,"WOJ. ",IF(LEN($A1088)=4,IF(VALUE(RIGHT($A1088,2))&gt;60,"","Powiat "),IF(VALUE(RIGHT($A1088,1))=1,"m. ",IF(VALUE(RIGHT($A1088,1))=2,"gm. w. ",IF(VALUE(RIGHT($A1088,1))=8,"dz. ","gm. m.-w. ")))))&amp;IF(LEN($A1088)=2,TRIM(UPPER(VLOOKUP($A1088,GUS_tabl_1!$A$7:$B$22,2,FALSE))),IF(ISERROR(FIND("..",TRIM(VLOOKUP(IF(AND(LEN($A1088)=4,VALUE(RIGHT($A1088,2))&gt;60),$A1088&amp;"01 1",$A1088),IF(AND(LEN($A1088)=4,VALUE(RIGHT($A1088,2))&lt;60),GUS_tabl_2!$A$8:$B$464,GUS_tabl_21!$A$5:$B$4886),2,FALSE)))),TRIM(VLOOKUP(IF(AND(LEN($A1088)=4,VALUE(RIGHT($A1088,2))&gt;60),$A1088&amp;"01 1",$A1088),IF(AND(LEN($A1088)=4,VALUE(RIGHT($A1088,2))&lt;60),GUS_tabl_2!$A$8:$B$464,GUS_tabl_21!$A$5:$B$4886),2,FALSE)),LEFT(TRIM(VLOOKUP(IF(AND(LEN($A1088)=4,VALUE(RIGHT($A1088,2))&gt;60),$A1088&amp;"01 1",$A1088),IF(AND(LEN($A1088)=4,VALUE(RIGHT($A1088,2))&lt;60),GUS_tabl_2!$A$8:$B$464,GUS_tabl_21!$A$5:$B$4886),2,FALSE)),SUM(FIND("..",TRIM(VLOOKUP(IF(AND(LEN($A1088)=4,VALUE(RIGHT($A1088,2))&gt;60),$A1088&amp;"01 1",$A1088),IF(AND(LEN($A1088)=4,VALUE(RIGHT($A1088,2))&lt;60),GUS_tabl_2!$A$8:$B$464,GUS_tabl_21!$A$5:$B$4886),2,FALSE))),-1)))))</f>
        <v>Powiat suski</v>
      </c>
      <c r="D1088" s="140">
        <f>IF(OR($A1088="",ISERROR(VALUE(LEFT($A1088,6)))),"",IF(LEN($A1088)=2,SUMIF($A1089:$A$2965,$A1088&amp;"??",$D1089:$D$2965),IF(AND(LEN($A1088)=4,VALUE(RIGHT($A1088,2))&lt;=60),SUMIF($A1089:$A$2965,$A1088&amp;"????",$D1089:$D$2965),VLOOKUP(IF(LEN($A1088)=4,$A1088&amp;"01 1",$A1088),GUS_tabl_21!$A$5:$F$4886,6,FALSE))))</f>
        <v>84232</v>
      </c>
      <c r="E1088" s="29"/>
    </row>
    <row r="1089" spans="1:5" ht="12" customHeight="1">
      <c r="A1089" s="155" t="str">
        <f>"121501 1"</f>
        <v>121501 1</v>
      </c>
      <c r="B1089" s="153" t="s">
        <v>71</v>
      </c>
      <c r="C1089" s="156" t="str">
        <f>IF(OR($A1089="",ISERROR(VALUE(LEFT($A1089,6)))),"",IF(LEN($A1089)=2,"WOJ. ",IF(LEN($A1089)=4,IF(VALUE(RIGHT($A1089,2))&gt;60,"","Powiat "),IF(VALUE(RIGHT($A1089,1))=1,"m. ",IF(VALUE(RIGHT($A1089,1))=2,"gm. w. ",IF(VALUE(RIGHT($A1089,1))=8,"dz. ","gm. m.-w. ")))))&amp;IF(LEN($A1089)=2,TRIM(UPPER(VLOOKUP($A1089,GUS_tabl_1!$A$7:$B$22,2,FALSE))),IF(ISERROR(FIND("..",TRIM(VLOOKUP(IF(AND(LEN($A1089)=4,VALUE(RIGHT($A1089,2))&gt;60),$A1089&amp;"01 1",$A1089),IF(AND(LEN($A1089)=4,VALUE(RIGHT($A1089,2))&lt;60),GUS_tabl_2!$A$8:$B$464,GUS_tabl_21!$A$5:$B$4886),2,FALSE)))),TRIM(VLOOKUP(IF(AND(LEN($A1089)=4,VALUE(RIGHT($A1089,2))&gt;60),$A1089&amp;"01 1",$A1089),IF(AND(LEN($A1089)=4,VALUE(RIGHT($A1089,2))&lt;60),GUS_tabl_2!$A$8:$B$464,GUS_tabl_21!$A$5:$B$4886),2,FALSE)),LEFT(TRIM(VLOOKUP(IF(AND(LEN($A1089)=4,VALUE(RIGHT($A1089,2))&gt;60),$A1089&amp;"01 1",$A1089),IF(AND(LEN($A1089)=4,VALUE(RIGHT($A1089,2))&lt;60),GUS_tabl_2!$A$8:$B$464,GUS_tabl_21!$A$5:$B$4886),2,FALSE)),SUM(FIND("..",TRIM(VLOOKUP(IF(AND(LEN($A1089)=4,VALUE(RIGHT($A1089,2))&gt;60),$A1089&amp;"01 1",$A1089),IF(AND(LEN($A1089)=4,VALUE(RIGHT($A1089,2))&lt;60),GUS_tabl_2!$A$8:$B$464,GUS_tabl_21!$A$5:$B$4886),2,FALSE))),-1)))))</f>
        <v>m. Jordanów</v>
      </c>
      <c r="D1089" s="141">
        <f>IF(OR($A1089="",ISERROR(VALUE(LEFT($A1089,6)))),"",IF(LEN($A1089)=2,SUMIF($A1090:$A$2965,$A1089&amp;"??",$D1090:$D$2965),IF(AND(LEN($A1089)=4,VALUE(RIGHT($A1089,2))&lt;=60),SUMIF($A1090:$A$2965,$A1089&amp;"????",$D1090:$D$2965),VLOOKUP(IF(LEN($A1089)=4,$A1089&amp;"01 1",$A1089),GUS_tabl_21!$A$5:$F$4886,6,FALSE))))</f>
        <v>5366</v>
      </c>
      <c r="E1089" s="29"/>
    </row>
    <row r="1090" spans="1:5" ht="12" customHeight="1">
      <c r="A1090" s="155" t="str">
        <f>"121502 1"</f>
        <v>121502 1</v>
      </c>
      <c r="B1090" s="153" t="s">
        <v>71</v>
      </c>
      <c r="C1090" s="156" t="str">
        <f>IF(OR($A1090="",ISERROR(VALUE(LEFT($A1090,6)))),"",IF(LEN($A1090)=2,"WOJ. ",IF(LEN($A1090)=4,IF(VALUE(RIGHT($A1090,2))&gt;60,"","Powiat "),IF(VALUE(RIGHT($A1090,1))=1,"m. ",IF(VALUE(RIGHT($A1090,1))=2,"gm. w. ",IF(VALUE(RIGHT($A1090,1))=8,"dz. ","gm. m.-w. ")))))&amp;IF(LEN($A1090)=2,TRIM(UPPER(VLOOKUP($A1090,GUS_tabl_1!$A$7:$B$22,2,FALSE))),IF(ISERROR(FIND("..",TRIM(VLOOKUP(IF(AND(LEN($A1090)=4,VALUE(RIGHT($A1090,2))&gt;60),$A1090&amp;"01 1",$A1090),IF(AND(LEN($A1090)=4,VALUE(RIGHT($A1090,2))&lt;60),GUS_tabl_2!$A$8:$B$464,GUS_tabl_21!$A$5:$B$4886),2,FALSE)))),TRIM(VLOOKUP(IF(AND(LEN($A1090)=4,VALUE(RIGHT($A1090,2))&gt;60),$A1090&amp;"01 1",$A1090),IF(AND(LEN($A1090)=4,VALUE(RIGHT($A1090,2))&lt;60),GUS_tabl_2!$A$8:$B$464,GUS_tabl_21!$A$5:$B$4886),2,FALSE)),LEFT(TRIM(VLOOKUP(IF(AND(LEN($A1090)=4,VALUE(RIGHT($A1090,2))&gt;60),$A1090&amp;"01 1",$A1090),IF(AND(LEN($A1090)=4,VALUE(RIGHT($A1090,2))&lt;60),GUS_tabl_2!$A$8:$B$464,GUS_tabl_21!$A$5:$B$4886),2,FALSE)),SUM(FIND("..",TRIM(VLOOKUP(IF(AND(LEN($A1090)=4,VALUE(RIGHT($A1090,2))&gt;60),$A1090&amp;"01 1",$A1090),IF(AND(LEN($A1090)=4,VALUE(RIGHT($A1090,2))&lt;60),GUS_tabl_2!$A$8:$B$464,GUS_tabl_21!$A$5:$B$4886),2,FALSE))),-1)))))</f>
        <v>m. Sucha Beskidzka</v>
      </c>
      <c r="D1090" s="141">
        <f>IF(OR($A1090="",ISERROR(VALUE(LEFT($A1090,6)))),"",IF(LEN($A1090)=2,SUMIF($A1091:$A$2965,$A1090&amp;"??",$D1091:$D$2965),IF(AND(LEN($A1090)=4,VALUE(RIGHT($A1090,2))&lt;=60),SUMIF($A1091:$A$2965,$A1090&amp;"????",$D1091:$D$2965),VLOOKUP(IF(LEN($A1090)=4,$A1090&amp;"01 1",$A1090),GUS_tabl_21!$A$5:$F$4886,6,FALSE))))</f>
        <v>9088</v>
      </c>
      <c r="E1090" s="29"/>
    </row>
    <row r="1091" spans="1:5" ht="12" customHeight="1">
      <c r="A1091" s="155" t="str">
        <f>"121503 2"</f>
        <v>121503 2</v>
      </c>
      <c r="B1091" s="153" t="s">
        <v>71</v>
      </c>
      <c r="C1091" s="156" t="str">
        <f>IF(OR($A1091="",ISERROR(VALUE(LEFT($A1091,6)))),"",IF(LEN($A1091)=2,"WOJ. ",IF(LEN($A1091)=4,IF(VALUE(RIGHT($A1091,2))&gt;60,"","Powiat "),IF(VALUE(RIGHT($A1091,1))=1,"m. ",IF(VALUE(RIGHT($A1091,1))=2,"gm. w. ",IF(VALUE(RIGHT($A1091,1))=8,"dz. ","gm. m.-w. ")))))&amp;IF(LEN($A1091)=2,TRIM(UPPER(VLOOKUP($A1091,GUS_tabl_1!$A$7:$B$22,2,FALSE))),IF(ISERROR(FIND("..",TRIM(VLOOKUP(IF(AND(LEN($A1091)=4,VALUE(RIGHT($A1091,2))&gt;60),$A1091&amp;"01 1",$A1091),IF(AND(LEN($A1091)=4,VALUE(RIGHT($A1091,2))&lt;60),GUS_tabl_2!$A$8:$B$464,GUS_tabl_21!$A$5:$B$4886),2,FALSE)))),TRIM(VLOOKUP(IF(AND(LEN($A1091)=4,VALUE(RIGHT($A1091,2))&gt;60),$A1091&amp;"01 1",$A1091),IF(AND(LEN($A1091)=4,VALUE(RIGHT($A1091,2))&lt;60),GUS_tabl_2!$A$8:$B$464,GUS_tabl_21!$A$5:$B$4886),2,FALSE)),LEFT(TRIM(VLOOKUP(IF(AND(LEN($A1091)=4,VALUE(RIGHT($A1091,2))&gt;60),$A1091&amp;"01 1",$A1091),IF(AND(LEN($A1091)=4,VALUE(RIGHT($A1091,2))&lt;60),GUS_tabl_2!$A$8:$B$464,GUS_tabl_21!$A$5:$B$4886),2,FALSE)),SUM(FIND("..",TRIM(VLOOKUP(IF(AND(LEN($A1091)=4,VALUE(RIGHT($A1091,2))&gt;60),$A1091&amp;"01 1",$A1091),IF(AND(LEN($A1091)=4,VALUE(RIGHT($A1091,2))&lt;60),GUS_tabl_2!$A$8:$B$464,GUS_tabl_21!$A$5:$B$4886),2,FALSE))),-1)))))</f>
        <v>gm. w. Budzów</v>
      </c>
      <c r="D1091" s="141">
        <f>IF(OR($A1091="",ISERROR(VALUE(LEFT($A1091,6)))),"",IF(LEN($A1091)=2,SUMIF($A1092:$A$2965,$A1091&amp;"??",$D1092:$D$2965),IF(AND(LEN($A1091)=4,VALUE(RIGHT($A1091,2))&lt;=60),SUMIF($A1092:$A$2965,$A1091&amp;"????",$D1092:$D$2965),VLOOKUP(IF(LEN($A1091)=4,$A1091&amp;"01 1",$A1091),GUS_tabl_21!$A$5:$F$4886,6,FALSE))))</f>
        <v>8945</v>
      </c>
      <c r="E1091" s="29"/>
    </row>
    <row r="1092" spans="1:5" ht="12" customHeight="1">
      <c r="A1092" s="155" t="str">
        <f>"121504 2"</f>
        <v>121504 2</v>
      </c>
      <c r="B1092" s="153" t="s">
        <v>71</v>
      </c>
      <c r="C1092" s="156" t="str">
        <f>IF(OR($A1092="",ISERROR(VALUE(LEFT($A1092,6)))),"",IF(LEN($A1092)=2,"WOJ. ",IF(LEN($A1092)=4,IF(VALUE(RIGHT($A1092,2))&gt;60,"","Powiat "),IF(VALUE(RIGHT($A1092,1))=1,"m. ",IF(VALUE(RIGHT($A1092,1))=2,"gm. w. ",IF(VALUE(RIGHT($A1092,1))=8,"dz. ","gm. m.-w. ")))))&amp;IF(LEN($A1092)=2,TRIM(UPPER(VLOOKUP($A1092,GUS_tabl_1!$A$7:$B$22,2,FALSE))),IF(ISERROR(FIND("..",TRIM(VLOOKUP(IF(AND(LEN($A1092)=4,VALUE(RIGHT($A1092,2))&gt;60),$A1092&amp;"01 1",$A1092),IF(AND(LEN($A1092)=4,VALUE(RIGHT($A1092,2))&lt;60),GUS_tabl_2!$A$8:$B$464,GUS_tabl_21!$A$5:$B$4886),2,FALSE)))),TRIM(VLOOKUP(IF(AND(LEN($A1092)=4,VALUE(RIGHT($A1092,2))&gt;60),$A1092&amp;"01 1",$A1092),IF(AND(LEN($A1092)=4,VALUE(RIGHT($A1092,2))&lt;60),GUS_tabl_2!$A$8:$B$464,GUS_tabl_21!$A$5:$B$4886),2,FALSE)),LEFT(TRIM(VLOOKUP(IF(AND(LEN($A1092)=4,VALUE(RIGHT($A1092,2))&gt;60),$A1092&amp;"01 1",$A1092),IF(AND(LEN($A1092)=4,VALUE(RIGHT($A1092,2))&lt;60),GUS_tabl_2!$A$8:$B$464,GUS_tabl_21!$A$5:$B$4886),2,FALSE)),SUM(FIND("..",TRIM(VLOOKUP(IF(AND(LEN($A1092)=4,VALUE(RIGHT($A1092,2))&gt;60),$A1092&amp;"01 1",$A1092),IF(AND(LEN($A1092)=4,VALUE(RIGHT($A1092,2))&lt;60),GUS_tabl_2!$A$8:$B$464,GUS_tabl_21!$A$5:$B$4886),2,FALSE))),-1)))))</f>
        <v>gm. w. Bystra-Sidzina</v>
      </c>
      <c r="D1092" s="141">
        <f>IF(OR($A1092="",ISERROR(VALUE(LEFT($A1092,6)))),"",IF(LEN($A1092)=2,SUMIF($A1093:$A$2965,$A1092&amp;"??",$D1093:$D$2965),IF(AND(LEN($A1092)=4,VALUE(RIGHT($A1092,2))&lt;=60),SUMIF($A1093:$A$2965,$A1092&amp;"????",$D1093:$D$2965),VLOOKUP(IF(LEN($A1092)=4,$A1092&amp;"01 1",$A1092),GUS_tabl_21!$A$5:$F$4886,6,FALSE))))</f>
        <v>6920</v>
      </c>
      <c r="E1092" s="29"/>
    </row>
    <row r="1093" spans="1:5" ht="12" customHeight="1">
      <c r="A1093" s="155" t="str">
        <f>"121505 2"</f>
        <v>121505 2</v>
      </c>
      <c r="B1093" s="153" t="s">
        <v>71</v>
      </c>
      <c r="C1093" s="156" t="str">
        <f>IF(OR($A1093="",ISERROR(VALUE(LEFT($A1093,6)))),"",IF(LEN($A1093)=2,"WOJ. ",IF(LEN($A1093)=4,IF(VALUE(RIGHT($A1093,2))&gt;60,"","Powiat "),IF(VALUE(RIGHT($A1093,1))=1,"m. ",IF(VALUE(RIGHT($A1093,1))=2,"gm. w. ",IF(VALUE(RIGHT($A1093,1))=8,"dz. ","gm. m.-w. ")))))&amp;IF(LEN($A1093)=2,TRIM(UPPER(VLOOKUP($A1093,GUS_tabl_1!$A$7:$B$22,2,FALSE))),IF(ISERROR(FIND("..",TRIM(VLOOKUP(IF(AND(LEN($A1093)=4,VALUE(RIGHT($A1093,2))&gt;60),$A1093&amp;"01 1",$A1093),IF(AND(LEN($A1093)=4,VALUE(RIGHT($A1093,2))&lt;60),GUS_tabl_2!$A$8:$B$464,GUS_tabl_21!$A$5:$B$4886),2,FALSE)))),TRIM(VLOOKUP(IF(AND(LEN($A1093)=4,VALUE(RIGHT($A1093,2))&gt;60),$A1093&amp;"01 1",$A1093),IF(AND(LEN($A1093)=4,VALUE(RIGHT($A1093,2))&lt;60),GUS_tabl_2!$A$8:$B$464,GUS_tabl_21!$A$5:$B$4886),2,FALSE)),LEFT(TRIM(VLOOKUP(IF(AND(LEN($A1093)=4,VALUE(RIGHT($A1093,2))&gt;60),$A1093&amp;"01 1",$A1093),IF(AND(LEN($A1093)=4,VALUE(RIGHT($A1093,2))&lt;60),GUS_tabl_2!$A$8:$B$464,GUS_tabl_21!$A$5:$B$4886),2,FALSE)),SUM(FIND("..",TRIM(VLOOKUP(IF(AND(LEN($A1093)=4,VALUE(RIGHT($A1093,2))&gt;60),$A1093&amp;"01 1",$A1093),IF(AND(LEN($A1093)=4,VALUE(RIGHT($A1093,2))&lt;60),GUS_tabl_2!$A$8:$B$464,GUS_tabl_21!$A$5:$B$4886),2,FALSE))),-1)))))</f>
        <v>gm. w. Jordanów</v>
      </c>
      <c r="D1093" s="141">
        <f>IF(OR($A1093="",ISERROR(VALUE(LEFT($A1093,6)))),"",IF(LEN($A1093)=2,SUMIF($A1094:$A$2965,$A1093&amp;"??",$D1094:$D$2965),IF(AND(LEN($A1093)=4,VALUE(RIGHT($A1093,2))&lt;=60),SUMIF($A1094:$A$2965,$A1093&amp;"????",$D1094:$D$2965),VLOOKUP(IF(LEN($A1093)=4,$A1093&amp;"01 1",$A1093),GUS_tabl_21!$A$5:$F$4886,6,FALSE))))</f>
        <v>11180</v>
      </c>
      <c r="E1093" s="29"/>
    </row>
    <row r="1094" spans="1:5" ht="12" customHeight="1">
      <c r="A1094" s="155" t="str">
        <f>"121506 3"</f>
        <v>121506 3</v>
      </c>
      <c r="B1094" s="153" t="s">
        <v>71</v>
      </c>
      <c r="C1094" s="156" t="str">
        <f>IF(OR($A1094="",ISERROR(VALUE(LEFT($A1094,6)))),"",IF(LEN($A1094)=2,"WOJ. ",IF(LEN($A1094)=4,IF(VALUE(RIGHT($A1094,2))&gt;60,"","Powiat "),IF(VALUE(RIGHT($A1094,1))=1,"m. ",IF(VALUE(RIGHT($A1094,1))=2,"gm. w. ",IF(VALUE(RIGHT($A1094,1))=8,"dz. ","gm. m.-w. ")))))&amp;IF(LEN($A1094)=2,TRIM(UPPER(VLOOKUP($A1094,GUS_tabl_1!$A$7:$B$22,2,FALSE))),IF(ISERROR(FIND("..",TRIM(VLOOKUP(IF(AND(LEN($A1094)=4,VALUE(RIGHT($A1094,2))&gt;60),$A1094&amp;"01 1",$A1094),IF(AND(LEN($A1094)=4,VALUE(RIGHT($A1094,2))&lt;60),GUS_tabl_2!$A$8:$B$464,GUS_tabl_21!$A$5:$B$4886),2,FALSE)))),TRIM(VLOOKUP(IF(AND(LEN($A1094)=4,VALUE(RIGHT($A1094,2))&gt;60),$A1094&amp;"01 1",$A1094),IF(AND(LEN($A1094)=4,VALUE(RIGHT($A1094,2))&lt;60),GUS_tabl_2!$A$8:$B$464,GUS_tabl_21!$A$5:$B$4886),2,FALSE)),LEFT(TRIM(VLOOKUP(IF(AND(LEN($A1094)=4,VALUE(RIGHT($A1094,2))&gt;60),$A1094&amp;"01 1",$A1094),IF(AND(LEN($A1094)=4,VALUE(RIGHT($A1094,2))&lt;60),GUS_tabl_2!$A$8:$B$464,GUS_tabl_21!$A$5:$B$4886),2,FALSE)),SUM(FIND("..",TRIM(VLOOKUP(IF(AND(LEN($A1094)=4,VALUE(RIGHT($A1094,2))&gt;60),$A1094&amp;"01 1",$A1094),IF(AND(LEN($A1094)=4,VALUE(RIGHT($A1094,2))&lt;60),GUS_tabl_2!$A$8:$B$464,GUS_tabl_21!$A$5:$B$4886),2,FALSE))),-1)))))</f>
        <v>gm. m.-w. Maków Podhalański</v>
      </c>
      <c r="D1094" s="141">
        <f>IF(OR($A1094="",ISERROR(VALUE(LEFT($A1094,6)))),"",IF(LEN($A1094)=2,SUMIF($A1095:$A$2965,$A1094&amp;"??",$D1095:$D$2965),IF(AND(LEN($A1094)=4,VALUE(RIGHT($A1094,2))&lt;=60),SUMIF($A1095:$A$2965,$A1094&amp;"????",$D1095:$D$2965),VLOOKUP(IF(LEN($A1094)=4,$A1094&amp;"01 1",$A1094),GUS_tabl_21!$A$5:$F$4886,6,FALSE))))</f>
        <v>16077</v>
      </c>
      <c r="E1094" s="29"/>
    </row>
    <row r="1095" spans="1:5" ht="12" customHeight="1">
      <c r="A1095" s="155" t="str">
        <f>"121507 2"</f>
        <v>121507 2</v>
      </c>
      <c r="B1095" s="153" t="s">
        <v>71</v>
      </c>
      <c r="C1095" s="156" t="str">
        <f>IF(OR($A1095="",ISERROR(VALUE(LEFT($A1095,6)))),"",IF(LEN($A1095)=2,"WOJ. ",IF(LEN($A1095)=4,IF(VALUE(RIGHT($A1095,2))&gt;60,"","Powiat "),IF(VALUE(RIGHT($A1095,1))=1,"m. ",IF(VALUE(RIGHT($A1095,1))=2,"gm. w. ",IF(VALUE(RIGHT($A1095,1))=8,"dz. ","gm. m.-w. ")))))&amp;IF(LEN($A1095)=2,TRIM(UPPER(VLOOKUP($A1095,GUS_tabl_1!$A$7:$B$22,2,FALSE))),IF(ISERROR(FIND("..",TRIM(VLOOKUP(IF(AND(LEN($A1095)=4,VALUE(RIGHT($A1095,2))&gt;60),$A1095&amp;"01 1",$A1095),IF(AND(LEN($A1095)=4,VALUE(RIGHT($A1095,2))&lt;60),GUS_tabl_2!$A$8:$B$464,GUS_tabl_21!$A$5:$B$4886),2,FALSE)))),TRIM(VLOOKUP(IF(AND(LEN($A1095)=4,VALUE(RIGHT($A1095,2))&gt;60),$A1095&amp;"01 1",$A1095),IF(AND(LEN($A1095)=4,VALUE(RIGHT($A1095,2))&lt;60),GUS_tabl_2!$A$8:$B$464,GUS_tabl_21!$A$5:$B$4886),2,FALSE)),LEFT(TRIM(VLOOKUP(IF(AND(LEN($A1095)=4,VALUE(RIGHT($A1095,2))&gt;60),$A1095&amp;"01 1",$A1095),IF(AND(LEN($A1095)=4,VALUE(RIGHT($A1095,2))&lt;60),GUS_tabl_2!$A$8:$B$464,GUS_tabl_21!$A$5:$B$4886),2,FALSE)),SUM(FIND("..",TRIM(VLOOKUP(IF(AND(LEN($A1095)=4,VALUE(RIGHT($A1095,2))&gt;60),$A1095&amp;"01 1",$A1095),IF(AND(LEN($A1095)=4,VALUE(RIGHT($A1095,2))&lt;60),GUS_tabl_2!$A$8:$B$464,GUS_tabl_21!$A$5:$B$4886),2,FALSE))),-1)))))</f>
        <v>gm. w. Stryszawa</v>
      </c>
      <c r="D1095" s="141">
        <f>IF(OR($A1095="",ISERROR(VALUE(LEFT($A1095,6)))),"",IF(LEN($A1095)=2,SUMIF($A1096:$A$2965,$A1095&amp;"??",$D1096:$D$2965),IF(AND(LEN($A1095)=4,VALUE(RIGHT($A1095,2))&lt;=60),SUMIF($A1096:$A$2965,$A1095&amp;"????",$D1096:$D$2965),VLOOKUP(IF(LEN($A1095)=4,$A1095&amp;"01 1",$A1095),GUS_tabl_21!$A$5:$F$4886,6,FALSE))))</f>
        <v>11940</v>
      </c>
      <c r="E1095" s="29"/>
    </row>
    <row r="1096" spans="1:5" ht="12" customHeight="1">
      <c r="A1096" s="155" t="str">
        <f>"121508 2"</f>
        <v>121508 2</v>
      </c>
      <c r="B1096" s="153" t="s">
        <v>71</v>
      </c>
      <c r="C1096" s="156" t="str">
        <f>IF(OR($A1096="",ISERROR(VALUE(LEFT($A1096,6)))),"",IF(LEN($A1096)=2,"WOJ. ",IF(LEN($A1096)=4,IF(VALUE(RIGHT($A1096,2))&gt;60,"","Powiat "),IF(VALUE(RIGHT($A1096,1))=1,"m. ",IF(VALUE(RIGHT($A1096,1))=2,"gm. w. ",IF(VALUE(RIGHT($A1096,1))=8,"dz. ","gm. m.-w. ")))))&amp;IF(LEN($A1096)=2,TRIM(UPPER(VLOOKUP($A1096,GUS_tabl_1!$A$7:$B$22,2,FALSE))),IF(ISERROR(FIND("..",TRIM(VLOOKUP(IF(AND(LEN($A1096)=4,VALUE(RIGHT($A1096,2))&gt;60),$A1096&amp;"01 1",$A1096),IF(AND(LEN($A1096)=4,VALUE(RIGHT($A1096,2))&lt;60),GUS_tabl_2!$A$8:$B$464,GUS_tabl_21!$A$5:$B$4886),2,FALSE)))),TRIM(VLOOKUP(IF(AND(LEN($A1096)=4,VALUE(RIGHT($A1096,2))&gt;60),$A1096&amp;"01 1",$A1096),IF(AND(LEN($A1096)=4,VALUE(RIGHT($A1096,2))&lt;60),GUS_tabl_2!$A$8:$B$464,GUS_tabl_21!$A$5:$B$4886),2,FALSE)),LEFT(TRIM(VLOOKUP(IF(AND(LEN($A1096)=4,VALUE(RIGHT($A1096,2))&gt;60),$A1096&amp;"01 1",$A1096),IF(AND(LEN($A1096)=4,VALUE(RIGHT($A1096,2))&lt;60),GUS_tabl_2!$A$8:$B$464,GUS_tabl_21!$A$5:$B$4886),2,FALSE)),SUM(FIND("..",TRIM(VLOOKUP(IF(AND(LEN($A1096)=4,VALUE(RIGHT($A1096,2))&gt;60),$A1096&amp;"01 1",$A1096),IF(AND(LEN($A1096)=4,VALUE(RIGHT($A1096,2))&lt;60),GUS_tabl_2!$A$8:$B$464,GUS_tabl_21!$A$5:$B$4886),2,FALSE))),-1)))))</f>
        <v>gm. w. Zawoja</v>
      </c>
      <c r="D1096" s="141">
        <f>IF(OR($A1096="",ISERROR(VALUE(LEFT($A1096,6)))),"",IF(LEN($A1096)=2,SUMIF($A1097:$A$2965,$A1096&amp;"??",$D1097:$D$2965),IF(AND(LEN($A1096)=4,VALUE(RIGHT($A1096,2))&lt;=60),SUMIF($A1097:$A$2965,$A1096&amp;"????",$D1097:$D$2965),VLOOKUP(IF(LEN($A1096)=4,$A1096&amp;"01 1",$A1096),GUS_tabl_21!$A$5:$F$4886,6,FALSE))))</f>
        <v>9086</v>
      </c>
      <c r="E1096" s="29"/>
    </row>
    <row r="1097" spans="1:5" ht="12" customHeight="1">
      <c r="A1097" s="155" t="str">
        <f>"121509 2"</f>
        <v>121509 2</v>
      </c>
      <c r="B1097" s="153" t="s">
        <v>71</v>
      </c>
      <c r="C1097" s="156" t="str">
        <f>IF(OR($A1097="",ISERROR(VALUE(LEFT($A1097,6)))),"",IF(LEN($A1097)=2,"WOJ. ",IF(LEN($A1097)=4,IF(VALUE(RIGHT($A1097,2))&gt;60,"","Powiat "),IF(VALUE(RIGHT($A1097,1))=1,"m. ",IF(VALUE(RIGHT($A1097,1))=2,"gm. w. ",IF(VALUE(RIGHT($A1097,1))=8,"dz. ","gm. m.-w. ")))))&amp;IF(LEN($A1097)=2,TRIM(UPPER(VLOOKUP($A1097,GUS_tabl_1!$A$7:$B$22,2,FALSE))),IF(ISERROR(FIND("..",TRIM(VLOOKUP(IF(AND(LEN($A1097)=4,VALUE(RIGHT($A1097,2))&gt;60),$A1097&amp;"01 1",$A1097),IF(AND(LEN($A1097)=4,VALUE(RIGHT($A1097,2))&lt;60),GUS_tabl_2!$A$8:$B$464,GUS_tabl_21!$A$5:$B$4886),2,FALSE)))),TRIM(VLOOKUP(IF(AND(LEN($A1097)=4,VALUE(RIGHT($A1097,2))&gt;60),$A1097&amp;"01 1",$A1097),IF(AND(LEN($A1097)=4,VALUE(RIGHT($A1097,2))&lt;60),GUS_tabl_2!$A$8:$B$464,GUS_tabl_21!$A$5:$B$4886),2,FALSE)),LEFT(TRIM(VLOOKUP(IF(AND(LEN($A1097)=4,VALUE(RIGHT($A1097,2))&gt;60),$A1097&amp;"01 1",$A1097),IF(AND(LEN($A1097)=4,VALUE(RIGHT($A1097,2))&lt;60),GUS_tabl_2!$A$8:$B$464,GUS_tabl_21!$A$5:$B$4886),2,FALSE)),SUM(FIND("..",TRIM(VLOOKUP(IF(AND(LEN($A1097)=4,VALUE(RIGHT($A1097,2))&gt;60),$A1097&amp;"01 1",$A1097),IF(AND(LEN($A1097)=4,VALUE(RIGHT($A1097,2))&lt;60),GUS_tabl_2!$A$8:$B$464,GUS_tabl_21!$A$5:$B$4886),2,FALSE))),-1)))))</f>
        <v>gm. w. Zembrzyce</v>
      </c>
      <c r="D1097" s="141">
        <f>IF(OR($A1097="",ISERROR(VALUE(LEFT($A1097,6)))),"",IF(LEN($A1097)=2,SUMIF($A1098:$A$2965,$A1097&amp;"??",$D1098:$D$2965),IF(AND(LEN($A1097)=4,VALUE(RIGHT($A1097,2))&lt;=60),SUMIF($A1098:$A$2965,$A1097&amp;"????",$D1098:$D$2965),VLOOKUP(IF(LEN($A1097)=4,$A1097&amp;"01 1",$A1097),GUS_tabl_21!$A$5:$F$4886,6,FALSE))))</f>
        <v>5630</v>
      </c>
      <c r="E1097" s="29"/>
    </row>
    <row r="1098" spans="1:5" ht="12" customHeight="1">
      <c r="A1098" s="152" t="str">
        <f>"1216"</f>
        <v>1216</v>
      </c>
      <c r="B1098" s="153" t="s">
        <v>71</v>
      </c>
      <c r="C1098" s="154" t="str">
        <f>IF(OR($A1098="",ISERROR(VALUE(LEFT($A1098,6)))),"",IF(LEN($A1098)=2,"WOJ. ",IF(LEN($A1098)=4,IF(VALUE(RIGHT($A1098,2))&gt;60,"","Powiat "),IF(VALUE(RIGHT($A1098,1))=1,"m. ",IF(VALUE(RIGHT($A1098,1))=2,"gm. w. ",IF(VALUE(RIGHT($A1098,1))=8,"dz. ","gm. m.-w. ")))))&amp;IF(LEN($A1098)=2,TRIM(UPPER(VLOOKUP($A1098,GUS_tabl_1!$A$7:$B$22,2,FALSE))),IF(ISERROR(FIND("..",TRIM(VLOOKUP(IF(AND(LEN($A1098)=4,VALUE(RIGHT($A1098,2))&gt;60),$A1098&amp;"01 1",$A1098),IF(AND(LEN($A1098)=4,VALUE(RIGHT($A1098,2))&lt;60),GUS_tabl_2!$A$8:$B$464,GUS_tabl_21!$A$5:$B$4886),2,FALSE)))),TRIM(VLOOKUP(IF(AND(LEN($A1098)=4,VALUE(RIGHT($A1098,2))&gt;60),$A1098&amp;"01 1",$A1098),IF(AND(LEN($A1098)=4,VALUE(RIGHT($A1098,2))&lt;60),GUS_tabl_2!$A$8:$B$464,GUS_tabl_21!$A$5:$B$4886),2,FALSE)),LEFT(TRIM(VLOOKUP(IF(AND(LEN($A1098)=4,VALUE(RIGHT($A1098,2))&gt;60),$A1098&amp;"01 1",$A1098),IF(AND(LEN($A1098)=4,VALUE(RIGHT($A1098,2))&lt;60),GUS_tabl_2!$A$8:$B$464,GUS_tabl_21!$A$5:$B$4886),2,FALSE)),SUM(FIND("..",TRIM(VLOOKUP(IF(AND(LEN($A1098)=4,VALUE(RIGHT($A1098,2))&gt;60),$A1098&amp;"01 1",$A1098),IF(AND(LEN($A1098)=4,VALUE(RIGHT($A1098,2))&lt;60),GUS_tabl_2!$A$8:$B$464,GUS_tabl_21!$A$5:$B$4886),2,FALSE))),-1)))))</f>
        <v>Powiat tarnowski</v>
      </c>
      <c r="D1098" s="140">
        <f>IF(OR($A1098="",ISERROR(VALUE(LEFT($A1098,6)))),"",IF(LEN($A1098)=2,SUMIF($A1099:$A$2965,$A1098&amp;"??",$D1099:$D$2965),IF(AND(LEN($A1098)=4,VALUE(RIGHT($A1098,2))&lt;=60),SUMIF($A1099:$A$2965,$A1098&amp;"????",$D1099:$D$2965),VLOOKUP(IF(LEN($A1098)=4,$A1098&amp;"01 1",$A1098),GUS_tabl_21!$A$5:$F$4886,6,FALSE))))</f>
        <v>201497</v>
      </c>
      <c r="E1098" s="29"/>
    </row>
    <row r="1099" spans="1:5" ht="12" customHeight="1">
      <c r="A1099" s="155" t="str">
        <f>"121601 3"</f>
        <v>121601 3</v>
      </c>
      <c r="B1099" s="153" t="s">
        <v>71</v>
      </c>
      <c r="C1099" s="156" t="str">
        <f>IF(OR($A1099="",ISERROR(VALUE(LEFT($A1099,6)))),"",IF(LEN($A1099)=2,"WOJ. ",IF(LEN($A1099)=4,IF(VALUE(RIGHT($A1099,2))&gt;60,"","Powiat "),IF(VALUE(RIGHT($A1099,1))=1,"m. ",IF(VALUE(RIGHT($A1099,1))=2,"gm. w. ",IF(VALUE(RIGHT($A1099,1))=8,"dz. ","gm. m.-w. ")))))&amp;IF(LEN($A1099)=2,TRIM(UPPER(VLOOKUP($A1099,GUS_tabl_1!$A$7:$B$22,2,FALSE))),IF(ISERROR(FIND("..",TRIM(VLOOKUP(IF(AND(LEN($A1099)=4,VALUE(RIGHT($A1099,2))&gt;60),$A1099&amp;"01 1",$A1099),IF(AND(LEN($A1099)=4,VALUE(RIGHT($A1099,2))&lt;60),GUS_tabl_2!$A$8:$B$464,GUS_tabl_21!$A$5:$B$4886),2,FALSE)))),TRIM(VLOOKUP(IF(AND(LEN($A1099)=4,VALUE(RIGHT($A1099,2))&gt;60),$A1099&amp;"01 1",$A1099),IF(AND(LEN($A1099)=4,VALUE(RIGHT($A1099,2))&lt;60),GUS_tabl_2!$A$8:$B$464,GUS_tabl_21!$A$5:$B$4886),2,FALSE)),LEFT(TRIM(VLOOKUP(IF(AND(LEN($A1099)=4,VALUE(RIGHT($A1099,2))&gt;60),$A1099&amp;"01 1",$A1099),IF(AND(LEN($A1099)=4,VALUE(RIGHT($A1099,2))&lt;60),GUS_tabl_2!$A$8:$B$464,GUS_tabl_21!$A$5:$B$4886),2,FALSE)),SUM(FIND("..",TRIM(VLOOKUP(IF(AND(LEN($A1099)=4,VALUE(RIGHT($A1099,2))&gt;60),$A1099&amp;"01 1",$A1099),IF(AND(LEN($A1099)=4,VALUE(RIGHT($A1099,2))&lt;60),GUS_tabl_2!$A$8:$B$464,GUS_tabl_21!$A$5:$B$4886),2,FALSE))),-1)))))</f>
        <v>gm. m.-w. Ciężkowice</v>
      </c>
      <c r="D1099" s="141">
        <f>IF(OR($A1099="",ISERROR(VALUE(LEFT($A1099,6)))),"",IF(LEN($A1099)=2,SUMIF($A1100:$A$2965,$A1099&amp;"??",$D1100:$D$2965),IF(AND(LEN($A1099)=4,VALUE(RIGHT($A1099,2))&lt;=60),SUMIF($A1100:$A$2965,$A1099&amp;"????",$D1100:$D$2965),VLOOKUP(IF(LEN($A1099)=4,$A1099&amp;"01 1",$A1099),GUS_tabl_21!$A$5:$F$4886,6,FALSE))))</f>
        <v>11209</v>
      </c>
      <c r="E1099" s="29"/>
    </row>
    <row r="1100" spans="1:5" ht="12" customHeight="1">
      <c r="A1100" s="155" t="str">
        <f>"121602 2"</f>
        <v>121602 2</v>
      </c>
      <c r="B1100" s="153" t="s">
        <v>71</v>
      </c>
      <c r="C1100" s="156" t="str">
        <f>IF(OR($A1100="",ISERROR(VALUE(LEFT($A1100,6)))),"",IF(LEN($A1100)=2,"WOJ. ",IF(LEN($A1100)=4,IF(VALUE(RIGHT($A1100,2))&gt;60,"","Powiat "),IF(VALUE(RIGHT($A1100,1))=1,"m. ",IF(VALUE(RIGHT($A1100,1))=2,"gm. w. ",IF(VALUE(RIGHT($A1100,1))=8,"dz. ","gm. m.-w. ")))))&amp;IF(LEN($A1100)=2,TRIM(UPPER(VLOOKUP($A1100,GUS_tabl_1!$A$7:$B$22,2,FALSE))),IF(ISERROR(FIND("..",TRIM(VLOOKUP(IF(AND(LEN($A1100)=4,VALUE(RIGHT($A1100,2))&gt;60),$A1100&amp;"01 1",$A1100),IF(AND(LEN($A1100)=4,VALUE(RIGHT($A1100,2))&lt;60),GUS_tabl_2!$A$8:$B$464,GUS_tabl_21!$A$5:$B$4886),2,FALSE)))),TRIM(VLOOKUP(IF(AND(LEN($A1100)=4,VALUE(RIGHT($A1100,2))&gt;60),$A1100&amp;"01 1",$A1100),IF(AND(LEN($A1100)=4,VALUE(RIGHT($A1100,2))&lt;60),GUS_tabl_2!$A$8:$B$464,GUS_tabl_21!$A$5:$B$4886),2,FALSE)),LEFT(TRIM(VLOOKUP(IF(AND(LEN($A1100)=4,VALUE(RIGHT($A1100,2))&gt;60),$A1100&amp;"01 1",$A1100),IF(AND(LEN($A1100)=4,VALUE(RIGHT($A1100,2))&lt;60),GUS_tabl_2!$A$8:$B$464,GUS_tabl_21!$A$5:$B$4886),2,FALSE)),SUM(FIND("..",TRIM(VLOOKUP(IF(AND(LEN($A1100)=4,VALUE(RIGHT($A1100,2))&gt;60),$A1100&amp;"01 1",$A1100),IF(AND(LEN($A1100)=4,VALUE(RIGHT($A1100,2))&lt;60),GUS_tabl_2!$A$8:$B$464,GUS_tabl_21!$A$5:$B$4886),2,FALSE))),-1)))))</f>
        <v>gm. w. Gromnik</v>
      </c>
      <c r="D1100" s="141">
        <f>IF(OR($A1100="",ISERROR(VALUE(LEFT($A1100,6)))),"",IF(LEN($A1100)=2,SUMIF($A1101:$A$2965,$A1100&amp;"??",$D1101:$D$2965),IF(AND(LEN($A1100)=4,VALUE(RIGHT($A1100,2))&lt;=60),SUMIF($A1101:$A$2965,$A1100&amp;"????",$D1101:$D$2965),VLOOKUP(IF(LEN($A1100)=4,$A1100&amp;"01 1",$A1100),GUS_tabl_21!$A$5:$F$4886,6,FALSE))))</f>
        <v>8922</v>
      </c>
      <c r="E1100" s="29"/>
    </row>
    <row r="1101" spans="1:5" ht="12" customHeight="1">
      <c r="A1101" s="155" t="str">
        <f>"121603 2"</f>
        <v>121603 2</v>
      </c>
      <c r="B1101" s="153" t="s">
        <v>71</v>
      </c>
      <c r="C1101" s="156" t="str">
        <f>IF(OR($A1101="",ISERROR(VALUE(LEFT($A1101,6)))),"",IF(LEN($A1101)=2,"WOJ. ",IF(LEN($A1101)=4,IF(VALUE(RIGHT($A1101,2))&gt;60,"","Powiat "),IF(VALUE(RIGHT($A1101,1))=1,"m. ",IF(VALUE(RIGHT($A1101,1))=2,"gm. w. ",IF(VALUE(RIGHT($A1101,1))=8,"dz. ","gm. m.-w. ")))))&amp;IF(LEN($A1101)=2,TRIM(UPPER(VLOOKUP($A1101,GUS_tabl_1!$A$7:$B$22,2,FALSE))),IF(ISERROR(FIND("..",TRIM(VLOOKUP(IF(AND(LEN($A1101)=4,VALUE(RIGHT($A1101,2))&gt;60),$A1101&amp;"01 1",$A1101),IF(AND(LEN($A1101)=4,VALUE(RIGHT($A1101,2))&lt;60),GUS_tabl_2!$A$8:$B$464,GUS_tabl_21!$A$5:$B$4886),2,FALSE)))),TRIM(VLOOKUP(IF(AND(LEN($A1101)=4,VALUE(RIGHT($A1101,2))&gt;60),$A1101&amp;"01 1",$A1101),IF(AND(LEN($A1101)=4,VALUE(RIGHT($A1101,2))&lt;60),GUS_tabl_2!$A$8:$B$464,GUS_tabl_21!$A$5:$B$4886),2,FALSE)),LEFT(TRIM(VLOOKUP(IF(AND(LEN($A1101)=4,VALUE(RIGHT($A1101,2))&gt;60),$A1101&amp;"01 1",$A1101),IF(AND(LEN($A1101)=4,VALUE(RIGHT($A1101,2))&lt;60),GUS_tabl_2!$A$8:$B$464,GUS_tabl_21!$A$5:$B$4886),2,FALSE)),SUM(FIND("..",TRIM(VLOOKUP(IF(AND(LEN($A1101)=4,VALUE(RIGHT($A1101,2))&gt;60),$A1101&amp;"01 1",$A1101),IF(AND(LEN($A1101)=4,VALUE(RIGHT($A1101,2))&lt;60),GUS_tabl_2!$A$8:$B$464,GUS_tabl_21!$A$5:$B$4886),2,FALSE))),-1)))))</f>
        <v>gm. w. Lisia Góra</v>
      </c>
      <c r="D1101" s="141">
        <f>IF(OR($A1101="",ISERROR(VALUE(LEFT($A1101,6)))),"",IF(LEN($A1101)=2,SUMIF($A1102:$A$2965,$A1101&amp;"??",$D1102:$D$2965),IF(AND(LEN($A1101)=4,VALUE(RIGHT($A1101,2))&lt;=60),SUMIF($A1102:$A$2965,$A1101&amp;"????",$D1102:$D$2965),VLOOKUP(IF(LEN($A1101)=4,$A1101&amp;"01 1",$A1101),GUS_tabl_21!$A$5:$F$4886,6,FALSE))))</f>
        <v>15402</v>
      </c>
      <c r="E1101" s="29"/>
    </row>
    <row r="1102" spans="1:5" ht="12" customHeight="1">
      <c r="A1102" s="155" t="str">
        <f>"121604 2"</f>
        <v>121604 2</v>
      </c>
      <c r="B1102" s="153" t="s">
        <v>71</v>
      </c>
      <c r="C1102" s="156" t="str">
        <f>IF(OR($A1102="",ISERROR(VALUE(LEFT($A1102,6)))),"",IF(LEN($A1102)=2,"WOJ. ",IF(LEN($A1102)=4,IF(VALUE(RIGHT($A1102,2))&gt;60,"","Powiat "),IF(VALUE(RIGHT($A1102,1))=1,"m. ",IF(VALUE(RIGHT($A1102,1))=2,"gm. w. ",IF(VALUE(RIGHT($A1102,1))=8,"dz. ","gm. m.-w. ")))))&amp;IF(LEN($A1102)=2,TRIM(UPPER(VLOOKUP($A1102,GUS_tabl_1!$A$7:$B$22,2,FALSE))),IF(ISERROR(FIND("..",TRIM(VLOOKUP(IF(AND(LEN($A1102)=4,VALUE(RIGHT($A1102,2))&gt;60),$A1102&amp;"01 1",$A1102),IF(AND(LEN($A1102)=4,VALUE(RIGHT($A1102,2))&lt;60),GUS_tabl_2!$A$8:$B$464,GUS_tabl_21!$A$5:$B$4886),2,FALSE)))),TRIM(VLOOKUP(IF(AND(LEN($A1102)=4,VALUE(RIGHT($A1102,2))&gt;60),$A1102&amp;"01 1",$A1102),IF(AND(LEN($A1102)=4,VALUE(RIGHT($A1102,2))&lt;60),GUS_tabl_2!$A$8:$B$464,GUS_tabl_21!$A$5:$B$4886),2,FALSE)),LEFT(TRIM(VLOOKUP(IF(AND(LEN($A1102)=4,VALUE(RIGHT($A1102,2))&gt;60),$A1102&amp;"01 1",$A1102),IF(AND(LEN($A1102)=4,VALUE(RIGHT($A1102,2))&lt;60),GUS_tabl_2!$A$8:$B$464,GUS_tabl_21!$A$5:$B$4886),2,FALSE)),SUM(FIND("..",TRIM(VLOOKUP(IF(AND(LEN($A1102)=4,VALUE(RIGHT($A1102,2))&gt;60),$A1102&amp;"01 1",$A1102),IF(AND(LEN($A1102)=4,VALUE(RIGHT($A1102,2))&lt;60),GUS_tabl_2!$A$8:$B$464,GUS_tabl_21!$A$5:$B$4886),2,FALSE))),-1)))))</f>
        <v>gm. w. Pleśna</v>
      </c>
      <c r="D1102" s="141">
        <f>IF(OR($A1102="",ISERROR(VALUE(LEFT($A1102,6)))),"",IF(LEN($A1102)=2,SUMIF($A1103:$A$2965,$A1102&amp;"??",$D1103:$D$2965),IF(AND(LEN($A1102)=4,VALUE(RIGHT($A1102,2))&lt;=60),SUMIF($A1103:$A$2965,$A1102&amp;"????",$D1103:$D$2965),VLOOKUP(IF(LEN($A1102)=4,$A1102&amp;"01 1",$A1102),GUS_tabl_21!$A$5:$F$4886,6,FALSE))))</f>
        <v>11944</v>
      </c>
      <c r="E1102" s="29"/>
    </row>
    <row r="1103" spans="1:5" ht="12" customHeight="1">
      <c r="A1103" s="155" t="str">
        <f>"121605 3"</f>
        <v>121605 3</v>
      </c>
      <c r="B1103" s="153" t="s">
        <v>71</v>
      </c>
      <c r="C1103" s="156" t="str">
        <f>IF(OR($A1103="",ISERROR(VALUE(LEFT($A1103,6)))),"",IF(LEN($A1103)=2,"WOJ. ",IF(LEN($A1103)=4,IF(VALUE(RIGHT($A1103,2))&gt;60,"","Powiat "),IF(VALUE(RIGHT($A1103,1))=1,"m. ",IF(VALUE(RIGHT($A1103,1))=2,"gm. w. ",IF(VALUE(RIGHT($A1103,1))=8,"dz. ","gm. m.-w. ")))))&amp;IF(LEN($A1103)=2,TRIM(UPPER(VLOOKUP($A1103,GUS_tabl_1!$A$7:$B$22,2,FALSE))),IF(ISERROR(FIND("..",TRIM(VLOOKUP(IF(AND(LEN($A1103)=4,VALUE(RIGHT($A1103,2))&gt;60),$A1103&amp;"01 1",$A1103),IF(AND(LEN($A1103)=4,VALUE(RIGHT($A1103,2))&lt;60),GUS_tabl_2!$A$8:$B$464,GUS_tabl_21!$A$5:$B$4886),2,FALSE)))),TRIM(VLOOKUP(IF(AND(LEN($A1103)=4,VALUE(RIGHT($A1103,2))&gt;60),$A1103&amp;"01 1",$A1103),IF(AND(LEN($A1103)=4,VALUE(RIGHT($A1103,2))&lt;60),GUS_tabl_2!$A$8:$B$464,GUS_tabl_21!$A$5:$B$4886),2,FALSE)),LEFT(TRIM(VLOOKUP(IF(AND(LEN($A1103)=4,VALUE(RIGHT($A1103,2))&gt;60),$A1103&amp;"01 1",$A1103),IF(AND(LEN($A1103)=4,VALUE(RIGHT($A1103,2))&lt;60),GUS_tabl_2!$A$8:$B$464,GUS_tabl_21!$A$5:$B$4886),2,FALSE)),SUM(FIND("..",TRIM(VLOOKUP(IF(AND(LEN($A1103)=4,VALUE(RIGHT($A1103,2))&gt;60),$A1103&amp;"01 1",$A1103),IF(AND(LEN($A1103)=4,VALUE(RIGHT($A1103,2))&lt;60),GUS_tabl_2!$A$8:$B$464,GUS_tabl_21!$A$5:$B$4886),2,FALSE))),-1)))))</f>
        <v>gm. m.-w. Radłów</v>
      </c>
      <c r="D1103" s="141">
        <f>IF(OR($A1103="",ISERROR(VALUE(LEFT($A1103,6)))),"",IF(LEN($A1103)=2,SUMIF($A1104:$A$2965,$A1103&amp;"??",$D1104:$D$2965),IF(AND(LEN($A1103)=4,VALUE(RIGHT($A1103,2))&lt;=60),SUMIF($A1104:$A$2965,$A1103&amp;"????",$D1104:$D$2965),VLOOKUP(IF(LEN($A1103)=4,$A1103&amp;"01 1",$A1103),GUS_tabl_21!$A$5:$F$4886,6,FALSE))))</f>
        <v>9666</v>
      </c>
      <c r="E1103" s="29"/>
    </row>
    <row r="1104" spans="1:5" ht="12" customHeight="1">
      <c r="A1104" s="155" t="str">
        <f>"121606 3"</f>
        <v>121606 3</v>
      </c>
      <c r="B1104" s="153" t="s">
        <v>71</v>
      </c>
      <c r="C1104" s="156" t="str">
        <f>IF(OR($A1104="",ISERROR(VALUE(LEFT($A1104,6)))),"",IF(LEN($A1104)=2,"WOJ. ",IF(LEN($A1104)=4,IF(VALUE(RIGHT($A1104,2))&gt;60,"","Powiat "),IF(VALUE(RIGHT($A1104,1))=1,"m. ",IF(VALUE(RIGHT($A1104,1))=2,"gm. w. ",IF(VALUE(RIGHT($A1104,1))=8,"dz. ","gm. m.-w. ")))))&amp;IF(LEN($A1104)=2,TRIM(UPPER(VLOOKUP($A1104,GUS_tabl_1!$A$7:$B$22,2,FALSE))),IF(ISERROR(FIND("..",TRIM(VLOOKUP(IF(AND(LEN($A1104)=4,VALUE(RIGHT($A1104,2))&gt;60),$A1104&amp;"01 1",$A1104),IF(AND(LEN($A1104)=4,VALUE(RIGHT($A1104,2))&lt;60),GUS_tabl_2!$A$8:$B$464,GUS_tabl_21!$A$5:$B$4886),2,FALSE)))),TRIM(VLOOKUP(IF(AND(LEN($A1104)=4,VALUE(RIGHT($A1104,2))&gt;60),$A1104&amp;"01 1",$A1104),IF(AND(LEN($A1104)=4,VALUE(RIGHT($A1104,2))&lt;60),GUS_tabl_2!$A$8:$B$464,GUS_tabl_21!$A$5:$B$4886),2,FALSE)),LEFT(TRIM(VLOOKUP(IF(AND(LEN($A1104)=4,VALUE(RIGHT($A1104,2))&gt;60),$A1104&amp;"01 1",$A1104),IF(AND(LEN($A1104)=4,VALUE(RIGHT($A1104,2))&lt;60),GUS_tabl_2!$A$8:$B$464,GUS_tabl_21!$A$5:$B$4886),2,FALSE)),SUM(FIND("..",TRIM(VLOOKUP(IF(AND(LEN($A1104)=4,VALUE(RIGHT($A1104,2))&gt;60),$A1104&amp;"01 1",$A1104),IF(AND(LEN($A1104)=4,VALUE(RIGHT($A1104,2))&lt;60),GUS_tabl_2!$A$8:$B$464,GUS_tabl_21!$A$5:$B$4886),2,FALSE))),-1)))))</f>
        <v>gm. m.-w. Ryglice</v>
      </c>
      <c r="D1104" s="141">
        <f>IF(OR($A1104="",ISERROR(VALUE(LEFT($A1104,6)))),"",IF(LEN($A1104)=2,SUMIF($A1105:$A$2965,$A1104&amp;"??",$D1105:$D$2965),IF(AND(LEN($A1104)=4,VALUE(RIGHT($A1104,2))&lt;=60),SUMIF($A1105:$A$2965,$A1104&amp;"????",$D1105:$D$2965),VLOOKUP(IF(LEN($A1104)=4,$A1104&amp;"01 1",$A1104),GUS_tabl_21!$A$5:$F$4886,6,FALSE))))</f>
        <v>11652</v>
      </c>
      <c r="E1104" s="29"/>
    </row>
    <row r="1105" spans="1:5" ht="12" customHeight="1">
      <c r="A1105" s="155" t="str">
        <f>"121607 2"</f>
        <v>121607 2</v>
      </c>
      <c r="B1105" s="153" t="s">
        <v>71</v>
      </c>
      <c r="C1105" s="156" t="str">
        <f>IF(OR($A1105="",ISERROR(VALUE(LEFT($A1105,6)))),"",IF(LEN($A1105)=2,"WOJ. ",IF(LEN($A1105)=4,IF(VALUE(RIGHT($A1105,2))&gt;60,"","Powiat "),IF(VALUE(RIGHT($A1105,1))=1,"m. ",IF(VALUE(RIGHT($A1105,1))=2,"gm. w. ",IF(VALUE(RIGHT($A1105,1))=8,"dz. ","gm. m.-w. ")))))&amp;IF(LEN($A1105)=2,TRIM(UPPER(VLOOKUP($A1105,GUS_tabl_1!$A$7:$B$22,2,FALSE))),IF(ISERROR(FIND("..",TRIM(VLOOKUP(IF(AND(LEN($A1105)=4,VALUE(RIGHT($A1105,2))&gt;60),$A1105&amp;"01 1",$A1105),IF(AND(LEN($A1105)=4,VALUE(RIGHT($A1105,2))&lt;60),GUS_tabl_2!$A$8:$B$464,GUS_tabl_21!$A$5:$B$4886),2,FALSE)))),TRIM(VLOOKUP(IF(AND(LEN($A1105)=4,VALUE(RIGHT($A1105,2))&gt;60),$A1105&amp;"01 1",$A1105),IF(AND(LEN($A1105)=4,VALUE(RIGHT($A1105,2))&lt;60),GUS_tabl_2!$A$8:$B$464,GUS_tabl_21!$A$5:$B$4886),2,FALSE)),LEFT(TRIM(VLOOKUP(IF(AND(LEN($A1105)=4,VALUE(RIGHT($A1105,2))&gt;60),$A1105&amp;"01 1",$A1105),IF(AND(LEN($A1105)=4,VALUE(RIGHT($A1105,2))&lt;60),GUS_tabl_2!$A$8:$B$464,GUS_tabl_21!$A$5:$B$4886),2,FALSE)),SUM(FIND("..",TRIM(VLOOKUP(IF(AND(LEN($A1105)=4,VALUE(RIGHT($A1105,2))&gt;60),$A1105&amp;"01 1",$A1105),IF(AND(LEN($A1105)=4,VALUE(RIGHT($A1105,2))&lt;60),GUS_tabl_2!$A$8:$B$464,GUS_tabl_21!$A$5:$B$4886),2,FALSE))),-1)))))</f>
        <v>gm. w. Rzepiennik Strzyżewski</v>
      </c>
      <c r="D1105" s="141">
        <f>IF(OR($A1105="",ISERROR(VALUE(LEFT($A1105,6)))),"",IF(LEN($A1105)=2,SUMIF($A1106:$A$2965,$A1105&amp;"??",$D1106:$D$2965),IF(AND(LEN($A1105)=4,VALUE(RIGHT($A1105,2))&lt;=60),SUMIF($A1106:$A$2965,$A1105&amp;"????",$D1106:$D$2965),VLOOKUP(IF(LEN($A1105)=4,$A1105&amp;"01 1",$A1105),GUS_tabl_21!$A$5:$F$4886,6,FALSE))))</f>
        <v>6738</v>
      </c>
      <c r="E1105" s="29"/>
    </row>
    <row r="1106" spans="1:5" ht="12" customHeight="1">
      <c r="A1106" s="155" t="str">
        <f>"121608 2"</f>
        <v>121608 2</v>
      </c>
      <c r="B1106" s="153" t="s">
        <v>71</v>
      </c>
      <c r="C1106" s="156" t="str">
        <f>IF(OR($A1106="",ISERROR(VALUE(LEFT($A1106,6)))),"",IF(LEN($A1106)=2,"WOJ. ",IF(LEN($A1106)=4,IF(VALUE(RIGHT($A1106,2))&gt;60,"","Powiat "),IF(VALUE(RIGHT($A1106,1))=1,"m. ",IF(VALUE(RIGHT($A1106,1))=2,"gm. w. ",IF(VALUE(RIGHT($A1106,1))=8,"dz. ","gm. m.-w. ")))))&amp;IF(LEN($A1106)=2,TRIM(UPPER(VLOOKUP($A1106,GUS_tabl_1!$A$7:$B$22,2,FALSE))),IF(ISERROR(FIND("..",TRIM(VLOOKUP(IF(AND(LEN($A1106)=4,VALUE(RIGHT($A1106,2))&gt;60),$A1106&amp;"01 1",$A1106),IF(AND(LEN($A1106)=4,VALUE(RIGHT($A1106,2))&lt;60),GUS_tabl_2!$A$8:$B$464,GUS_tabl_21!$A$5:$B$4886),2,FALSE)))),TRIM(VLOOKUP(IF(AND(LEN($A1106)=4,VALUE(RIGHT($A1106,2))&gt;60),$A1106&amp;"01 1",$A1106),IF(AND(LEN($A1106)=4,VALUE(RIGHT($A1106,2))&lt;60),GUS_tabl_2!$A$8:$B$464,GUS_tabl_21!$A$5:$B$4886),2,FALSE)),LEFT(TRIM(VLOOKUP(IF(AND(LEN($A1106)=4,VALUE(RIGHT($A1106,2))&gt;60),$A1106&amp;"01 1",$A1106),IF(AND(LEN($A1106)=4,VALUE(RIGHT($A1106,2))&lt;60),GUS_tabl_2!$A$8:$B$464,GUS_tabl_21!$A$5:$B$4886),2,FALSE)),SUM(FIND("..",TRIM(VLOOKUP(IF(AND(LEN($A1106)=4,VALUE(RIGHT($A1106,2))&gt;60),$A1106&amp;"01 1",$A1106),IF(AND(LEN($A1106)=4,VALUE(RIGHT($A1106,2))&lt;60),GUS_tabl_2!$A$8:$B$464,GUS_tabl_21!$A$5:$B$4886),2,FALSE))),-1)))))</f>
        <v>gm. w. Skrzyszów</v>
      </c>
      <c r="D1106" s="141">
        <f>IF(OR($A1106="",ISERROR(VALUE(LEFT($A1106,6)))),"",IF(LEN($A1106)=2,SUMIF($A1107:$A$2965,$A1106&amp;"??",$D1107:$D$2965),IF(AND(LEN($A1106)=4,VALUE(RIGHT($A1106,2))&lt;=60),SUMIF($A1107:$A$2965,$A1106&amp;"????",$D1107:$D$2965),VLOOKUP(IF(LEN($A1106)=4,$A1106&amp;"01 1",$A1106),GUS_tabl_21!$A$5:$F$4886,6,FALSE))))</f>
        <v>14303</v>
      </c>
      <c r="E1106" s="29"/>
    </row>
    <row r="1107" spans="1:5" ht="12" customHeight="1">
      <c r="A1107" s="155" t="str">
        <f>"121609 2"</f>
        <v>121609 2</v>
      </c>
      <c r="B1107" s="153" t="s">
        <v>71</v>
      </c>
      <c r="C1107" s="156" t="str">
        <f>IF(OR($A1107="",ISERROR(VALUE(LEFT($A1107,6)))),"",IF(LEN($A1107)=2,"WOJ. ",IF(LEN($A1107)=4,IF(VALUE(RIGHT($A1107,2))&gt;60,"","Powiat "),IF(VALUE(RIGHT($A1107,1))=1,"m. ",IF(VALUE(RIGHT($A1107,1))=2,"gm. w. ",IF(VALUE(RIGHT($A1107,1))=8,"dz. ","gm. m.-w. ")))))&amp;IF(LEN($A1107)=2,TRIM(UPPER(VLOOKUP($A1107,GUS_tabl_1!$A$7:$B$22,2,FALSE))),IF(ISERROR(FIND("..",TRIM(VLOOKUP(IF(AND(LEN($A1107)=4,VALUE(RIGHT($A1107,2))&gt;60),$A1107&amp;"01 1",$A1107),IF(AND(LEN($A1107)=4,VALUE(RIGHT($A1107,2))&lt;60),GUS_tabl_2!$A$8:$B$464,GUS_tabl_21!$A$5:$B$4886),2,FALSE)))),TRIM(VLOOKUP(IF(AND(LEN($A1107)=4,VALUE(RIGHT($A1107,2))&gt;60),$A1107&amp;"01 1",$A1107),IF(AND(LEN($A1107)=4,VALUE(RIGHT($A1107,2))&lt;60),GUS_tabl_2!$A$8:$B$464,GUS_tabl_21!$A$5:$B$4886),2,FALSE)),LEFT(TRIM(VLOOKUP(IF(AND(LEN($A1107)=4,VALUE(RIGHT($A1107,2))&gt;60),$A1107&amp;"01 1",$A1107),IF(AND(LEN($A1107)=4,VALUE(RIGHT($A1107,2))&lt;60),GUS_tabl_2!$A$8:$B$464,GUS_tabl_21!$A$5:$B$4886),2,FALSE)),SUM(FIND("..",TRIM(VLOOKUP(IF(AND(LEN($A1107)=4,VALUE(RIGHT($A1107,2))&gt;60),$A1107&amp;"01 1",$A1107),IF(AND(LEN($A1107)=4,VALUE(RIGHT($A1107,2))&lt;60),GUS_tabl_2!$A$8:$B$464,GUS_tabl_21!$A$5:$B$4886),2,FALSE))),-1)))))</f>
        <v>gm. w. Tarnów</v>
      </c>
      <c r="D1107" s="141">
        <f>IF(OR($A1107="",ISERROR(VALUE(LEFT($A1107,6)))),"",IF(LEN($A1107)=2,SUMIF($A1108:$A$2965,$A1107&amp;"??",$D1108:$D$2965),IF(AND(LEN($A1107)=4,VALUE(RIGHT($A1107,2))&lt;=60),SUMIF($A1108:$A$2965,$A1107&amp;"????",$D1108:$D$2965),VLOOKUP(IF(LEN($A1107)=4,$A1107&amp;"01 1",$A1107),GUS_tabl_21!$A$5:$F$4886,6,FALSE))))</f>
        <v>26202</v>
      </c>
      <c r="E1107" s="29"/>
    </row>
    <row r="1108" spans="1:5" ht="12" customHeight="1">
      <c r="A1108" s="155" t="str">
        <f>"121610 3"</f>
        <v>121610 3</v>
      </c>
      <c r="B1108" s="153" t="s">
        <v>71</v>
      </c>
      <c r="C1108" s="156" t="str">
        <f>IF(OR($A1108="",ISERROR(VALUE(LEFT($A1108,6)))),"",IF(LEN($A1108)=2,"WOJ. ",IF(LEN($A1108)=4,IF(VALUE(RIGHT($A1108,2))&gt;60,"","Powiat "),IF(VALUE(RIGHT($A1108,1))=1,"m. ",IF(VALUE(RIGHT($A1108,1))=2,"gm. w. ",IF(VALUE(RIGHT($A1108,1))=8,"dz. ","gm. m.-w. ")))))&amp;IF(LEN($A1108)=2,TRIM(UPPER(VLOOKUP($A1108,GUS_tabl_1!$A$7:$B$22,2,FALSE))),IF(ISERROR(FIND("..",TRIM(VLOOKUP(IF(AND(LEN($A1108)=4,VALUE(RIGHT($A1108,2))&gt;60),$A1108&amp;"01 1",$A1108),IF(AND(LEN($A1108)=4,VALUE(RIGHT($A1108,2))&lt;60),GUS_tabl_2!$A$8:$B$464,GUS_tabl_21!$A$5:$B$4886),2,FALSE)))),TRIM(VLOOKUP(IF(AND(LEN($A1108)=4,VALUE(RIGHT($A1108,2))&gt;60),$A1108&amp;"01 1",$A1108),IF(AND(LEN($A1108)=4,VALUE(RIGHT($A1108,2))&lt;60),GUS_tabl_2!$A$8:$B$464,GUS_tabl_21!$A$5:$B$4886),2,FALSE)),LEFT(TRIM(VLOOKUP(IF(AND(LEN($A1108)=4,VALUE(RIGHT($A1108,2))&gt;60),$A1108&amp;"01 1",$A1108),IF(AND(LEN($A1108)=4,VALUE(RIGHT($A1108,2))&lt;60),GUS_tabl_2!$A$8:$B$464,GUS_tabl_21!$A$5:$B$4886),2,FALSE)),SUM(FIND("..",TRIM(VLOOKUP(IF(AND(LEN($A1108)=4,VALUE(RIGHT($A1108,2))&gt;60),$A1108&amp;"01 1",$A1108),IF(AND(LEN($A1108)=4,VALUE(RIGHT($A1108,2))&lt;60),GUS_tabl_2!$A$8:$B$464,GUS_tabl_21!$A$5:$B$4886),2,FALSE))),-1)))))</f>
        <v>gm. m.-w. Tuchów</v>
      </c>
      <c r="D1108" s="141">
        <f>IF(OR($A1108="",ISERROR(VALUE(LEFT($A1108,6)))),"",IF(LEN($A1108)=2,SUMIF($A1109:$A$2965,$A1108&amp;"??",$D1109:$D$2965),IF(AND(LEN($A1108)=4,VALUE(RIGHT($A1108,2))&lt;=60),SUMIF($A1109:$A$2965,$A1108&amp;"????",$D1109:$D$2965),VLOOKUP(IF(LEN($A1108)=4,$A1108&amp;"01 1",$A1108),GUS_tabl_21!$A$5:$F$4886,6,FALSE))))</f>
        <v>17916</v>
      </c>
      <c r="E1108" s="29"/>
    </row>
    <row r="1109" spans="1:5" ht="12" customHeight="1">
      <c r="A1109" s="155" t="str">
        <f>"121611 2"</f>
        <v>121611 2</v>
      </c>
      <c r="B1109" s="153" t="s">
        <v>71</v>
      </c>
      <c r="C1109" s="156" t="str">
        <f>IF(OR($A1109="",ISERROR(VALUE(LEFT($A1109,6)))),"",IF(LEN($A1109)=2,"WOJ. ",IF(LEN($A1109)=4,IF(VALUE(RIGHT($A1109,2))&gt;60,"","Powiat "),IF(VALUE(RIGHT($A1109,1))=1,"m. ",IF(VALUE(RIGHT($A1109,1))=2,"gm. w. ",IF(VALUE(RIGHT($A1109,1))=8,"dz. ","gm. m.-w. ")))))&amp;IF(LEN($A1109)=2,TRIM(UPPER(VLOOKUP($A1109,GUS_tabl_1!$A$7:$B$22,2,FALSE))),IF(ISERROR(FIND("..",TRIM(VLOOKUP(IF(AND(LEN($A1109)=4,VALUE(RIGHT($A1109,2))&gt;60),$A1109&amp;"01 1",$A1109),IF(AND(LEN($A1109)=4,VALUE(RIGHT($A1109,2))&lt;60),GUS_tabl_2!$A$8:$B$464,GUS_tabl_21!$A$5:$B$4886),2,FALSE)))),TRIM(VLOOKUP(IF(AND(LEN($A1109)=4,VALUE(RIGHT($A1109,2))&gt;60),$A1109&amp;"01 1",$A1109),IF(AND(LEN($A1109)=4,VALUE(RIGHT($A1109,2))&lt;60),GUS_tabl_2!$A$8:$B$464,GUS_tabl_21!$A$5:$B$4886),2,FALSE)),LEFT(TRIM(VLOOKUP(IF(AND(LEN($A1109)=4,VALUE(RIGHT($A1109,2))&gt;60),$A1109&amp;"01 1",$A1109),IF(AND(LEN($A1109)=4,VALUE(RIGHT($A1109,2))&lt;60),GUS_tabl_2!$A$8:$B$464,GUS_tabl_21!$A$5:$B$4886),2,FALSE)),SUM(FIND("..",TRIM(VLOOKUP(IF(AND(LEN($A1109)=4,VALUE(RIGHT($A1109,2))&gt;60),$A1109&amp;"01 1",$A1109),IF(AND(LEN($A1109)=4,VALUE(RIGHT($A1109,2))&lt;60),GUS_tabl_2!$A$8:$B$464,GUS_tabl_21!$A$5:$B$4886),2,FALSE))),-1)))))</f>
        <v>gm. w. Wierzchosławice</v>
      </c>
      <c r="D1109" s="141">
        <f>IF(OR($A1109="",ISERROR(VALUE(LEFT($A1109,6)))),"",IF(LEN($A1109)=2,SUMIF($A1110:$A$2965,$A1109&amp;"??",$D1110:$D$2965),IF(AND(LEN($A1109)=4,VALUE(RIGHT($A1109,2))&lt;=60),SUMIF($A1110:$A$2965,$A1109&amp;"????",$D1110:$D$2965),VLOOKUP(IF(LEN($A1109)=4,$A1109&amp;"01 1",$A1109),GUS_tabl_21!$A$5:$F$4886,6,FALSE))))</f>
        <v>10857</v>
      </c>
      <c r="E1109" s="29"/>
    </row>
    <row r="1110" spans="1:5" ht="12" customHeight="1">
      <c r="A1110" s="155" t="str">
        <f>"121612 2"</f>
        <v>121612 2</v>
      </c>
      <c r="B1110" s="153" t="s">
        <v>71</v>
      </c>
      <c r="C1110" s="156" t="str">
        <f>IF(OR($A1110="",ISERROR(VALUE(LEFT($A1110,6)))),"",IF(LEN($A1110)=2,"WOJ. ",IF(LEN($A1110)=4,IF(VALUE(RIGHT($A1110,2))&gt;60,"","Powiat "),IF(VALUE(RIGHT($A1110,1))=1,"m. ",IF(VALUE(RIGHT($A1110,1))=2,"gm. w. ",IF(VALUE(RIGHT($A1110,1))=8,"dz. ","gm. m.-w. ")))))&amp;IF(LEN($A1110)=2,TRIM(UPPER(VLOOKUP($A1110,GUS_tabl_1!$A$7:$B$22,2,FALSE))),IF(ISERROR(FIND("..",TRIM(VLOOKUP(IF(AND(LEN($A1110)=4,VALUE(RIGHT($A1110,2))&gt;60),$A1110&amp;"01 1",$A1110),IF(AND(LEN($A1110)=4,VALUE(RIGHT($A1110,2))&lt;60),GUS_tabl_2!$A$8:$B$464,GUS_tabl_21!$A$5:$B$4886),2,FALSE)))),TRIM(VLOOKUP(IF(AND(LEN($A1110)=4,VALUE(RIGHT($A1110,2))&gt;60),$A1110&amp;"01 1",$A1110),IF(AND(LEN($A1110)=4,VALUE(RIGHT($A1110,2))&lt;60),GUS_tabl_2!$A$8:$B$464,GUS_tabl_21!$A$5:$B$4886),2,FALSE)),LEFT(TRIM(VLOOKUP(IF(AND(LEN($A1110)=4,VALUE(RIGHT($A1110,2))&gt;60),$A1110&amp;"01 1",$A1110),IF(AND(LEN($A1110)=4,VALUE(RIGHT($A1110,2))&lt;60),GUS_tabl_2!$A$8:$B$464,GUS_tabl_21!$A$5:$B$4886),2,FALSE)),SUM(FIND("..",TRIM(VLOOKUP(IF(AND(LEN($A1110)=4,VALUE(RIGHT($A1110,2))&gt;60),$A1110&amp;"01 1",$A1110),IF(AND(LEN($A1110)=4,VALUE(RIGHT($A1110,2))&lt;60),GUS_tabl_2!$A$8:$B$464,GUS_tabl_21!$A$5:$B$4886),2,FALSE))),-1)))))</f>
        <v>gm. w. Wietrzychowice</v>
      </c>
      <c r="D1110" s="141">
        <f>IF(OR($A1110="",ISERROR(VALUE(LEFT($A1110,6)))),"",IF(LEN($A1110)=2,SUMIF($A1111:$A$2965,$A1110&amp;"??",$D1111:$D$2965),IF(AND(LEN($A1110)=4,VALUE(RIGHT($A1110,2))&lt;=60),SUMIF($A1111:$A$2965,$A1110&amp;"????",$D1111:$D$2965),VLOOKUP(IF(LEN($A1110)=4,$A1110&amp;"01 1",$A1110),GUS_tabl_21!$A$5:$F$4886,6,FALSE))))</f>
        <v>3938</v>
      </c>
      <c r="E1110" s="29"/>
    </row>
    <row r="1111" spans="1:5" ht="12" customHeight="1">
      <c r="A1111" s="155" t="str">
        <f>"121613 3"</f>
        <v>121613 3</v>
      </c>
      <c r="B1111" s="153" t="s">
        <v>71</v>
      </c>
      <c r="C1111" s="156" t="str">
        <f>IF(OR($A1111="",ISERROR(VALUE(LEFT($A1111,6)))),"",IF(LEN($A1111)=2,"WOJ. ",IF(LEN($A1111)=4,IF(VALUE(RIGHT($A1111,2))&gt;60,"","Powiat "),IF(VALUE(RIGHT($A1111,1))=1,"m. ",IF(VALUE(RIGHT($A1111,1))=2,"gm. w. ",IF(VALUE(RIGHT($A1111,1))=8,"dz. ","gm. m.-w. ")))))&amp;IF(LEN($A1111)=2,TRIM(UPPER(VLOOKUP($A1111,GUS_tabl_1!$A$7:$B$22,2,FALSE))),IF(ISERROR(FIND("..",TRIM(VLOOKUP(IF(AND(LEN($A1111)=4,VALUE(RIGHT($A1111,2))&gt;60),$A1111&amp;"01 1",$A1111),IF(AND(LEN($A1111)=4,VALUE(RIGHT($A1111,2))&lt;60),GUS_tabl_2!$A$8:$B$464,GUS_tabl_21!$A$5:$B$4886),2,FALSE)))),TRIM(VLOOKUP(IF(AND(LEN($A1111)=4,VALUE(RIGHT($A1111,2))&gt;60),$A1111&amp;"01 1",$A1111),IF(AND(LEN($A1111)=4,VALUE(RIGHT($A1111,2))&lt;60),GUS_tabl_2!$A$8:$B$464,GUS_tabl_21!$A$5:$B$4886),2,FALSE)),LEFT(TRIM(VLOOKUP(IF(AND(LEN($A1111)=4,VALUE(RIGHT($A1111,2))&gt;60),$A1111&amp;"01 1",$A1111),IF(AND(LEN($A1111)=4,VALUE(RIGHT($A1111,2))&lt;60),GUS_tabl_2!$A$8:$B$464,GUS_tabl_21!$A$5:$B$4886),2,FALSE)),SUM(FIND("..",TRIM(VLOOKUP(IF(AND(LEN($A1111)=4,VALUE(RIGHT($A1111,2))&gt;60),$A1111&amp;"01 1",$A1111),IF(AND(LEN($A1111)=4,VALUE(RIGHT($A1111,2))&lt;60),GUS_tabl_2!$A$8:$B$464,GUS_tabl_21!$A$5:$B$4886),2,FALSE))),-1)))))</f>
        <v>gm. m.-w. Wojnicz</v>
      </c>
      <c r="D1111" s="141">
        <f>IF(OR($A1111="",ISERROR(VALUE(LEFT($A1111,6)))),"",IF(LEN($A1111)=2,SUMIF($A1112:$A$2965,$A1111&amp;"??",$D1112:$D$2965),IF(AND(LEN($A1111)=4,VALUE(RIGHT($A1111,2))&lt;=60),SUMIF($A1112:$A$2965,$A1111&amp;"????",$D1112:$D$2965),VLOOKUP(IF(LEN($A1111)=4,$A1111&amp;"01 1",$A1111),GUS_tabl_21!$A$5:$F$4886,6,FALSE))))</f>
        <v>13443</v>
      </c>
      <c r="E1111" s="29"/>
    </row>
    <row r="1112" spans="1:5" ht="12" customHeight="1">
      <c r="A1112" s="155" t="str">
        <f>"121614 3"</f>
        <v>121614 3</v>
      </c>
      <c r="B1112" s="153" t="s">
        <v>71</v>
      </c>
      <c r="C1112" s="156" t="str">
        <f>IF(OR($A1112="",ISERROR(VALUE(LEFT($A1112,6)))),"",IF(LEN($A1112)=2,"WOJ. ",IF(LEN($A1112)=4,IF(VALUE(RIGHT($A1112,2))&gt;60,"","Powiat "),IF(VALUE(RIGHT($A1112,1))=1,"m. ",IF(VALUE(RIGHT($A1112,1))=2,"gm. w. ",IF(VALUE(RIGHT($A1112,1))=8,"dz. ","gm. m.-w. ")))))&amp;IF(LEN($A1112)=2,TRIM(UPPER(VLOOKUP($A1112,GUS_tabl_1!$A$7:$B$22,2,FALSE))),IF(ISERROR(FIND("..",TRIM(VLOOKUP(IF(AND(LEN($A1112)=4,VALUE(RIGHT($A1112,2))&gt;60),$A1112&amp;"01 1",$A1112),IF(AND(LEN($A1112)=4,VALUE(RIGHT($A1112,2))&lt;60),GUS_tabl_2!$A$8:$B$464,GUS_tabl_21!$A$5:$B$4886),2,FALSE)))),TRIM(VLOOKUP(IF(AND(LEN($A1112)=4,VALUE(RIGHT($A1112,2))&gt;60),$A1112&amp;"01 1",$A1112),IF(AND(LEN($A1112)=4,VALUE(RIGHT($A1112,2))&lt;60),GUS_tabl_2!$A$8:$B$464,GUS_tabl_21!$A$5:$B$4886),2,FALSE)),LEFT(TRIM(VLOOKUP(IF(AND(LEN($A1112)=4,VALUE(RIGHT($A1112,2))&gt;60),$A1112&amp;"01 1",$A1112),IF(AND(LEN($A1112)=4,VALUE(RIGHT($A1112,2))&lt;60),GUS_tabl_2!$A$8:$B$464,GUS_tabl_21!$A$5:$B$4886),2,FALSE)),SUM(FIND("..",TRIM(VLOOKUP(IF(AND(LEN($A1112)=4,VALUE(RIGHT($A1112,2))&gt;60),$A1112&amp;"01 1",$A1112),IF(AND(LEN($A1112)=4,VALUE(RIGHT($A1112,2))&lt;60),GUS_tabl_2!$A$8:$B$464,GUS_tabl_21!$A$5:$B$4886),2,FALSE))),-1)))))</f>
        <v>gm. m.-w. Zakliczyn</v>
      </c>
      <c r="D1112" s="141">
        <f>IF(OR($A1112="",ISERROR(VALUE(LEFT($A1112,6)))),"",IF(LEN($A1112)=2,SUMIF($A1113:$A$2965,$A1112&amp;"??",$D1113:$D$2965),IF(AND(LEN($A1112)=4,VALUE(RIGHT($A1112,2))&lt;=60),SUMIF($A1113:$A$2965,$A1112&amp;"????",$D1113:$D$2965),VLOOKUP(IF(LEN($A1112)=4,$A1112&amp;"01 1",$A1112),GUS_tabl_21!$A$5:$F$4886,6,FALSE))))</f>
        <v>12488</v>
      </c>
      <c r="E1112" s="29"/>
    </row>
    <row r="1113" spans="1:5" ht="12" customHeight="1">
      <c r="A1113" s="155" t="str">
        <f>"121615 3"</f>
        <v>121615 3</v>
      </c>
      <c r="B1113" s="153" t="s">
        <v>71</v>
      </c>
      <c r="C1113" s="156" t="str">
        <f>IF(OR($A1113="",ISERROR(VALUE(LEFT($A1113,6)))),"",IF(LEN($A1113)=2,"WOJ. ",IF(LEN($A1113)=4,IF(VALUE(RIGHT($A1113,2))&gt;60,"","Powiat "),IF(VALUE(RIGHT($A1113,1))=1,"m. ",IF(VALUE(RIGHT($A1113,1))=2,"gm. w. ",IF(VALUE(RIGHT($A1113,1))=8,"dz. ","gm. m.-w. ")))))&amp;IF(LEN($A1113)=2,TRIM(UPPER(VLOOKUP($A1113,GUS_tabl_1!$A$7:$B$22,2,FALSE))),IF(ISERROR(FIND("..",TRIM(VLOOKUP(IF(AND(LEN($A1113)=4,VALUE(RIGHT($A1113,2))&gt;60),$A1113&amp;"01 1",$A1113),IF(AND(LEN($A1113)=4,VALUE(RIGHT($A1113,2))&lt;60),GUS_tabl_2!$A$8:$B$464,GUS_tabl_21!$A$5:$B$4886),2,FALSE)))),TRIM(VLOOKUP(IF(AND(LEN($A1113)=4,VALUE(RIGHT($A1113,2))&gt;60),$A1113&amp;"01 1",$A1113),IF(AND(LEN($A1113)=4,VALUE(RIGHT($A1113,2))&lt;60),GUS_tabl_2!$A$8:$B$464,GUS_tabl_21!$A$5:$B$4886),2,FALSE)),LEFT(TRIM(VLOOKUP(IF(AND(LEN($A1113)=4,VALUE(RIGHT($A1113,2))&gt;60),$A1113&amp;"01 1",$A1113),IF(AND(LEN($A1113)=4,VALUE(RIGHT($A1113,2))&lt;60),GUS_tabl_2!$A$8:$B$464,GUS_tabl_21!$A$5:$B$4886),2,FALSE)),SUM(FIND("..",TRIM(VLOOKUP(IF(AND(LEN($A1113)=4,VALUE(RIGHT($A1113,2))&gt;60),$A1113&amp;"01 1",$A1113),IF(AND(LEN($A1113)=4,VALUE(RIGHT($A1113,2))&lt;60),GUS_tabl_2!$A$8:$B$464,GUS_tabl_21!$A$5:$B$4886),2,FALSE))),-1)))))</f>
        <v>gm. m.-w. Żabno</v>
      </c>
      <c r="D1113" s="141">
        <f>IF(OR($A1113="",ISERROR(VALUE(LEFT($A1113,6)))),"",IF(LEN($A1113)=2,SUMIF($A1114:$A$2965,$A1113&amp;"??",$D1114:$D$2965),IF(AND(LEN($A1113)=4,VALUE(RIGHT($A1113,2))&lt;=60),SUMIF($A1114:$A$2965,$A1113&amp;"????",$D1114:$D$2965),VLOOKUP(IF(LEN($A1113)=4,$A1113&amp;"01 1",$A1113),GUS_tabl_21!$A$5:$F$4886,6,FALSE))))</f>
        <v>18874</v>
      </c>
      <c r="E1113" s="29"/>
    </row>
    <row r="1114" spans="1:5" ht="12" customHeight="1">
      <c r="A1114" s="155" t="str">
        <f>"121616 2"</f>
        <v>121616 2</v>
      </c>
      <c r="B1114" s="153" t="s">
        <v>71</v>
      </c>
      <c r="C1114" s="156" t="str">
        <f>IF(OR($A1114="",ISERROR(VALUE(LEFT($A1114,6)))),"",IF(LEN($A1114)=2,"WOJ. ",IF(LEN($A1114)=4,IF(VALUE(RIGHT($A1114,2))&gt;60,"","Powiat "),IF(VALUE(RIGHT($A1114,1))=1,"m. ",IF(VALUE(RIGHT($A1114,1))=2,"gm. w. ",IF(VALUE(RIGHT($A1114,1))=8,"dz. ","gm. m.-w. ")))))&amp;IF(LEN($A1114)=2,TRIM(UPPER(VLOOKUP($A1114,GUS_tabl_1!$A$7:$B$22,2,FALSE))),IF(ISERROR(FIND("..",TRIM(VLOOKUP(IF(AND(LEN($A1114)=4,VALUE(RIGHT($A1114,2))&gt;60),$A1114&amp;"01 1",$A1114),IF(AND(LEN($A1114)=4,VALUE(RIGHT($A1114,2))&lt;60),GUS_tabl_2!$A$8:$B$464,GUS_tabl_21!$A$5:$B$4886),2,FALSE)))),TRIM(VLOOKUP(IF(AND(LEN($A1114)=4,VALUE(RIGHT($A1114,2))&gt;60),$A1114&amp;"01 1",$A1114),IF(AND(LEN($A1114)=4,VALUE(RIGHT($A1114,2))&lt;60),GUS_tabl_2!$A$8:$B$464,GUS_tabl_21!$A$5:$B$4886),2,FALSE)),LEFT(TRIM(VLOOKUP(IF(AND(LEN($A1114)=4,VALUE(RIGHT($A1114,2))&gt;60),$A1114&amp;"01 1",$A1114),IF(AND(LEN($A1114)=4,VALUE(RIGHT($A1114,2))&lt;60),GUS_tabl_2!$A$8:$B$464,GUS_tabl_21!$A$5:$B$4886),2,FALSE)),SUM(FIND("..",TRIM(VLOOKUP(IF(AND(LEN($A1114)=4,VALUE(RIGHT($A1114,2))&gt;60),$A1114&amp;"01 1",$A1114),IF(AND(LEN($A1114)=4,VALUE(RIGHT($A1114,2))&lt;60),GUS_tabl_2!$A$8:$B$464,GUS_tabl_21!$A$5:$B$4886),2,FALSE))),-1)))))</f>
        <v>gm. w. Szerzyny</v>
      </c>
      <c r="D1114" s="141">
        <f>IF(OR($A1114="",ISERROR(VALUE(LEFT($A1114,6)))),"",IF(LEN($A1114)=2,SUMIF($A1115:$A$2965,$A1114&amp;"??",$D1115:$D$2965),IF(AND(LEN($A1114)=4,VALUE(RIGHT($A1114,2))&lt;=60),SUMIF($A1115:$A$2965,$A1114&amp;"????",$D1115:$D$2965),VLOOKUP(IF(LEN($A1114)=4,$A1114&amp;"01 1",$A1114),GUS_tabl_21!$A$5:$F$4886,6,FALSE))))</f>
        <v>7943</v>
      </c>
      <c r="E1114" s="29"/>
    </row>
    <row r="1115" spans="1:5" ht="12" customHeight="1">
      <c r="A1115" s="152" t="str">
        <f>"1217"</f>
        <v>1217</v>
      </c>
      <c r="B1115" s="153" t="s">
        <v>71</v>
      </c>
      <c r="C1115" s="154" t="str">
        <f>IF(OR($A1115="",ISERROR(VALUE(LEFT($A1115,6)))),"",IF(LEN($A1115)=2,"WOJ. ",IF(LEN($A1115)=4,IF(VALUE(RIGHT($A1115,2))&gt;60,"","Powiat "),IF(VALUE(RIGHT($A1115,1))=1,"m. ",IF(VALUE(RIGHT($A1115,1))=2,"gm. w. ",IF(VALUE(RIGHT($A1115,1))=8,"dz. ","gm. m.-w. ")))))&amp;IF(LEN($A1115)=2,TRIM(UPPER(VLOOKUP($A1115,GUS_tabl_1!$A$7:$B$22,2,FALSE))),IF(ISERROR(FIND("..",TRIM(VLOOKUP(IF(AND(LEN($A1115)=4,VALUE(RIGHT($A1115,2))&gt;60),$A1115&amp;"01 1",$A1115),IF(AND(LEN($A1115)=4,VALUE(RIGHT($A1115,2))&lt;60),GUS_tabl_2!$A$8:$B$464,GUS_tabl_21!$A$5:$B$4886),2,FALSE)))),TRIM(VLOOKUP(IF(AND(LEN($A1115)=4,VALUE(RIGHT($A1115,2))&gt;60),$A1115&amp;"01 1",$A1115),IF(AND(LEN($A1115)=4,VALUE(RIGHT($A1115,2))&lt;60),GUS_tabl_2!$A$8:$B$464,GUS_tabl_21!$A$5:$B$4886),2,FALSE)),LEFT(TRIM(VLOOKUP(IF(AND(LEN($A1115)=4,VALUE(RIGHT($A1115,2))&gt;60),$A1115&amp;"01 1",$A1115),IF(AND(LEN($A1115)=4,VALUE(RIGHT($A1115,2))&lt;60),GUS_tabl_2!$A$8:$B$464,GUS_tabl_21!$A$5:$B$4886),2,FALSE)),SUM(FIND("..",TRIM(VLOOKUP(IF(AND(LEN($A1115)=4,VALUE(RIGHT($A1115,2))&gt;60),$A1115&amp;"01 1",$A1115),IF(AND(LEN($A1115)=4,VALUE(RIGHT($A1115,2))&lt;60),GUS_tabl_2!$A$8:$B$464,GUS_tabl_21!$A$5:$B$4886),2,FALSE))),-1)))))</f>
        <v>Powiat tatrzański</v>
      </c>
      <c r="D1115" s="140">
        <f>IF(OR($A1115="",ISERROR(VALUE(LEFT($A1115,6)))),"",IF(LEN($A1115)=2,SUMIF($A1116:$A$2965,$A1115&amp;"??",$D1116:$D$2965),IF(AND(LEN($A1115)=4,VALUE(RIGHT($A1115,2))&lt;=60),SUMIF($A1116:$A$2965,$A1115&amp;"????",$D1116:$D$2965),VLOOKUP(IF(LEN($A1115)=4,$A1115&amp;"01 1",$A1115),GUS_tabl_21!$A$5:$F$4886,6,FALSE))))</f>
        <v>68072</v>
      </c>
      <c r="E1115" s="29"/>
    </row>
    <row r="1116" spans="1:5" ht="12" customHeight="1">
      <c r="A1116" s="155" t="str">
        <f>"121701 1"</f>
        <v>121701 1</v>
      </c>
      <c r="B1116" s="153" t="s">
        <v>71</v>
      </c>
      <c r="C1116" s="156" t="str">
        <f>IF(OR($A1116="",ISERROR(VALUE(LEFT($A1116,6)))),"",IF(LEN($A1116)=2,"WOJ. ",IF(LEN($A1116)=4,IF(VALUE(RIGHT($A1116,2))&gt;60,"","Powiat "),IF(VALUE(RIGHT($A1116,1))=1,"m. ",IF(VALUE(RIGHT($A1116,1))=2,"gm. w. ",IF(VALUE(RIGHT($A1116,1))=8,"dz. ","gm. m.-w. ")))))&amp;IF(LEN($A1116)=2,TRIM(UPPER(VLOOKUP($A1116,GUS_tabl_1!$A$7:$B$22,2,FALSE))),IF(ISERROR(FIND("..",TRIM(VLOOKUP(IF(AND(LEN($A1116)=4,VALUE(RIGHT($A1116,2))&gt;60),$A1116&amp;"01 1",$A1116),IF(AND(LEN($A1116)=4,VALUE(RIGHT($A1116,2))&lt;60),GUS_tabl_2!$A$8:$B$464,GUS_tabl_21!$A$5:$B$4886),2,FALSE)))),TRIM(VLOOKUP(IF(AND(LEN($A1116)=4,VALUE(RIGHT($A1116,2))&gt;60),$A1116&amp;"01 1",$A1116),IF(AND(LEN($A1116)=4,VALUE(RIGHT($A1116,2))&lt;60),GUS_tabl_2!$A$8:$B$464,GUS_tabl_21!$A$5:$B$4886),2,FALSE)),LEFT(TRIM(VLOOKUP(IF(AND(LEN($A1116)=4,VALUE(RIGHT($A1116,2))&gt;60),$A1116&amp;"01 1",$A1116),IF(AND(LEN($A1116)=4,VALUE(RIGHT($A1116,2))&lt;60),GUS_tabl_2!$A$8:$B$464,GUS_tabl_21!$A$5:$B$4886),2,FALSE)),SUM(FIND("..",TRIM(VLOOKUP(IF(AND(LEN($A1116)=4,VALUE(RIGHT($A1116,2))&gt;60),$A1116&amp;"01 1",$A1116),IF(AND(LEN($A1116)=4,VALUE(RIGHT($A1116,2))&lt;60),GUS_tabl_2!$A$8:$B$464,GUS_tabl_21!$A$5:$B$4886),2,FALSE))),-1)))))</f>
        <v>m. Zakopane</v>
      </c>
      <c r="D1116" s="141">
        <f>IF(OR($A1116="",ISERROR(VALUE(LEFT($A1116,6)))),"",IF(LEN($A1116)=2,SUMIF($A1117:$A$2965,$A1116&amp;"??",$D1117:$D$2965),IF(AND(LEN($A1116)=4,VALUE(RIGHT($A1116,2))&lt;=60),SUMIF($A1117:$A$2965,$A1116&amp;"????",$D1117:$D$2965),VLOOKUP(IF(LEN($A1116)=4,$A1116&amp;"01 1",$A1116),GUS_tabl_21!$A$5:$F$4886,6,FALSE))))</f>
        <v>27010</v>
      </c>
      <c r="E1116" s="29"/>
    </row>
    <row r="1117" spans="1:5" ht="12" customHeight="1">
      <c r="A1117" s="155" t="str">
        <f>"121702 2"</f>
        <v>121702 2</v>
      </c>
      <c r="B1117" s="153" t="s">
        <v>71</v>
      </c>
      <c r="C1117" s="156" t="str">
        <f>IF(OR($A1117="",ISERROR(VALUE(LEFT($A1117,6)))),"",IF(LEN($A1117)=2,"WOJ. ",IF(LEN($A1117)=4,IF(VALUE(RIGHT($A1117,2))&gt;60,"","Powiat "),IF(VALUE(RIGHT($A1117,1))=1,"m. ",IF(VALUE(RIGHT($A1117,1))=2,"gm. w. ",IF(VALUE(RIGHT($A1117,1))=8,"dz. ","gm. m.-w. ")))))&amp;IF(LEN($A1117)=2,TRIM(UPPER(VLOOKUP($A1117,GUS_tabl_1!$A$7:$B$22,2,FALSE))),IF(ISERROR(FIND("..",TRIM(VLOOKUP(IF(AND(LEN($A1117)=4,VALUE(RIGHT($A1117,2))&gt;60),$A1117&amp;"01 1",$A1117),IF(AND(LEN($A1117)=4,VALUE(RIGHT($A1117,2))&lt;60),GUS_tabl_2!$A$8:$B$464,GUS_tabl_21!$A$5:$B$4886),2,FALSE)))),TRIM(VLOOKUP(IF(AND(LEN($A1117)=4,VALUE(RIGHT($A1117,2))&gt;60),$A1117&amp;"01 1",$A1117),IF(AND(LEN($A1117)=4,VALUE(RIGHT($A1117,2))&lt;60),GUS_tabl_2!$A$8:$B$464,GUS_tabl_21!$A$5:$B$4886),2,FALSE)),LEFT(TRIM(VLOOKUP(IF(AND(LEN($A1117)=4,VALUE(RIGHT($A1117,2))&gt;60),$A1117&amp;"01 1",$A1117),IF(AND(LEN($A1117)=4,VALUE(RIGHT($A1117,2))&lt;60),GUS_tabl_2!$A$8:$B$464,GUS_tabl_21!$A$5:$B$4886),2,FALSE)),SUM(FIND("..",TRIM(VLOOKUP(IF(AND(LEN($A1117)=4,VALUE(RIGHT($A1117,2))&gt;60),$A1117&amp;"01 1",$A1117),IF(AND(LEN($A1117)=4,VALUE(RIGHT($A1117,2))&lt;60),GUS_tabl_2!$A$8:$B$464,GUS_tabl_21!$A$5:$B$4886),2,FALSE))),-1)))))</f>
        <v>gm. w. Biały Dunajec</v>
      </c>
      <c r="D1117" s="141">
        <f>IF(OR($A1117="",ISERROR(VALUE(LEFT($A1117,6)))),"",IF(LEN($A1117)=2,SUMIF($A1118:$A$2965,$A1117&amp;"??",$D1118:$D$2965),IF(AND(LEN($A1117)=4,VALUE(RIGHT($A1117,2))&lt;=60),SUMIF($A1118:$A$2965,$A1117&amp;"????",$D1118:$D$2965),VLOOKUP(IF(LEN($A1117)=4,$A1117&amp;"01 1",$A1117),GUS_tabl_21!$A$5:$F$4886,6,FALSE))))</f>
        <v>7179</v>
      </c>
      <c r="E1117" s="29"/>
    </row>
    <row r="1118" spans="1:5" ht="12" customHeight="1">
      <c r="A1118" s="155" t="str">
        <f>"121703 2"</f>
        <v>121703 2</v>
      </c>
      <c r="B1118" s="153" t="s">
        <v>71</v>
      </c>
      <c r="C1118" s="156" t="str">
        <f>IF(OR($A1118="",ISERROR(VALUE(LEFT($A1118,6)))),"",IF(LEN($A1118)=2,"WOJ. ",IF(LEN($A1118)=4,IF(VALUE(RIGHT($A1118,2))&gt;60,"","Powiat "),IF(VALUE(RIGHT($A1118,1))=1,"m. ",IF(VALUE(RIGHT($A1118,1))=2,"gm. w. ",IF(VALUE(RIGHT($A1118,1))=8,"dz. ","gm. m.-w. ")))))&amp;IF(LEN($A1118)=2,TRIM(UPPER(VLOOKUP($A1118,GUS_tabl_1!$A$7:$B$22,2,FALSE))),IF(ISERROR(FIND("..",TRIM(VLOOKUP(IF(AND(LEN($A1118)=4,VALUE(RIGHT($A1118,2))&gt;60),$A1118&amp;"01 1",$A1118),IF(AND(LEN($A1118)=4,VALUE(RIGHT($A1118,2))&lt;60),GUS_tabl_2!$A$8:$B$464,GUS_tabl_21!$A$5:$B$4886),2,FALSE)))),TRIM(VLOOKUP(IF(AND(LEN($A1118)=4,VALUE(RIGHT($A1118,2))&gt;60),$A1118&amp;"01 1",$A1118),IF(AND(LEN($A1118)=4,VALUE(RIGHT($A1118,2))&lt;60),GUS_tabl_2!$A$8:$B$464,GUS_tabl_21!$A$5:$B$4886),2,FALSE)),LEFT(TRIM(VLOOKUP(IF(AND(LEN($A1118)=4,VALUE(RIGHT($A1118,2))&gt;60),$A1118&amp;"01 1",$A1118),IF(AND(LEN($A1118)=4,VALUE(RIGHT($A1118,2))&lt;60),GUS_tabl_2!$A$8:$B$464,GUS_tabl_21!$A$5:$B$4886),2,FALSE)),SUM(FIND("..",TRIM(VLOOKUP(IF(AND(LEN($A1118)=4,VALUE(RIGHT($A1118,2))&gt;60),$A1118&amp;"01 1",$A1118),IF(AND(LEN($A1118)=4,VALUE(RIGHT($A1118,2))&lt;60),GUS_tabl_2!$A$8:$B$464,GUS_tabl_21!$A$5:$B$4886),2,FALSE))),-1)))))</f>
        <v>gm. w. Bukowina Tatrzańska</v>
      </c>
      <c r="D1118" s="141">
        <f>IF(OR($A1118="",ISERROR(VALUE(LEFT($A1118,6)))),"",IF(LEN($A1118)=2,SUMIF($A1119:$A$2965,$A1118&amp;"??",$D1119:$D$2965),IF(AND(LEN($A1118)=4,VALUE(RIGHT($A1118,2))&lt;=60),SUMIF($A1119:$A$2965,$A1118&amp;"????",$D1119:$D$2965),VLOOKUP(IF(LEN($A1118)=4,$A1118&amp;"01 1",$A1118),GUS_tabl_21!$A$5:$F$4886,6,FALSE))))</f>
        <v>13387</v>
      </c>
      <c r="E1118" s="29"/>
    </row>
    <row r="1119" spans="1:5" ht="12" customHeight="1">
      <c r="A1119" s="155" t="str">
        <f>"121704 2"</f>
        <v>121704 2</v>
      </c>
      <c r="B1119" s="153" t="s">
        <v>71</v>
      </c>
      <c r="C1119" s="156" t="str">
        <f>IF(OR($A1119="",ISERROR(VALUE(LEFT($A1119,6)))),"",IF(LEN($A1119)=2,"WOJ. ",IF(LEN($A1119)=4,IF(VALUE(RIGHT($A1119,2))&gt;60,"","Powiat "),IF(VALUE(RIGHT($A1119,1))=1,"m. ",IF(VALUE(RIGHT($A1119,1))=2,"gm. w. ",IF(VALUE(RIGHT($A1119,1))=8,"dz. ","gm. m.-w. ")))))&amp;IF(LEN($A1119)=2,TRIM(UPPER(VLOOKUP($A1119,GUS_tabl_1!$A$7:$B$22,2,FALSE))),IF(ISERROR(FIND("..",TRIM(VLOOKUP(IF(AND(LEN($A1119)=4,VALUE(RIGHT($A1119,2))&gt;60),$A1119&amp;"01 1",$A1119),IF(AND(LEN($A1119)=4,VALUE(RIGHT($A1119,2))&lt;60),GUS_tabl_2!$A$8:$B$464,GUS_tabl_21!$A$5:$B$4886),2,FALSE)))),TRIM(VLOOKUP(IF(AND(LEN($A1119)=4,VALUE(RIGHT($A1119,2))&gt;60),$A1119&amp;"01 1",$A1119),IF(AND(LEN($A1119)=4,VALUE(RIGHT($A1119,2))&lt;60),GUS_tabl_2!$A$8:$B$464,GUS_tabl_21!$A$5:$B$4886),2,FALSE)),LEFT(TRIM(VLOOKUP(IF(AND(LEN($A1119)=4,VALUE(RIGHT($A1119,2))&gt;60),$A1119&amp;"01 1",$A1119),IF(AND(LEN($A1119)=4,VALUE(RIGHT($A1119,2))&lt;60),GUS_tabl_2!$A$8:$B$464,GUS_tabl_21!$A$5:$B$4886),2,FALSE)),SUM(FIND("..",TRIM(VLOOKUP(IF(AND(LEN($A1119)=4,VALUE(RIGHT($A1119,2))&gt;60),$A1119&amp;"01 1",$A1119),IF(AND(LEN($A1119)=4,VALUE(RIGHT($A1119,2))&lt;60),GUS_tabl_2!$A$8:$B$464,GUS_tabl_21!$A$5:$B$4886),2,FALSE))),-1)))))</f>
        <v>gm. w. Kościelisko</v>
      </c>
      <c r="D1119" s="141">
        <f>IF(OR($A1119="",ISERROR(VALUE(LEFT($A1119,6)))),"",IF(LEN($A1119)=2,SUMIF($A1120:$A$2965,$A1119&amp;"??",$D1120:$D$2965),IF(AND(LEN($A1119)=4,VALUE(RIGHT($A1119,2))&lt;=60),SUMIF($A1120:$A$2965,$A1119&amp;"????",$D1120:$D$2965),VLOOKUP(IF(LEN($A1119)=4,$A1119&amp;"01 1",$A1119),GUS_tabl_21!$A$5:$F$4886,6,FALSE))))</f>
        <v>8846</v>
      </c>
      <c r="E1119" s="29"/>
    </row>
    <row r="1120" spans="1:5" ht="12" customHeight="1">
      <c r="A1120" s="155" t="str">
        <f>"121705 2"</f>
        <v>121705 2</v>
      </c>
      <c r="B1120" s="153" t="s">
        <v>71</v>
      </c>
      <c r="C1120" s="156" t="str">
        <f>IF(OR($A1120="",ISERROR(VALUE(LEFT($A1120,6)))),"",IF(LEN($A1120)=2,"WOJ. ",IF(LEN($A1120)=4,IF(VALUE(RIGHT($A1120,2))&gt;60,"","Powiat "),IF(VALUE(RIGHT($A1120,1))=1,"m. ",IF(VALUE(RIGHT($A1120,1))=2,"gm. w. ",IF(VALUE(RIGHT($A1120,1))=8,"dz. ","gm. m.-w. ")))))&amp;IF(LEN($A1120)=2,TRIM(UPPER(VLOOKUP($A1120,GUS_tabl_1!$A$7:$B$22,2,FALSE))),IF(ISERROR(FIND("..",TRIM(VLOOKUP(IF(AND(LEN($A1120)=4,VALUE(RIGHT($A1120,2))&gt;60),$A1120&amp;"01 1",$A1120),IF(AND(LEN($A1120)=4,VALUE(RIGHT($A1120,2))&lt;60),GUS_tabl_2!$A$8:$B$464,GUS_tabl_21!$A$5:$B$4886),2,FALSE)))),TRIM(VLOOKUP(IF(AND(LEN($A1120)=4,VALUE(RIGHT($A1120,2))&gt;60),$A1120&amp;"01 1",$A1120),IF(AND(LEN($A1120)=4,VALUE(RIGHT($A1120,2))&lt;60),GUS_tabl_2!$A$8:$B$464,GUS_tabl_21!$A$5:$B$4886),2,FALSE)),LEFT(TRIM(VLOOKUP(IF(AND(LEN($A1120)=4,VALUE(RIGHT($A1120,2))&gt;60),$A1120&amp;"01 1",$A1120),IF(AND(LEN($A1120)=4,VALUE(RIGHT($A1120,2))&lt;60),GUS_tabl_2!$A$8:$B$464,GUS_tabl_21!$A$5:$B$4886),2,FALSE)),SUM(FIND("..",TRIM(VLOOKUP(IF(AND(LEN($A1120)=4,VALUE(RIGHT($A1120,2))&gt;60),$A1120&amp;"01 1",$A1120),IF(AND(LEN($A1120)=4,VALUE(RIGHT($A1120,2))&lt;60),GUS_tabl_2!$A$8:$B$464,GUS_tabl_21!$A$5:$B$4886),2,FALSE))),-1)))))</f>
        <v>gm. w. Poronin</v>
      </c>
      <c r="D1120" s="141">
        <f>IF(OR($A1120="",ISERROR(VALUE(LEFT($A1120,6)))),"",IF(LEN($A1120)=2,SUMIF($A1121:$A$2965,$A1120&amp;"??",$D1121:$D$2965),IF(AND(LEN($A1120)=4,VALUE(RIGHT($A1120,2))&lt;=60),SUMIF($A1121:$A$2965,$A1120&amp;"????",$D1121:$D$2965),VLOOKUP(IF(LEN($A1120)=4,$A1120&amp;"01 1",$A1120),GUS_tabl_21!$A$5:$F$4886,6,FALSE))))</f>
        <v>11650</v>
      </c>
      <c r="E1120" s="29"/>
    </row>
    <row r="1121" spans="1:5" ht="12" customHeight="1">
      <c r="A1121" s="152" t="str">
        <f>"1218"</f>
        <v>1218</v>
      </c>
      <c r="B1121" s="153" t="s">
        <v>71</v>
      </c>
      <c r="C1121" s="154" t="str">
        <f>IF(OR($A1121="",ISERROR(VALUE(LEFT($A1121,6)))),"",IF(LEN($A1121)=2,"WOJ. ",IF(LEN($A1121)=4,IF(VALUE(RIGHT($A1121,2))&gt;60,"","Powiat "),IF(VALUE(RIGHT($A1121,1))=1,"m. ",IF(VALUE(RIGHT($A1121,1))=2,"gm. w. ",IF(VALUE(RIGHT($A1121,1))=8,"dz. ","gm. m.-w. ")))))&amp;IF(LEN($A1121)=2,TRIM(UPPER(VLOOKUP($A1121,GUS_tabl_1!$A$7:$B$22,2,FALSE))),IF(ISERROR(FIND("..",TRIM(VLOOKUP(IF(AND(LEN($A1121)=4,VALUE(RIGHT($A1121,2))&gt;60),$A1121&amp;"01 1",$A1121),IF(AND(LEN($A1121)=4,VALUE(RIGHT($A1121,2))&lt;60),GUS_tabl_2!$A$8:$B$464,GUS_tabl_21!$A$5:$B$4886),2,FALSE)))),TRIM(VLOOKUP(IF(AND(LEN($A1121)=4,VALUE(RIGHT($A1121,2))&gt;60),$A1121&amp;"01 1",$A1121),IF(AND(LEN($A1121)=4,VALUE(RIGHT($A1121,2))&lt;60),GUS_tabl_2!$A$8:$B$464,GUS_tabl_21!$A$5:$B$4886),2,FALSE)),LEFT(TRIM(VLOOKUP(IF(AND(LEN($A1121)=4,VALUE(RIGHT($A1121,2))&gt;60),$A1121&amp;"01 1",$A1121),IF(AND(LEN($A1121)=4,VALUE(RIGHT($A1121,2))&lt;60),GUS_tabl_2!$A$8:$B$464,GUS_tabl_21!$A$5:$B$4886),2,FALSE)),SUM(FIND("..",TRIM(VLOOKUP(IF(AND(LEN($A1121)=4,VALUE(RIGHT($A1121,2))&gt;60),$A1121&amp;"01 1",$A1121),IF(AND(LEN($A1121)=4,VALUE(RIGHT($A1121,2))&lt;60),GUS_tabl_2!$A$8:$B$464,GUS_tabl_21!$A$5:$B$4886),2,FALSE))),-1)))))</f>
        <v>Powiat wadowicki</v>
      </c>
      <c r="D1121" s="140">
        <f>IF(OR($A1121="",ISERROR(VALUE(LEFT($A1121,6)))),"",IF(LEN($A1121)=2,SUMIF($A1122:$A$2965,$A1121&amp;"??",$D1122:$D$2965),IF(AND(LEN($A1121)=4,VALUE(RIGHT($A1121,2))&lt;=60),SUMIF($A1122:$A$2965,$A1121&amp;"????",$D1122:$D$2965),VLOOKUP(IF(LEN($A1121)=4,$A1121&amp;"01 1",$A1121),GUS_tabl_21!$A$5:$F$4886,6,FALSE))))</f>
        <v>160006</v>
      </c>
      <c r="E1121" s="29"/>
    </row>
    <row r="1122" spans="1:5" ht="12" customHeight="1">
      <c r="A1122" s="155" t="str">
        <f>"121801 3"</f>
        <v>121801 3</v>
      </c>
      <c r="B1122" s="153" t="s">
        <v>71</v>
      </c>
      <c r="C1122" s="156" t="str">
        <f>IF(OR($A1122="",ISERROR(VALUE(LEFT($A1122,6)))),"",IF(LEN($A1122)=2,"WOJ. ",IF(LEN($A1122)=4,IF(VALUE(RIGHT($A1122,2))&gt;60,"","Powiat "),IF(VALUE(RIGHT($A1122,1))=1,"m. ",IF(VALUE(RIGHT($A1122,1))=2,"gm. w. ",IF(VALUE(RIGHT($A1122,1))=8,"dz. ","gm. m.-w. ")))))&amp;IF(LEN($A1122)=2,TRIM(UPPER(VLOOKUP($A1122,GUS_tabl_1!$A$7:$B$22,2,FALSE))),IF(ISERROR(FIND("..",TRIM(VLOOKUP(IF(AND(LEN($A1122)=4,VALUE(RIGHT($A1122,2))&gt;60),$A1122&amp;"01 1",$A1122),IF(AND(LEN($A1122)=4,VALUE(RIGHT($A1122,2))&lt;60),GUS_tabl_2!$A$8:$B$464,GUS_tabl_21!$A$5:$B$4886),2,FALSE)))),TRIM(VLOOKUP(IF(AND(LEN($A1122)=4,VALUE(RIGHT($A1122,2))&gt;60),$A1122&amp;"01 1",$A1122),IF(AND(LEN($A1122)=4,VALUE(RIGHT($A1122,2))&lt;60),GUS_tabl_2!$A$8:$B$464,GUS_tabl_21!$A$5:$B$4886),2,FALSE)),LEFT(TRIM(VLOOKUP(IF(AND(LEN($A1122)=4,VALUE(RIGHT($A1122,2))&gt;60),$A1122&amp;"01 1",$A1122),IF(AND(LEN($A1122)=4,VALUE(RIGHT($A1122,2))&lt;60),GUS_tabl_2!$A$8:$B$464,GUS_tabl_21!$A$5:$B$4886),2,FALSE)),SUM(FIND("..",TRIM(VLOOKUP(IF(AND(LEN($A1122)=4,VALUE(RIGHT($A1122,2))&gt;60),$A1122&amp;"01 1",$A1122),IF(AND(LEN($A1122)=4,VALUE(RIGHT($A1122,2))&lt;60),GUS_tabl_2!$A$8:$B$464,GUS_tabl_21!$A$5:$B$4886),2,FALSE))),-1)))))</f>
        <v>gm. m.-w. Andrychów</v>
      </c>
      <c r="D1122" s="141">
        <f>IF(OR($A1122="",ISERROR(VALUE(LEFT($A1122,6)))),"",IF(LEN($A1122)=2,SUMIF($A1123:$A$2965,$A1122&amp;"??",$D1123:$D$2965),IF(AND(LEN($A1122)=4,VALUE(RIGHT($A1122,2))&lt;=60),SUMIF($A1123:$A$2965,$A1122&amp;"????",$D1123:$D$2965),VLOOKUP(IF(LEN($A1122)=4,$A1122&amp;"01 1",$A1122),GUS_tabl_21!$A$5:$F$4886,6,FALSE))))</f>
        <v>43477</v>
      </c>
      <c r="E1122" s="29"/>
    </row>
    <row r="1123" spans="1:5" ht="12" customHeight="1">
      <c r="A1123" s="155" t="str">
        <f>"121802 2"</f>
        <v>121802 2</v>
      </c>
      <c r="B1123" s="153" t="s">
        <v>71</v>
      </c>
      <c r="C1123" s="156" t="str">
        <f>IF(OR($A1123="",ISERROR(VALUE(LEFT($A1123,6)))),"",IF(LEN($A1123)=2,"WOJ. ",IF(LEN($A1123)=4,IF(VALUE(RIGHT($A1123,2))&gt;60,"","Powiat "),IF(VALUE(RIGHT($A1123,1))=1,"m. ",IF(VALUE(RIGHT($A1123,1))=2,"gm. w. ",IF(VALUE(RIGHT($A1123,1))=8,"dz. ","gm. m.-w. ")))))&amp;IF(LEN($A1123)=2,TRIM(UPPER(VLOOKUP($A1123,GUS_tabl_1!$A$7:$B$22,2,FALSE))),IF(ISERROR(FIND("..",TRIM(VLOOKUP(IF(AND(LEN($A1123)=4,VALUE(RIGHT($A1123,2))&gt;60),$A1123&amp;"01 1",$A1123),IF(AND(LEN($A1123)=4,VALUE(RIGHT($A1123,2))&lt;60),GUS_tabl_2!$A$8:$B$464,GUS_tabl_21!$A$5:$B$4886),2,FALSE)))),TRIM(VLOOKUP(IF(AND(LEN($A1123)=4,VALUE(RIGHT($A1123,2))&gt;60),$A1123&amp;"01 1",$A1123),IF(AND(LEN($A1123)=4,VALUE(RIGHT($A1123,2))&lt;60),GUS_tabl_2!$A$8:$B$464,GUS_tabl_21!$A$5:$B$4886),2,FALSE)),LEFT(TRIM(VLOOKUP(IF(AND(LEN($A1123)=4,VALUE(RIGHT($A1123,2))&gt;60),$A1123&amp;"01 1",$A1123),IF(AND(LEN($A1123)=4,VALUE(RIGHT($A1123,2))&lt;60),GUS_tabl_2!$A$8:$B$464,GUS_tabl_21!$A$5:$B$4886),2,FALSE)),SUM(FIND("..",TRIM(VLOOKUP(IF(AND(LEN($A1123)=4,VALUE(RIGHT($A1123,2))&gt;60),$A1123&amp;"01 1",$A1123),IF(AND(LEN($A1123)=4,VALUE(RIGHT($A1123,2))&lt;60),GUS_tabl_2!$A$8:$B$464,GUS_tabl_21!$A$5:$B$4886),2,FALSE))),-1)))))</f>
        <v>gm. w. Brzeźnica</v>
      </c>
      <c r="D1123" s="141">
        <f>IF(OR($A1123="",ISERROR(VALUE(LEFT($A1123,6)))),"",IF(LEN($A1123)=2,SUMIF($A1124:$A$2965,$A1123&amp;"??",$D1124:$D$2965),IF(AND(LEN($A1123)=4,VALUE(RIGHT($A1123,2))&lt;=60),SUMIF($A1124:$A$2965,$A1123&amp;"????",$D1124:$D$2965),VLOOKUP(IF(LEN($A1123)=4,$A1123&amp;"01 1",$A1123),GUS_tabl_21!$A$5:$F$4886,6,FALSE))))</f>
        <v>10426</v>
      </c>
      <c r="E1123" s="29"/>
    </row>
    <row r="1124" spans="1:5" ht="12" customHeight="1">
      <c r="A1124" s="155" t="str">
        <f>"121803 3"</f>
        <v>121803 3</v>
      </c>
      <c r="B1124" s="153" t="s">
        <v>71</v>
      </c>
      <c r="C1124" s="156" t="str">
        <f>IF(OR($A1124="",ISERROR(VALUE(LEFT($A1124,6)))),"",IF(LEN($A1124)=2,"WOJ. ",IF(LEN($A1124)=4,IF(VALUE(RIGHT($A1124,2))&gt;60,"","Powiat "),IF(VALUE(RIGHT($A1124,1))=1,"m. ",IF(VALUE(RIGHT($A1124,1))=2,"gm. w. ",IF(VALUE(RIGHT($A1124,1))=8,"dz. ","gm. m.-w. ")))))&amp;IF(LEN($A1124)=2,TRIM(UPPER(VLOOKUP($A1124,GUS_tabl_1!$A$7:$B$22,2,FALSE))),IF(ISERROR(FIND("..",TRIM(VLOOKUP(IF(AND(LEN($A1124)=4,VALUE(RIGHT($A1124,2))&gt;60),$A1124&amp;"01 1",$A1124),IF(AND(LEN($A1124)=4,VALUE(RIGHT($A1124,2))&lt;60),GUS_tabl_2!$A$8:$B$464,GUS_tabl_21!$A$5:$B$4886),2,FALSE)))),TRIM(VLOOKUP(IF(AND(LEN($A1124)=4,VALUE(RIGHT($A1124,2))&gt;60),$A1124&amp;"01 1",$A1124),IF(AND(LEN($A1124)=4,VALUE(RIGHT($A1124,2))&lt;60),GUS_tabl_2!$A$8:$B$464,GUS_tabl_21!$A$5:$B$4886),2,FALSE)),LEFT(TRIM(VLOOKUP(IF(AND(LEN($A1124)=4,VALUE(RIGHT($A1124,2))&gt;60),$A1124&amp;"01 1",$A1124),IF(AND(LEN($A1124)=4,VALUE(RIGHT($A1124,2))&lt;60),GUS_tabl_2!$A$8:$B$464,GUS_tabl_21!$A$5:$B$4886),2,FALSE)),SUM(FIND("..",TRIM(VLOOKUP(IF(AND(LEN($A1124)=4,VALUE(RIGHT($A1124,2))&gt;60),$A1124&amp;"01 1",$A1124),IF(AND(LEN($A1124)=4,VALUE(RIGHT($A1124,2))&lt;60),GUS_tabl_2!$A$8:$B$464,GUS_tabl_21!$A$5:$B$4886),2,FALSE))),-1)))))</f>
        <v>gm. m.-w. Kalwaria Zebrzydowska</v>
      </c>
      <c r="D1124" s="141">
        <f>IF(OR($A1124="",ISERROR(VALUE(LEFT($A1124,6)))),"",IF(LEN($A1124)=2,SUMIF($A1125:$A$2965,$A1124&amp;"??",$D1125:$D$2965),IF(AND(LEN($A1124)=4,VALUE(RIGHT($A1124,2))&lt;=60),SUMIF($A1125:$A$2965,$A1124&amp;"????",$D1125:$D$2965),VLOOKUP(IF(LEN($A1124)=4,$A1124&amp;"01 1",$A1124),GUS_tabl_21!$A$5:$F$4886,6,FALSE))))</f>
        <v>20012</v>
      </c>
      <c r="E1124" s="29"/>
    </row>
    <row r="1125" spans="1:5" ht="12" customHeight="1">
      <c r="A1125" s="155" t="str">
        <f>"121804 2"</f>
        <v>121804 2</v>
      </c>
      <c r="B1125" s="153" t="s">
        <v>71</v>
      </c>
      <c r="C1125" s="156" t="str">
        <f>IF(OR($A1125="",ISERROR(VALUE(LEFT($A1125,6)))),"",IF(LEN($A1125)=2,"WOJ. ",IF(LEN($A1125)=4,IF(VALUE(RIGHT($A1125,2))&gt;60,"","Powiat "),IF(VALUE(RIGHT($A1125,1))=1,"m. ",IF(VALUE(RIGHT($A1125,1))=2,"gm. w. ",IF(VALUE(RIGHT($A1125,1))=8,"dz. ","gm. m.-w. ")))))&amp;IF(LEN($A1125)=2,TRIM(UPPER(VLOOKUP($A1125,GUS_tabl_1!$A$7:$B$22,2,FALSE))),IF(ISERROR(FIND("..",TRIM(VLOOKUP(IF(AND(LEN($A1125)=4,VALUE(RIGHT($A1125,2))&gt;60),$A1125&amp;"01 1",$A1125),IF(AND(LEN($A1125)=4,VALUE(RIGHT($A1125,2))&lt;60),GUS_tabl_2!$A$8:$B$464,GUS_tabl_21!$A$5:$B$4886),2,FALSE)))),TRIM(VLOOKUP(IF(AND(LEN($A1125)=4,VALUE(RIGHT($A1125,2))&gt;60),$A1125&amp;"01 1",$A1125),IF(AND(LEN($A1125)=4,VALUE(RIGHT($A1125,2))&lt;60),GUS_tabl_2!$A$8:$B$464,GUS_tabl_21!$A$5:$B$4886),2,FALSE)),LEFT(TRIM(VLOOKUP(IF(AND(LEN($A1125)=4,VALUE(RIGHT($A1125,2))&gt;60),$A1125&amp;"01 1",$A1125),IF(AND(LEN($A1125)=4,VALUE(RIGHT($A1125,2))&lt;60),GUS_tabl_2!$A$8:$B$464,GUS_tabl_21!$A$5:$B$4886),2,FALSE)),SUM(FIND("..",TRIM(VLOOKUP(IF(AND(LEN($A1125)=4,VALUE(RIGHT($A1125,2))&gt;60),$A1125&amp;"01 1",$A1125),IF(AND(LEN($A1125)=4,VALUE(RIGHT($A1125,2))&lt;60),GUS_tabl_2!$A$8:$B$464,GUS_tabl_21!$A$5:$B$4886),2,FALSE))),-1)))))</f>
        <v>gm. w. Lanckorona</v>
      </c>
      <c r="D1125" s="141">
        <f>IF(OR($A1125="",ISERROR(VALUE(LEFT($A1125,6)))),"",IF(LEN($A1125)=2,SUMIF($A1126:$A$2965,$A1125&amp;"??",$D1126:$D$2965),IF(AND(LEN($A1125)=4,VALUE(RIGHT($A1125,2))&lt;=60),SUMIF($A1126:$A$2965,$A1125&amp;"????",$D1126:$D$2965),VLOOKUP(IF(LEN($A1125)=4,$A1125&amp;"01 1",$A1125),GUS_tabl_21!$A$5:$F$4886,6,FALSE))))</f>
        <v>6245</v>
      </c>
      <c r="E1125" s="29"/>
    </row>
    <row r="1126" spans="1:5" ht="12" customHeight="1">
      <c r="A1126" s="155" t="str">
        <f>"121805 2"</f>
        <v>121805 2</v>
      </c>
      <c r="B1126" s="153" t="s">
        <v>71</v>
      </c>
      <c r="C1126" s="156" t="str">
        <f>IF(OR($A1126="",ISERROR(VALUE(LEFT($A1126,6)))),"",IF(LEN($A1126)=2,"WOJ. ",IF(LEN($A1126)=4,IF(VALUE(RIGHT($A1126,2))&gt;60,"","Powiat "),IF(VALUE(RIGHT($A1126,1))=1,"m. ",IF(VALUE(RIGHT($A1126,1))=2,"gm. w. ",IF(VALUE(RIGHT($A1126,1))=8,"dz. ","gm. m.-w. ")))))&amp;IF(LEN($A1126)=2,TRIM(UPPER(VLOOKUP($A1126,GUS_tabl_1!$A$7:$B$22,2,FALSE))),IF(ISERROR(FIND("..",TRIM(VLOOKUP(IF(AND(LEN($A1126)=4,VALUE(RIGHT($A1126,2))&gt;60),$A1126&amp;"01 1",$A1126),IF(AND(LEN($A1126)=4,VALUE(RIGHT($A1126,2))&lt;60),GUS_tabl_2!$A$8:$B$464,GUS_tabl_21!$A$5:$B$4886),2,FALSE)))),TRIM(VLOOKUP(IF(AND(LEN($A1126)=4,VALUE(RIGHT($A1126,2))&gt;60),$A1126&amp;"01 1",$A1126),IF(AND(LEN($A1126)=4,VALUE(RIGHT($A1126,2))&lt;60),GUS_tabl_2!$A$8:$B$464,GUS_tabl_21!$A$5:$B$4886),2,FALSE)),LEFT(TRIM(VLOOKUP(IF(AND(LEN($A1126)=4,VALUE(RIGHT($A1126,2))&gt;60),$A1126&amp;"01 1",$A1126),IF(AND(LEN($A1126)=4,VALUE(RIGHT($A1126,2))&lt;60),GUS_tabl_2!$A$8:$B$464,GUS_tabl_21!$A$5:$B$4886),2,FALSE)),SUM(FIND("..",TRIM(VLOOKUP(IF(AND(LEN($A1126)=4,VALUE(RIGHT($A1126,2))&gt;60),$A1126&amp;"01 1",$A1126),IF(AND(LEN($A1126)=4,VALUE(RIGHT($A1126,2))&lt;60),GUS_tabl_2!$A$8:$B$464,GUS_tabl_21!$A$5:$B$4886),2,FALSE))),-1)))))</f>
        <v>gm. w. Mucharz</v>
      </c>
      <c r="D1126" s="141">
        <f>IF(OR($A1126="",ISERROR(VALUE(LEFT($A1126,6)))),"",IF(LEN($A1126)=2,SUMIF($A1127:$A$2965,$A1126&amp;"??",$D1127:$D$2965),IF(AND(LEN($A1126)=4,VALUE(RIGHT($A1126,2))&lt;=60),SUMIF($A1127:$A$2965,$A1126&amp;"????",$D1127:$D$2965),VLOOKUP(IF(LEN($A1126)=4,$A1126&amp;"01 1",$A1126),GUS_tabl_21!$A$5:$F$4886,6,FALSE))))</f>
        <v>4122</v>
      </c>
      <c r="E1126" s="29"/>
    </row>
    <row r="1127" spans="1:5" ht="12" customHeight="1">
      <c r="A1127" s="155" t="str">
        <f>"121806 2"</f>
        <v>121806 2</v>
      </c>
      <c r="B1127" s="153" t="s">
        <v>71</v>
      </c>
      <c r="C1127" s="156" t="str">
        <f>IF(OR($A1127="",ISERROR(VALUE(LEFT($A1127,6)))),"",IF(LEN($A1127)=2,"WOJ. ",IF(LEN($A1127)=4,IF(VALUE(RIGHT($A1127,2))&gt;60,"","Powiat "),IF(VALUE(RIGHT($A1127,1))=1,"m. ",IF(VALUE(RIGHT($A1127,1))=2,"gm. w. ",IF(VALUE(RIGHT($A1127,1))=8,"dz. ","gm. m.-w. ")))))&amp;IF(LEN($A1127)=2,TRIM(UPPER(VLOOKUP($A1127,GUS_tabl_1!$A$7:$B$22,2,FALSE))),IF(ISERROR(FIND("..",TRIM(VLOOKUP(IF(AND(LEN($A1127)=4,VALUE(RIGHT($A1127,2))&gt;60),$A1127&amp;"01 1",$A1127),IF(AND(LEN($A1127)=4,VALUE(RIGHT($A1127,2))&lt;60),GUS_tabl_2!$A$8:$B$464,GUS_tabl_21!$A$5:$B$4886),2,FALSE)))),TRIM(VLOOKUP(IF(AND(LEN($A1127)=4,VALUE(RIGHT($A1127,2))&gt;60),$A1127&amp;"01 1",$A1127),IF(AND(LEN($A1127)=4,VALUE(RIGHT($A1127,2))&lt;60),GUS_tabl_2!$A$8:$B$464,GUS_tabl_21!$A$5:$B$4886),2,FALSE)),LEFT(TRIM(VLOOKUP(IF(AND(LEN($A1127)=4,VALUE(RIGHT($A1127,2))&gt;60),$A1127&amp;"01 1",$A1127),IF(AND(LEN($A1127)=4,VALUE(RIGHT($A1127,2))&lt;60),GUS_tabl_2!$A$8:$B$464,GUS_tabl_21!$A$5:$B$4886),2,FALSE)),SUM(FIND("..",TRIM(VLOOKUP(IF(AND(LEN($A1127)=4,VALUE(RIGHT($A1127,2))&gt;60),$A1127&amp;"01 1",$A1127),IF(AND(LEN($A1127)=4,VALUE(RIGHT($A1127,2))&lt;60),GUS_tabl_2!$A$8:$B$464,GUS_tabl_21!$A$5:$B$4886),2,FALSE))),-1)))))</f>
        <v>gm. w. Spytkowice</v>
      </c>
      <c r="D1127" s="141">
        <f>IF(OR($A1127="",ISERROR(VALUE(LEFT($A1127,6)))),"",IF(LEN($A1127)=2,SUMIF($A1128:$A$2965,$A1127&amp;"??",$D1128:$D$2965),IF(AND(LEN($A1127)=4,VALUE(RIGHT($A1127,2))&lt;=60),SUMIF($A1128:$A$2965,$A1127&amp;"????",$D1128:$D$2965),VLOOKUP(IF(LEN($A1127)=4,$A1127&amp;"01 1",$A1127),GUS_tabl_21!$A$5:$F$4886,6,FALSE))))</f>
        <v>10365</v>
      </c>
      <c r="E1127" s="29"/>
    </row>
    <row r="1128" spans="1:5" ht="12" customHeight="1">
      <c r="A1128" s="155" t="str">
        <f>"121807 2"</f>
        <v>121807 2</v>
      </c>
      <c r="B1128" s="153" t="s">
        <v>71</v>
      </c>
      <c r="C1128" s="156" t="str">
        <f>IF(OR($A1128="",ISERROR(VALUE(LEFT($A1128,6)))),"",IF(LEN($A1128)=2,"WOJ. ",IF(LEN($A1128)=4,IF(VALUE(RIGHT($A1128,2))&gt;60,"","Powiat "),IF(VALUE(RIGHT($A1128,1))=1,"m. ",IF(VALUE(RIGHT($A1128,1))=2,"gm. w. ",IF(VALUE(RIGHT($A1128,1))=8,"dz. ","gm. m.-w. ")))))&amp;IF(LEN($A1128)=2,TRIM(UPPER(VLOOKUP($A1128,GUS_tabl_1!$A$7:$B$22,2,FALSE))),IF(ISERROR(FIND("..",TRIM(VLOOKUP(IF(AND(LEN($A1128)=4,VALUE(RIGHT($A1128,2))&gt;60),$A1128&amp;"01 1",$A1128),IF(AND(LEN($A1128)=4,VALUE(RIGHT($A1128,2))&lt;60),GUS_tabl_2!$A$8:$B$464,GUS_tabl_21!$A$5:$B$4886),2,FALSE)))),TRIM(VLOOKUP(IF(AND(LEN($A1128)=4,VALUE(RIGHT($A1128,2))&gt;60),$A1128&amp;"01 1",$A1128),IF(AND(LEN($A1128)=4,VALUE(RIGHT($A1128,2))&lt;60),GUS_tabl_2!$A$8:$B$464,GUS_tabl_21!$A$5:$B$4886),2,FALSE)),LEFT(TRIM(VLOOKUP(IF(AND(LEN($A1128)=4,VALUE(RIGHT($A1128,2))&gt;60),$A1128&amp;"01 1",$A1128),IF(AND(LEN($A1128)=4,VALUE(RIGHT($A1128,2))&lt;60),GUS_tabl_2!$A$8:$B$464,GUS_tabl_21!$A$5:$B$4886),2,FALSE)),SUM(FIND("..",TRIM(VLOOKUP(IF(AND(LEN($A1128)=4,VALUE(RIGHT($A1128,2))&gt;60),$A1128&amp;"01 1",$A1128),IF(AND(LEN($A1128)=4,VALUE(RIGHT($A1128,2))&lt;60),GUS_tabl_2!$A$8:$B$464,GUS_tabl_21!$A$5:$B$4886),2,FALSE))),-1)))))</f>
        <v>gm. w. Stryszów</v>
      </c>
      <c r="D1128" s="141">
        <f>IF(OR($A1128="",ISERROR(VALUE(LEFT($A1128,6)))),"",IF(LEN($A1128)=2,SUMIF($A1129:$A$2965,$A1128&amp;"??",$D1129:$D$2965),IF(AND(LEN($A1128)=4,VALUE(RIGHT($A1128,2))&lt;=60),SUMIF($A1129:$A$2965,$A1128&amp;"????",$D1129:$D$2965),VLOOKUP(IF(LEN($A1128)=4,$A1128&amp;"01 1",$A1128),GUS_tabl_21!$A$5:$F$4886,6,FALSE))))</f>
        <v>6865</v>
      </c>
      <c r="E1128" s="29"/>
    </row>
    <row r="1129" spans="1:5" ht="12" customHeight="1">
      <c r="A1129" s="155" t="str">
        <f>"121808 2"</f>
        <v>121808 2</v>
      </c>
      <c r="B1129" s="153" t="s">
        <v>71</v>
      </c>
      <c r="C1129" s="156" t="str">
        <f>IF(OR($A1129="",ISERROR(VALUE(LEFT($A1129,6)))),"",IF(LEN($A1129)=2,"WOJ. ",IF(LEN($A1129)=4,IF(VALUE(RIGHT($A1129,2))&gt;60,"","Powiat "),IF(VALUE(RIGHT($A1129,1))=1,"m. ",IF(VALUE(RIGHT($A1129,1))=2,"gm. w. ",IF(VALUE(RIGHT($A1129,1))=8,"dz. ","gm. m.-w. ")))))&amp;IF(LEN($A1129)=2,TRIM(UPPER(VLOOKUP($A1129,GUS_tabl_1!$A$7:$B$22,2,FALSE))),IF(ISERROR(FIND("..",TRIM(VLOOKUP(IF(AND(LEN($A1129)=4,VALUE(RIGHT($A1129,2))&gt;60),$A1129&amp;"01 1",$A1129),IF(AND(LEN($A1129)=4,VALUE(RIGHT($A1129,2))&lt;60),GUS_tabl_2!$A$8:$B$464,GUS_tabl_21!$A$5:$B$4886),2,FALSE)))),TRIM(VLOOKUP(IF(AND(LEN($A1129)=4,VALUE(RIGHT($A1129,2))&gt;60),$A1129&amp;"01 1",$A1129),IF(AND(LEN($A1129)=4,VALUE(RIGHT($A1129,2))&lt;60),GUS_tabl_2!$A$8:$B$464,GUS_tabl_21!$A$5:$B$4886),2,FALSE)),LEFT(TRIM(VLOOKUP(IF(AND(LEN($A1129)=4,VALUE(RIGHT($A1129,2))&gt;60),$A1129&amp;"01 1",$A1129),IF(AND(LEN($A1129)=4,VALUE(RIGHT($A1129,2))&lt;60),GUS_tabl_2!$A$8:$B$464,GUS_tabl_21!$A$5:$B$4886),2,FALSE)),SUM(FIND("..",TRIM(VLOOKUP(IF(AND(LEN($A1129)=4,VALUE(RIGHT($A1129,2))&gt;60),$A1129&amp;"01 1",$A1129),IF(AND(LEN($A1129)=4,VALUE(RIGHT($A1129,2))&lt;60),GUS_tabl_2!$A$8:$B$464,GUS_tabl_21!$A$5:$B$4886),2,FALSE))),-1)))))</f>
        <v>gm. w. Tomice</v>
      </c>
      <c r="D1129" s="141">
        <f>IF(OR($A1129="",ISERROR(VALUE(LEFT($A1129,6)))),"",IF(LEN($A1129)=2,SUMIF($A1130:$A$2965,$A1129&amp;"??",$D1130:$D$2965),IF(AND(LEN($A1129)=4,VALUE(RIGHT($A1129,2))&lt;=60),SUMIF($A1130:$A$2965,$A1129&amp;"????",$D1130:$D$2965),VLOOKUP(IF(LEN($A1129)=4,$A1129&amp;"01 1",$A1129),GUS_tabl_21!$A$5:$F$4886,6,FALSE))))</f>
        <v>8174</v>
      </c>
      <c r="E1129" s="29"/>
    </row>
    <row r="1130" spans="1:5" ht="12" customHeight="1">
      <c r="A1130" s="155" t="str">
        <f>"121809 3"</f>
        <v>121809 3</v>
      </c>
      <c r="B1130" s="153" t="s">
        <v>71</v>
      </c>
      <c r="C1130" s="156" t="str">
        <f>IF(OR($A1130="",ISERROR(VALUE(LEFT($A1130,6)))),"",IF(LEN($A1130)=2,"WOJ. ",IF(LEN($A1130)=4,IF(VALUE(RIGHT($A1130,2))&gt;60,"","Powiat "),IF(VALUE(RIGHT($A1130,1))=1,"m. ",IF(VALUE(RIGHT($A1130,1))=2,"gm. w. ",IF(VALUE(RIGHT($A1130,1))=8,"dz. ","gm. m.-w. ")))))&amp;IF(LEN($A1130)=2,TRIM(UPPER(VLOOKUP($A1130,GUS_tabl_1!$A$7:$B$22,2,FALSE))),IF(ISERROR(FIND("..",TRIM(VLOOKUP(IF(AND(LEN($A1130)=4,VALUE(RIGHT($A1130,2))&gt;60),$A1130&amp;"01 1",$A1130),IF(AND(LEN($A1130)=4,VALUE(RIGHT($A1130,2))&lt;60),GUS_tabl_2!$A$8:$B$464,GUS_tabl_21!$A$5:$B$4886),2,FALSE)))),TRIM(VLOOKUP(IF(AND(LEN($A1130)=4,VALUE(RIGHT($A1130,2))&gt;60),$A1130&amp;"01 1",$A1130),IF(AND(LEN($A1130)=4,VALUE(RIGHT($A1130,2))&lt;60),GUS_tabl_2!$A$8:$B$464,GUS_tabl_21!$A$5:$B$4886),2,FALSE)),LEFT(TRIM(VLOOKUP(IF(AND(LEN($A1130)=4,VALUE(RIGHT($A1130,2))&gt;60),$A1130&amp;"01 1",$A1130),IF(AND(LEN($A1130)=4,VALUE(RIGHT($A1130,2))&lt;60),GUS_tabl_2!$A$8:$B$464,GUS_tabl_21!$A$5:$B$4886),2,FALSE)),SUM(FIND("..",TRIM(VLOOKUP(IF(AND(LEN($A1130)=4,VALUE(RIGHT($A1130,2))&gt;60),$A1130&amp;"01 1",$A1130),IF(AND(LEN($A1130)=4,VALUE(RIGHT($A1130,2))&lt;60),GUS_tabl_2!$A$8:$B$464,GUS_tabl_21!$A$5:$B$4886),2,FALSE))),-1)))))</f>
        <v>gm. m.-w. Wadowice</v>
      </c>
      <c r="D1130" s="141">
        <f>IF(OR($A1130="",ISERROR(VALUE(LEFT($A1130,6)))),"",IF(LEN($A1130)=2,SUMIF($A1131:$A$2965,$A1130&amp;"??",$D1131:$D$2965),IF(AND(LEN($A1130)=4,VALUE(RIGHT($A1130,2))&lt;=60),SUMIF($A1131:$A$2965,$A1130&amp;"????",$D1131:$D$2965),VLOOKUP(IF(LEN($A1130)=4,$A1130&amp;"01 1",$A1130),GUS_tabl_21!$A$5:$F$4886,6,FALSE))))</f>
        <v>37888</v>
      </c>
      <c r="E1130" s="29"/>
    </row>
    <row r="1131" spans="1:5" ht="12" customHeight="1">
      <c r="A1131" s="155" t="str">
        <f>"121810 2"</f>
        <v>121810 2</v>
      </c>
      <c r="B1131" s="153" t="s">
        <v>71</v>
      </c>
      <c r="C1131" s="156" t="str">
        <f>IF(OR($A1131="",ISERROR(VALUE(LEFT($A1131,6)))),"",IF(LEN($A1131)=2,"WOJ. ",IF(LEN($A1131)=4,IF(VALUE(RIGHT($A1131,2))&gt;60,"","Powiat "),IF(VALUE(RIGHT($A1131,1))=1,"m. ",IF(VALUE(RIGHT($A1131,1))=2,"gm. w. ",IF(VALUE(RIGHT($A1131,1))=8,"dz. ","gm. m.-w. ")))))&amp;IF(LEN($A1131)=2,TRIM(UPPER(VLOOKUP($A1131,GUS_tabl_1!$A$7:$B$22,2,FALSE))),IF(ISERROR(FIND("..",TRIM(VLOOKUP(IF(AND(LEN($A1131)=4,VALUE(RIGHT($A1131,2))&gt;60),$A1131&amp;"01 1",$A1131),IF(AND(LEN($A1131)=4,VALUE(RIGHT($A1131,2))&lt;60),GUS_tabl_2!$A$8:$B$464,GUS_tabl_21!$A$5:$B$4886),2,FALSE)))),TRIM(VLOOKUP(IF(AND(LEN($A1131)=4,VALUE(RIGHT($A1131,2))&gt;60),$A1131&amp;"01 1",$A1131),IF(AND(LEN($A1131)=4,VALUE(RIGHT($A1131,2))&lt;60),GUS_tabl_2!$A$8:$B$464,GUS_tabl_21!$A$5:$B$4886),2,FALSE)),LEFT(TRIM(VLOOKUP(IF(AND(LEN($A1131)=4,VALUE(RIGHT($A1131,2))&gt;60),$A1131&amp;"01 1",$A1131),IF(AND(LEN($A1131)=4,VALUE(RIGHT($A1131,2))&lt;60),GUS_tabl_2!$A$8:$B$464,GUS_tabl_21!$A$5:$B$4886),2,FALSE)),SUM(FIND("..",TRIM(VLOOKUP(IF(AND(LEN($A1131)=4,VALUE(RIGHT($A1131,2))&gt;60),$A1131&amp;"01 1",$A1131),IF(AND(LEN($A1131)=4,VALUE(RIGHT($A1131,2))&lt;60),GUS_tabl_2!$A$8:$B$464,GUS_tabl_21!$A$5:$B$4886),2,FALSE))),-1)))))</f>
        <v>gm. w. Wieprz</v>
      </c>
      <c r="D1131" s="141">
        <f>IF(OR($A1131="",ISERROR(VALUE(LEFT($A1131,6)))),"",IF(LEN($A1131)=2,SUMIF($A1132:$A$2965,$A1131&amp;"??",$D1132:$D$2965),IF(AND(LEN($A1131)=4,VALUE(RIGHT($A1131,2))&lt;=60),SUMIF($A1132:$A$2965,$A1131&amp;"????",$D1132:$D$2965),VLOOKUP(IF(LEN($A1131)=4,$A1131&amp;"01 1",$A1131),GUS_tabl_21!$A$5:$F$4886,6,FALSE))))</f>
        <v>12432</v>
      </c>
      <c r="E1131" s="29"/>
    </row>
    <row r="1132" spans="1:5" ht="12" customHeight="1">
      <c r="A1132" s="152" t="str">
        <f>"1219"</f>
        <v>1219</v>
      </c>
      <c r="B1132" s="153" t="s">
        <v>71</v>
      </c>
      <c r="C1132" s="154" t="str">
        <f>IF(OR($A1132="",ISERROR(VALUE(LEFT($A1132,6)))),"",IF(LEN($A1132)=2,"WOJ. ",IF(LEN($A1132)=4,IF(VALUE(RIGHT($A1132,2))&gt;60,"","Powiat "),IF(VALUE(RIGHT($A1132,1))=1,"m. ",IF(VALUE(RIGHT($A1132,1))=2,"gm. w. ",IF(VALUE(RIGHT($A1132,1))=8,"dz. ","gm. m.-w. ")))))&amp;IF(LEN($A1132)=2,TRIM(UPPER(VLOOKUP($A1132,GUS_tabl_1!$A$7:$B$22,2,FALSE))),IF(ISERROR(FIND("..",TRIM(VLOOKUP(IF(AND(LEN($A1132)=4,VALUE(RIGHT($A1132,2))&gt;60),$A1132&amp;"01 1",$A1132),IF(AND(LEN($A1132)=4,VALUE(RIGHT($A1132,2))&lt;60),GUS_tabl_2!$A$8:$B$464,GUS_tabl_21!$A$5:$B$4886),2,FALSE)))),TRIM(VLOOKUP(IF(AND(LEN($A1132)=4,VALUE(RIGHT($A1132,2))&gt;60),$A1132&amp;"01 1",$A1132),IF(AND(LEN($A1132)=4,VALUE(RIGHT($A1132,2))&lt;60),GUS_tabl_2!$A$8:$B$464,GUS_tabl_21!$A$5:$B$4886),2,FALSE)),LEFT(TRIM(VLOOKUP(IF(AND(LEN($A1132)=4,VALUE(RIGHT($A1132,2))&gt;60),$A1132&amp;"01 1",$A1132),IF(AND(LEN($A1132)=4,VALUE(RIGHT($A1132,2))&lt;60),GUS_tabl_2!$A$8:$B$464,GUS_tabl_21!$A$5:$B$4886),2,FALSE)),SUM(FIND("..",TRIM(VLOOKUP(IF(AND(LEN($A1132)=4,VALUE(RIGHT($A1132,2))&gt;60),$A1132&amp;"01 1",$A1132),IF(AND(LEN($A1132)=4,VALUE(RIGHT($A1132,2))&lt;60),GUS_tabl_2!$A$8:$B$464,GUS_tabl_21!$A$5:$B$4886),2,FALSE))),-1)))))</f>
        <v>Powiat wielicki</v>
      </c>
      <c r="D1132" s="140">
        <f>IF(OR($A1132="",ISERROR(VALUE(LEFT($A1132,6)))),"",IF(LEN($A1132)=2,SUMIF($A1133:$A$2965,$A1132&amp;"??",$D1133:$D$2965),IF(AND(LEN($A1132)=4,VALUE(RIGHT($A1132,2))&lt;=60),SUMIF($A1133:$A$2965,$A1132&amp;"????",$D1133:$D$2965),VLOOKUP(IF(LEN($A1132)=4,$A1132&amp;"01 1",$A1132),GUS_tabl_21!$A$5:$F$4886,6,FALSE))))</f>
        <v>129136</v>
      </c>
      <c r="E1132" s="29"/>
    </row>
    <row r="1133" spans="1:5" ht="12" customHeight="1">
      <c r="A1133" s="155" t="str">
        <f>"121901 2"</f>
        <v>121901 2</v>
      </c>
      <c r="B1133" s="153" t="s">
        <v>71</v>
      </c>
      <c r="C1133" s="156" t="str">
        <f>IF(OR($A1133="",ISERROR(VALUE(LEFT($A1133,6)))),"",IF(LEN($A1133)=2,"WOJ. ",IF(LEN($A1133)=4,IF(VALUE(RIGHT($A1133,2))&gt;60,"","Powiat "),IF(VALUE(RIGHT($A1133,1))=1,"m. ",IF(VALUE(RIGHT($A1133,1))=2,"gm. w. ",IF(VALUE(RIGHT($A1133,1))=8,"dz. ","gm. m.-w. ")))))&amp;IF(LEN($A1133)=2,TRIM(UPPER(VLOOKUP($A1133,GUS_tabl_1!$A$7:$B$22,2,FALSE))),IF(ISERROR(FIND("..",TRIM(VLOOKUP(IF(AND(LEN($A1133)=4,VALUE(RIGHT($A1133,2))&gt;60),$A1133&amp;"01 1",$A1133),IF(AND(LEN($A1133)=4,VALUE(RIGHT($A1133,2))&lt;60),GUS_tabl_2!$A$8:$B$464,GUS_tabl_21!$A$5:$B$4886),2,FALSE)))),TRIM(VLOOKUP(IF(AND(LEN($A1133)=4,VALUE(RIGHT($A1133,2))&gt;60),$A1133&amp;"01 1",$A1133),IF(AND(LEN($A1133)=4,VALUE(RIGHT($A1133,2))&lt;60),GUS_tabl_2!$A$8:$B$464,GUS_tabl_21!$A$5:$B$4886),2,FALSE)),LEFT(TRIM(VLOOKUP(IF(AND(LEN($A1133)=4,VALUE(RIGHT($A1133,2))&gt;60),$A1133&amp;"01 1",$A1133),IF(AND(LEN($A1133)=4,VALUE(RIGHT($A1133,2))&lt;60),GUS_tabl_2!$A$8:$B$464,GUS_tabl_21!$A$5:$B$4886),2,FALSE)),SUM(FIND("..",TRIM(VLOOKUP(IF(AND(LEN($A1133)=4,VALUE(RIGHT($A1133,2))&gt;60),$A1133&amp;"01 1",$A1133),IF(AND(LEN($A1133)=4,VALUE(RIGHT($A1133,2))&lt;60),GUS_tabl_2!$A$8:$B$464,GUS_tabl_21!$A$5:$B$4886),2,FALSE))),-1)))))</f>
        <v>gm. w. Biskupice</v>
      </c>
      <c r="D1133" s="141">
        <f>IF(OR($A1133="",ISERROR(VALUE(LEFT($A1133,6)))),"",IF(LEN($A1133)=2,SUMIF($A1134:$A$2965,$A1133&amp;"??",$D1134:$D$2965),IF(AND(LEN($A1133)=4,VALUE(RIGHT($A1133,2))&lt;=60),SUMIF($A1134:$A$2965,$A1133&amp;"????",$D1134:$D$2965),VLOOKUP(IF(LEN($A1133)=4,$A1133&amp;"01 1",$A1133),GUS_tabl_21!$A$5:$F$4886,6,FALSE))))</f>
        <v>10450</v>
      </c>
      <c r="E1133" s="29"/>
    </row>
    <row r="1134" spans="1:5" ht="12" customHeight="1">
      <c r="A1134" s="155" t="str">
        <f>"121902 2"</f>
        <v>121902 2</v>
      </c>
      <c r="B1134" s="153" t="s">
        <v>71</v>
      </c>
      <c r="C1134" s="156" t="str">
        <f>IF(OR($A1134="",ISERROR(VALUE(LEFT($A1134,6)))),"",IF(LEN($A1134)=2,"WOJ. ",IF(LEN($A1134)=4,IF(VALUE(RIGHT($A1134,2))&gt;60,"","Powiat "),IF(VALUE(RIGHT($A1134,1))=1,"m. ",IF(VALUE(RIGHT($A1134,1))=2,"gm. w. ",IF(VALUE(RIGHT($A1134,1))=8,"dz. ","gm. m.-w. ")))))&amp;IF(LEN($A1134)=2,TRIM(UPPER(VLOOKUP($A1134,GUS_tabl_1!$A$7:$B$22,2,FALSE))),IF(ISERROR(FIND("..",TRIM(VLOOKUP(IF(AND(LEN($A1134)=4,VALUE(RIGHT($A1134,2))&gt;60),$A1134&amp;"01 1",$A1134),IF(AND(LEN($A1134)=4,VALUE(RIGHT($A1134,2))&lt;60),GUS_tabl_2!$A$8:$B$464,GUS_tabl_21!$A$5:$B$4886),2,FALSE)))),TRIM(VLOOKUP(IF(AND(LEN($A1134)=4,VALUE(RIGHT($A1134,2))&gt;60),$A1134&amp;"01 1",$A1134),IF(AND(LEN($A1134)=4,VALUE(RIGHT($A1134,2))&lt;60),GUS_tabl_2!$A$8:$B$464,GUS_tabl_21!$A$5:$B$4886),2,FALSE)),LEFT(TRIM(VLOOKUP(IF(AND(LEN($A1134)=4,VALUE(RIGHT($A1134,2))&gt;60),$A1134&amp;"01 1",$A1134),IF(AND(LEN($A1134)=4,VALUE(RIGHT($A1134,2))&lt;60),GUS_tabl_2!$A$8:$B$464,GUS_tabl_21!$A$5:$B$4886),2,FALSE)),SUM(FIND("..",TRIM(VLOOKUP(IF(AND(LEN($A1134)=4,VALUE(RIGHT($A1134,2))&gt;60),$A1134&amp;"01 1",$A1134),IF(AND(LEN($A1134)=4,VALUE(RIGHT($A1134,2))&lt;60),GUS_tabl_2!$A$8:$B$464,GUS_tabl_21!$A$5:$B$4886),2,FALSE))),-1)))))</f>
        <v>gm. w. Gdów</v>
      </c>
      <c r="D1134" s="141">
        <f>IF(OR($A1134="",ISERROR(VALUE(LEFT($A1134,6)))),"",IF(LEN($A1134)=2,SUMIF($A1135:$A$2965,$A1134&amp;"??",$D1135:$D$2965),IF(AND(LEN($A1134)=4,VALUE(RIGHT($A1134,2))&lt;=60),SUMIF($A1135:$A$2965,$A1134&amp;"????",$D1135:$D$2965),VLOOKUP(IF(LEN($A1134)=4,$A1134&amp;"01 1",$A1134),GUS_tabl_21!$A$5:$F$4886,6,FALSE))))</f>
        <v>18296</v>
      </c>
      <c r="E1134" s="29"/>
    </row>
    <row r="1135" spans="1:5" ht="12" customHeight="1">
      <c r="A1135" s="155" t="str">
        <f>"121903 2"</f>
        <v>121903 2</v>
      </c>
      <c r="B1135" s="153" t="s">
        <v>71</v>
      </c>
      <c r="C1135" s="156" t="str">
        <f>IF(OR($A1135="",ISERROR(VALUE(LEFT($A1135,6)))),"",IF(LEN($A1135)=2,"WOJ. ",IF(LEN($A1135)=4,IF(VALUE(RIGHT($A1135,2))&gt;60,"","Powiat "),IF(VALUE(RIGHT($A1135,1))=1,"m. ",IF(VALUE(RIGHT($A1135,1))=2,"gm. w. ",IF(VALUE(RIGHT($A1135,1))=8,"dz. ","gm. m.-w. ")))))&amp;IF(LEN($A1135)=2,TRIM(UPPER(VLOOKUP($A1135,GUS_tabl_1!$A$7:$B$22,2,FALSE))),IF(ISERROR(FIND("..",TRIM(VLOOKUP(IF(AND(LEN($A1135)=4,VALUE(RIGHT($A1135,2))&gt;60),$A1135&amp;"01 1",$A1135),IF(AND(LEN($A1135)=4,VALUE(RIGHT($A1135,2))&lt;60),GUS_tabl_2!$A$8:$B$464,GUS_tabl_21!$A$5:$B$4886),2,FALSE)))),TRIM(VLOOKUP(IF(AND(LEN($A1135)=4,VALUE(RIGHT($A1135,2))&gt;60),$A1135&amp;"01 1",$A1135),IF(AND(LEN($A1135)=4,VALUE(RIGHT($A1135,2))&lt;60),GUS_tabl_2!$A$8:$B$464,GUS_tabl_21!$A$5:$B$4886),2,FALSE)),LEFT(TRIM(VLOOKUP(IF(AND(LEN($A1135)=4,VALUE(RIGHT($A1135,2))&gt;60),$A1135&amp;"01 1",$A1135),IF(AND(LEN($A1135)=4,VALUE(RIGHT($A1135,2))&lt;60),GUS_tabl_2!$A$8:$B$464,GUS_tabl_21!$A$5:$B$4886),2,FALSE)),SUM(FIND("..",TRIM(VLOOKUP(IF(AND(LEN($A1135)=4,VALUE(RIGHT($A1135,2))&gt;60),$A1135&amp;"01 1",$A1135),IF(AND(LEN($A1135)=4,VALUE(RIGHT($A1135,2))&lt;60),GUS_tabl_2!$A$8:$B$464,GUS_tabl_21!$A$5:$B$4886),2,FALSE))),-1)))))</f>
        <v>gm. w. Kłaj</v>
      </c>
      <c r="D1135" s="141">
        <f>IF(OR($A1135="",ISERROR(VALUE(LEFT($A1135,6)))),"",IF(LEN($A1135)=2,SUMIF($A1136:$A$2965,$A1135&amp;"??",$D1136:$D$2965),IF(AND(LEN($A1135)=4,VALUE(RIGHT($A1135,2))&lt;=60),SUMIF($A1136:$A$2965,$A1135&amp;"????",$D1136:$D$2965),VLOOKUP(IF(LEN($A1135)=4,$A1135&amp;"01 1",$A1135),GUS_tabl_21!$A$5:$F$4886,6,FALSE))))</f>
        <v>10768</v>
      </c>
      <c r="E1135" s="29"/>
    </row>
    <row r="1136" spans="1:5" ht="12" customHeight="1">
      <c r="A1136" s="155" t="str">
        <f>"121904 3"</f>
        <v>121904 3</v>
      </c>
      <c r="B1136" s="153" t="s">
        <v>71</v>
      </c>
      <c r="C1136" s="156" t="str">
        <f>IF(OR($A1136="",ISERROR(VALUE(LEFT($A1136,6)))),"",IF(LEN($A1136)=2,"WOJ. ",IF(LEN($A1136)=4,IF(VALUE(RIGHT($A1136,2))&gt;60,"","Powiat "),IF(VALUE(RIGHT($A1136,1))=1,"m. ",IF(VALUE(RIGHT($A1136,1))=2,"gm. w. ",IF(VALUE(RIGHT($A1136,1))=8,"dz. ","gm. m.-w. ")))))&amp;IF(LEN($A1136)=2,TRIM(UPPER(VLOOKUP($A1136,GUS_tabl_1!$A$7:$B$22,2,FALSE))),IF(ISERROR(FIND("..",TRIM(VLOOKUP(IF(AND(LEN($A1136)=4,VALUE(RIGHT($A1136,2))&gt;60),$A1136&amp;"01 1",$A1136),IF(AND(LEN($A1136)=4,VALUE(RIGHT($A1136,2))&lt;60),GUS_tabl_2!$A$8:$B$464,GUS_tabl_21!$A$5:$B$4886),2,FALSE)))),TRIM(VLOOKUP(IF(AND(LEN($A1136)=4,VALUE(RIGHT($A1136,2))&gt;60),$A1136&amp;"01 1",$A1136),IF(AND(LEN($A1136)=4,VALUE(RIGHT($A1136,2))&lt;60),GUS_tabl_2!$A$8:$B$464,GUS_tabl_21!$A$5:$B$4886),2,FALSE)),LEFT(TRIM(VLOOKUP(IF(AND(LEN($A1136)=4,VALUE(RIGHT($A1136,2))&gt;60),$A1136&amp;"01 1",$A1136),IF(AND(LEN($A1136)=4,VALUE(RIGHT($A1136,2))&lt;60),GUS_tabl_2!$A$8:$B$464,GUS_tabl_21!$A$5:$B$4886),2,FALSE)),SUM(FIND("..",TRIM(VLOOKUP(IF(AND(LEN($A1136)=4,VALUE(RIGHT($A1136,2))&gt;60),$A1136&amp;"01 1",$A1136),IF(AND(LEN($A1136)=4,VALUE(RIGHT($A1136,2))&lt;60),GUS_tabl_2!$A$8:$B$464,GUS_tabl_21!$A$5:$B$4886),2,FALSE))),-1)))))</f>
        <v>gm. m.-w. Niepołomice</v>
      </c>
      <c r="D1136" s="141">
        <f>IF(OR($A1136="",ISERROR(VALUE(LEFT($A1136,6)))),"",IF(LEN($A1136)=2,SUMIF($A1137:$A$2965,$A1136&amp;"??",$D1137:$D$2965),IF(AND(LEN($A1136)=4,VALUE(RIGHT($A1136,2))&lt;=60),SUMIF($A1137:$A$2965,$A1136&amp;"????",$D1137:$D$2965),VLOOKUP(IF(LEN($A1136)=4,$A1136&amp;"01 1",$A1136),GUS_tabl_21!$A$5:$F$4886,6,FALSE))))</f>
        <v>29141</v>
      </c>
      <c r="E1136" s="29"/>
    </row>
    <row r="1137" spans="1:5" ht="12" customHeight="1">
      <c r="A1137" s="155" t="str">
        <f>"121905 3"</f>
        <v>121905 3</v>
      </c>
      <c r="B1137" s="153" t="s">
        <v>71</v>
      </c>
      <c r="C1137" s="156" t="str">
        <f>IF(OR($A1137="",ISERROR(VALUE(LEFT($A1137,6)))),"",IF(LEN($A1137)=2,"WOJ. ",IF(LEN($A1137)=4,IF(VALUE(RIGHT($A1137,2))&gt;60,"","Powiat "),IF(VALUE(RIGHT($A1137,1))=1,"m. ",IF(VALUE(RIGHT($A1137,1))=2,"gm. w. ",IF(VALUE(RIGHT($A1137,1))=8,"dz. ","gm. m.-w. ")))))&amp;IF(LEN($A1137)=2,TRIM(UPPER(VLOOKUP($A1137,GUS_tabl_1!$A$7:$B$22,2,FALSE))),IF(ISERROR(FIND("..",TRIM(VLOOKUP(IF(AND(LEN($A1137)=4,VALUE(RIGHT($A1137,2))&gt;60),$A1137&amp;"01 1",$A1137),IF(AND(LEN($A1137)=4,VALUE(RIGHT($A1137,2))&lt;60),GUS_tabl_2!$A$8:$B$464,GUS_tabl_21!$A$5:$B$4886),2,FALSE)))),TRIM(VLOOKUP(IF(AND(LEN($A1137)=4,VALUE(RIGHT($A1137,2))&gt;60),$A1137&amp;"01 1",$A1137),IF(AND(LEN($A1137)=4,VALUE(RIGHT($A1137,2))&lt;60),GUS_tabl_2!$A$8:$B$464,GUS_tabl_21!$A$5:$B$4886),2,FALSE)),LEFT(TRIM(VLOOKUP(IF(AND(LEN($A1137)=4,VALUE(RIGHT($A1137,2))&gt;60),$A1137&amp;"01 1",$A1137),IF(AND(LEN($A1137)=4,VALUE(RIGHT($A1137,2))&lt;60),GUS_tabl_2!$A$8:$B$464,GUS_tabl_21!$A$5:$B$4886),2,FALSE)),SUM(FIND("..",TRIM(VLOOKUP(IF(AND(LEN($A1137)=4,VALUE(RIGHT($A1137,2))&gt;60),$A1137&amp;"01 1",$A1137),IF(AND(LEN($A1137)=4,VALUE(RIGHT($A1137,2))&lt;60),GUS_tabl_2!$A$8:$B$464,GUS_tabl_21!$A$5:$B$4886),2,FALSE))),-1)))))</f>
        <v>gm. m.-w. Wieliczka</v>
      </c>
      <c r="D1137" s="141">
        <f>IF(OR($A1137="",ISERROR(VALUE(LEFT($A1137,6)))),"",IF(LEN($A1137)=2,SUMIF($A1138:$A$2965,$A1137&amp;"??",$D1138:$D$2965),IF(AND(LEN($A1137)=4,VALUE(RIGHT($A1137,2))&lt;=60),SUMIF($A1138:$A$2965,$A1137&amp;"????",$D1138:$D$2965),VLOOKUP(IF(LEN($A1137)=4,$A1137&amp;"01 1",$A1137),GUS_tabl_21!$A$5:$F$4886,6,FALSE))))</f>
        <v>60481</v>
      </c>
      <c r="E1137" s="29"/>
    </row>
    <row r="1138" spans="1:5" ht="12" customHeight="1">
      <c r="A1138" s="152"/>
      <c r="B1138" s="153" t="s">
        <v>71</v>
      </c>
      <c r="C1138" s="154" t="s">
        <v>0</v>
      </c>
      <c r="D1138" s="140"/>
      <c r="E1138" s="29"/>
    </row>
    <row r="1139" spans="1:5" ht="12" customHeight="1">
      <c r="A1139" s="152"/>
      <c r="B1139" s="153" t="s">
        <v>71</v>
      </c>
      <c r="C1139" s="162" t="s">
        <v>1</v>
      </c>
      <c r="D1139" s="140"/>
      <c r="E1139" s="29"/>
    </row>
    <row r="1140" spans="1:5" ht="12" customHeight="1">
      <c r="A1140" s="152" t="str">
        <f>"1261"</f>
        <v>1261</v>
      </c>
      <c r="B1140" s="153" t="s">
        <v>71</v>
      </c>
      <c r="C1140" s="154" t="str">
        <f>IF(OR($A1140="",ISERROR(VALUE(LEFT($A1140,6)))),"",IF(LEN($A1140)=2,"WOJ. ",IF(LEN($A1140)=4,IF(VALUE(RIGHT($A1140,2))&gt;60,"","Powiat "),IF(VALUE(RIGHT($A1140,1))=1,"m. ",IF(VALUE(RIGHT($A1140,1))=2,"gm. w. ",IF(VALUE(RIGHT($A1140,1))=8,"dz. ","gm. m.-w. ")))))&amp;IF(LEN($A1140)=2,TRIM(UPPER(VLOOKUP($A1140,GUS_tabl_1!$A$7:$B$22,2,FALSE))),IF(ISERROR(FIND("..",TRIM(VLOOKUP(IF(AND(LEN($A1140)=4,VALUE(RIGHT($A1140,2))&gt;60),$A1140&amp;"01 1",$A1140),IF(AND(LEN($A1140)=4,VALUE(RIGHT($A1140,2))&lt;60),GUS_tabl_2!$A$8:$B$464,GUS_tabl_21!$A$5:$B$4886),2,FALSE)))),TRIM(VLOOKUP(IF(AND(LEN($A1140)=4,VALUE(RIGHT($A1140,2))&gt;60),$A1140&amp;"01 1",$A1140),IF(AND(LEN($A1140)=4,VALUE(RIGHT($A1140,2))&lt;60),GUS_tabl_2!$A$8:$B$464,GUS_tabl_21!$A$5:$B$4886),2,FALSE)),LEFT(TRIM(VLOOKUP(IF(AND(LEN($A1140)=4,VALUE(RIGHT($A1140,2))&gt;60),$A1140&amp;"01 1",$A1140),IF(AND(LEN($A1140)=4,VALUE(RIGHT($A1140,2))&lt;60),GUS_tabl_2!$A$8:$B$464,GUS_tabl_21!$A$5:$B$4886),2,FALSE)),SUM(FIND("..",TRIM(VLOOKUP(IF(AND(LEN($A1140)=4,VALUE(RIGHT($A1140,2))&gt;60),$A1140&amp;"01 1",$A1140),IF(AND(LEN($A1140)=4,VALUE(RIGHT($A1140,2))&lt;60),GUS_tabl_2!$A$8:$B$464,GUS_tabl_21!$A$5:$B$4886),2,FALSE))),-1)))))</f>
        <v>Kraków (a)</v>
      </c>
      <c r="D1140" s="140">
        <f>IF(OR($A1140="",ISERROR(VALUE(LEFT($A1140,6)))),"",IF(LEN($A1140)=2,SUMIF($A1141:$A$2965,$A1140&amp;"??",$D1141:$D$2965),IF(AND(LEN($A1140)=4,VALUE(RIGHT($A1140,2))&lt;=60),SUMIF($A1141:$A$2965,$A1140&amp;"????",$D1141:$D$2965),VLOOKUP(IF(LEN($A1140)=4,$A1140&amp;"01 1",$A1140),GUS_tabl_21!$A$5:$F$4886,6,FALSE))))</f>
        <v>779115</v>
      </c>
      <c r="E1140" s="29"/>
    </row>
    <row r="1141" spans="1:5" ht="12" customHeight="1">
      <c r="A1141" s="152" t="str">
        <f>"1262"</f>
        <v>1262</v>
      </c>
      <c r="B1141" s="153" t="s">
        <v>71</v>
      </c>
      <c r="C1141" s="154" t="str">
        <f>IF(OR($A1141="",ISERROR(VALUE(LEFT($A1141,6)))),"",IF(LEN($A1141)=2,"WOJ. ",IF(LEN($A1141)=4,IF(VALUE(RIGHT($A1141,2))&gt;60,"","Powiat "),IF(VALUE(RIGHT($A1141,1))=1,"m. ",IF(VALUE(RIGHT($A1141,1))=2,"gm. w. ",IF(VALUE(RIGHT($A1141,1))=8,"dz. ","gm. m.-w. ")))))&amp;IF(LEN($A1141)=2,TRIM(UPPER(VLOOKUP($A1141,GUS_tabl_1!$A$7:$B$22,2,FALSE))),IF(ISERROR(FIND("..",TRIM(VLOOKUP(IF(AND(LEN($A1141)=4,VALUE(RIGHT($A1141,2))&gt;60),$A1141&amp;"01 1",$A1141),IF(AND(LEN($A1141)=4,VALUE(RIGHT($A1141,2))&lt;60),GUS_tabl_2!$A$8:$B$464,GUS_tabl_21!$A$5:$B$4886),2,FALSE)))),TRIM(VLOOKUP(IF(AND(LEN($A1141)=4,VALUE(RIGHT($A1141,2))&gt;60),$A1141&amp;"01 1",$A1141),IF(AND(LEN($A1141)=4,VALUE(RIGHT($A1141,2))&lt;60),GUS_tabl_2!$A$8:$B$464,GUS_tabl_21!$A$5:$B$4886),2,FALSE)),LEFT(TRIM(VLOOKUP(IF(AND(LEN($A1141)=4,VALUE(RIGHT($A1141,2))&gt;60),$A1141&amp;"01 1",$A1141),IF(AND(LEN($A1141)=4,VALUE(RIGHT($A1141,2))&lt;60),GUS_tabl_2!$A$8:$B$464,GUS_tabl_21!$A$5:$B$4886),2,FALSE)),SUM(FIND("..",TRIM(VLOOKUP(IF(AND(LEN($A1141)=4,VALUE(RIGHT($A1141,2))&gt;60),$A1141&amp;"01 1",$A1141),IF(AND(LEN($A1141)=4,VALUE(RIGHT($A1141,2))&lt;60),GUS_tabl_2!$A$8:$B$464,GUS_tabl_21!$A$5:$B$4886),2,FALSE))),-1)))))</f>
        <v>Nowy Sącz</v>
      </c>
      <c r="D1141" s="140">
        <f>IF(OR($A1141="",ISERROR(VALUE(LEFT($A1141,6)))),"",IF(LEN($A1141)=2,SUMIF($A1142:$A$2965,$A1141&amp;"??",$D1142:$D$2965),IF(AND(LEN($A1141)=4,VALUE(RIGHT($A1141,2))&lt;=60),SUMIF($A1142:$A$2965,$A1141&amp;"????",$D1142:$D$2965),VLOOKUP(IF(LEN($A1141)=4,$A1141&amp;"01 1",$A1141),GUS_tabl_21!$A$5:$F$4886,6,FALSE))))</f>
        <v>83794</v>
      </c>
      <c r="E1141" s="29"/>
    </row>
    <row r="1142" spans="1:5" ht="12" customHeight="1">
      <c r="A1142" s="152" t="str">
        <f>"1263"</f>
        <v>1263</v>
      </c>
      <c r="B1142" s="153" t="s">
        <v>71</v>
      </c>
      <c r="C1142" s="154" t="str">
        <f>IF(OR($A1142="",ISERROR(VALUE(LEFT($A1142,6)))),"",IF(LEN($A1142)=2,"WOJ. ",IF(LEN($A1142)=4,IF(VALUE(RIGHT($A1142,2))&gt;60,"","Powiat "),IF(VALUE(RIGHT($A1142,1))=1,"m. ",IF(VALUE(RIGHT($A1142,1))=2,"gm. w. ",IF(VALUE(RIGHT($A1142,1))=8,"dz. ","gm. m.-w. ")))))&amp;IF(LEN($A1142)=2,TRIM(UPPER(VLOOKUP($A1142,GUS_tabl_1!$A$7:$B$22,2,FALSE))),IF(ISERROR(FIND("..",TRIM(VLOOKUP(IF(AND(LEN($A1142)=4,VALUE(RIGHT($A1142,2))&gt;60),$A1142&amp;"01 1",$A1142),IF(AND(LEN($A1142)=4,VALUE(RIGHT($A1142,2))&lt;60),GUS_tabl_2!$A$8:$B$464,GUS_tabl_21!$A$5:$B$4886),2,FALSE)))),TRIM(VLOOKUP(IF(AND(LEN($A1142)=4,VALUE(RIGHT($A1142,2))&gt;60),$A1142&amp;"01 1",$A1142),IF(AND(LEN($A1142)=4,VALUE(RIGHT($A1142,2))&lt;60),GUS_tabl_2!$A$8:$B$464,GUS_tabl_21!$A$5:$B$4886),2,FALSE)),LEFT(TRIM(VLOOKUP(IF(AND(LEN($A1142)=4,VALUE(RIGHT($A1142,2))&gt;60),$A1142&amp;"01 1",$A1142),IF(AND(LEN($A1142)=4,VALUE(RIGHT($A1142,2))&lt;60),GUS_tabl_2!$A$8:$B$464,GUS_tabl_21!$A$5:$B$4886),2,FALSE)),SUM(FIND("..",TRIM(VLOOKUP(IF(AND(LEN($A1142)=4,VALUE(RIGHT($A1142,2))&gt;60),$A1142&amp;"01 1",$A1142),IF(AND(LEN($A1142)=4,VALUE(RIGHT($A1142,2))&lt;60),GUS_tabl_2!$A$8:$B$464,GUS_tabl_21!$A$5:$B$4886),2,FALSE))),-1)))))</f>
        <v>Tarnów</v>
      </c>
      <c r="D1142" s="140">
        <f>IF(OR($A1142="",ISERROR(VALUE(LEFT($A1142,6)))),"",IF(LEN($A1142)=2,SUMIF($A1143:$A$2965,$A1142&amp;"??",$D1143:$D$2965),IF(AND(LEN($A1142)=4,VALUE(RIGHT($A1142,2))&lt;=60),SUMIF($A1143:$A$2965,$A1142&amp;"????",$D1143:$D$2965),VLOOKUP(IF(LEN($A1142)=4,$A1142&amp;"01 1",$A1142),GUS_tabl_21!$A$5:$F$4886,6,FALSE))))</f>
        <v>108470</v>
      </c>
      <c r="E1142" s="29"/>
    </row>
    <row r="1143" spans="1:5" s="161" customFormat="1" ht="13.5" thickBot="1">
      <c r="A1143" s="144"/>
      <c r="B1143" s="160"/>
    </row>
    <row r="1144" spans="1:5" ht="32.25" customHeight="1" thickTop="1">
      <c r="A1144" s="241" t="s">
        <v>97</v>
      </c>
      <c r="B1144" s="247" t="s">
        <v>60</v>
      </c>
      <c r="C1144" s="243" t="s">
        <v>7311</v>
      </c>
      <c r="D1144" s="245" t="s">
        <v>6</v>
      </c>
    </row>
    <row r="1145" spans="1:5" ht="25.5" customHeight="1" thickBot="1">
      <c r="A1145" s="242"/>
      <c r="B1145" s="254"/>
      <c r="C1145" s="244"/>
      <c r="D1145" s="246"/>
    </row>
    <row r="1146" spans="1:5" ht="12" customHeight="1" thickTop="1">
      <c r="A1146" s="158"/>
      <c r="B1146" s="153"/>
      <c r="C1146" s="156" t="str">
        <f>IF(OR($A1146="",ISERROR(VALUE(LEFT($A1146,6)))),"",IF(LEN($A1146)=2,"WOJ. ",IF(LEN($A1146)=4,IF(VALUE(RIGHT($A1146,2))&gt;60,"","Powiat "),IF(VALUE(RIGHT($A1146,1))=1,"m. ",IF(VALUE(RIGHT($A1146,1))=2,"gm. w. ",IF(VALUE(RIGHT($A1146,1))=8,"dz. ","gm. m.-w. ")))))&amp;IF(LEN($A1146)=2,TRIM(UPPER(VLOOKUP($A1146,GUS_tabl_1!$A$7:$B$22,2,FALSE))),IF(ISERROR(FIND("..",TRIM(VLOOKUP(IF(AND(LEN($A1146)=4,VALUE(RIGHT($A1146,2))&gt;60),$A1146&amp;"01 1",$A1146),IF(AND(LEN($A1146)=4,VALUE(RIGHT($A1146,2))&lt;60),GUS_tabl_2!$A$8:$B$464,GUS_tabl_21!$A$5:$B$4886),2,FALSE)))),TRIM(VLOOKUP(IF(AND(LEN($A1146)=4,VALUE(RIGHT($A1146,2))&gt;60),$A1146&amp;"01 1",$A1146),IF(AND(LEN($A1146)=4,VALUE(RIGHT($A1146,2))&lt;60),GUS_tabl_2!$A$8:$B$464,GUS_tabl_21!$A$5:$B$4886),2,FALSE)),LEFT(TRIM(VLOOKUP(IF(AND(LEN($A1146)=4,VALUE(RIGHT($A1146,2))&gt;60),$A1146&amp;"01 1",$A1146),IF(AND(LEN($A1146)=4,VALUE(RIGHT($A1146,2))&lt;60),GUS_tabl_2!$A$8:$B$464,GUS_tabl_21!$A$5:$B$4886),2,FALSE)),SUM(FIND("..",TRIM(VLOOKUP(IF(AND(LEN($A1146)=4,VALUE(RIGHT($A1146,2))&gt;60),$A1146&amp;"01 1",$A1146),IF(AND(LEN($A1146)=4,VALUE(RIGHT($A1146,2))&lt;60),GUS_tabl_2!$A$8:$B$464,GUS_tabl_21!$A$5:$B$4886),2,FALSE))),-1)))))</f>
        <v/>
      </c>
      <c r="D1146" s="140" t="str">
        <f>IF(OR($A1146="",ISERROR(VALUE(LEFT($A1146,6)))),"",IF(LEN($A1146)=2,SUMIF($A1147:$A$2965,$A1146&amp;"??",$D1147:$D$2965),IF(AND(LEN($A1146)=4,VALUE(RIGHT($A1146,2))&lt;=60),SUMIF($A1147:$A$2965,$A1146&amp;"????",$D1147:$D$2965),VLOOKUP(IF(LEN($A1146)=4,$A1146&amp;"01 1",$A1146),GUS_tabl_21!$A$5:$F$4886,6,FALSE))))</f>
        <v/>
      </c>
      <c r="E1146" s="29"/>
    </row>
    <row r="1147" spans="1:5" ht="12" customHeight="1">
      <c r="A1147" s="152" t="str">
        <f>"14"</f>
        <v>14</v>
      </c>
      <c r="B1147" s="153"/>
      <c r="C1147" s="154" t="str">
        <f>IF(OR($A1147="",ISERROR(VALUE(LEFT($A1147,6)))),"",IF(LEN($A1147)=2,"WOJ. ",IF(LEN($A1147)=4,IF(VALUE(RIGHT($A1147,2))&gt;60,"","Powiat "),IF(VALUE(RIGHT($A1147,1))=1,"m. ",IF(VALUE(RIGHT($A1147,1))=2,"gm. w. ",IF(VALUE(RIGHT($A1147,1))=8,"dz. ","gm. m.-w. ")))))&amp;IF(LEN($A1147)=2,TRIM(UPPER(VLOOKUP($A1147,GUS_tabl_1!$A$7:$B$22,2,FALSE))),IF(ISERROR(FIND("..",TRIM(VLOOKUP(IF(AND(LEN($A1147)=4,VALUE(RIGHT($A1147,2))&gt;60),$A1147&amp;"01 1",$A1147),IF(AND(LEN($A1147)=4,VALUE(RIGHT($A1147,2))&lt;60),GUS_tabl_2!$A$8:$B$464,GUS_tabl_21!$A$5:$B$4886),2,FALSE)))),TRIM(VLOOKUP(IF(AND(LEN($A1147)=4,VALUE(RIGHT($A1147,2))&gt;60),$A1147&amp;"01 1",$A1147),IF(AND(LEN($A1147)=4,VALUE(RIGHT($A1147,2))&lt;60),GUS_tabl_2!$A$8:$B$464,GUS_tabl_21!$A$5:$B$4886),2,FALSE)),LEFT(TRIM(VLOOKUP(IF(AND(LEN($A1147)=4,VALUE(RIGHT($A1147,2))&gt;60),$A1147&amp;"01 1",$A1147),IF(AND(LEN($A1147)=4,VALUE(RIGHT($A1147,2))&lt;60),GUS_tabl_2!$A$8:$B$464,GUS_tabl_21!$A$5:$B$4886),2,FALSE)),SUM(FIND("..",TRIM(VLOOKUP(IF(AND(LEN($A1147)=4,VALUE(RIGHT($A1147,2))&gt;60),$A1147&amp;"01 1",$A1147),IF(AND(LEN($A1147)=4,VALUE(RIGHT($A1147,2))&lt;60),GUS_tabl_2!$A$8:$B$464,GUS_tabl_21!$A$5:$B$4886),2,FALSE))),-1)))))</f>
        <v>WOJ. MAZOWIECKIE</v>
      </c>
      <c r="D1147" s="140">
        <f>IF(OR($A1147="",ISERROR(VALUE(LEFT($A1147,6)))),"",IF(LEN($A1147)=2,SUMIF($A1148:$A$2965,$A1147&amp;"??",$D1148:$D$2965),IF(AND(LEN($A1147)=4,VALUE(RIGHT($A1147,2))&lt;=60),SUMIF($A1148:$A$2965,$A1147&amp;"????",$D1148:$D$2965),VLOOKUP(IF(LEN($A1147)=4,$A1147&amp;"01 1",$A1147),GUS_tabl_21!$A$5:$F$4886,6,FALSE))))</f>
        <v>5423168</v>
      </c>
      <c r="E1147" s="29"/>
    </row>
    <row r="1148" spans="1:5" ht="12" customHeight="1">
      <c r="A1148" s="152"/>
      <c r="B1148" s="153"/>
      <c r="C1148" s="156" t="str">
        <f>IF(OR($A1148="",ISERROR(VALUE(LEFT($A1148,6)))),"",IF(LEN($A1148)=2,"WOJ. ",IF(LEN($A1148)=4,IF(VALUE(RIGHT($A1148,2))&gt;60,"","Powiat "),IF(VALUE(RIGHT($A1148,1))=1,"m. ",IF(VALUE(RIGHT($A1148,1))=2,"gm. w. ",IF(VALUE(RIGHT($A1148,1))=8,"dz. ","gm. m.-w. ")))))&amp;IF(LEN($A1148)=2,TRIM(UPPER(VLOOKUP($A1148,GUS_tabl_1!$A$7:$B$22,2,FALSE))),IF(ISERROR(FIND("..",TRIM(VLOOKUP(IF(AND(LEN($A1148)=4,VALUE(RIGHT($A1148,2))&gt;60),$A1148&amp;"01 1",$A1148),IF(AND(LEN($A1148)=4,VALUE(RIGHT($A1148,2))&lt;60),GUS_tabl_2!$A$8:$B$464,GUS_tabl_21!$A$5:$B$4886),2,FALSE)))),TRIM(VLOOKUP(IF(AND(LEN($A1148)=4,VALUE(RIGHT($A1148,2))&gt;60),$A1148&amp;"01 1",$A1148),IF(AND(LEN($A1148)=4,VALUE(RIGHT($A1148,2))&lt;60),GUS_tabl_2!$A$8:$B$464,GUS_tabl_21!$A$5:$B$4886),2,FALSE)),LEFT(TRIM(VLOOKUP(IF(AND(LEN($A1148)=4,VALUE(RIGHT($A1148,2))&gt;60),$A1148&amp;"01 1",$A1148),IF(AND(LEN($A1148)=4,VALUE(RIGHT($A1148,2))&lt;60),GUS_tabl_2!$A$8:$B$464,GUS_tabl_21!$A$5:$B$4886),2,FALSE)),SUM(FIND("..",TRIM(VLOOKUP(IF(AND(LEN($A1148)=4,VALUE(RIGHT($A1148,2))&gt;60),$A1148&amp;"01 1",$A1148),IF(AND(LEN($A1148)=4,VALUE(RIGHT($A1148,2))&lt;60),GUS_tabl_2!$A$8:$B$464,GUS_tabl_21!$A$5:$B$4886),2,FALSE))),-1)))))</f>
        <v/>
      </c>
      <c r="D1148" s="140" t="str">
        <f>IF(OR($A1148="",ISERROR(VALUE(LEFT($A1148,6)))),"",IF(LEN($A1148)=2,SUMIF($A1149:$A$2965,$A1148&amp;"??",$D1149:$D$2965),IF(AND(LEN($A1148)=4,VALUE(RIGHT($A1148,2))&lt;=60),SUMIF($A1149:$A$2965,$A1148&amp;"????",$D1149:$D$2965),VLOOKUP(IF(LEN($A1148)=4,$A1148&amp;"01 1",$A1148),GUS_tabl_21!$A$5:$F$4886,6,FALSE))))</f>
        <v/>
      </c>
      <c r="E1148" s="29"/>
    </row>
    <row r="1149" spans="1:5" ht="12" customHeight="1">
      <c r="A1149" s="152" t="str">
        <f>"1401"</f>
        <v>1401</v>
      </c>
      <c r="B1149" s="153" t="s">
        <v>45</v>
      </c>
      <c r="C1149" s="154" t="str">
        <f>IF(OR($A1149="",ISERROR(VALUE(LEFT($A1149,6)))),"",IF(LEN($A1149)=2,"WOJ. ",IF(LEN($A1149)=4,IF(VALUE(RIGHT($A1149,2))&gt;60,"","Powiat "),IF(VALUE(RIGHT($A1149,1))=1,"m. ",IF(VALUE(RIGHT($A1149,1))=2,"gm. w. ",IF(VALUE(RIGHT($A1149,1))=8,"dz. ","gm. m.-w. ")))))&amp;IF(LEN($A1149)=2,TRIM(UPPER(VLOOKUP($A1149,GUS_tabl_1!$A$7:$B$22,2,FALSE))),IF(ISERROR(FIND("..",TRIM(VLOOKUP(IF(AND(LEN($A1149)=4,VALUE(RIGHT($A1149,2))&gt;60),$A1149&amp;"01 1",$A1149),IF(AND(LEN($A1149)=4,VALUE(RIGHT($A1149,2))&lt;60),GUS_tabl_2!$A$8:$B$464,GUS_tabl_21!$A$5:$B$4886),2,FALSE)))),TRIM(VLOOKUP(IF(AND(LEN($A1149)=4,VALUE(RIGHT($A1149,2))&gt;60),$A1149&amp;"01 1",$A1149),IF(AND(LEN($A1149)=4,VALUE(RIGHT($A1149,2))&lt;60),GUS_tabl_2!$A$8:$B$464,GUS_tabl_21!$A$5:$B$4886),2,FALSE)),LEFT(TRIM(VLOOKUP(IF(AND(LEN($A1149)=4,VALUE(RIGHT($A1149,2))&gt;60),$A1149&amp;"01 1",$A1149),IF(AND(LEN($A1149)=4,VALUE(RIGHT($A1149,2))&lt;60),GUS_tabl_2!$A$8:$B$464,GUS_tabl_21!$A$5:$B$4886),2,FALSE)),SUM(FIND("..",TRIM(VLOOKUP(IF(AND(LEN($A1149)=4,VALUE(RIGHT($A1149,2))&gt;60),$A1149&amp;"01 1",$A1149),IF(AND(LEN($A1149)=4,VALUE(RIGHT($A1149,2))&lt;60),GUS_tabl_2!$A$8:$B$464,GUS_tabl_21!$A$5:$B$4886),2,FALSE))),-1)))))</f>
        <v>Powiat białobrzeski</v>
      </c>
      <c r="D1149" s="140">
        <f>IF(OR($A1149="",ISERROR(VALUE(LEFT($A1149,6)))),"",IF(LEN($A1149)=2,SUMIF($A1150:$A$2965,$A1149&amp;"??",$D1150:$D$2965),IF(AND(LEN($A1149)=4,VALUE(RIGHT($A1149,2))&lt;=60),SUMIF($A1150:$A$2965,$A1149&amp;"????",$D1150:$D$2965),VLOOKUP(IF(LEN($A1149)=4,$A1149&amp;"01 1",$A1149),GUS_tabl_21!$A$5:$F$4886,6,FALSE))))</f>
        <v>33410</v>
      </c>
      <c r="E1149" s="29"/>
    </row>
    <row r="1150" spans="1:5" ht="12" customHeight="1">
      <c r="A1150" s="155" t="str">
        <f>"140101 3"</f>
        <v>140101 3</v>
      </c>
      <c r="B1150" s="153" t="s">
        <v>45</v>
      </c>
      <c r="C1150" s="156" t="str">
        <f>IF(OR($A1150="",ISERROR(VALUE(LEFT($A1150,6)))),"",IF(LEN($A1150)=2,"WOJ. ",IF(LEN($A1150)=4,IF(VALUE(RIGHT($A1150,2))&gt;60,"","Powiat "),IF(VALUE(RIGHT($A1150,1))=1,"m. ",IF(VALUE(RIGHT($A1150,1))=2,"gm. w. ",IF(VALUE(RIGHT($A1150,1))=8,"dz. ","gm. m.-w. ")))))&amp;IF(LEN($A1150)=2,TRIM(UPPER(VLOOKUP($A1150,GUS_tabl_1!$A$7:$B$22,2,FALSE))),IF(ISERROR(FIND("..",TRIM(VLOOKUP(IF(AND(LEN($A1150)=4,VALUE(RIGHT($A1150,2))&gt;60),$A1150&amp;"01 1",$A1150),IF(AND(LEN($A1150)=4,VALUE(RIGHT($A1150,2))&lt;60),GUS_tabl_2!$A$8:$B$464,GUS_tabl_21!$A$5:$B$4886),2,FALSE)))),TRIM(VLOOKUP(IF(AND(LEN($A1150)=4,VALUE(RIGHT($A1150,2))&gt;60),$A1150&amp;"01 1",$A1150),IF(AND(LEN($A1150)=4,VALUE(RIGHT($A1150,2))&lt;60),GUS_tabl_2!$A$8:$B$464,GUS_tabl_21!$A$5:$B$4886),2,FALSE)),LEFT(TRIM(VLOOKUP(IF(AND(LEN($A1150)=4,VALUE(RIGHT($A1150,2))&gt;60),$A1150&amp;"01 1",$A1150),IF(AND(LEN($A1150)=4,VALUE(RIGHT($A1150,2))&lt;60),GUS_tabl_2!$A$8:$B$464,GUS_tabl_21!$A$5:$B$4886),2,FALSE)),SUM(FIND("..",TRIM(VLOOKUP(IF(AND(LEN($A1150)=4,VALUE(RIGHT($A1150,2))&gt;60),$A1150&amp;"01 1",$A1150),IF(AND(LEN($A1150)=4,VALUE(RIGHT($A1150,2))&lt;60),GUS_tabl_2!$A$8:$B$464,GUS_tabl_21!$A$5:$B$4886),2,FALSE))),-1)))))</f>
        <v>gm. m.-w. Białobrzegi</v>
      </c>
      <c r="D1150" s="141">
        <f>IF(OR($A1150="",ISERROR(VALUE(LEFT($A1150,6)))),"",IF(LEN($A1150)=2,SUMIF($A1151:$A$2965,$A1150&amp;"??",$D1151:$D$2965),IF(AND(LEN($A1150)=4,VALUE(RIGHT($A1150,2))&lt;=60),SUMIF($A1151:$A$2965,$A1150&amp;"????",$D1151:$D$2965),VLOOKUP(IF(LEN($A1150)=4,$A1150&amp;"01 1",$A1150),GUS_tabl_21!$A$5:$F$4886,6,FALSE))))</f>
        <v>10263</v>
      </c>
      <c r="E1150" s="29"/>
    </row>
    <row r="1151" spans="1:5" ht="12" customHeight="1">
      <c r="A1151" s="155" t="str">
        <f>"140102 2"</f>
        <v>140102 2</v>
      </c>
      <c r="B1151" s="153" t="s">
        <v>45</v>
      </c>
      <c r="C1151" s="156" t="str">
        <f>IF(OR($A1151="",ISERROR(VALUE(LEFT($A1151,6)))),"",IF(LEN($A1151)=2,"WOJ. ",IF(LEN($A1151)=4,IF(VALUE(RIGHT($A1151,2))&gt;60,"","Powiat "),IF(VALUE(RIGHT($A1151,1))=1,"m. ",IF(VALUE(RIGHT($A1151,1))=2,"gm. w. ",IF(VALUE(RIGHT($A1151,1))=8,"dz. ","gm. m.-w. ")))))&amp;IF(LEN($A1151)=2,TRIM(UPPER(VLOOKUP($A1151,GUS_tabl_1!$A$7:$B$22,2,FALSE))),IF(ISERROR(FIND("..",TRIM(VLOOKUP(IF(AND(LEN($A1151)=4,VALUE(RIGHT($A1151,2))&gt;60),$A1151&amp;"01 1",$A1151),IF(AND(LEN($A1151)=4,VALUE(RIGHT($A1151,2))&lt;60),GUS_tabl_2!$A$8:$B$464,GUS_tabl_21!$A$5:$B$4886),2,FALSE)))),TRIM(VLOOKUP(IF(AND(LEN($A1151)=4,VALUE(RIGHT($A1151,2))&gt;60),$A1151&amp;"01 1",$A1151),IF(AND(LEN($A1151)=4,VALUE(RIGHT($A1151,2))&lt;60),GUS_tabl_2!$A$8:$B$464,GUS_tabl_21!$A$5:$B$4886),2,FALSE)),LEFT(TRIM(VLOOKUP(IF(AND(LEN($A1151)=4,VALUE(RIGHT($A1151,2))&gt;60),$A1151&amp;"01 1",$A1151),IF(AND(LEN($A1151)=4,VALUE(RIGHT($A1151,2))&lt;60),GUS_tabl_2!$A$8:$B$464,GUS_tabl_21!$A$5:$B$4886),2,FALSE)),SUM(FIND("..",TRIM(VLOOKUP(IF(AND(LEN($A1151)=4,VALUE(RIGHT($A1151,2))&gt;60),$A1151&amp;"01 1",$A1151),IF(AND(LEN($A1151)=4,VALUE(RIGHT($A1151,2))&lt;60),GUS_tabl_2!$A$8:$B$464,GUS_tabl_21!$A$5:$B$4886),2,FALSE))),-1)))))</f>
        <v>gm. w. Promna</v>
      </c>
      <c r="D1151" s="141">
        <f>IF(OR($A1151="",ISERROR(VALUE(LEFT($A1151,6)))),"",IF(LEN($A1151)=2,SUMIF($A1152:$A$2965,$A1151&amp;"??",$D1152:$D$2965),IF(AND(LEN($A1151)=4,VALUE(RIGHT($A1151,2))&lt;=60),SUMIF($A1152:$A$2965,$A1151&amp;"????",$D1152:$D$2965),VLOOKUP(IF(LEN($A1151)=4,$A1151&amp;"01 1",$A1151),GUS_tabl_21!$A$5:$F$4886,6,FALSE))))</f>
        <v>5555</v>
      </c>
      <c r="E1151" s="29"/>
    </row>
    <row r="1152" spans="1:5" ht="12" customHeight="1">
      <c r="A1152" s="155" t="str">
        <f>"140103 2"</f>
        <v>140103 2</v>
      </c>
      <c r="B1152" s="153" t="s">
        <v>45</v>
      </c>
      <c r="C1152" s="156" t="str">
        <f>IF(OR($A1152="",ISERROR(VALUE(LEFT($A1152,6)))),"",IF(LEN($A1152)=2,"WOJ. ",IF(LEN($A1152)=4,IF(VALUE(RIGHT($A1152,2))&gt;60,"","Powiat "),IF(VALUE(RIGHT($A1152,1))=1,"m. ",IF(VALUE(RIGHT($A1152,1))=2,"gm. w. ",IF(VALUE(RIGHT($A1152,1))=8,"dz. ","gm. m.-w. ")))))&amp;IF(LEN($A1152)=2,TRIM(UPPER(VLOOKUP($A1152,GUS_tabl_1!$A$7:$B$22,2,FALSE))),IF(ISERROR(FIND("..",TRIM(VLOOKUP(IF(AND(LEN($A1152)=4,VALUE(RIGHT($A1152,2))&gt;60),$A1152&amp;"01 1",$A1152),IF(AND(LEN($A1152)=4,VALUE(RIGHT($A1152,2))&lt;60),GUS_tabl_2!$A$8:$B$464,GUS_tabl_21!$A$5:$B$4886),2,FALSE)))),TRIM(VLOOKUP(IF(AND(LEN($A1152)=4,VALUE(RIGHT($A1152,2))&gt;60),$A1152&amp;"01 1",$A1152),IF(AND(LEN($A1152)=4,VALUE(RIGHT($A1152,2))&lt;60),GUS_tabl_2!$A$8:$B$464,GUS_tabl_21!$A$5:$B$4886),2,FALSE)),LEFT(TRIM(VLOOKUP(IF(AND(LEN($A1152)=4,VALUE(RIGHT($A1152,2))&gt;60),$A1152&amp;"01 1",$A1152),IF(AND(LEN($A1152)=4,VALUE(RIGHT($A1152,2))&lt;60),GUS_tabl_2!$A$8:$B$464,GUS_tabl_21!$A$5:$B$4886),2,FALSE)),SUM(FIND("..",TRIM(VLOOKUP(IF(AND(LEN($A1152)=4,VALUE(RIGHT($A1152,2))&gt;60),$A1152&amp;"01 1",$A1152),IF(AND(LEN($A1152)=4,VALUE(RIGHT($A1152,2))&lt;60),GUS_tabl_2!$A$8:$B$464,GUS_tabl_21!$A$5:$B$4886),2,FALSE))),-1)))))</f>
        <v>gm. w. Radzanów</v>
      </c>
      <c r="D1152" s="141">
        <f>IF(OR($A1152="",ISERROR(VALUE(LEFT($A1152,6)))),"",IF(LEN($A1152)=2,SUMIF($A1153:$A$2965,$A1152&amp;"??",$D1153:$D$2965),IF(AND(LEN($A1152)=4,VALUE(RIGHT($A1152,2))&lt;=60),SUMIF($A1153:$A$2965,$A1152&amp;"????",$D1153:$D$2965),VLOOKUP(IF(LEN($A1152)=4,$A1152&amp;"01 1",$A1152),GUS_tabl_21!$A$5:$F$4886,6,FALSE))))</f>
        <v>3887</v>
      </c>
      <c r="E1152" s="29"/>
    </row>
    <row r="1153" spans="1:5" ht="12" customHeight="1">
      <c r="A1153" s="155" t="str">
        <f>"140104 2"</f>
        <v>140104 2</v>
      </c>
      <c r="B1153" s="153" t="s">
        <v>45</v>
      </c>
      <c r="C1153" s="156" t="str">
        <f>IF(OR($A1153="",ISERROR(VALUE(LEFT($A1153,6)))),"",IF(LEN($A1153)=2,"WOJ. ",IF(LEN($A1153)=4,IF(VALUE(RIGHT($A1153,2))&gt;60,"","Powiat "),IF(VALUE(RIGHT($A1153,1))=1,"m. ",IF(VALUE(RIGHT($A1153,1))=2,"gm. w. ",IF(VALUE(RIGHT($A1153,1))=8,"dz. ","gm. m.-w. ")))))&amp;IF(LEN($A1153)=2,TRIM(UPPER(VLOOKUP($A1153,GUS_tabl_1!$A$7:$B$22,2,FALSE))),IF(ISERROR(FIND("..",TRIM(VLOOKUP(IF(AND(LEN($A1153)=4,VALUE(RIGHT($A1153,2))&gt;60),$A1153&amp;"01 1",$A1153),IF(AND(LEN($A1153)=4,VALUE(RIGHT($A1153,2))&lt;60),GUS_tabl_2!$A$8:$B$464,GUS_tabl_21!$A$5:$B$4886),2,FALSE)))),TRIM(VLOOKUP(IF(AND(LEN($A1153)=4,VALUE(RIGHT($A1153,2))&gt;60),$A1153&amp;"01 1",$A1153),IF(AND(LEN($A1153)=4,VALUE(RIGHT($A1153,2))&lt;60),GUS_tabl_2!$A$8:$B$464,GUS_tabl_21!$A$5:$B$4886),2,FALSE)),LEFT(TRIM(VLOOKUP(IF(AND(LEN($A1153)=4,VALUE(RIGHT($A1153,2))&gt;60),$A1153&amp;"01 1",$A1153),IF(AND(LEN($A1153)=4,VALUE(RIGHT($A1153,2))&lt;60),GUS_tabl_2!$A$8:$B$464,GUS_tabl_21!$A$5:$B$4886),2,FALSE)),SUM(FIND("..",TRIM(VLOOKUP(IF(AND(LEN($A1153)=4,VALUE(RIGHT($A1153,2))&gt;60),$A1153&amp;"01 1",$A1153),IF(AND(LEN($A1153)=4,VALUE(RIGHT($A1153,2))&lt;60),GUS_tabl_2!$A$8:$B$464,GUS_tabl_21!$A$5:$B$4886),2,FALSE))),-1)))))</f>
        <v>gm. w. Stara Błotnica</v>
      </c>
      <c r="D1153" s="141">
        <f>IF(OR($A1153="",ISERROR(VALUE(LEFT($A1153,6)))),"",IF(LEN($A1153)=2,SUMIF($A1154:$A$2965,$A1153&amp;"??",$D1154:$D$2965),IF(AND(LEN($A1153)=4,VALUE(RIGHT($A1153,2))&lt;=60),SUMIF($A1154:$A$2965,$A1153&amp;"????",$D1154:$D$2965),VLOOKUP(IF(LEN($A1153)=4,$A1153&amp;"01 1",$A1153),GUS_tabl_21!$A$5:$F$4886,6,FALSE))))</f>
        <v>5298</v>
      </c>
      <c r="E1153" s="29"/>
    </row>
    <row r="1154" spans="1:5" ht="12" customHeight="1">
      <c r="A1154" s="155" t="str">
        <f>"140105 2"</f>
        <v>140105 2</v>
      </c>
      <c r="B1154" s="153" t="s">
        <v>45</v>
      </c>
      <c r="C1154" s="156" t="str">
        <f>IF(OR($A1154="",ISERROR(VALUE(LEFT($A1154,6)))),"",IF(LEN($A1154)=2,"WOJ. ",IF(LEN($A1154)=4,IF(VALUE(RIGHT($A1154,2))&gt;60,"","Powiat "),IF(VALUE(RIGHT($A1154,1))=1,"m. ",IF(VALUE(RIGHT($A1154,1))=2,"gm. w. ",IF(VALUE(RIGHT($A1154,1))=8,"dz. ","gm. m.-w. ")))))&amp;IF(LEN($A1154)=2,TRIM(UPPER(VLOOKUP($A1154,GUS_tabl_1!$A$7:$B$22,2,FALSE))),IF(ISERROR(FIND("..",TRIM(VLOOKUP(IF(AND(LEN($A1154)=4,VALUE(RIGHT($A1154,2))&gt;60),$A1154&amp;"01 1",$A1154),IF(AND(LEN($A1154)=4,VALUE(RIGHT($A1154,2))&lt;60),GUS_tabl_2!$A$8:$B$464,GUS_tabl_21!$A$5:$B$4886),2,FALSE)))),TRIM(VLOOKUP(IF(AND(LEN($A1154)=4,VALUE(RIGHT($A1154,2))&gt;60),$A1154&amp;"01 1",$A1154),IF(AND(LEN($A1154)=4,VALUE(RIGHT($A1154,2))&lt;60),GUS_tabl_2!$A$8:$B$464,GUS_tabl_21!$A$5:$B$4886),2,FALSE)),LEFT(TRIM(VLOOKUP(IF(AND(LEN($A1154)=4,VALUE(RIGHT($A1154,2))&gt;60),$A1154&amp;"01 1",$A1154),IF(AND(LEN($A1154)=4,VALUE(RIGHT($A1154,2))&lt;60),GUS_tabl_2!$A$8:$B$464,GUS_tabl_21!$A$5:$B$4886),2,FALSE)),SUM(FIND("..",TRIM(VLOOKUP(IF(AND(LEN($A1154)=4,VALUE(RIGHT($A1154,2))&gt;60),$A1154&amp;"01 1",$A1154),IF(AND(LEN($A1154)=4,VALUE(RIGHT($A1154,2))&lt;60),GUS_tabl_2!$A$8:$B$464,GUS_tabl_21!$A$5:$B$4886),2,FALSE))),-1)))))</f>
        <v>gm. w. Stromiec</v>
      </c>
      <c r="D1154" s="141">
        <f>IF(OR($A1154="",ISERROR(VALUE(LEFT($A1154,6)))),"",IF(LEN($A1154)=2,SUMIF($A1155:$A$2965,$A1154&amp;"??",$D1155:$D$2965),IF(AND(LEN($A1154)=4,VALUE(RIGHT($A1154,2))&lt;=60),SUMIF($A1155:$A$2965,$A1154&amp;"????",$D1155:$D$2965),VLOOKUP(IF(LEN($A1154)=4,$A1154&amp;"01 1",$A1154),GUS_tabl_21!$A$5:$F$4886,6,FALSE))))</f>
        <v>5628</v>
      </c>
      <c r="E1154" s="29"/>
    </row>
    <row r="1155" spans="1:5" ht="12" customHeight="1">
      <c r="A1155" s="155" t="str">
        <f>"140106 3"</f>
        <v>140106 3</v>
      </c>
      <c r="B1155" s="153" t="s">
        <v>45</v>
      </c>
      <c r="C1155" s="156" t="str">
        <f>IF(OR($A1155="",ISERROR(VALUE(LEFT($A1155,6)))),"",IF(LEN($A1155)=2,"WOJ. ",IF(LEN($A1155)=4,IF(VALUE(RIGHT($A1155,2))&gt;60,"","Powiat "),IF(VALUE(RIGHT($A1155,1))=1,"m. ",IF(VALUE(RIGHT($A1155,1))=2,"gm. w. ",IF(VALUE(RIGHT($A1155,1))=8,"dz. ","gm. m.-w. ")))))&amp;IF(LEN($A1155)=2,TRIM(UPPER(VLOOKUP($A1155,GUS_tabl_1!$A$7:$B$22,2,FALSE))),IF(ISERROR(FIND("..",TRIM(VLOOKUP(IF(AND(LEN($A1155)=4,VALUE(RIGHT($A1155,2))&gt;60),$A1155&amp;"01 1",$A1155),IF(AND(LEN($A1155)=4,VALUE(RIGHT($A1155,2))&lt;60),GUS_tabl_2!$A$8:$B$464,GUS_tabl_21!$A$5:$B$4886),2,FALSE)))),TRIM(VLOOKUP(IF(AND(LEN($A1155)=4,VALUE(RIGHT($A1155,2))&gt;60),$A1155&amp;"01 1",$A1155),IF(AND(LEN($A1155)=4,VALUE(RIGHT($A1155,2))&lt;60),GUS_tabl_2!$A$8:$B$464,GUS_tabl_21!$A$5:$B$4886),2,FALSE)),LEFT(TRIM(VLOOKUP(IF(AND(LEN($A1155)=4,VALUE(RIGHT($A1155,2))&gt;60),$A1155&amp;"01 1",$A1155),IF(AND(LEN($A1155)=4,VALUE(RIGHT($A1155,2))&lt;60),GUS_tabl_2!$A$8:$B$464,GUS_tabl_21!$A$5:$B$4886),2,FALSE)),SUM(FIND("..",TRIM(VLOOKUP(IF(AND(LEN($A1155)=4,VALUE(RIGHT($A1155,2))&gt;60),$A1155&amp;"01 1",$A1155),IF(AND(LEN($A1155)=4,VALUE(RIGHT($A1155,2))&lt;60),GUS_tabl_2!$A$8:$B$464,GUS_tabl_21!$A$5:$B$4886),2,FALSE))),-1)))))</f>
        <v>gm. m.-w. Wyśmierzyce</v>
      </c>
      <c r="D1155" s="141">
        <f>IF(OR($A1155="",ISERROR(VALUE(LEFT($A1155,6)))),"",IF(LEN($A1155)=2,SUMIF($A1156:$A$2965,$A1155&amp;"??",$D1156:$D$2965),IF(AND(LEN($A1155)=4,VALUE(RIGHT($A1155,2))&lt;=60),SUMIF($A1156:$A$2965,$A1155&amp;"????",$D1156:$D$2965),VLOOKUP(IF(LEN($A1155)=4,$A1155&amp;"01 1",$A1155),GUS_tabl_21!$A$5:$F$4886,6,FALSE))))</f>
        <v>2779</v>
      </c>
      <c r="E1155" s="29"/>
    </row>
    <row r="1156" spans="1:5" ht="12" customHeight="1">
      <c r="A1156" s="152" t="str">
        <f>"1402"</f>
        <v>1402</v>
      </c>
      <c r="B1156" s="153" t="s">
        <v>45</v>
      </c>
      <c r="C1156" s="154" t="str">
        <f>IF(OR($A1156="",ISERROR(VALUE(LEFT($A1156,6)))),"",IF(LEN($A1156)=2,"WOJ. ",IF(LEN($A1156)=4,IF(VALUE(RIGHT($A1156,2))&gt;60,"","Powiat "),IF(VALUE(RIGHT($A1156,1))=1,"m. ",IF(VALUE(RIGHT($A1156,1))=2,"gm. w. ",IF(VALUE(RIGHT($A1156,1))=8,"dz. ","gm. m.-w. ")))))&amp;IF(LEN($A1156)=2,TRIM(UPPER(VLOOKUP($A1156,GUS_tabl_1!$A$7:$B$22,2,FALSE))),IF(ISERROR(FIND("..",TRIM(VLOOKUP(IF(AND(LEN($A1156)=4,VALUE(RIGHT($A1156,2))&gt;60),$A1156&amp;"01 1",$A1156),IF(AND(LEN($A1156)=4,VALUE(RIGHT($A1156,2))&lt;60),GUS_tabl_2!$A$8:$B$464,GUS_tabl_21!$A$5:$B$4886),2,FALSE)))),TRIM(VLOOKUP(IF(AND(LEN($A1156)=4,VALUE(RIGHT($A1156,2))&gt;60),$A1156&amp;"01 1",$A1156),IF(AND(LEN($A1156)=4,VALUE(RIGHT($A1156,2))&lt;60),GUS_tabl_2!$A$8:$B$464,GUS_tabl_21!$A$5:$B$4886),2,FALSE)),LEFT(TRIM(VLOOKUP(IF(AND(LEN($A1156)=4,VALUE(RIGHT($A1156,2))&gt;60),$A1156&amp;"01 1",$A1156),IF(AND(LEN($A1156)=4,VALUE(RIGHT($A1156,2))&lt;60),GUS_tabl_2!$A$8:$B$464,GUS_tabl_21!$A$5:$B$4886),2,FALSE)),SUM(FIND("..",TRIM(VLOOKUP(IF(AND(LEN($A1156)=4,VALUE(RIGHT($A1156,2))&gt;60),$A1156&amp;"01 1",$A1156),IF(AND(LEN($A1156)=4,VALUE(RIGHT($A1156,2))&lt;60),GUS_tabl_2!$A$8:$B$464,GUS_tabl_21!$A$5:$B$4886),2,FALSE))),-1)))))</f>
        <v>Powiat ciechanowski</v>
      </c>
      <c r="D1156" s="140">
        <f>IF(OR($A1156="",ISERROR(VALUE(LEFT($A1156,6)))),"",IF(LEN($A1156)=2,SUMIF($A1157:$A$2965,$A1156&amp;"??",$D1157:$D$2965),IF(AND(LEN($A1156)=4,VALUE(RIGHT($A1156,2))&lt;=60),SUMIF($A1157:$A$2965,$A1156&amp;"????",$D1157:$D$2965),VLOOKUP(IF(LEN($A1156)=4,$A1156&amp;"01 1",$A1156),GUS_tabl_21!$A$5:$F$4886,6,FALSE))))</f>
        <v>89423</v>
      </c>
      <c r="E1156" s="29"/>
    </row>
    <row r="1157" spans="1:5" ht="12" customHeight="1">
      <c r="A1157" s="155" t="str">
        <f>"140201 1"</f>
        <v>140201 1</v>
      </c>
      <c r="B1157" s="153" t="s">
        <v>45</v>
      </c>
      <c r="C1157" s="156" t="str">
        <f>IF(OR($A1157="",ISERROR(VALUE(LEFT($A1157,6)))),"",IF(LEN($A1157)=2,"WOJ. ",IF(LEN($A1157)=4,IF(VALUE(RIGHT($A1157,2))&gt;60,"","Powiat "),IF(VALUE(RIGHT($A1157,1))=1,"m. ",IF(VALUE(RIGHT($A1157,1))=2,"gm. w. ",IF(VALUE(RIGHT($A1157,1))=8,"dz. ","gm. m.-w. ")))))&amp;IF(LEN($A1157)=2,TRIM(UPPER(VLOOKUP($A1157,GUS_tabl_1!$A$7:$B$22,2,FALSE))),IF(ISERROR(FIND("..",TRIM(VLOOKUP(IF(AND(LEN($A1157)=4,VALUE(RIGHT($A1157,2))&gt;60),$A1157&amp;"01 1",$A1157),IF(AND(LEN($A1157)=4,VALUE(RIGHT($A1157,2))&lt;60),GUS_tabl_2!$A$8:$B$464,GUS_tabl_21!$A$5:$B$4886),2,FALSE)))),TRIM(VLOOKUP(IF(AND(LEN($A1157)=4,VALUE(RIGHT($A1157,2))&gt;60),$A1157&amp;"01 1",$A1157),IF(AND(LEN($A1157)=4,VALUE(RIGHT($A1157,2))&lt;60),GUS_tabl_2!$A$8:$B$464,GUS_tabl_21!$A$5:$B$4886),2,FALSE)),LEFT(TRIM(VLOOKUP(IF(AND(LEN($A1157)=4,VALUE(RIGHT($A1157,2))&gt;60),$A1157&amp;"01 1",$A1157),IF(AND(LEN($A1157)=4,VALUE(RIGHT($A1157,2))&lt;60),GUS_tabl_2!$A$8:$B$464,GUS_tabl_21!$A$5:$B$4886),2,FALSE)),SUM(FIND("..",TRIM(VLOOKUP(IF(AND(LEN($A1157)=4,VALUE(RIGHT($A1157,2))&gt;60),$A1157&amp;"01 1",$A1157),IF(AND(LEN($A1157)=4,VALUE(RIGHT($A1157,2))&lt;60),GUS_tabl_2!$A$8:$B$464,GUS_tabl_21!$A$5:$B$4886),2,FALSE))),-1)))))</f>
        <v>m. Ciechanów</v>
      </c>
      <c r="D1157" s="141">
        <f>IF(OR($A1157="",ISERROR(VALUE(LEFT($A1157,6)))),"",IF(LEN($A1157)=2,SUMIF($A1158:$A$2965,$A1157&amp;"??",$D1158:$D$2965),IF(AND(LEN($A1157)=4,VALUE(RIGHT($A1157,2))&lt;=60),SUMIF($A1158:$A$2965,$A1157&amp;"????",$D1158:$D$2965),VLOOKUP(IF(LEN($A1157)=4,$A1157&amp;"01 1",$A1157),GUS_tabl_21!$A$5:$F$4886,6,FALSE))))</f>
        <v>44138</v>
      </c>
      <c r="E1157" s="29"/>
    </row>
    <row r="1158" spans="1:5" ht="12" customHeight="1">
      <c r="A1158" s="155" t="str">
        <f>"140202 2"</f>
        <v>140202 2</v>
      </c>
      <c r="B1158" s="153" t="s">
        <v>45</v>
      </c>
      <c r="C1158" s="156" t="str">
        <f>IF(OR($A1158="",ISERROR(VALUE(LEFT($A1158,6)))),"",IF(LEN($A1158)=2,"WOJ. ",IF(LEN($A1158)=4,IF(VALUE(RIGHT($A1158,2))&gt;60,"","Powiat "),IF(VALUE(RIGHT($A1158,1))=1,"m. ",IF(VALUE(RIGHT($A1158,1))=2,"gm. w. ",IF(VALUE(RIGHT($A1158,1))=8,"dz. ","gm. m.-w. ")))))&amp;IF(LEN($A1158)=2,TRIM(UPPER(VLOOKUP($A1158,GUS_tabl_1!$A$7:$B$22,2,FALSE))),IF(ISERROR(FIND("..",TRIM(VLOOKUP(IF(AND(LEN($A1158)=4,VALUE(RIGHT($A1158,2))&gt;60),$A1158&amp;"01 1",$A1158),IF(AND(LEN($A1158)=4,VALUE(RIGHT($A1158,2))&lt;60),GUS_tabl_2!$A$8:$B$464,GUS_tabl_21!$A$5:$B$4886),2,FALSE)))),TRIM(VLOOKUP(IF(AND(LEN($A1158)=4,VALUE(RIGHT($A1158,2))&gt;60),$A1158&amp;"01 1",$A1158),IF(AND(LEN($A1158)=4,VALUE(RIGHT($A1158,2))&lt;60),GUS_tabl_2!$A$8:$B$464,GUS_tabl_21!$A$5:$B$4886),2,FALSE)),LEFT(TRIM(VLOOKUP(IF(AND(LEN($A1158)=4,VALUE(RIGHT($A1158,2))&gt;60),$A1158&amp;"01 1",$A1158),IF(AND(LEN($A1158)=4,VALUE(RIGHT($A1158,2))&lt;60),GUS_tabl_2!$A$8:$B$464,GUS_tabl_21!$A$5:$B$4886),2,FALSE)),SUM(FIND("..",TRIM(VLOOKUP(IF(AND(LEN($A1158)=4,VALUE(RIGHT($A1158,2))&gt;60),$A1158&amp;"01 1",$A1158),IF(AND(LEN($A1158)=4,VALUE(RIGHT($A1158,2))&lt;60),GUS_tabl_2!$A$8:$B$464,GUS_tabl_21!$A$5:$B$4886),2,FALSE))),-1)))))</f>
        <v>gm. w. Ciechanów</v>
      </c>
      <c r="D1158" s="141">
        <f>IF(OR($A1158="",ISERROR(VALUE(LEFT($A1158,6)))),"",IF(LEN($A1158)=2,SUMIF($A1159:$A$2965,$A1158&amp;"??",$D1159:$D$2965),IF(AND(LEN($A1158)=4,VALUE(RIGHT($A1158,2))&lt;=60),SUMIF($A1159:$A$2965,$A1158&amp;"????",$D1159:$D$2965),VLOOKUP(IF(LEN($A1158)=4,$A1158&amp;"01 1",$A1158),GUS_tabl_21!$A$5:$F$4886,6,FALSE))))</f>
        <v>7117</v>
      </c>
      <c r="E1158" s="29"/>
    </row>
    <row r="1159" spans="1:5" ht="12" customHeight="1">
      <c r="A1159" s="155" t="str">
        <f>"140203 3"</f>
        <v>140203 3</v>
      </c>
      <c r="B1159" s="153" t="s">
        <v>45</v>
      </c>
      <c r="C1159" s="156" t="str">
        <f>IF(OR($A1159="",ISERROR(VALUE(LEFT($A1159,6)))),"",IF(LEN($A1159)=2,"WOJ. ",IF(LEN($A1159)=4,IF(VALUE(RIGHT($A1159,2))&gt;60,"","Powiat "),IF(VALUE(RIGHT($A1159,1))=1,"m. ",IF(VALUE(RIGHT($A1159,1))=2,"gm. w. ",IF(VALUE(RIGHT($A1159,1))=8,"dz. ","gm. m.-w. ")))))&amp;IF(LEN($A1159)=2,TRIM(UPPER(VLOOKUP($A1159,GUS_tabl_1!$A$7:$B$22,2,FALSE))),IF(ISERROR(FIND("..",TRIM(VLOOKUP(IF(AND(LEN($A1159)=4,VALUE(RIGHT($A1159,2))&gt;60),$A1159&amp;"01 1",$A1159),IF(AND(LEN($A1159)=4,VALUE(RIGHT($A1159,2))&lt;60),GUS_tabl_2!$A$8:$B$464,GUS_tabl_21!$A$5:$B$4886),2,FALSE)))),TRIM(VLOOKUP(IF(AND(LEN($A1159)=4,VALUE(RIGHT($A1159,2))&gt;60),$A1159&amp;"01 1",$A1159),IF(AND(LEN($A1159)=4,VALUE(RIGHT($A1159,2))&lt;60),GUS_tabl_2!$A$8:$B$464,GUS_tabl_21!$A$5:$B$4886),2,FALSE)),LEFT(TRIM(VLOOKUP(IF(AND(LEN($A1159)=4,VALUE(RIGHT($A1159,2))&gt;60),$A1159&amp;"01 1",$A1159),IF(AND(LEN($A1159)=4,VALUE(RIGHT($A1159,2))&lt;60),GUS_tabl_2!$A$8:$B$464,GUS_tabl_21!$A$5:$B$4886),2,FALSE)),SUM(FIND("..",TRIM(VLOOKUP(IF(AND(LEN($A1159)=4,VALUE(RIGHT($A1159,2))&gt;60),$A1159&amp;"01 1",$A1159),IF(AND(LEN($A1159)=4,VALUE(RIGHT($A1159,2))&lt;60),GUS_tabl_2!$A$8:$B$464,GUS_tabl_21!$A$5:$B$4886),2,FALSE))),-1)))))</f>
        <v>gm. m.-w. Glinojeck</v>
      </c>
      <c r="D1159" s="141">
        <f>IF(OR($A1159="",ISERROR(VALUE(LEFT($A1159,6)))),"",IF(LEN($A1159)=2,SUMIF($A1160:$A$2965,$A1159&amp;"??",$D1160:$D$2965),IF(AND(LEN($A1159)=4,VALUE(RIGHT($A1159,2))&lt;=60),SUMIF($A1160:$A$2965,$A1159&amp;"????",$D1160:$D$2965),VLOOKUP(IF(LEN($A1159)=4,$A1159&amp;"01 1",$A1159),GUS_tabl_21!$A$5:$F$4886,6,FALSE))))</f>
        <v>7832</v>
      </c>
      <c r="E1159" s="29"/>
    </row>
    <row r="1160" spans="1:5" ht="12" customHeight="1">
      <c r="A1160" s="155" t="str">
        <f>"140204 2"</f>
        <v>140204 2</v>
      </c>
      <c r="B1160" s="153" t="s">
        <v>45</v>
      </c>
      <c r="C1160" s="156" t="str">
        <f>IF(OR($A1160="",ISERROR(VALUE(LEFT($A1160,6)))),"",IF(LEN($A1160)=2,"WOJ. ",IF(LEN($A1160)=4,IF(VALUE(RIGHT($A1160,2))&gt;60,"","Powiat "),IF(VALUE(RIGHT($A1160,1))=1,"m. ",IF(VALUE(RIGHT($A1160,1))=2,"gm. w. ",IF(VALUE(RIGHT($A1160,1))=8,"dz. ","gm. m.-w. ")))))&amp;IF(LEN($A1160)=2,TRIM(UPPER(VLOOKUP($A1160,GUS_tabl_1!$A$7:$B$22,2,FALSE))),IF(ISERROR(FIND("..",TRIM(VLOOKUP(IF(AND(LEN($A1160)=4,VALUE(RIGHT($A1160,2))&gt;60),$A1160&amp;"01 1",$A1160),IF(AND(LEN($A1160)=4,VALUE(RIGHT($A1160,2))&lt;60),GUS_tabl_2!$A$8:$B$464,GUS_tabl_21!$A$5:$B$4886),2,FALSE)))),TRIM(VLOOKUP(IF(AND(LEN($A1160)=4,VALUE(RIGHT($A1160,2))&gt;60),$A1160&amp;"01 1",$A1160),IF(AND(LEN($A1160)=4,VALUE(RIGHT($A1160,2))&lt;60),GUS_tabl_2!$A$8:$B$464,GUS_tabl_21!$A$5:$B$4886),2,FALSE)),LEFT(TRIM(VLOOKUP(IF(AND(LEN($A1160)=4,VALUE(RIGHT($A1160,2))&gt;60),$A1160&amp;"01 1",$A1160),IF(AND(LEN($A1160)=4,VALUE(RIGHT($A1160,2))&lt;60),GUS_tabl_2!$A$8:$B$464,GUS_tabl_21!$A$5:$B$4886),2,FALSE)),SUM(FIND("..",TRIM(VLOOKUP(IF(AND(LEN($A1160)=4,VALUE(RIGHT($A1160,2))&gt;60),$A1160&amp;"01 1",$A1160),IF(AND(LEN($A1160)=4,VALUE(RIGHT($A1160,2))&lt;60),GUS_tabl_2!$A$8:$B$464,GUS_tabl_21!$A$5:$B$4886),2,FALSE))),-1)))))</f>
        <v>gm. w. Gołymin-Ośrodek</v>
      </c>
      <c r="D1160" s="141">
        <f>IF(OR($A1160="",ISERROR(VALUE(LEFT($A1160,6)))),"",IF(LEN($A1160)=2,SUMIF($A1161:$A$2965,$A1160&amp;"??",$D1161:$D$2965),IF(AND(LEN($A1160)=4,VALUE(RIGHT($A1160,2))&lt;=60),SUMIF($A1161:$A$2965,$A1160&amp;"????",$D1161:$D$2965),VLOOKUP(IF(LEN($A1160)=4,$A1160&amp;"01 1",$A1160),GUS_tabl_21!$A$5:$F$4886,6,FALSE))))</f>
        <v>3752</v>
      </c>
      <c r="E1160" s="29"/>
    </row>
    <row r="1161" spans="1:5" ht="12" customHeight="1">
      <c r="A1161" s="155" t="str">
        <f>"140205 2"</f>
        <v>140205 2</v>
      </c>
      <c r="B1161" s="153" t="s">
        <v>45</v>
      </c>
      <c r="C1161" s="156" t="str">
        <f>IF(OR($A1161="",ISERROR(VALUE(LEFT($A1161,6)))),"",IF(LEN($A1161)=2,"WOJ. ",IF(LEN($A1161)=4,IF(VALUE(RIGHT($A1161,2))&gt;60,"","Powiat "),IF(VALUE(RIGHT($A1161,1))=1,"m. ",IF(VALUE(RIGHT($A1161,1))=2,"gm. w. ",IF(VALUE(RIGHT($A1161,1))=8,"dz. ","gm. m.-w. ")))))&amp;IF(LEN($A1161)=2,TRIM(UPPER(VLOOKUP($A1161,GUS_tabl_1!$A$7:$B$22,2,FALSE))),IF(ISERROR(FIND("..",TRIM(VLOOKUP(IF(AND(LEN($A1161)=4,VALUE(RIGHT($A1161,2))&gt;60),$A1161&amp;"01 1",$A1161),IF(AND(LEN($A1161)=4,VALUE(RIGHT($A1161,2))&lt;60),GUS_tabl_2!$A$8:$B$464,GUS_tabl_21!$A$5:$B$4886),2,FALSE)))),TRIM(VLOOKUP(IF(AND(LEN($A1161)=4,VALUE(RIGHT($A1161,2))&gt;60),$A1161&amp;"01 1",$A1161),IF(AND(LEN($A1161)=4,VALUE(RIGHT($A1161,2))&lt;60),GUS_tabl_2!$A$8:$B$464,GUS_tabl_21!$A$5:$B$4886),2,FALSE)),LEFT(TRIM(VLOOKUP(IF(AND(LEN($A1161)=4,VALUE(RIGHT($A1161,2))&gt;60),$A1161&amp;"01 1",$A1161),IF(AND(LEN($A1161)=4,VALUE(RIGHT($A1161,2))&lt;60),GUS_tabl_2!$A$8:$B$464,GUS_tabl_21!$A$5:$B$4886),2,FALSE)),SUM(FIND("..",TRIM(VLOOKUP(IF(AND(LEN($A1161)=4,VALUE(RIGHT($A1161,2))&gt;60),$A1161&amp;"01 1",$A1161),IF(AND(LEN($A1161)=4,VALUE(RIGHT($A1161,2))&lt;60),GUS_tabl_2!$A$8:$B$464,GUS_tabl_21!$A$5:$B$4886),2,FALSE))),-1)))))</f>
        <v>gm. w. Grudusk</v>
      </c>
      <c r="D1161" s="141">
        <f>IF(OR($A1161="",ISERROR(VALUE(LEFT($A1161,6)))),"",IF(LEN($A1161)=2,SUMIF($A1162:$A$2965,$A1161&amp;"??",$D1162:$D$2965),IF(AND(LEN($A1161)=4,VALUE(RIGHT($A1161,2))&lt;=60),SUMIF($A1162:$A$2965,$A1161&amp;"????",$D1162:$D$2965),VLOOKUP(IF(LEN($A1161)=4,$A1161&amp;"01 1",$A1161),GUS_tabl_21!$A$5:$F$4886,6,FALSE))))</f>
        <v>3586</v>
      </c>
      <c r="E1161" s="29"/>
    </row>
    <row r="1162" spans="1:5" ht="12" customHeight="1">
      <c r="A1162" s="155" t="str">
        <f>"140206 2"</f>
        <v>140206 2</v>
      </c>
      <c r="B1162" s="153" t="s">
        <v>45</v>
      </c>
      <c r="C1162" s="156" t="str">
        <f>IF(OR($A1162="",ISERROR(VALUE(LEFT($A1162,6)))),"",IF(LEN($A1162)=2,"WOJ. ",IF(LEN($A1162)=4,IF(VALUE(RIGHT($A1162,2))&gt;60,"","Powiat "),IF(VALUE(RIGHT($A1162,1))=1,"m. ",IF(VALUE(RIGHT($A1162,1))=2,"gm. w. ",IF(VALUE(RIGHT($A1162,1))=8,"dz. ","gm. m.-w. ")))))&amp;IF(LEN($A1162)=2,TRIM(UPPER(VLOOKUP($A1162,GUS_tabl_1!$A$7:$B$22,2,FALSE))),IF(ISERROR(FIND("..",TRIM(VLOOKUP(IF(AND(LEN($A1162)=4,VALUE(RIGHT($A1162,2))&gt;60),$A1162&amp;"01 1",$A1162),IF(AND(LEN($A1162)=4,VALUE(RIGHT($A1162,2))&lt;60),GUS_tabl_2!$A$8:$B$464,GUS_tabl_21!$A$5:$B$4886),2,FALSE)))),TRIM(VLOOKUP(IF(AND(LEN($A1162)=4,VALUE(RIGHT($A1162,2))&gt;60),$A1162&amp;"01 1",$A1162),IF(AND(LEN($A1162)=4,VALUE(RIGHT($A1162,2))&lt;60),GUS_tabl_2!$A$8:$B$464,GUS_tabl_21!$A$5:$B$4886),2,FALSE)),LEFT(TRIM(VLOOKUP(IF(AND(LEN($A1162)=4,VALUE(RIGHT($A1162,2))&gt;60),$A1162&amp;"01 1",$A1162),IF(AND(LEN($A1162)=4,VALUE(RIGHT($A1162,2))&lt;60),GUS_tabl_2!$A$8:$B$464,GUS_tabl_21!$A$5:$B$4886),2,FALSE)),SUM(FIND("..",TRIM(VLOOKUP(IF(AND(LEN($A1162)=4,VALUE(RIGHT($A1162,2))&gt;60),$A1162&amp;"01 1",$A1162),IF(AND(LEN($A1162)=4,VALUE(RIGHT($A1162,2))&lt;60),GUS_tabl_2!$A$8:$B$464,GUS_tabl_21!$A$5:$B$4886),2,FALSE))),-1)))))</f>
        <v>gm. w. Ojrzeń</v>
      </c>
      <c r="D1162" s="141">
        <f>IF(OR($A1162="",ISERROR(VALUE(LEFT($A1162,6)))),"",IF(LEN($A1162)=2,SUMIF($A1163:$A$2965,$A1162&amp;"??",$D1163:$D$2965),IF(AND(LEN($A1162)=4,VALUE(RIGHT($A1162,2))&lt;=60),SUMIF($A1163:$A$2965,$A1162&amp;"????",$D1163:$D$2965),VLOOKUP(IF(LEN($A1162)=4,$A1162&amp;"01 1",$A1162),GUS_tabl_21!$A$5:$F$4886,6,FALSE))))</f>
        <v>4291</v>
      </c>
      <c r="E1162" s="29"/>
    </row>
    <row r="1163" spans="1:5" ht="12" customHeight="1">
      <c r="A1163" s="155" t="str">
        <f>"140207 2"</f>
        <v>140207 2</v>
      </c>
      <c r="B1163" s="153" t="s">
        <v>45</v>
      </c>
      <c r="C1163" s="156" t="str">
        <f>IF(OR($A1163="",ISERROR(VALUE(LEFT($A1163,6)))),"",IF(LEN($A1163)=2,"WOJ. ",IF(LEN($A1163)=4,IF(VALUE(RIGHT($A1163,2))&gt;60,"","Powiat "),IF(VALUE(RIGHT($A1163,1))=1,"m. ",IF(VALUE(RIGHT($A1163,1))=2,"gm. w. ",IF(VALUE(RIGHT($A1163,1))=8,"dz. ","gm. m.-w. ")))))&amp;IF(LEN($A1163)=2,TRIM(UPPER(VLOOKUP($A1163,GUS_tabl_1!$A$7:$B$22,2,FALSE))),IF(ISERROR(FIND("..",TRIM(VLOOKUP(IF(AND(LEN($A1163)=4,VALUE(RIGHT($A1163,2))&gt;60),$A1163&amp;"01 1",$A1163),IF(AND(LEN($A1163)=4,VALUE(RIGHT($A1163,2))&lt;60),GUS_tabl_2!$A$8:$B$464,GUS_tabl_21!$A$5:$B$4886),2,FALSE)))),TRIM(VLOOKUP(IF(AND(LEN($A1163)=4,VALUE(RIGHT($A1163,2))&gt;60),$A1163&amp;"01 1",$A1163),IF(AND(LEN($A1163)=4,VALUE(RIGHT($A1163,2))&lt;60),GUS_tabl_2!$A$8:$B$464,GUS_tabl_21!$A$5:$B$4886),2,FALSE)),LEFT(TRIM(VLOOKUP(IF(AND(LEN($A1163)=4,VALUE(RIGHT($A1163,2))&gt;60),$A1163&amp;"01 1",$A1163),IF(AND(LEN($A1163)=4,VALUE(RIGHT($A1163,2))&lt;60),GUS_tabl_2!$A$8:$B$464,GUS_tabl_21!$A$5:$B$4886),2,FALSE)),SUM(FIND("..",TRIM(VLOOKUP(IF(AND(LEN($A1163)=4,VALUE(RIGHT($A1163,2))&gt;60),$A1163&amp;"01 1",$A1163),IF(AND(LEN($A1163)=4,VALUE(RIGHT($A1163,2))&lt;60),GUS_tabl_2!$A$8:$B$464,GUS_tabl_21!$A$5:$B$4886),2,FALSE))),-1)))))</f>
        <v>gm. w. Opinogóra Górna</v>
      </c>
      <c r="D1163" s="141">
        <f>IF(OR($A1163="",ISERROR(VALUE(LEFT($A1163,6)))),"",IF(LEN($A1163)=2,SUMIF($A1164:$A$2965,$A1163&amp;"??",$D1164:$D$2965),IF(AND(LEN($A1163)=4,VALUE(RIGHT($A1163,2))&lt;=60),SUMIF($A1164:$A$2965,$A1163&amp;"????",$D1164:$D$2965),VLOOKUP(IF(LEN($A1163)=4,$A1163&amp;"01 1",$A1163),GUS_tabl_21!$A$5:$F$4886,6,FALSE))))</f>
        <v>5963</v>
      </c>
      <c r="E1163" s="29"/>
    </row>
    <row r="1164" spans="1:5" ht="12" customHeight="1">
      <c r="A1164" s="155" t="str">
        <f>"140208 2"</f>
        <v>140208 2</v>
      </c>
      <c r="B1164" s="153" t="s">
        <v>45</v>
      </c>
      <c r="C1164" s="156" t="str">
        <f>IF(OR($A1164="",ISERROR(VALUE(LEFT($A1164,6)))),"",IF(LEN($A1164)=2,"WOJ. ",IF(LEN($A1164)=4,IF(VALUE(RIGHT($A1164,2))&gt;60,"","Powiat "),IF(VALUE(RIGHT($A1164,1))=1,"m. ",IF(VALUE(RIGHT($A1164,1))=2,"gm. w. ",IF(VALUE(RIGHT($A1164,1))=8,"dz. ","gm. m.-w. ")))))&amp;IF(LEN($A1164)=2,TRIM(UPPER(VLOOKUP($A1164,GUS_tabl_1!$A$7:$B$22,2,FALSE))),IF(ISERROR(FIND("..",TRIM(VLOOKUP(IF(AND(LEN($A1164)=4,VALUE(RIGHT($A1164,2))&gt;60),$A1164&amp;"01 1",$A1164),IF(AND(LEN($A1164)=4,VALUE(RIGHT($A1164,2))&lt;60),GUS_tabl_2!$A$8:$B$464,GUS_tabl_21!$A$5:$B$4886),2,FALSE)))),TRIM(VLOOKUP(IF(AND(LEN($A1164)=4,VALUE(RIGHT($A1164,2))&gt;60),$A1164&amp;"01 1",$A1164),IF(AND(LEN($A1164)=4,VALUE(RIGHT($A1164,2))&lt;60),GUS_tabl_2!$A$8:$B$464,GUS_tabl_21!$A$5:$B$4886),2,FALSE)),LEFT(TRIM(VLOOKUP(IF(AND(LEN($A1164)=4,VALUE(RIGHT($A1164,2))&gt;60),$A1164&amp;"01 1",$A1164),IF(AND(LEN($A1164)=4,VALUE(RIGHT($A1164,2))&lt;60),GUS_tabl_2!$A$8:$B$464,GUS_tabl_21!$A$5:$B$4886),2,FALSE)),SUM(FIND("..",TRIM(VLOOKUP(IF(AND(LEN($A1164)=4,VALUE(RIGHT($A1164,2))&gt;60),$A1164&amp;"01 1",$A1164),IF(AND(LEN($A1164)=4,VALUE(RIGHT($A1164,2))&lt;60),GUS_tabl_2!$A$8:$B$464,GUS_tabl_21!$A$5:$B$4886),2,FALSE))),-1)))))</f>
        <v>gm. w. Regimin</v>
      </c>
      <c r="D1164" s="141">
        <f>IF(OR($A1164="",ISERROR(VALUE(LEFT($A1164,6)))),"",IF(LEN($A1164)=2,SUMIF($A1165:$A$2965,$A1164&amp;"??",$D1165:$D$2965),IF(AND(LEN($A1164)=4,VALUE(RIGHT($A1164,2))&lt;=60),SUMIF($A1165:$A$2965,$A1164&amp;"????",$D1165:$D$2965),VLOOKUP(IF(LEN($A1164)=4,$A1164&amp;"01 1",$A1164),GUS_tabl_21!$A$5:$F$4886,6,FALSE))))</f>
        <v>4989</v>
      </c>
      <c r="E1164" s="29"/>
    </row>
    <row r="1165" spans="1:5" ht="12" customHeight="1">
      <c r="A1165" s="155" t="str">
        <f>"140209 2"</f>
        <v>140209 2</v>
      </c>
      <c r="B1165" s="153" t="s">
        <v>45</v>
      </c>
      <c r="C1165" s="156" t="str">
        <f>IF(OR($A1165="",ISERROR(VALUE(LEFT($A1165,6)))),"",IF(LEN($A1165)=2,"WOJ. ",IF(LEN($A1165)=4,IF(VALUE(RIGHT($A1165,2))&gt;60,"","Powiat "),IF(VALUE(RIGHT($A1165,1))=1,"m. ",IF(VALUE(RIGHT($A1165,1))=2,"gm. w. ",IF(VALUE(RIGHT($A1165,1))=8,"dz. ","gm. m.-w. ")))))&amp;IF(LEN($A1165)=2,TRIM(UPPER(VLOOKUP($A1165,GUS_tabl_1!$A$7:$B$22,2,FALSE))),IF(ISERROR(FIND("..",TRIM(VLOOKUP(IF(AND(LEN($A1165)=4,VALUE(RIGHT($A1165,2))&gt;60),$A1165&amp;"01 1",$A1165),IF(AND(LEN($A1165)=4,VALUE(RIGHT($A1165,2))&lt;60),GUS_tabl_2!$A$8:$B$464,GUS_tabl_21!$A$5:$B$4886),2,FALSE)))),TRIM(VLOOKUP(IF(AND(LEN($A1165)=4,VALUE(RIGHT($A1165,2))&gt;60),$A1165&amp;"01 1",$A1165),IF(AND(LEN($A1165)=4,VALUE(RIGHT($A1165,2))&lt;60),GUS_tabl_2!$A$8:$B$464,GUS_tabl_21!$A$5:$B$4886),2,FALSE)),LEFT(TRIM(VLOOKUP(IF(AND(LEN($A1165)=4,VALUE(RIGHT($A1165,2))&gt;60),$A1165&amp;"01 1",$A1165),IF(AND(LEN($A1165)=4,VALUE(RIGHT($A1165,2))&lt;60),GUS_tabl_2!$A$8:$B$464,GUS_tabl_21!$A$5:$B$4886),2,FALSE)),SUM(FIND("..",TRIM(VLOOKUP(IF(AND(LEN($A1165)=4,VALUE(RIGHT($A1165,2))&gt;60),$A1165&amp;"01 1",$A1165),IF(AND(LEN($A1165)=4,VALUE(RIGHT($A1165,2))&lt;60),GUS_tabl_2!$A$8:$B$464,GUS_tabl_21!$A$5:$B$4886),2,FALSE))),-1)))))</f>
        <v>gm. w. Sońsk</v>
      </c>
      <c r="D1165" s="141">
        <f>IF(OR($A1165="",ISERROR(VALUE(LEFT($A1165,6)))),"",IF(LEN($A1165)=2,SUMIF($A1166:$A$2965,$A1165&amp;"??",$D1166:$D$2965),IF(AND(LEN($A1165)=4,VALUE(RIGHT($A1165,2))&lt;=60),SUMIF($A1166:$A$2965,$A1165&amp;"????",$D1166:$D$2965),VLOOKUP(IF(LEN($A1165)=4,$A1165&amp;"01 1",$A1165),GUS_tabl_21!$A$5:$F$4886,6,FALSE))))</f>
        <v>7755</v>
      </c>
      <c r="E1165" s="29"/>
    </row>
    <row r="1166" spans="1:5" ht="12" customHeight="1">
      <c r="A1166" s="152" t="str">
        <f>"1403"</f>
        <v>1403</v>
      </c>
      <c r="B1166" s="153" t="s">
        <v>45</v>
      </c>
      <c r="C1166" s="154" t="str">
        <f>IF(OR($A1166="",ISERROR(VALUE(LEFT($A1166,6)))),"",IF(LEN($A1166)=2,"WOJ. ",IF(LEN($A1166)=4,IF(VALUE(RIGHT($A1166,2))&gt;60,"","Powiat "),IF(VALUE(RIGHT($A1166,1))=1,"m. ",IF(VALUE(RIGHT($A1166,1))=2,"gm. w. ",IF(VALUE(RIGHT($A1166,1))=8,"dz. ","gm. m.-w. ")))))&amp;IF(LEN($A1166)=2,TRIM(UPPER(VLOOKUP($A1166,GUS_tabl_1!$A$7:$B$22,2,FALSE))),IF(ISERROR(FIND("..",TRIM(VLOOKUP(IF(AND(LEN($A1166)=4,VALUE(RIGHT($A1166,2))&gt;60),$A1166&amp;"01 1",$A1166),IF(AND(LEN($A1166)=4,VALUE(RIGHT($A1166,2))&lt;60),GUS_tabl_2!$A$8:$B$464,GUS_tabl_21!$A$5:$B$4886),2,FALSE)))),TRIM(VLOOKUP(IF(AND(LEN($A1166)=4,VALUE(RIGHT($A1166,2))&gt;60),$A1166&amp;"01 1",$A1166),IF(AND(LEN($A1166)=4,VALUE(RIGHT($A1166,2))&lt;60),GUS_tabl_2!$A$8:$B$464,GUS_tabl_21!$A$5:$B$4886),2,FALSE)),LEFT(TRIM(VLOOKUP(IF(AND(LEN($A1166)=4,VALUE(RIGHT($A1166,2))&gt;60),$A1166&amp;"01 1",$A1166),IF(AND(LEN($A1166)=4,VALUE(RIGHT($A1166,2))&lt;60),GUS_tabl_2!$A$8:$B$464,GUS_tabl_21!$A$5:$B$4886),2,FALSE)),SUM(FIND("..",TRIM(VLOOKUP(IF(AND(LEN($A1166)=4,VALUE(RIGHT($A1166,2))&gt;60),$A1166&amp;"01 1",$A1166),IF(AND(LEN($A1166)=4,VALUE(RIGHT($A1166,2))&lt;60),GUS_tabl_2!$A$8:$B$464,GUS_tabl_21!$A$5:$B$4886),2,FALSE))),-1)))))</f>
        <v>Powiat garwoliński</v>
      </c>
      <c r="D1166" s="140">
        <f>IF(OR($A1166="",ISERROR(VALUE(LEFT($A1166,6)))),"",IF(LEN($A1166)=2,SUMIF($A1167:$A$2965,$A1166&amp;"??",$D1167:$D$2965),IF(AND(LEN($A1166)=4,VALUE(RIGHT($A1166,2))&lt;=60),SUMIF($A1167:$A$2965,$A1166&amp;"????",$D1167:$D$2965),VLOOKUP(IF(LEN($A1166)=4,$A1166&amp;"01 1",$A1166),GUS_tabl_21!$A$5:$F$4886,6,FALSE))))</f>
        <v>108981</v>
      </c>
      <c r="E1166" s="29"/>
    </row>
    <row r="1167" spans="1:5" ht="12" customHeight="1">
      <c r="A1167" s="155" t="str">
        <f>"140301 1"</f>
        <v>140301 1</v>
      </c>
      <c r="B1167" s="153" t="s">
        <v>45</v>
      </c>
      <c r="C1167" s="156" t="str">
        <f>IF(OR($A1167="",ISERROR(VALUE(LEFT($A1167,6)))),"",IF(LEN($A1167)=2,"WOJ. ",IF(LEN($A1167)=4,IF(VALUE(RIGHT($A1167,2))&gt;60,"","Powiat "),IF(VALUE(RIGHT($A1167,1))=1,"m. ",IF(VALUE(RIGHT($A1167,1))=2,"gm. w. ",IF(VALUE(RIGHT($A1167,1))=8,"dz. ","gm. m.-w. ")))))&amp;IF(LEN($A1167)=2,TRIM(UPPER(VLOOKUP($A1167,GUS_tabl_1!$A$7:$B$22,2,FALSE))),IF(ISERROR(FIND("..",TRIM(VLOOKUP(IF(AND(LEN($A1167)=4,VALUE(RIGHT($A1167,2))&gt;60),$A1167&amp;"01 1",$A1167),IF(AND(LEN($A1167)=4,VALUE(RIGHT($A1167,2))&lt;60),GUS_tabl_2!$A$8:$B$464,GUS_tabl_21!$A$5:$B$4886),2,FALSE)))),TRIM(VLOOKUP(IF(AND(LEN($A1167)=4,VALUE(RIGHT($A1167,2))&gt;60),$A1167&amp;"01 1",$A1167),IF(AND(LEN($A1167)=4,VALUE(RIGHT($A1167,2))&lt;60),GUS_tabl_2!$A$8:$B$464,GUS_tabl_21!$A$5:$B$4886),2,FALSE)),LEFT(TRIM(VLOOKUP(IF(AND(LEN($A1167)=4,VALUE(RIGHT($A1167,2))&gt;60),$A1167&amp;"01 1",$A1167),IF(AND(LEN($A1167)=4,VALUE(RIGHT($A1167,2))&lt;60),GUS_tabl_2!$A$8:$B$464,GUS_tabl_21!$A$5:$B$4886),2,FALSE)),SUM(FIND("..",TRIM(VLOOKUP(IF(AND(LEN($A1167)=4,VALUE(RIGHT($A1167,2))&gt;60),$A1167&amp;"01 1",$A1167),IF(AND(LEN($A1167)=4,VALUE(RIGHT($A1167,2))&lt;60),GUS_tabl_2!$A$8:$B$464,GUS_tabl_21!$A$5:$B$4886),2,FALSE))),-1)))))</f>
        <v>m. Garwolin</v>
      </c>
      <c r="D1167" s="141">
        <f>IF(OR($A1167="",ISERROR(VALUE(LEFT($A1167,6)))),"",IF(LEN($A1167)=2,SUMIF($A1168:$A$2965,$A1167&amp;"??",$D1168:$D$2965),IF(AND(LEN($A1167)=4,VALUE(RIGHT($A1167,2))&lt;=60),SUMIF($A1168:$A$2965,$A1167&amp;"????",$D1168:$D$2965),VLOOKUP(IF(LEN($A1167)=4,$A1167&amp;"01 1",$A1167),GUS_tabl_21!$A$5:$F$4886,6,FALSE))))</f>
        <v>17602</v>
      </c>
      <c r="E1167" s="29"/>
    </row>
    <row r="1168" spans="1:5" ht="12" customHeight="1">
      <c r="A1168" s="155" t="str">
        <f>"140302 1"</f>
        <v>140302 1</v>
      </c>
      <c r="B1168" s="153" t="s">
        <v>45</v>
      </c>
      <c r="C1168" s="156" t="str">
        <f>IF(OR($A1168="",ISERROR(VALUE(LEFT($A1168,6)))),"",IF(LEN($A1168)=2,"WOJ. ",IF(LEN($A1168)=4,IF(VALUE(RIGHT($A1168,2))&gt;60,"","Powiat "),IF(VALUE(RIGHT($A1168,1))=1,"m. ",IF(VALUE(RIGHT($A1168,1))=2,"gm. w. ",IF(VALUE(RIGHT($A1168,1))=8,"dz. ","gm. m.-w. ")))))&amp;IF(LEN($A1168)=2,TRIM(UPPER(VLOOKUP($A1168,GUS_tabl_1!$A$7:$B$22,2,FALSE))),IF(ISERROR(FIND("..",TRIM(VLOOKUP(IF(AND(LEN($A1168)=4,VALUE(RIGHT($A1168,2))&gt;60),$A1168&amp;"01 1",$A1168),IF(AND(LEN($A1168)=4,VALUE(RIGHT($A1168,2))&lt;60),GUS_tabl_2!$A$8:$B$464,GUS_tabl_21!$A$5:$B$4886),2,FALSE)))),TRIM(VLOOKUP(IF(AND(LEN($A1168)=4,VALUE(RIGHT($A1168,2))&gt;60),$A1168&amp;"01 1",$A1168),IF(AND(LEN($A1168)=4,VALUE(RIGHT($A1168,2))&lt;60),GUS_tabl_2!$A$8:$B$464,GUS_tabl_21!$A$5:$B$4886),2,FALSE)),LEFT(TRIM(VLOOKUP(IF(AND(LEN($A1168)=4,VALUE(RIGHT($A1168,2))&gt;60),$A1168&amp;"01 1",$A1168),IF(AND(LEN($A1168)=4,VALUE(RIGHT($A1168,2))&lt;60),GUS_tabl_2!$A$8:$B$464,GUS_tabl_21!$A$5:$B$4886),2,FALSE)),SUM(FIND("..",TRIM(VLOOKUP(IF(AND(LEN($A1168)=4,VALUE(RIGHT($A1168,2))&gt;60),$A1168&amp;"01 1",$A1168),IF(AND(LEN($A1168)=4,VALUE(RIGHT($A1168,2))&lt;60),GUS_tabl_2!$A$8:$B$464,GUS_tabl_21!$A$5:$B$4886),2,FALSE))),-1)))))</f>
        <v>m. Łaskarzew</v>
      </c>
      <c r="D1168" s="141">
        <f>IF(OR($A1168="",ISERROR(VALUE(LEFT($A1168,6)))),"",IF(LEN($A1168)=2,SUMIF($A1169:$A$2965,$A1168&amp;"??",$D1169:$D$2965),IF(AND(LEN($A1168)=4,VALUE(RIGHT($A1168,2))&lt;=60),SUMIF($A1169:$A$2965,$A1168&amp;"????",$D1169:$D$2965),VLOOKUP(IF(LEN($A1168)=4,$A1168&amp;"01 1",$A1168),GUS_tabl_21!$A$5:$F$4886,6,FALSE))))</f>
        <v>4829</v>
      </c>
      <c r="E1168" s="29"/>
    </row>
    <row r="1169" spans="1:5" ht="12" customHeight="1">
      <c r="A1169" s="155" t="str">
        <f>"140303 2"</f>
        <v>140303 2</v>
      </c>
      <c r="B1169" s="153" t="s">
        <v>45</v>
      </c>
      <c r="C1169" s="156" t="str">
        <f>IF(OR($A1169="",ISERROR(VALUE(LEFT($A1169,6)))),"",IF(LEN($A1169)=2,"WOJ. ",IF(LEN($A1169)=4,IF(VALUE(RIGHT($A1169,2))&gt;60,"","Powiat "),IF(VALUE(RIGHT($A1169,1))=1,"m. ",IF(VALUE(RIGHT($A1169,1))=2,"gm. w. ",IF(VALUE(RIGHT($A1169,1))=8,"dz. ","gm. m.-w. ")))))&amp;IF(LEN($A1169)=2,TRIM(UPPER(VLOOKUP($A1169,GUS_tabl_1!$A$7:$B$22,2,FALSE))),IF(ISERROR(FIND("..",TRIM(VLOOKUP(IF(AND(LEN($A1169)=4,VALUE(RIGHT($A1169,2))&gt;60),$A1169&amp;"01 1",$A1169),IF(AND(LEN($A1169)=4,VALUE(RIGHT($A1169,2))&lt;60),GUS_tabl_2!$A$8:$B$464,GUS_tabl_21!$A$5:$B$4886),2,FALSE)))),TRIM(VLOOKUP(IF(AND(LEN($A1169)=4,VALUE(RIGHT($A1169,2))&gt;60),$A1169&amp;"01 1",$A1169),IF(AND(LEN($A1169)=4,VALUE(RIGHT($A1169,2))&lt;60),GUS_tabl_2!$A$8:$B$464,GUS_tabl_21!$A$5:$B$4886),2,FALSE)),LEFT(TRIM(VLOOKUP(IF(AND(LEN($A1169)=4,VALUE(RIGHT($A1169,2))&gt;60),$A1169&amp;"01 1",$A1169),IF(AND(LEN($A1169)=4,VALUE(RIGHT($A1169,2))&lt;60),GUS_tabl_2!$A$8:$B$464,GUS_tabl_21!$A$5:$B$4886),2,FALSE)),SUM(FIND("..",TRIM(VLOOKUP(IF(AND(LEN($A1169)=4,VALUE(RIGHT($A1169,2))&gt;60),$A1169&amp;"01 1",$A1169),IF(AND(LEN($A1169)=4,VALUE(RIGHT($A1169,2))&lt;60),GUS_tabl_2!$A$8:$B$464,GUS_tabl_21!$A$5:$B$4886),2,FALSE))),-1)))))</f>
        <v>gm. w. Borowie</v>
      </c>
      <c r="D1169" s="141">
        <f>IF(OR($A1169="",ISERROR(VALUE(LEFT($A1169,6)))),"",IF(LEN($A1169)=2,SUMIF($A1170:$A$2965,$A1169&amp;"??",$D1170:$D$2965),IF(AND(LEN($A1169)=4,VALUE(RIGHT($A1169,2))&lt;=60),SUMIF($A1170:$A$2965,$A1169&amp;"????",$D1170:$D$2965),VLOOKUP(IF(LEN($A1169)=4,$A1169&amp;"01 1",$A1169),GUS_tabl_21!$A$5:$F$4886,6,FALSE))))</f>
        <v>5283</v>
      </c>
      <c r="E1169" s="29"/>
    </row>
    <row r="1170" spans="1:5" ht="12" customHeight="1">
      <c r="A1170" s="155" t="str">
        <f>"140304 2"</f>
        <v>140304 2</v>
      </c>
      <c r="B1170" s="153" t="s">
        <v>45</v>
      </c>
      <c r="C1170" s="156" t="str">
        <f>IF(OR($A1170="",ISERROR(VALUE(LEFT($A1170,6)))),"",IF(LEN($A1170)=2,"WOJ. ",IF(LEN($A1170)=4,IF(VALUE(RIGHT($A1170,2))&gt;60,"","Powiat "),IF(VALUE(RIGHT($A1170,1))=1,"m. ",IF(VALUE(RIGHT($A1170,1))=2,"gm. w. ",IF(VALUE(RIGHT($A1170,1))=8,"dz. ","gm. m.-w. ")))))&amp;IF(LEN($A1170)=2,TRIM(UPPER(VLOOKUP($A1170,GUS_tabl_1!$A$7:$B$22,2,FALSE))),IF(ISERROR(FIND("..",TRIM(VLOOKUP(IF(AND(LEN($A1170)=4,VALUE(RIGHT($A1170,2))&gt;60),$A1170&amp;"01 1",$A1170),IF(AND(LEN($A1170)=4,VALUE(RIGHT($A1170,2))&lt;60),GUS_tabl_2!$A$8:$B$464,GUS_tabl_21!$A$5:$B$4886),2,FALSE)))),TRIM(VLOOKUP(IF(AND(LEN($A1170)=4,VALUE(RIGHT($A1170,2))&gt;60),$A1170&amp;"01 1",$A1170),IF(AND(LEN($A1170)=4,VALUE(RIGHT($A1170,2))&lt;60),GUS_tabl_2!$A$8:$B$464,GUS_tabl_21!$A$5:$B$4886),2,FALSE)),LEFT(TRIM(VLOOKUP(IF(AND(LEN($A1170)=4,VALUE(RIGHT($A1170,2))&gt;60),$A1170&amp;"01 1",$A1170),IF(AND(LEN($A1170)=4,VALUE(RIGHT($A1170,2))&lt;60),GUS_tabl_2!$A$8:$B$464,GUS_tabl_21!$A$5:$B$4886),2,FALSE)),SUM(FIND("..",TRIM(VLOOKUP(IF(AND(LEN($A1170)=4,VALUE(RIGHT($A1170,2))&gt;60),$A1170&amp;"01 1",$A1170),IF(AND(LEN($A1170)=4,VALUE(RIGHT($A1170,2))&lt;60),GUS_tabl_2!$A$8:$B$464,GUS_tabl_21!$A$5:$B$4886),2,FALSE))),-1)))))</f>
        <v>gm. w. Garwolin</v>
      </c>
      <c r="D1170" s="141">
        <f>IF(OR($A1170="",ISERROR(VALUE(LEFT($A1170,6)))),"",IF(LEN($A1170)=2,SUMIF($A1171:$A$2965,$A1170&amp;"??",$D1171:$D$2965),IF(AND(LEN($A1170)=4,VALUE(RIGHT($A1170,2))&lt;=60),SUMIF($A1171:$A$2965,$A1170&amp;"????",$D1171:$D$2965),VLOOKUP(IF(LEN($A1170)=4,$A1170&amp;"01 1",$A1170),GUS_tabl_21!$A$5:$F$4886,6,FALSE))))</f>
        <v>13273</v>
      </c>
      <c r="E1170" s="29"/>
    </row>
    <row r="1171" spans="1:5" ht="12" customHeight="1">
      <c r="A1171" s="155" t="str">
        <f>"140305 2"</f>
        <v>140305 2</v>
      </c>
      <c r="B1171" s="153" t="s">
        <v>45</v>
      </c>
      <c r="C1171" s="156" t="str">
        <f>IF(OR($A1171="",ISERROR(VALUE(LEFT($A1171,6)))),"",IF(LEN($A1171)=2,"WOJ. ",IF(LEN($A1171)=4,IF(VALUE(RIGHT($A1171,2))&gt;60,"","Powiat "),IF(VALUE(RIGHT($A1171,1))=1,"m. ",IF(VALUE(RIGHT($A1171,1))=2,"gm. w. ",IF(VALUE(RIGHT($A1171,1))=8,"dz. ","gm. m.-w. ")))))&amp;IF(LEN($A1171)=2,TRIM(UPPER(VLOOKUP($A1171,GUS_tabl_1!$A$7:$B$22,2,FALSE))),IF(ISERROR(FIND("..",TRIM(VLOOKUP(IF(AND(LEN($A1171)=4,VALUE(RIGHT($A1171,2))&gt;60),$A1171&amp;"01 1",$A1171),IF(AND(LEN($A1171)=4,VALUE(RIGHT($A1171,2))&lt;60),GUS_tabl_2!$A$8:$B$464,GUS_tabl_21!$A$5:$B$4886),2,FALSE)))),TRIM(VLOOKUP(IF(AND(LEN($A1171)=4,VALUE(RIGHT($A1171,2))&gt;60),$A1171&amp;"01 1",$A1171),IF(AND(LEN($A1171)=4,VALUE(RIGHT($A1171,2))&lt;60),GUS_tabl_2!$A$8:$B$464,GUS_tabl_21!$A$5:$B$4886),2,FALSE)),LEFT(TRIM(VLOOKUP(IF(AND(LEN($A1171)=4,VALUE(RIGHT($A1171,2))&gt;60),$A1171&amp;"01 1",$A1171),IF(AND(LEN($A1171)=4,VALUE(RIGHT($A1171,2))&lt;60),GUS_tabl_2!$A$8:$B$464,GUS_tabl_21!$A$5:$B$4886),2,FALSE)),SUM(FIND("..",TRIM(VLOOKUP(IF(AND(LEN($A1171)=4,VALUE(RIGHT($A1171,2))&gt;60),$A1171&amp;"01 1",$A1171),IF(AND(LEN($A1171)=4,VALUE(RIGHT($A1171,2))&lt;60),GUS_tabl_2!$A$8:$B$464,GUS_tabl_21!$A$5:$B$4886),2,FALSE))),-1)))))</f>
        <v>gm. w. Górzno</v>
      </c>
      <c r="D1171" s="141">
        <f>IF(OR($A1171="",ISERROR(VALUE(LEFT($A1171,6)))),"",IF(LEN($A1171)=2,SUMIF($A1172:$A$2965,$A1171&amp;"??",$D1172:$D$2965),IF(AND(LEN($A1171)=4,VALUE(RIGHT($A1171,2))&lt;=60),SUMIF($A1172:$A$2965,$A1171&amp;"????",$D1172:$D$2965),VLOOKUP(IF(LEN($A1171)=4,$A1171&amp;"01 1",$A1171),GUS_tabl_21!$A$5:$F$4886,6,FALSE))))</f>
        <v>6541</v>
      </c>
      <c r="E1171" s="29"/>
    </row>
    <row r="1172" spans="1:5" ht="12" customHeight="1">
      <c r="A1172" s="155" t="str">
        <f>"140306 2"</f>
        <v>140306 2</v>
      </c>
      <c r="B1172" s="153" t="s">
        <v>45</v>
      </c>
      <c r="C1172" s="156" t="str">
        <f>IF(OR($A1172="",ISERROR(VALUE(LEFT($A1172,6)))),"",IF(LEN($A1172)=2,"WOJ. ",IF(LEN($A1172)=4,IF(VALUE(RIGHT($A1172,2))&gt;60,"","Powiat "),IF(VALUE(RIGHT($A1172,1))=1,"m. ",IF(VALUE(RIGHT($A1172,1))=2,"gm. w. ",IF(VALUE(RIGHT($A1172,1))=8,"dz. ","gm. m.-w. ")))))&amp;IF(LEN($A1172)=2,TRIM(UPPER(VLOOKUP($A1172,GUS_tabl_1!$A$7:$B$22,2,FALSE))),IF(ISERROR(FIND("..",TRIM(VLOOKUP(IF(AND(LEN($A1172)=4,VALUE(RIGHT($A1172,2))&gt;60),$A1172&amp;"01 1",$A1172),IF(AND(LEN($A1172)=4,VALUE(RIGHT($A1172,2))&lt;60),GUS_tabl_2!$A$8:$B$464,GUS_tabl_21!$A$5:$B$4886),2,FALSE)))),TRIM(VLOOKUP(IF(AND(LEN($A1172)=4,VALUE(RIGHT($A1172,2))&gt;60),$A1172&amp;"01 1",$A1172),IF(AND(LEN($A1172)=4,VALUE(RIGHT($A1172,2))&lt;60),GUS_tabl_2!$A$8:$B$464,GUS_tabl_21!$A$5:$B$4886),2,FALSE)),LEFT(TRIM(VLOOKUP(IF(AND(LEN($A1172)=4,VALUE(RIGHT($A1172,2))&gt;60),$A1172&amp;"01 1",$A1172),IF(AND(LEN($A1172)=4,VALUE(RIGHT($A1172,2))&lt;60),GUS_tabl_2!$A$8:$B$464,GUS_tabl_21!$A$5:$B$4886),2,FALSE)),SUM(FIND("..",TRIM(VLOOKUP(IF(AND(LEN($A1172)=4,VALUE(RIGHT($A1172,2))&gt;60),$A1172&amp;"01 1",$A1172),IF(AND(LEN($A1172)=4,VALUE(RIGHT($A1172,2))&lt;60),GUS_tabl_2!$A$8:$B$464,GUS_tabl_21!$A$5:$B$4886),2,FALSE))),-1)))))</f>
        <v>gm. w. Łaskarzew</v>
      </c>
      <c r="D1172" s="141">
        <f>IF(OR($A1172="",ISERROR(VALUE(LEFT($A1172,6)))),"",IF(LEN($A1172)=2,SUMIF($A1173:$A$2965,$A1172&amp;"??",$D1173:$D$2965),IF(AND(LEN($A1172)=4,VALUE(RIGHT($A1172,2))&lt;=60),SUMIF($A1173:$A$2965,$A1172&amp;"????",$D1173:$D$2965),VLOOKUP(IF(LEN($A1172)=4,$A1172&amp;"01 1",$A1172),GUS_tabl_21!$A$5:$F$4886,6,FALSE))))</f>
        <v>5475</v>
      </c>
      <c r="E1172" s="29"/>
    </row>
    <row r="1173" spans="1:5" ht="12" customHeight="1">
      <c r="A1173" s="155" t="str">
        <f>"140307 2"</f>
        <v>140307 2</v>
      </c>
      <c r="B1173" s="153" t="s">
        <v>45</v>
      </c>
      <c r="C1173" s="156" t="str">
        <f>IF(OR($A1173="",ISERROR(VALUE(LEFT($A1173,6)))),"",IF(LEN($A1173)=2,"WOJ. ",IF(LEN($A1173)=4,IF(VALUE(RIGHT($A1173,2))&gt;60,"","Powiat "),IF(VALUE(RIGHT($A1173,1))=1,"m. ",IF(VALUE(RIGHT($A1173,1))=2,"gm. w. ",IF(VALUE(RIGHT($A1173,1))=8,"dz. ","gm. m.-w. ")))))&amp;IF(LEN($A1173)=2,TRIM(UPPER(VLOOKUP($A1173,GUS_tabl_1!$A$7:$B$22,2,FALSE))),IF(ISERROR(FIND("..",TRIM(VLOOKUP(IF(AND(LEN($A1173)=4,VALUE(RIGHT($A1173,2))&gt;60),$A1173&amp;"01 1",$A1173),IF(AND(LEN($A1173)=4,VALUE(RIGHT($A1173,2))&lt;60),GUS_tabl_2!$A$8:$B$464,GUS_tabl_21!$A$5:$B$4886),2,FALSE)))),TRIM(VLOOKUP(IF(AND(LEN($A1173)=4,VALUE(RIGHT($A1173,2))&gt;60),$A1173&amp;"01 1",$A1173),IF(AND(LEN($A1173)=4,VALUE(RIGHT($A1173,2))&lt;60),GUS_tabl_2!$A$8:$B$464,GUS_tabl_21!$A$5:$B$4886),2,FALSE)),LEFT(TRIM(VLOOKUP(IF(AND(LEN($A1173)=4,VALUE(RIGHT($A1173,2))&gt;60),$A1173&amp;"01 1",$A1173),IF(AND(LEN($A1173)=4,VALUE(RIGHT($A1173,2))&lt;60),GUS_tabl_2!$A$8:$B$464,GUS_tabl_21!$A$5:$B$4886),2,FALSE)),SUM(FIND("..",TRIM(VLOOKUP(IF(AND(LEN($A1173)=4,VALUE(RIGHT($A1173,2))&gt;60),$A1173&amp;"01 1",$A1173),IF(AND(LEN($A1173)=4,VALUE(RIGHT($A1173,2))&lt;60),GUS_tabl_2!$A$8:$B$464,GUS_tabl_21!$A$5:$B$4886),2,FALSE))),-1)))))</f>
        <v>gm. w. Maciejowice</v>
      </c>
      <c r="D1173" s="141">
        <f>IF(OR($A1173="",ISERROR(VALUE(LEFT($A1173,6)))),"",IF(LEN($A1173)=2,SUMIF($A1174:$A$2965,$A1173&amp;"??",$D1174:$D$2965),IF(AND(LEN($A1173)=4,VALUE(RIGHT($A1173,2))&lt;=60),SUMIF($A1174:$A$2965,$A1173&amp;"????",$D1174:$D$2965),VLOOKUP(IF(LEN($A1173)=4,$A1173&amp;"01 1",$A1173),GUS_tabl_21!$A$5:$F$4886,6,FALSE))))</f>
        <v>6909</v>
      </c>
      <c r="E1173" s="29"/>
    </row>
    <row r="1174" spans="1:5" ht="12" customHeight="1">
      <c r="A1174" s="155" t="str">
        <f>"140308 2"</f>
        <v>140308 2</v>
      </c>
      <c r="B1174" s="153" t="s">
        <v>45</v>
      </c>
      <c r="C1174" s="156" t="str">
        <f>IF(OR($A1174="",ISERROR(VALUE(LEFT($A1174,6)))),"",IF(LEN($A1174)=2,"WOJ. ",IF(LEN($A1174)=4,IF(VALUE(RIGHT($A1174,2))&gt;60,"","Powiat "),IF(VALUE(RIGHT($A1174,1))=1,"m. ",IF(VALUE(RIGHT($A1174,1))=2,"gm. w. ",IF(VALUE(RIGHT($A1174,1))=8,"dz. ","gm. m.-w. ")))))&amp;IF(LEN($A1174)=2,TRIM(UPPER(VLOOKUP($A1174,GUS_tabl_1!$A$7:$B$22,2,FALSE))),IF(ISERROR(FIND("..",TRIM(VLOOKUP(IF(AND(LEN($A1174)=4,VALUE(RIGHT($A1174,2))&gt;60),$A1174&amp;"01 1",$A1174),IF(AND(LEN($A1174)=4,VALUE(RIGHT($A1174,2))&lt;60),GUS_tabl_2!$A$8:$B$464,GUS_tabl_21!$A$5:$B$4886),2,FALSE)))),TRIM(VLOOKUP(IF(AND(LEN($A1174)=4,VALUE(RIGHT($A1174,2))&gt;60),$A1174&amp;"01 1",$A1174),IF(AND(LEN($A1174)=4,VALUE(RIGHT($A1174,2))&lt;60),GUS_tabl_2!$A$8:$B$464,GUS_tabl_21!$A$5:$B$4886),2,FALSE)),LEFT(TRIM(VLOOKUP(IF(AND(LEN($A1174)=4,VALUE(RIGHT($A1174,2))&gt;60),$A1174&amp;"01 1",$A1174),IF(AND(LEN($A1174)=4,VALUE(RIGHT($A1174,2))&lt;60),GUS_tabl_2!$A$8:$B$464,GUS_tabl_21!$A$5:$B$4886),2,FALSE)),SUM(FIND("..",TRIM(VLOOKUP(IF(AND(LEN($A1174)=4,VALUE(RIGHT($A1174,2))&gt;60),$A1174&amp;"01 1",$A1174),IF(AND(LEN($A1174)=4,VALUE(RIGHT($A1174,2))&lt;60),GUS_tabl_2!$A$8:$B$464,GUS_tabl_21!$A$5:$B$4886),2,FALSE))),-1)))))</f>
        <v>gm. w. Miastków Kościelny</v>
      </c>
      <c r="D1174" s="141">
        <f>IF(OR($A1174="",ISERROR(VALUE(LEFT($A1174,6)))),"",IF(LEN($A1174)=2,SUMIF($A1175:$A$2965,$A1174&amp;"??",$D1175:$D$2965),IF(AND(LEN($A1174)=4,VALUE(RIGHT($A1174,2))&lt;=60),SUMIF($A1175:$A$2965,$A1174&amp;"????",$D1175:$D$2965),VLOOKUP(IF(LEN($A1174)=4,$A1174&amp;"01 1",$A1174),GUS_tabl_21!$A$5:$F$4886,6,FALSE))))</f>
        <v>4869</v>
      </c>
      <c r="E1174" s="29"/>
    </row>
    <row r="1175" spans="1:5" ht="12" customHeight="1">
      <c r="A1175" s="155" t="str">
        <f>"140309 2"</f>
        <v>140309 2</v>
      </c>
      <c r="B1175" s="153" t="s">
        <v>45</v>
      </c>
      <c r="C1175" s="156" t="str">
        <f>IF(OR($A1175="",ISERROR(VALUE(LEFT($A1175,6)))),"",IF(LEN($A1175)=2,"WOJ. ",IF(LEN($A1175)=4,IF(VALUE(RIGHT($A1175,2))&gt;60,"","Powiat "),IF(VALUE(RIGHT($A1175,1))=1,"m. ",IF(VALUE(RIGHT($A1175,1))=2,"gm. w. ",IF(VALUE(RIGHT($A1175,1))=8,"dz. ","gm. m.-w. ")))))&amp;IF(LEN($A1175)=2,TRIM(UPPER(VLOOKUP($A1175,GUS_tabl_1!$A$7:$B$22,2,FALSE))),IF(ISERROR(FIND("..",TRIM(VLOOKUP(IF(AND(LEN($A1175)=4,VALUE(RIGHT($A1175,2))&gt;60),$A1175&amp;"01 1",$A1175),IF(AND(LEN($A1175)=4,VALUE(RIGHT($A1175,2))&lt;60),GUS_tabl_2!$A$8:$B$464,GUS_tabl_21!$A$5:$B$4886),2,FALSE)))),TRIM(VLOOKUP(IF(AND(LEN($A1175)=4,VALUE(RIGHT($A1175,2))&gt;60),$A1175&amp;"01 1",$A1175),IF(AND(LEN($A1175)=4,VALUE(RIGHT($A1175,2))&lt;60),GUS_tabl_2!$A$8:$B$464,GUS_tabl_21!$A$5:$B$4886),2,FALSE)),LEFT(TRIM(VLOOKUP(IF(AND(LEN($A1175)=4,VALUE(RIGHT($A1175,2))&gt;60),$A1175&amp;"01 1",$A1175),IF(AND(LEN($A1175)=4,VALUE(RIGHT($A1175,2))&lt;60),GUS_tabl_2!$A$8:$B$464,GUS_tabl_21!$A$5:$B$4886),2,FALSE)),SUM(FIND("..",TRIM(VLOOKUP(IF(AND(LEN($A1175)=4,VALUE(RIGHT($A1175,2))&gt;60),$A1175&amp;"01 1",$A1175),IF(AND(LEN($A1175)=4,VALUE(RIGHT($A1175,2))&lt;60),GUS_tabl_2!$A$8:$B$464,GUS_tabl_21!$A$5:$B$4886),2,FALSE))),-1)))))</f>
        <v>gm. w. Parysów</v>
      </c>
      <c r="D1175" s="141">
        <f>IF(OR($A1175="",ISERROR(VALUE(LEFT($A1175,6)))),"",IF(LEN($A1175)=2,SUMIF($A1176:$A$2965,$A1175&amp;"??",$D1176:$D$2965),IF(AND(LEN($A1175)=4,VALUE(RIGHT($A1175,2))&lt;=60),SUMIF($A1176:$A$2965,$A1175&amp;"????",$D1176:$D$2965),VLOOKUP(IF(LEN($A1175)=4,$A1175&amp;"01 1",$A1175),GUS_tabl_21!$A$5:$F$4886,6,FALSE))))</f>
        <v>4128</v>
      </c>
      <c r="E1175" s="29"/>
    </row>
    <row r="1176" spans="1:5" ht="12" customHeight="1">
      <c r="A1176" s="155" t="str">
        <f>"140310 3"</f>
        <v>140310 3</v>
      </c>
      <c r="B1176" s="153" t="s">
        <v>45</v>
      </c>
      <c r="C1176" s="156" t="str">
        <f>IF(OR($A1176="",ISERROR(VALUE(LEFT($A1176,6)))),"",IF(LEN($A1176)=2,"WOJ. ",IF(LEN($A1176)=4,IF(VALUE(RIGHT($A1176,2))&gt;60,"","Powiat "),IF(VALUE(RIGHT($A1176,1))=1,"m. ",IF(VALUE(RIGHT($A1176,1))=2,"gm. w. ",IF(VALUE(RIGHT($A1176,1))=8,"dz. ","gm. m.-w. ")))))&amp;IF(LEN($A1176)=2,TRIM(UPPER(VLOOKUP($A1176,GUS_tabl_1!$A$7:$B$22,2,FALSE))),IF(ISERROR(FIND("..",TRIM(VLOOKUP(IF(AND(LEN($A1176)=4,VALUE(RIGHT($A1176,2))&gt;60),$A1176&amp;"01 1",$A1176),IF(AND(LEN($A1176)=4,VALUE(RIGHT($A1176,2))&lt;60),GUS_tabl_2!$A$8:$B$464,GUS_tabl_21!$A$5:$B$4886),2,FALSE)))),TRIM(VLOOKUP(IF(AND(LEN($A1176)=4,VALUE(RIGHT($A1176,2))&gt;60),$A1176&amp;"01 1",$A1176),IF(AND(LEN($A1176)=4,VALUE(RIGHT($A1176,2))&lt;60),GUS_tabl_2!$A$8:$B$464,GUS_tabl_21!$A$5:$B$4886),2,FALSE)),LEFT(TRIM(VLOOKUP(IF(AND(LEN($A1176)=4,VALUE(RIGHT($A1176,2))&gt;60),$A1176&amp;"01 1",$A1176),IF(AND(LEN($A1176)=4,VALUE(RIGHT($A1176,2))&lt;60),GUS_tabl_2!$A$8:$B$464,GUS_tabl_21!$A$5:$B$4886),2,FALSE)),SUM(FIND("..",TRIM(VLOOKUP(IF(AND(LEN($A1176)=4,VALUE(RIGHT($A1176,2))&gt;60),$A1176&amp;"01 1",$A1176),IF(AND(LEN($A1176)=4,VALUE(RIGHT($A1176,2))&lt;60),GUS_tabl_2!$A$8:$B$464,GUS_tabl_21!$A$5:$B$4886),2,FALSE))),-1)))))</f>
        <v>gm. m.-w. Pilawa</v>
      </c>
      <c r="D1176" s="141">
        <f>IF(OR($A1176="",ISERROR(VALUE(LEFT($A1176,6)))),"",IF(LEN($A1176)=2,SUMIF($A1177:$A$2965,$A1176&amp;"??",$D1177:$D$2965),IF(AND(LEN($A1176)=4,VALUE(RIGHT($A1176,2))&lt;=60),SUMIF($A1177:$A$2965,$A1176&amp;"????",$D1177:$D$2965),VLOOKUP(IF(LEN($A1176)=4,$A1176&amp;"01 1",$A1176),GUS_tabl_21!$A$5:$F$4886,6,FALSE))))</f>
        <v>10975</v>
      </c>
      <c r="E1176" s="29"/>
    </row>
    <row r="1177" spans="1:5" ht="12" customHeight="1">
      <c r="A1177" s="155" t="str">
        <f>"140311 2"</f>
        <v>140311 2</v>
      </c>
      <c r="B1177" s="153" t="s">
        <v>45</v>
      </c>
      <c r="C1177" s="156" t="str">
        <f>IF(OR($A1177="",ISERROR(VALUE(LEFT($A1177,6)))),"",IF(LEN($A1177)=2,"WOJ. ",IF(LEN($A1177)=4,IF(VALUE(RIGHT($A1177,2))&gt;60,"","Powiat "),IF(VALUE(RIGHT($A1177,1))=1,"m. ",IF(VALUE(RIGHT($A1177,1))=2,"gm. w. ",IF(VALUE(RIGHT($A1177,1))=8,"dz. ","gm. m.-w. ")))))&amp;IF(LEN($A1177)=2,TRIM(UPPER(VLOOKUP($A1177,GUS_tabl_1!$A$7:$B$22,2,FALSE))),IF(ISERROR(FIND("..",TRIM(VLOOKUP(IF(AND(LEN($A1177)=4,VALUE(RIGHT($A1177,2))&gt;60),$A1177&amp;"01 1",$A1177),IF(AND(LEN($A1177)=4,VALUE(RIGHT($A1177,2))&lt;60),GUS_tabl_2!$A$8:$B$464,GUS_tabl_21!$A$5:$B$4886),2,FALSE)))),TRIM(VLOOKUP(IF(AND(LEN($A1177)=4,VALUE(RIGHT($A1177,2))&gt;60),$A1177&amp;"01 1",$A1177),IF(AND(LEN($A1177)=4,VALUE(RIGHT($A1177,2))&lt;60),GUS_tabl_2!$A$8:$B$464,GUS_tabl_21!$A$5:$B$4886),2,FALSE)),LEFT(TRIM(VLOOKUP(IF(AND(LEN($A1177)=4,VALUE(RIGHT($A1177,2))&gt;60),$A1177&amp;"01 1",$A1177),IF(AND(LEN($A1177)=4,VALUE(RIGHT($A1177,2))&lt;60),GUS_tabl_2!$A$8:$B$464,GUS_tabl_21!$A$5:$B$4886),2,FALSE)),SUM(FIND("..",TRIM(VLOOKUP(IF(AND(LEN($A1177)=4,VALUE(RIGHT($A1177,2))&gt;60),$A1177&amp;"01 1",$A1177),IF(AND(LEN($A1177)=4,VALUE(RIGHT($A1177,2))&lt;60),GUS_tabl_2!$A$8:$B$464,GUS_tabl_21!$A$5:$B$4886),2,FALSE))),-1)))))</f>
        <v>gm. w. Sobolew</v>
      </c>
      <c r="D1177" s="141">
        <f>IF(OR($A1177="",ISERROR(VALUE(LEFT($A1177,6)))),"",IF(LEN($A1177)=2,SUMIF($A1178:$A$2965,$A1177&amp;"??",$D1178:$D$2965),IF(AND(LEN($A1177)=4,VALUE(RIGHT($A1177,2))&lt;=60),SUMIF($A1178:$A$2965,$A1177&amp;"????",$D1178:$D$2965),VLOOKUP(IF(LEN($A1177)=4,$A1177&amp;"01 1",$A1177),GUS_tabl_21!$A$5:$F$4886,6,FALSE))))</f>
        <v>8239</v>
      </c>
      <c r="E1177" s="29"/>
    </row>
    <row r="1178" spans="1:5" ht="12" customHeight="1">
      <c r="A1178" s="155" t="str">
        <f>"140312 2"</f>
        <v>140312 2</v>
      </c>
      <c r="B1178" s="153" t="s">
        <v>45</v>
      </c>
      <c r="C1178" s="156" t="str">
        <f>IF(OR($A1178="",ISERROR(VALUE(LEFT($A1178,6)))),"",IF(LEN($A1178)=2,"WOJ. ",IF(LEN($A1178)=4,IF(VALUE(RIGHT($A1178,2))&gt;60,"","Powiat "),IF(VALUE(RIGHT($A1178,1))=1,"m. ",IF(VALUE(RIGHT($A1178,1))=2,"gm. w. ",IF(VALUE(RIGHT($A1178,1))=8,"dz. ","gm. m.-w. ")))))&amp;IF(LEN($A1178)=2,TRIM(UPPER(VLOOKUP($A1178,GUS_tabl_1!$A$7:$B$22,2,FALSE))),IF(ISERROR(FIND("..",TRIM(VLOOKUP(IF(AND(LEN($A1178)=4,VALUE(RIGHT($A1178,2))&gt;60),$A1178&amp;"01 1",$A1178),IF(AND(LEN($A1178)=4,VALUE(RIGHT($A1178,2))&lt;60),GUS_tabl_2!$A$8:$B$464,GUS_tabl_21!$A$5:$B$4886),2,FALSE)))),TRIM(VLOOKUP(IF(AND(LEN($A1178)=4,VALUE(RIGHT($A1178,2))&gt;60),$A1178&amp;"01 1",$A1178),IF(AND(LEN($A1178)=4,VALUE(RIGHT($A1178,2))&lt;60),GUS_tabl_2!$A$8:$B$464,GUS_tabl_21!$A$5:$B$4886),2,FALSE)),LEFT(TRIM(VLOOKUP(IF(AND(LEN($A1178)=4,VALUE(RIGHT($A1178,2))&gt;60),$A1178&amp;"01 1",$A1178),IF(AND(LEN($A1178)=4,VALUE(RIGHT($A1178,2))&lt;60),GUS_tabl_2!$A$8:$B$464,GUS_tabl_21!$A$5:$B$4886),2,FALSE)),SUM(FIND("..",TRIM(VLOOKUP(IF(AND(LEN($A1178)=4,VALUE(RIGHT($A1178,2))&gt;60),$A1178&amp;"01 1",$A1178),IF(AND(LEN($A1178)=4,VALUE(RIGHT($A1178,2))&lt;60),GUS_tabl_2!$A$8:$B$464,GUS_tabl_21!$A$5:$B$4886),2,FALSE))),-1)))))</f>
        <v>gm. w. Trojanów</v>
      </c>
      <c r="D1178" s="141">
        <f>IF(OR($A1178="",ISERROR(VALUE(LEFT($A1178,6)))),"",IF(LEN($A1178)=2,SUMIF($A1179:$A$2965,$A1178&amp;"??",$D1179:$D$2965),IF(AND(LEN($A1178)=4,VALUE(RIGHT($A1178,2))&lt;=60),SUMIF($A1179:$A$2965,$A1178&amp;"????",$D1179:$D$2965),VLOOKUP(IF(LEN($A1178)=4,$A1178&amp;"01 1",$A1178),GUS_tabl_21!$A$5:$F$4886,6,FALSE))))</f>
        <v>7299</v>
      </c>
      <c r="E1178" s="29"/>
    </row>
    <row r="1179" spans="1:5" ht="12" customHeight="1">
      <c r="A1179" s="155" t="str">
        <f>"140313 2"</f>
        <v>140313 2</v>
      </c>
      <c r="B1179" s="153" t="s">
        <v>45</v>
      </c>
      <c r="C1179" s="156" t="str">
        <f>IF(OR($A1179="",ISERROR(VALUE(LEFT($A1179,6)))),"",IF(LEN($A1179)=2,"WOJ. ",IF(LEN($A1179)=4,IF(VALUE(RIGHT($A1179,2))&gt;60,"","Powiat "),IF(VALUE(RIGHT($A1179,1))=1,"m. ",IF(VALUE(RIGHT($A1179,1))=2,"gm. w. ",IF(VALUE(RIGHT($A1179,1))=8,"dz. ","gm. m.-w. ")))))&amp;IF(LEN($A1179)=2,TRIM(UPPER(VLOOKUP($A1179,GUS_tabl_1!$A$7:$B$22,2,FALSE))),IF(ISERROR(FIND("..",TRIM(VLOOKUP(IF(AND(LEN($A1179)=4,VALUE(RIGHT($A1179,2))&gt;60),$A1179&amp;"01 1",$A1179),IF(AND(LEN($A1179)=4,VALUE(RIGHT($A1179,2))&lt;60),GUS_tabl_2!$A$8:$B$464,GUS_tabl_21!$A$5:$B$4886),2,FALSE)))),TRIM(VLOOKUP(IF(AND(LEN($A1179)=4,VALUE(RIGHT($A1179,2))&gt;60),$A1179&amp;"01 1",$A1179),IF(AND(LEN($A1179)=4,VALUE(RIGHT($A1179,2))&lt;60),GUS_tabl_2!$A$8:$B$464,GUS_tabl_21!$A$5:$B$4886),2,FALSE)),LEFT(TRIM(VLOOKUP(IF(AND(LEN($A1179)=4,VALUE(RIGHT($A1179,2))&gt;60),$A1179&amp;"01 1",$A1179),IF(AND(LEN($A1179)=4,VALUE(RIGHT($A1179,2))&lt;60),GUS_tabl_2!$A$8:$B$464,GUS_tabl_21!$A$5:$B$4886),2,FALSE)),SUM(FIND("..",TRIM(VLOOKUP(IF(AND(LEN($A1179)=4,VALUE(RIGHT($A1179,2))&gt;60),$A1179&amp;"01 1",$A1179),IF(AND(LEN($A1179)=4,VALUE(RIGHT($A1179,2))&lt;60),GUS_tabl_2!$A$8:$B$464,GUS_tabl_21!$A$5:$B$4886),2,FALSE))),-1)))))</f>
        <v>gm. w. Wilga</v>
      </c>
      <c r="D1179" s="141">
        <f>IF(OR($A1179="",ISERROR(VALUE(LEFT($A1179,6)))),"",IF(LEN($A1179)=2,SUMIF($A1180:$A$2965,$A1179&amp;"??",$D1180:$D$2965),IF(AND(LEN($A1179)=4,VALUE(RIGHT($A1179,2))&lt;=60),SUMIF($A1180:$A$2965,$A1179&amp;"????",$D1180:$D$2965),VLOOKUP(IF(LEN($A1179)=4,$A1179&amp;"01 1",$A1179),GUS_tabl_21!$A$5:$F$4886,6,FALSE))))</f>
        <v>5278</v>
      </c>
      <c r="E1179" s="29"/>
    </row>
    <row r="1180" spans="1:5" ht="12" customHeight="1">
      <c r="A1180" s="155" t="str">
        <f>"140314 3"</f>
        <v>140314 3</v>
      </c>
      <c r="B1180" s="153" t="s">
        <v>45</v>
      </c>
      <c r="C1180" s="156" t="str">
        <f>IF(OR($A1180="",ISERROR(VALUE(LEFT($A1180,6)))),"",IF(LEN($A1180)=2,"WOJ. ",IF(LEN($A1180)=4,IF(VALUE(RIGHT($A1180,2))&gt;60,"","Powiat "),IF(VALUE(RIGHT($A1180,1))=1,"m. ",IF(VALUE(RIGHT($A1180,1))=2,"gm. w. ",IF(VALUE(RIGHT($A1180,1))=8,"dz. ","gm. m.-w. ")))))&amp;IF(LEN($A1180)=2,TRIM(UPPER(VLOOKUP($A1180,GUS_tabl_1!$A$7:$B$22,2,FALSE))),IF(ISERROR(FIND("..",TRIM(VLOOKUP(IF(AND(LEN($A1180)=4,VALUE(RIGHT($A1180,2))&gt;60),$A1180&amp;"01 1",$A1180),IF(AND(LEN($A1180)=4,VALUE(RIGHT($A1180,2))&lt;60),GUS_tabl_2!$A$8:$B$464,GUS_tabl_21!$A$5:$B$4886),2,FALSE)))),TRIM(VLOOKUP(IF(AND(LEN($A1180)=4,VALUE(RIGHT($A1180,2))&gt;60),$A1180&amp;"01 1",$A1180),IF(AND(LEN($A1180)=4,VALUE(RIGHT($A1180,2))&lt;60),GUS_tabl_2!$A$8:$B$464,GUS_tabl_21!$A$5:$B$4886),2,FALSE)),LEFT(TRIM(VLOOKUP(IF(AND(LEN($A1180)=4,VALUE(RIGHT($A1180,2))&gt;60),$A1180&amp;"01 1",$A1180),IF(AND(LEN($A1180)=4,VALUE(RIGHT($A1180,2))&lt;60),GUS_tabl_2!$A$8:$B$464,GUS_tabl_21!$A$5:$B$4886),2,FALSE)),SUM(FIND("..",TRIM(VLOOKUP(IF(AND(LEN($A1180)=4,VALUE(RIGHT($A1180,2))&gt;60),$A1180&amp;"01 1",$A1180),IF(AND(LEN($A1180)=4,VALUE(RIGHT($A1180,2))&lt;60),GUS_tabl_2!$A$8:$B$464,GUS_tabl_21!$A$5:$B$4886),2,FALSE))),-1)))))</f>
        <v>gm. m.-w. Żelechów</v>
      </c>
      <c r="D1180" s="141">
        <f>IF(OR($A1180="",ISERROR(VALUE(LEFT($A1180,6)))),"",IF(LEN($A1180)=2,SUMIF($A1181:$A$2965,$A1180&amp;"??",$D1181:$D$2965),IF(AND(LEN($A1180)=4,VALUE(RIGHT($A1180,2))&lt;=60),SUMIF($A1181:$A$2965,$A1180&amp;"????",$D1181:$D$2965),VLOOKUP(IF(LEN($A1180)=4,$A1180&amp;"01 1",$A1180),GUS_tabl_21!$A$5:$F$4886,6,FALSE))))</f>
        <v>8281</v>
      </c>
      <c r="E1180" s="29"/>
    </row>
    <row r="1181" spans="1:5" ht="12" customHeight="1">
      <c r="A1181" s="152" t="str">
        <f>"1404"</f>
        <v>1404</v>
      </c>
      <c r="B1181" s="153" t="s">
        <v>45</v>
      </c>
      <c r="C1181" s="154" t="str">
        <f>IF(OR($A1181="",ISERROR(VALUE(LEFT($A1181,6)))),"",IF(LEN($A1181)=2,"WOJ. ",IF(LEN($A1181)=4,IF(VALUE(RIGHT($A1181,2))&gt;60,"","Powiat "),IF(VALUE(RIGHT($A1181,1))=1,"m. ",IF(VALUE(RIGHT($A1181,1))=2,"gm. w. ",IF(VALUE(RIGHT($A1181,1))=8,"dz. ","gm. m.-w. ")))))&amp;IF(LEN($A1181)=2,TRIM(UPPER(VLOOKUP($A1181,GUS_tabl_1!$A$7:$B$22,2,FALSE))),IF(ISERROR(FIND("..",TRIM(VLOOKUP(IF(AND(LEN($A1181)=4,VALUE(RIGHT($A1181,2))&gt;60),$A1181&amp;"01 1",$A1181),IF(AND(LEN($A1181)=4,VALUE(RIGHT($A1181,2))&lt;60),GUS_tabl_2!$A$8:$B$464,GUS_tabl_21!$A$5:$B$4886),2,FALSE)))),TRIM(VLOOKUP(IF(AND(LEN($A1181)=4,VALUE(RIGHT($A1181,2))&gt;60),$A1181&amp;"01 1",$A1181),IF(AND(LEN($A1181)=4,VALUE(RIGHT($A1181,2))&lt;60),GUS_tabl_2!$A$8:$B$464,GUS_tabl_21!$A$5:$B$4886),2,FALSE)),LEFT(TRIM(VLOOKUP(IF(AND(LEN($A1181)=4,VALUE(RIGHT($A1181,2))&gt;60),$A1181&amp;"01 1",$A1181),IF(AND(LEN($A1181)=4,VALUE(RIGHT($A1181,2))&lt;60),GUS_tabl_2!$A$8:$B$464,GUS_tabl_21!$A$5:$B$4886),2,FALSE)),SUM(FIND("..",TRIM(VLOOKUP(IF(AND(LEN($A1181)=4,VALUE(RIGHT($A1181,2))&gt;60),$A1181&amp;"01 1",$A1181),IF(AND(LEN($A1181)=4,VALUE(RIGHT($A1181,2))&lt;60),GUS_tabl_2!$A$8:$B$464,GUS_tabl_21!$A$5:$B$4886),2,FALSE))),-1)))))</f>
        <v>Powiat gostyniński</v>
      </c>
      <c r="D1181" s="140">
        <f>IF(OR($A1181="",ISERROR(VALUE(LEFT($A1181,6)))),"",IF(LEN($A1181)=2,SUMIF($A1182:$A$2965,$A1181&amp;"??",$D1182:$D$2965),IF(AND(LEN($A1181)=4,VALUE(RIGHT($A1181,2))&lt;=60),SUMIF($A1182:$A$2965,$A1181&amp;"????",$D1182:$D$2965),VLOOKUP(IF(LEN($A1181)=4,$A1181&amp;"01 1",$A1181),GUS_tabl_21!$A$5:$F$4886,6,FALSE))))</f>
        <v>44899</v>
      </c>
      <c r="E1181" s="29"/>
    </row>
    <row r="1182" spans="1:5" ht="12" customHeight="1">
      <c r="A1182" s="155" t="str">
        <f>"140401 1"</f>
        <v>140401 1</v>
      </c>
      <c r="B1182" s="153" t="s">
        <v>45</v>
      </c>
      <c r="C1182" s="156" t="str">
        <f>IF(OR($A1182="",ISERROR(VALUE(LEFT($A1182,6)))),"",IF(LEN($A1182)=2,"WOJ. ",IF(LEN($A1182)=4,IF(VALUE(RIGHT($A1182,2))&gt;60,"","Powiat "),IF(VALUE(RIGHT($A1182,1))=1,"m. ",IF(VALUE(RIGHT($A1182,1))=2,"gm. w. ",IF(VALUE(RIGHT($A1182,1))=8,"dz. ","gm. m.-w. ")))))&amp;IF(LEN($A1182)=2,TRIM(UPPER(VLOOKUP($A1182,GUS_tabl_1!$A$7:$B$22,2,FALSE))),IF(ISERROR(FIND("..",TRIM(VLOOKUP(IF(AND(LEN($A1182)=4,VALUE(RIGHT($A1182,2))&gt;60),$A1182&amp;"01 1",$A1182),IF(AND(LEN($A1182)=4,VALUE(RIGHT($A1182,2))&lt;60),GUS_tabl_2!$A$8:$B$464,GUS_tabl_21!$A$5:$B$4886),2,FALSE)))),TRIM(VLOOKUP(IF(AND(LEN($A1182)=4,VALUE(RIGHT($A1182,2))&gt;60),$A1182&amp;"01 1",$A1182),IF(AND(LEN($A1182)=4,VALUE(RIGHT($A1182,2))&lt;60),GUS_tabl_2!$A$8:$B$464,GUS_tabl_21!$A$5:$B$4886),2,FALSE)),LEFT(TRIM(VLOOKUP(IF(AND(LEN($A1182)=4,VALUE(RIGHT($A1182,2))&gt;60),$A1182&amp;"01 1",$A1182),IF(AND(LEN($A1182)=4,VALUE(RIGHT($A1182,2))&lt;60),GUS_tabl_2!$A$8:$B$464,GUS_tabl_21!$A$5:$B$4886),2,FALSE)),SUM(FIND("..",TRIM(VLOOKUP(IF(AND(LEN($A1182)=4,VALUE(RIGHT($A1182,2))&gt;60),$A1182&amp;"01 1",$A1182),IF(AND(LEN($A1182)=4,VALUE(RIGHT($A1182,2))&lt;60),GUS_tabl_2!$A$8:$B$464,GUS_tabl_21!$A$5:$B$4886),2,FALSE))),-1)))))</f>
        <v>m. Gostynin</v>
      </c>
      <c r="D1182" s="141">
        <f>IF(OR($A1182="",ISERROR(VALUE(LEFT($A1182,6)))),"",IF(LEN($A1182)=2,SUMIF($A1183:$A$2965,$A1182&amp;"??",$D1183:$D$2965),IF(AND(LEN($A1182)=4,VALUE(RIGHT($A1182,2))&lt;=60),SUMIF($A1183:$A$2965,$A1182&amp;"????",$D1183:$D$2965),VLOOKUP(IF(LEN($A1182)=4,$A1182&amp;"01 1",$A1182),GUS_tabl_21!$A$5:$F$4886,6,FALSE))))</f>
        <v>18527</v>
      </c>
      <c r="E1182" s="29"/>
    </row>
    <row r="1183" spans="1:5" ht="12" customHeight="1">
      <c r="A1183" s="155" t="str">
        <f>"140402 2"</f>
        <v>140402 2</v>
      </c>
      <c r="B1183" s="153" t="s">
        <v>45</v>
      </c>
      <c r="C1183" s="156" t="str">
        <f>IF(OR($A1183="",ISERROR(VALUE(LEFT($A1183,6)))),"",IF(LEN($A1183)=2,"WOJ. ",IF(LEN($A1183)=4,IF(VALUE(RIGHT($A1183,2))&gt;60,"","Powiat "),IF(VALUE(RIGHT($A1183,1))=1,"m. ",IF(VALUE(RIGHT($A1183,1))=2,"gm. w. ",IF(VALUE(RIGHT($A1183,1))=8,"dz. ","gm. m.-w. ")))))&amp;IF(LEN($A1183)=2,TRIM(UPPER(VLOOKUP($A1183,GUS_tabl_1!$A$7:$B$22,2,FALSE))),IF(ISERROR(FIND("..",TRIM(VLOOKUP(IF(AND(LEN($A1183)=4,VALUE(RIGHT($A1183,2))&gt;60),$A1183&amp;"01 1",$A1183),IF(AND(LEN($A1183)=4,VALUE(RIGHT($A1183,2))&lt;60),GUS_tabl_2!$A$8:$B$464,GUS_tabl_21!$A$5:$B$4886),2,FALSE)))),TRIM(VLOOKUP(IF(AND(LEN($A1183)=4,VALUE(RIGHT($A1183,2))&gt;60),$A1183&amp;"01 1",$A1183),IF(AND(LEN($A1183)=4,VALUE(RIGHT($A1183,2))&lt;60),GUS_tabl_2!$A$8:$B$464,GUS_tabl_21!$A$5:$B$4886),2,FALSE)),LEFT(TRIM(VLOOKUP(IF(AND(LEN($A1183)=4,VALUE(RIGHT($A1183,2))&gt;60),$A1183&amp;"01 1",$A1183),IF(AND(LEN($A1183)=4,VALUE(RIGHT($A1183,2))&lt;60),GUS_tabl_2!$A$8:$B$464,GUS_tabl_21!$A$5:$B$4886),2,FALSE)),SUM(FIND("..",TRIM(VLOOKUP(IF(AND(LEN($A1183)=4,VALUE(RIGHT($A1183,2))&gt;60),$A1183&amp;"01 1",$A1183),IF(AND(LEN($A1183)=4,VALUE(RIGHT($A1183,2))&lt;60),GUS_tabl_2!$A$8:$B$464,GUS_tabl_21!$A$5:$B$4886),2,FALSE))),-1)))))</f>
        <v>gm. w. Gostynin</v>
      </c>
      <c r="D1183" s="141">
        <f>IF(OR($A1183="",ISERROR(VALUE(LEFT($A1183,6)))),"",IF(LEN($A1183)=2,SUMIF($A1184:$A$2965,$A1183&amp;"??",$D1184:$D$2965),IF(AND(LEN($A1183)=4,VALUE(RIGHT($A1183,2))&lt;=60),SUMIF($A1184:$A$2965,$A1183&amp;"????",$D1184:$D$2965),VLOOKUP(IF(LEN($A1183)=4,$A1183&amp;"01 1",$A1183),GUS_tabl_21!$A$5:$F$4886,6,FALSE))))</f>
        <v>12005</v>
      </c>
      <c r="E1183" s="29"/>
    </row>
    <row r="1184" spans="1:5" ht="12" customHeight="1">
      <c r="A1184" s="155" t="str">
        <f>"140403 2"</f>
        <v>140403 2</v>
      </c>
      <c r="B1184" s="153" t="s">
        <v>45</v>
      </c>
      <c r="C1184" s="156" t="str">
        <f>IF(OR($A1184="",ISERROR(VALUE(LEFT($A1184,6)))),"",IF(LEN($A1184)=2,"WOJ. ",IF(LEN($A1184)=4,IF(VALUE(RIGHT($A1184,2))&gt;60,"","Powiat "),IF(VALUE(RIGHT($A1184,1))=1,"m. ",IF(VALUE(RIGHT($A1184,1))=2,"gm. w. ",IF(VALUE(RIGHT($A1184,1))=8,"dz. ","gm. m.-w. ")))))&amp;IF(LEN($A1184)=2,TRIM(UPPER(VLOOKUP($A1184,GUS_tabl_1!$A$7:$B$22,2,FALSE))),IF(ISERROR(FIND("..",TRIM(VLOOKUP(IF(AND(LEN($A1184)=4,VALUE(RIGHT($A1184,2))&gt;60),$A1184&amp;"01 1",$A1184),IF(AND(LEN($A1184)=4,VALUE(RIGHT($A1184,2))&lt;60),GUS_tabl_2!$A$8:$B$464,GUS_tabl_21!$A$5:$B$4886),2,FALSE)))),TRIM(VLOOKUP(IF(AND(LEN($A1184)=4,VALUE(RIGHT($A1184,2))&gt;60),$A1184&amp;"01 1",$A1184),IF(AND(LEN($A1184)=4,VALUE(RIGHT($A1184,2))&lt;60),GUS_tabl_2!$A$8:$B$464,GUS_tabl_21!$A$5:$B$4886),2,FALSE)),LEFT(TRIM(VLOOKUP(IF(AND(LEN($A1184)=4,VALUE(RIGHT($A1184,2))&gt;60),$A1184&amp;"01 1",$A1184),IF(AND(LEN($A1184)=4,VALUE(RIGHT($A1184,2))&lt;60),GUS_tabl_2!$A$8:$B$464,GUS_tabl_21!$A$5:$B$4886),2,FALSE)),SUM(FIND("..",TRIM(VLOOKUP(IF(AND(LEN($A1184)=4,VALUE(RIGHT($A1184,2))&gt;60),$A1184&amp;"01 1",$A1184),IF(AND(LEN($A1184)=4,VALUE(RIGHT($A1184,2))&lt;60),GUS_tabl_2!$A$8:$B$464,GUS_tabl_21!$A$5:$B$4886),2,FALSE))),-1)))))</f>
        <v>gm. w. Pacyna</v>
      </c>
      <c r="D1184" s="141">
        <f>IF(OR($A1184="",ISERROR(VALUE(LEFT($A1184,6)))),"",IF(LEN($A1184)=2,SUMIF($A1185:$A$2965,$A1184&amp;"??",$D1185:$D$2965),IF(AND(LEN($A1184)=4,VALUE(RIGHT($A1184,2))&lt;=60),SUMIF($A1185:$A$2965,$A1184&amp;"????",$D1185:$D$2965),VLOOKUP(IF(LEN($A1184)=4,$A1184&amp;"01 1",$A1184),GUS_tabl_21!$A$5:$F$4886,6,FALSE))))</f>
        <v>3527</v>
      </c>
      <c r="E1184" s="29"/>
    </row>
    <row r="1185" spans="1:5" ht="12" customHeight="1">
      <c r="A1185" s="155" t="str">
        <f>"140404 3"</f>
        <v>140404 3</v>
      </c>
      <c r="B1185" s="153" t="s">
        <v>45</v>
      </c>
      <c r="C1185" s="156" t="str">
        <f>IF(OR($A1185="",ISERROR(VALUE(LEFT($A1185,6)))),"",IF(LEN($A1185)=2,"WOJ. ",IF(LEN($A1185)=4,IF(VALUE(RIGHT($A1185,2))&gt;60,"","Powiat "),IF(VALUE(RIGHT($A1185,1))=1,"m. ",IF(VALUE(RIGHT($A1185,1))=2,"gm. w. ",IF(VALUE(RIGHT($A1185,1))=8,"dz. ","gm. m.-w. ")))))&amp;IF(LEN($A1185)=2,TRIM(UPPER(VLOOKUP($A1185,GUS_tabl_1!$A$7:$B$22,2,FALSE))),IF(ISERROR(FIND("..",TRIM(VLOOKUP(IF(AND(LEN($A1185)=4,VALUE(RIGHT($A1185,2))&gt;60),$A1185&amp;"01 1",$A1185),IF(AND(LEN($A1185)=4,VALUE(RIGHT($A1185,2))&lt;60),GUS_tabl_2!$A$8:$B$464,GUS_tabl_21!$A$5:$B$4886),2,FALSE)))),TRIM(VLOOKUP(IF(AND(LEN($A1185)=4,VALUE(RIGHT($A1185,2))&gt;60),$A1185&amp;"01 1",$A1185),IF(AND(LEN($A1185)=4,VALUE(RIGHT($A1185,2))&lt;60),GUS_tabl_2!$A$8:$B$464,GUS_tabl_21!$A$5:$B$4886),2,FALSE)),LEFT(TRIM(VLOOKUP(IF(AND(LEN($A1185)=4,VALUE(RIGHT($A1185,2))&gt;60),$A1185&amp;"01 1",$A1185),IF(AND(LEN($A1185)=4,VALUE(RIGHT($A1185,2))&lt;60),GUS_tabl_2!$A$8:$B$464,GUS_tabl_21!$A$5:$B$4886),2,FALSE)),SUM(FIND("..",TRIM(VLOOKUP(IF(AND(LEN($A1185)=4,VALUE(RIGHT($A1185,2))&gt;60),$A1185&amp;"01 1",$A1185),IF(AND(LEN($A1185)=4,VALUE(RIGHT($A1185,2))&lt;60),GUS_tabl_2!$A$8:$B$464,GUS_tabl_21!$A$5:$B$4886),2,FALSE))),-1)))))</f>
        <v>gm. m.-w. Sanniki</v>
      </c>
      <c r="D1185" s="141">
        <f>IF(OR($A1185="",ISERROR(VALUE(LEFT($A1185,6)))),"",IF(LEN($A1185)=2,SUMIF($A1186:$A$2965,$A1185&amp;"??",$D1186:$D$2965),IF(AND(LEN($A1185)=4,VALUE(RIGHT($A1185,2))&lt;=60),SUMIF($A1186:$A$2965,$A1185&amp;"????",$D1186:$D$2965),VLOOKUP(IF(LEN($A1185)=4,$A1185&amp;"01 1",$A1185),GUS_tabl_21!$A$5:$F$4886,6,FALSE))))</f>
        <v>5997</v>
      </c>
      <c r="E1185" s="29"/>
    </row>
    <row r="1186" spans="1:5" ht="12" customHeight="1">
      <c r="A1186" s="155" t="str">
        <f>"140405 2"</f>
        <v>140405 2</v>
      </c>
      <c r="B1186" s="153" t="s">
        <v>45</v>
      </c>
      <c r="C1186" s="156" t="str">
        <f>IF(OR($A1186="",ISERROR(VALUE(LEFT($A1186,6)))),"",IF(LEN($A1186)=2,"WOJ. ",IF(LEN($A1186)=4,IF(VALUE(RIGHT($A1186,2))&gt;60,"","Powiat "),IF(VALUE(RIGHT($A1186,1))=1,"m. ",IF(VALUE(RIGHT($A1186,1))=2,"gm. w. ",IF(VALUE(RIGHT($A1186,1))=8,"dz. ","gm. m.-w. ")))))&amp;IF(LEN($A1186)=2,TRIM(UPPER(VLOOKUP($A1186,GUS_tabl_1!$A$7:$B$22,2,FALSE))),IF(ISERROR(FIND("..",TRIM(VLOOKUP(IF(AND(LEN($A1186)=4,VALUE(RIGHT($A1186,2))&gt;60),$A1186&amp;"01 1",$A1186),IF(AND(LEN($A1186)=4,VALUE(RIGHT($A1186,2))&lt;60),GUS_tabl_2!$A$8:$B$464,GUS_tabl_21!$A$5:$B$4886),2,FALSE)))),TRIM(VLOOKUP(IF(AND(LEN($A1186)=4,VALUE(RIGHT($A1186,2))&gt;60),$A1186&amp;"01 1",$A1186),IF(AND(LEN($A1186)=4,VALUE(RIGHT($A1186,2))&lt;60),GUS_tabl_2!$A$8:$B$464,GUS_tabl_21!$A$5:$B$4886),2,FALSE)),LEFT(TRIM(VLOOKUP(IF(AND(LEN($A1186)=4,VALUE(RIGHT($A1186,2))&gt;60),$A1186&amp;"01 1",$A1186),IF(AND(LEN($A1186)=4,VALUE(RIGHT($A1186,2))&lt;60),GUS_tabl_2!$A$8:$B$464,GUS_tabl_21!$A$5:$B$4886),2,FALSE)),SUM(FIND("..",TRIM(VLOOKUP(IF(AND(LEN($A1186)=4,VALUE(RIGHT($A1186,2))&gt;60),$A1186&amp;"01 1",$A1186),IF(AND(LEN($A1186)=4,VALUE(RIGHT($A1186,2))&lt;60),GUS_tabl_2!$A$8:$B$464,GUS_tabl_21!$A$5:$B$4886),2,FALSE))),-1)))))</f>
        <v>gm. w. Szczawin Kościelny</v>
      </c>
      <c r="D1186" s="141">
        <f>IF(OR($A1186="",ISERROR(VALUE(LEFT($A1186,6)))),"",IF(LEN($A1186)=2,SUMIF($A1187:$A$2965,$A1186&amp;"??",$D1187:$D$2965),IF(AND(LEN($A1186)=4,VALUE(RIGHT($A1186,2))&lt;=60),SUMIF($A1187:$A$2965,$A1186&amp;"????",$D1187:$D$2965),VLOOKUP(IF(LEN($A1186)=4,$A1186&amp;"01 1",$A1186),GUS_tabl_21!$A$5:$F$4886,6,FALSE))))</f>
        <v>4843</v>
      </c>
      <c r="E1186" s="29"/>
    </row>
    <row r="1187" spans="1:5" ht="12" customHeight="1">
      <c r="A1187" s="152" t="str">
        <f>"1405"</f>
        <v>1405</v>
      </c>
      <c r="B1187" s="153" t="s">
        <v>45</v>
      </c>
      <c r="C1187" s="154" t="str">
        <f>IF(OR($A1187="",ISERROR(VALUE(LEFT($A1187,6)))),"",IF(LEN($A1187)=2,"WOJ. ",IF(LEN($A1187)=4,IF(VALUE(RIGHT($A1187,2))&gt;60,"","Powiat "),IF(VALUE(RIGHT($A1187,1))=1,"m. ",IF(VALUE(RIGHT($A1187,1))=2,"gm. w. ",IF(VALUE(RIGHT($A1187,1))=8,"dz. ","gm. m.-w. ")))))&amp;IF(LEN($A1187)=2,TRIM(UPPER(VLOOKUP($A1187,GUS_tabl_1!$A$7:$B$22,2,FALSE))),IF(ISERROR(FIND("..",TRIM(VLOOKUP(IF(AND(LEN($A1187)=4,VALUE(RIGHT($A1187,2))&gt;60),$A1187&amp;"01 1",$A1187),IF(AND(LEN($A1187)=4,VALUE(RIGHT($A1187,2))&lt;60),GUS_tabl_2!$A$8:$B$464,GUS_tabl_21!$A$5:$B$4886),2,FALSE)))),TRIM(VLOOKUP(IF(AND(LEN($A1187)=4,VALUE(RIGHT($A1187,2))&gt;60),$A1187&amp;"01 1",$A1187),IF(AND(LEN($A1187)=4,VALUE(RIGHT($A1187,2))&lt;60),GUS_tabl_2!$A$8:$B$464,GUS_tabl_21!$A$5:$B$4886),2,FALSE)),LEFT(TRIM(VLOOKUP(IF(AND(LEN($A1187)=4,VALUE(RIGHT($A1187,2))&gt;60),$A1187&amp;"01 1",$A1187),IF(AND(LEN($A1187)=4,VALUE(RIGHT($A1187,2))&lt;60),GUS_tabl_2!$A$8:$B$464,GUS_tabl_21!$A$5:$B$4886),2,FALSE)),SUM(FIND("..",TRIM(VLOOKUP(IF(AND(LEN($A1187)=4,VALUE(RIGHT($A1187,2))&gt;60),$A1187&amp;"01 1",$A1187),IF(AND(LEN($A1187)=4,VALUE(RIGHT($A1187,2))&lt;60),GUS_tabl_2!$A$8:$B$464,GUS_tabl_21!$A$5:$B$4886),2,FALSE))),-1)))))</f>
        <v>Powiat grodziski</v>
      </c>
      <c r="D1187" s="140">
        <f>IF(OR($A1187="",ISERROR(VALUE(LEFT($A1187,6)))),"",IF(LEN($A1187)=2,SUMIF($A1188:$A$2965,$A1187&amp;"??",$D1188:$D$2965),IF(AND(LEN($A1187)=4,VALUE(RIGHT($A1187,2))&lt;=60),SUMIF($A1188:$A$2965,$A1187&amp;"????",$D1188:$D$2965),VLOOKUP(IF(LEN($A1187)=4,$A1187&amp;"01 1",$A1187),GUS_tabl_21!$A$5:$F$4886,6,FALSE))))</f>
        <v>95963</v>
      </c>
      <c r="E1187" s="29"/>
    </row>
    <row r="1188" spans="1:5" ht="12" customHeight="1">
      <c r="A1188" s="155" t="str">
        <f>"140501 1"</f>
        <v>140501 1</v>
      </c>
      <c r="B1188" s="153" t="s">
        <v>45</v>
      </c>
      <c r="C1188" s="156" t="str">
        <f>IF(OR($A1188="",ISERROR(VALUE(LEFT($A1188,6)))),"",IF(LEN($A1188)=2,"WOJ. ",IF(LEN($A1188)=4,IF(VALUE(RIGHT($A1188,2))&gt;60,"","Powiat "),IF(VALUE(RIGHT($A1188,1))=1,"m. ",IF(VALUE(RIGHT($A1188,1))=2,"gm. w. ",IF(VALUE(RIGHT($A1188,1))=8,"dz. ","gm. m.-w. ")))))&amp;IF(LEN($A1188)=2,TRIM(UPPER(VLOOKUP($A1188,GUS_tabl_1!$A$7:$B$22,2,FALSE))),IF(ISERROR(FIND("..",TRIM(VLOOKUP(IF(AND(LEN($A1188)=4,VALUE(RIGHT($A1188,2))&gt;60),$A1188&amp;"01 1",$A1188),IF(AND(LEN($A1188)=4,VALUE(RIGHT($A1188,2))&lt;60),GUS_tabl_2!$A$8:$B$464,GUS_tabl_21!$A$5:$B$4886),2,FALSE)))),TRIM(VLOOKUP(IF(AND(LEN($A1188)=4,VALUE(RIGHT($A1188,2))&gt;60),$A1188&amp;"01 1",$A1188),IF(AND(LEN($A1188)=4,VALUE(RIGHT($A1188,2))&lt;60),GUS_tabl_2!$A$8:$B$464,GUS_tabl_21!$A$5:$B$4886),2,FALSE)),LEFT(TRIM(VLOOKUP(IF(AND(LEN($A1188)=4,VALUE(RIGHT($A1188,2))&gt;60),$A1188&amp;"01 1",$A1188),IF(AND(LEN($A1188)=4,VALUE(RIGHT($A1188,2))&lt;60),GUS_tabl_2!$A$8:$B$464,GUS_tabl_21!$A$5:$B$4886),2,FALSE)),SUM(FIND("..",TRIM(VLOOKUP(IF(AND(LEN($A1188)=4,VALUE(RIGHT($A1188,2))&gt;60),$A1188&amp;"01 1",$A1188),IF(AND(LEN($A1188)=4,VALUE(RIGHT($A1188,2))&lt;60),GUS_tabl_2!$A$8:$B$464,GUS_tabl_21!$A$5:$B$4886),2,FALSE))),-1)))))</f>
        <v>m. Milanówek</v>
      </c>
      <c r="D1188" s="141">
        <f>IF(OR($A1188="",ISERROR(VALUE(LEFT($A1188,6)))),"",IF(LEN($A1188)=2,SUMIF($A1189:$A$2965,$A1188&amp;"??",$D1189:$D$2965),IF(AND(LEN($A1188)=4,VALUE(RIGHT($A1188,2))&lt;=60),SUMIF($A1189:$A$2965,$A1188&amp;"????",$D1189:$D$2965),VLOOKUP(IF(LEN($A1188)=4,$A1188&amp;"01 1",$A1188),GUS_tabl_21!$A$5:$F$4886,6,FALSE))))</f>
        <v>16416</v>
      </c>
      <c r="E1188" s="29"/>
    </row>
    <row r="1189" spans="1:5" ht="12" customHeight="1">
      <c r="A1189" s="155" t="str">
        <f>"140502 1"</f>
        <v>140502 1</v>
      </c>
      <c r="B1189" s="153" t="s">
        <v>45</v>
      </c>
      <c r="C1189" s="156" t="str">
        <f>IF(OR($A1189="",ISERROR(VALUE(LEFT($A1189,6)))),"",IF(LEN($A1189)=2,"WOJ. ",IF(LEN($A1189)=4,IF(VALUE(RIGHT($A1189,2))&gt;60,"","Powiat "),IF(VALUE(RIGHT($A1189,1))=1,"m. ",IF(VALUE(RIGHT($A1189,1))=2,"gm. w. ",IF(VALUE(RIGHT($A1189,1))=8,"dz. ","gm. m.-w. ")))))&amp;IF(LEN($A1189)=2,TRIM(UPPER(VLOOKUP($A1189,GUS_tabl_1!$A$7:$B$22,2,FALSE))),IF(ISERROR(FIND("..",TRIM(VLOOKUP(IF(AND(LEN($A1189)=4,VALUE(RIGHT($A1189,2))&gt;60),$A1189&amp;"01 1",$A1189),IF(AND(LEN($A1189)=4,VALUE(RIGHT($A1189,2))&lt;60),GUS_tabl_2!$A$8:$B$464,GUS_tabl_21!$A$5:$B$4886),2,FALSE)))),TRIM(VLOOKUP(IF(AND(LEN($A1189)=4,VALUE(RIGHT($A1189,2))&gt;60),$A1189&amp;"01 1",$A1189),IF(AND(LEN($A1189)=4,VALUE(RIGHT($A1189,2))&lt;60),GUS_tabl_2!$A$8:$B$464,GUS_tabl_21!$A$5:$B$4886),2,FALSE)),LEFT(TRIM(VLOOKUP(IF(AND(LEN($A1189)=4,VALUE(RIGHT($A1189,2))&gt;60),$A1189&amp;"01 1",$A1189),IF(AND(LEN($A1189)=4,VALUE(RIGHT($A1189,2))&lt;60),GUS_tabl_2!$A$8:$B$464,GUS_tabl_21!$A$5:$B$4886),2,FALSE)),SUM(FIND("..",TRIM(VLOOKUP(IF(AND(LEN($A1189)=4,VALUE(RIGHT($A1189,2))&gt;60),$A1189&amp;"01 1",$A1189),IF(AND(LEN($A1189)=4,VALUE(RIGHT($A1189,2))&lt;60),GUS_tabl_2!$A$8:$B$464,GUS_tabl_21!$A$5:$B$4886),2,FALSE))),-1)))))</f>
        <v>m. Podkowa Leśna</v>
      </c>
      <c r="D1189" s="141">
        <f>IF(OR($A1189="",ISERROR(VALUE(LEFT($A1189,6)))),"",IF(LEN($A1189)=2,SUMIF($A1190:$A$2965,$A1189&amp;"??",$D1190:$D$2965),IF(AND(LEN($A1189)=4,VALUE(RIGHT($A1189,2))&lt;=60),SUMIF($A1190:$A$2965,$A1189&amp;"????",$D1190:$D$2965),VLOOKUP(IF(LEN($A1189)=4,$A1189&amp;"01 1",$A1189),GUS_tabl_21!$A$5:$F$4886,6,FALSE))))</f>
        <v>3844</v>
      </c>
      <c r="E1189" s="29"/>
    </row>
    <row r="1190" spans="1:5" ht="12" customHeight="1">
      <c r="A1190" s="155" t="str">
        <f>"140503 2"</f>
        <v>140503 2</v>
      </c>
      <c r="B1190" s="153" t="s">
        <v>45</v>
      </c>
      <c r="C1190" s="156" t="str">
        <f>IF(OR($A1190="",ISERROR(VALUE(LEFT($A1190,6)))),"",IF(LEN($A1190)=2,"WOJ. ",IF(LEN($A1190)=4,IF(VALUE(RIGHT($A1190,2))&gt;60,"","Powiat "),IF(VALUE(RIGHT($A1190,1))=1,"m. ",IF(VALUE(RIGHT($A1190,1))=2,"gm. w. ",IF(VALUE(RIGHT($A1190,1))=8,"dz. ","gm. m.-w. ")))))&amp;IF(LEN($A1190)=2,TRIM(UPPER(VLOOKUP($A1190,GUS_tabl_1!$A$7:$B$22,2,FALSE))),IF(ISERROR(FIND("..",TRIM(VLOOKUP(IF(AND(LEN($A1190)=4,VALUE(RIGHT($A1190,2))&gt;60),$A1190&amp;"01 1",$A1190),IF(AND(LEN($A1190)=4,VALUE(RIGHT($A1190,2))&lt;60),GUS_tabl_2!$A$8:$B$464,GUS_tabl_21!$A$5:$B$4886),2,FALSE)))),TRIM(VLOOKUP(IF(AND(LEN($A1190)=4,VALUE(RIGHT($A1190,2))&gt;60),$A1190&amp;"01 1",$A1190),IF(AND(LEN($A1190)=4,VALUE(RIGHT($A1190,2))&lt;60),GUS_tabl_2!$A$8:$B$464,GUS_tabl_21!$A$5:$B$4886),2,FALSE)),LEFT(TRIM(VLOOKUP(IF(AND(LEN($A1190)=4,VALUE(RIGHT($A1190,2))&gt;60),$A1190&amp;"01 1",$A1190),IF(AND(LEN($A1190)=4,VALUE(RIGHT($A1190,2))&lt;60),GUS_tabl_2!$A$8:$B$464,GUS_tabl_21!$A$5:$B$4886),2,FALSE)),SUM(FIND("..",TRIM(VLOOKUP(IF(AND(LEN($A1190)=4,VALUE(RIGHT($A1190,2))&gt;60),$A1190&amp;"01 1",$A1190),IF(AND(LEN($A1190)=4,VALUE(RIGHT($A1190,2))&lt;60),GUS_tabl_2!$A$8:$B$464,GUS_tabl_21!$A$5:$B$4886),2,FALSE))),-1)))))</f>
        <v>gm. w. Baranów</v>
      </c>
      <c r="D1190" s="141">
        <f>IF(OR($A1190="",ISERROR(VALUE(LEFT($A1190,6)))),"",IF(LEN($A1190)=2,SUMIF($A1191:$A$2965,$A1190&amp;"??",$D1191:$D$2965),IF(AND(LEN($A1190)=4,VALUE(RIGHT($A1190,2))&lt;=60),SUMIF($A1191:$A$2965,$A1190&amp;"????",$D1191:$D$2965),VLOOKUP(IF(LEN($A1190)=4,$A1190&amp;"01 1",$A1190),GUS_tabl_21!$A$5:$F$4886,6,FALSE))))</f>
        <v>5340</v>
      </c>
      <c r="E1190" s="29"/>
    </row>
    <row r="1191" spans="1:5" ht="12" customHeight="1">
      <c r="A1191" s="155" t="str">
        <f>"140504 3"</f>
        <v>140504 3</v>
      </c>
      <c r="B1191" s="153" t="s">
        <v>45</v>
      </c>
      <c r="C1191" s="156" t="str">
        <f>IF(OR($A1191="",ISERROR(VALUE(LEFT($A1191,6)))),"",IF(LEN($A1191)=2,"WOJ. ",IF(LEN($A1191)=4,IF(VALUE(RIGHT($A1191,2))&gt;60,"","Powiat "),IF(VALUE(RIGHT($A1191,1))=1,"m. ",IF(VALUE(RIGHT($A1191,1))=2,"gm. w. ",IF(VALUE(RIGHT($A1191,1))=8,"dz. ","gm. m.-w. ")))))&amp;IF(LEN($A1191)=2,TRIM(UPPER(VLOOKUP($A1191,GUS_tabl_1!$A$7:$B$22,2,FALSE))),IF(ISERROR(FIND("..",TRIM(VLOOKUP(IF(AND(LEN($A1191)=4,VALUE(RIGHT($A1191,2))&gt;60),$A1191&amp;"01 1",$A1191),IF(AND(LEN($A1191)=4,VALUE(RIGHT($A1191,2))&lt;60),GUS_tabl_2!$A$8:$B$464,GUS_tabl_21!$A$5:$B$4886),2,FALSE)))),TRIM(VLOOKUP(IF(AND(LEN($A1191)=4,VALUE(RIGHT($A1191,2))&gt;60),$A1191&amp;"01 1",$A1191),IF(AND(LEN($A1191)=4,VALUE(RIGHT($A1191,2))&lt;60),GUS_tabl_2!$A$8:$B$464,GUS_tabl_21!$A$5:$B$4886),2,FALSE)),LEFT(TRIM(VLOOKUP(IF(AND(LEN($A1191)=4,VALUE(RIGHT($A1191,2))&gt;60),$A1191&amp;"01 1",$A1191),IF(AND(LEN($A1191)=4,VALUE(RIGHT($A1191,2))&lt;60),GUS_tabl_2!$A$8:$B$464,GUS_tabl_21!$A$5:$B$4886),2,FALSE)),SUM(FIND("..",TRIM(VLOOKUP(IF(AND(LEN($A1191)=4,VALUE(RIGHT($A1191,2))&gt;60),$A1191&amp;"01 1",$A1191),IF(AND(LEN($A1191)=4,VALUE(RIGHT($A1191,2))&lt;60),GUS_tabl_2!$A$8:$B$464,GUS_tabl_21!$A$5:$B$4886),2,FALSE))),-1)))))</f>
        <v>gm. m.-w. Grodzisk Mazowiecki</v>
      </c>
      <c r="D1191" s="141">
        <f>IF(OR($A1191="",ISERROR(VALUE(LEFT($A1191,6)))),"",IF(LEN($A1191)=2,SUMIF($A1192:$A$2965,$A1191&amp;"??",$D1192:$D$2965),IF(AND(LEN($A1191)=4,VALUE(RIGHT($A1191,2))&lt;=60),SUMIF($A1192:$A$2965,$A1191&amp;"????",$D1192:$D$2965),VLOOKUP(IF(LEN($A1191)=4,$A1191&amp;"01 1",$A1191),GUS_tabl_21!$A$5:$F$4886,6,FALSE))))</f>
        <v>48907</v>
      </c>
      <c r="E1191" s="29"/>
    </row>
    <row r="1192" spans="1:5" ht="12" customHeight="1">
      <c r="A1192" s="155" t="str">
        <f>"140505 2"</f>
        <v>140505 2</v>
      </c>
      <c r="B1192" s="153" t="s">
        <v>45</v>
      </c>
      <c r="C1192" s="156" t="str">
        <f>IF(OR($A1192="",ISERROR(VALUE(LEFT($A1192,6)))),"",IF(LEN($A1192)=2,"WOJ. ",IF(LEN($A1192)=4,IF(VALUE(RIGHT($A1192,2))&gt;60,"","Powiat "),IF(VALUE(RIGHT($A1192,1))=1,"m. ",IF(VALUE(RIGHT($A1192,1))=2,"gm. w. ",IF(VALUE(RIGHT($A1192,1))=8,"dz. ","gm. m.-w. ")))))&amp;IF(LEN($A1192)=2,TRIM(UPPER(VLOOKUP($A1192,GUS_tabl_1!$A$7:$B$22,2,FALSE))),IF(ISERROR(FIND("..",TRIM(VLOOKUP(IF(AND(LEN($A1192)=4,VALUE(RIGHT($A1192,2))&gt;60),$A1192&amp;"01 1",$A1192),IF(AND(LEN($A1192)=4,VALUE(RIGHT($A1192,2))&lt;60),GUS_tabl_2!$A$8:$B$464,GUS_tabl_21!$A$5:$B$4886),2,FALSE)))),TRIM(VLOOKUP(IF(AND(LEN($A1192)=4,VALUE(RIGHT($A1192,2))&gt;60),$A1192&amp;"01 1",$A1192),IF(AND(LEN($A1192)=4,VALUE(RIGHT($A1192,2))&lt;60),GUS_tabl_2!$A$8:$B$464,GUS_tabl_21!$A$5:$B$4886),2,FALSE)),LEFT(TRIM(VLOOKUP(IF(AND(LEN($A1192)=4,VALUE(RIGHT($A1192,2))&gt;60),$A1192&amp;"01 1",$A1192),IF(AND(LEN($A1192)=4,VALUE(RIGHT($A1192,2))&lt;60),GUS_tabl_2!$A$8:$B$464,GUS_tabl_21!$A$5:$B$4886),2,FALSE)),SUM(FIND("..",TRIM(VLOOKUP(IF(AND(LEN($A1192)=4,VALUE(RIGHT($A1192,2))&gt;60),$A1192&amp;"01 1",$A1192),IF(AND(LEN($A1192)=4,VALUE(RIGHT($A1192,2))&lt;60),GUS_tabl_2!$A$8:$B$464,GUS_tabl_21!$A$5:$B$4886),2,FALSE))),-1)))))</f>
        <v>gm. w. Jaktorów</v>
      </c>
      <c r="D1192" s="141">
        <f>IF(OR($A1192="",ISERROR(VALUE(LEFT($A1192,6)))),"",IF(LEN($A1192)=2,SUMIF($A1193:$A$2965,$A1192&amp;"??",$D1193:$D$2965),IF(AND(LEN($A1192)=4,VALUE(RIGHT($A1192,2))&lt;=60),SUMIF($A1193:$A$2965,$A1192&amp;"????",$D1193:$D$2965),VLOOKUP(IF(LEN($A1192)=4,$A1192&amp;"01 1",$A1192),GUS_tabl_21!$A$5:$F$4886,6,FALSE))))</f>
        <v>12471</v>
      </c>
      <c r="E1192" s="29"/>
    </row>
    <row r="1193" spans="1:5" ht="12" customHeight="1">
      <c r="A1193" s="155" t="str">
        <f>"140506 2"</f>
        <v>140506 2</v>
      </c>
      <c r="B1193" s="153" t="s">
        <v>45</v>
      </c>
      <c r="C1193" s="156" t="str">
        <f>IF(OR($A1193="",ISERROR(VALUE(LEFT($A1193,6)))),"",IF(LEN($A1193)=2,"WOJ. ",IF(LEN($A1193)=4,IF(VALUE(RIGHT($A1193,2))&gt;60,"","Powiat "),IF(VALUE(RIGHT($A1193,1))=1,"m. ",IF(VALUE(RIGHT($A1193,1))=2,"gm. w. ",IF(VALUE(RIGHT($A1193,1))=8,"dz. ","gm. m.-w. ")))))&amp;IF(LEN($A1193)=2,TRIM(UPPER(VLOOKUP($A1193,GUS_tabl_1!$A$7:$B$22,2,FALSE))),IF(ISERROR(FIND("..",TRIM(VLOOKUP(IF(AND(LEN($A1193)=4,VALUE(RIGHT($A1193,2))&gt;60),$A1193&amp;"01 1",$A1193),IF(AND(LEN($A1193)=4,VALUE(RIGHT($A1193,2))&lt;60),GUS_tabl_2!$A$8:$B$464,GUS_tabl_21!$A$5:$B$4886),2,FALSE)))),TRIM(VLOOKUP(IF(AND(LEN($A1193)=4,VALUE(RIGHT($A1193,2))&gt;60),$A1193&amp;"01 1",$A1193),IF(AND(LEN($A1193)=4,VALUE(RIGHT($A1193,2))&lt;60),GUS_tabl_2!$A$8:$B$464,GUS_tabl_21!$A$5:$B$4886),2,FALSE)),LEFT(TRIM(VLOOKUP(IF(AND(LEN($A1193)=4,VALUE(RIGHT($A1193,2))&gt;60),$A1193&amp;"01 1",$A1193),IF(AND(LEN($A1193)=4,VALUE(RIGHT($A1193,2))&lt;60),GUS_tabl_2!$A$8:$B$464,GUS_tabl_21!$A$5:$B$4886),2,FALSE)),SUM(FIND("..",TRIM(VLOOKUP(IF(AND(LEN($A1193)=4,VALUE(RIGHT($A1193,2))&gt;60),$A1193&amp;"01 1",$A1193),IF(AND(LEN($A1193)=4,VALUE(RIGHT($A1193,2))&lt;60),GUS_tabl_2!$A$8:$B$464,GUS_tabl_21!$A$5:$B$4886),2,FALSE))),-1)))))</f>
        <v>gm. w. Żabia Wola</v>
      </c>
      <c r="D1193" s="141">
        <f>IF(OR($A1193="",ISERROR(VALUE(LEFT($A1193,6)))),"",IF(LEN($A1193)=2,SUMIF($A1194:$A$2965,$A1193&amp;"??",$D1194:$D$2965),IF(AND(LEN($A1193)=4,VALUE(RIGHT($A1193,2))&lt;=60),SUMIF($A1194:$A$2965,$A1193&amp;"????",$D1194:$D$2965),VLOOKUP(IF(LEN($A1193)=4,$A1193&amp;"01 1",$A1193),GUS_tabl_21!$A$5:$F$4886,6,FALSE))))</f>
        <v>8985</v>
      </c>
      <c r="E1193" s="29"/>
    </row>
    <row r="1194" spans="1:5" ht="12" customHeight="1">
      <c r="A1194" s="152" t="str">
        <f>"1406"</f>
        <v>1406</v>
      </c>
      <c r="B1194" s="153" t="s">
        <v>45</v>
      </c>
      <c r="C1194" s="154" t="str">
        <f>IF(OR($A1194="",ISERROR(VALUE(LEFT($A1194,6)))),"",IF(LEN($A1194)=2,"WOJ. ",IF(LEN($A1194)=4,IF(VALUE(RIGHT($A1194,2))&gt;60,"","Powiat "),IF(VALUE(RIGHT($A1194,1))=1,"m. ",IF(VALUE(RIGHT($A1194,1))=2,"gm. w. ",IF(VALUE(RIGHT($A1194,1))=8,"dz. ","gm. m.-w. ")))))&amp;IF(LEN($A1194)=2,TRIM(UPPER(VLOOKUP($A1194,GUS_tabl_1!$A$7:$B$22,2,FALSE))),IF(ISERROR(FIND("..",TRIM(VLOOKUP(IF(AND(LEN($A1194)=4,VALUE(RIGHT($A1194,2))&gt;60),$A1194&amp;"01 1",$A1194),IF(AND(LEN($A1194)=4,VALUE(RIGHT($A1194,2))&lt;60),GUS_tabl_2!$A$8:$B$464,GUS_tabl_21!$A$5:$B$4886),2,FALSE)))),TRIM(VLOOKUP(IF(AND(LEN($A1194)=4,VALUE(RIGHT($A1194,2))&gt;60),$A1194&amp;"01 1",$A1194),IF(AND(LEN($A1194)=4,VALUE(RIGHT($A1194,2))&lt;60),GUS_tabl_2!$A$8:$B$464,GUS_tabl_21!$A$5:$B$4886),2,FALSE)),LEFT(TRIM(VLOOKUP(IF(AND(LEN($A1194)=4,VALUE(RIGHT($A1194,2))&gt;60),$A1194&amp;"01 1",$A1194),IF(AND(LEN($A1194)=4,VALUE(RIGHT($A1194,2))&lt;60),GUS_tabl_2!$A$8:$B$464,GUS_tabl_21!$A$5:$B$4886),2,FALSE)),SUM(FIND("..",TRIM(VLOOKUP(IF(AND(LEN($A1194)=4,VALUE(RIGHT($A1194,2))&gt;60),$A1194&amp;"01 1",$A1194),IF(AND(LEN($A1194)=4,VALUE(RIGHT($A1194,2))&lt;60),GUS_tabl_2!$A$8:$B$464,GUS_tabl_21!$A$5:$B$4886),2,FALSE))),-1)))))</f>
        <v>Powiat grójecki</v>
      </c>
      <c r="D1194" s="140">
        <f>IF(OR($A1194="",ISERROR(VALUE(LEFT($A1194,6)))),"",IF(LEN($A1194)=2,SUMIF($A1195:$A$2965,$A1194&amp;"??",$D1195:$D$2965),IF(AND(LEN($A1194)=4,VALUE(RIGHT($A1194,2))&lt;=60),SUMIF($A1195:$A$2965,$A1194&amp;"????",$D1195:$D$2965),VLOOKUP(IF(LEN($A1194)=4,$A1194&amp;"01 1",$A1194),GUS_tabl_21!$A$5:$F$4886,6,FALSE))))</f>
        <v>98311</v>
      </c>
      <c r="E1194" s="29"/>
    </row>
    <row r="1195" spans="1:5" ht="12" customHeight="1">
      <c r="A1195" s="155" t="str">
        <f>"140601 2"</f>
        <v>140601 2</v>
      </c>
      <c r="B1195" s="153" t="s">
        <v>45</v>
      </c>
      <c r="C1195" s="156" t="str">
        <f>IF(OR($A1195="",ISERROR(VALUE(LEFT($A1195,6)))),"",IF(LEN($A1195)=2,"WOJ. ",IF(LEN($A1195)=4,IF(VALUE(RIGHT($A1195,2))&gt;60,"","Powiat "),IF(VALUE(RIGHT($A1195,1))=1,"m. ",IF(VALUE(RIGHT($A1195,1))=2,"gm. w. ",IF(VALUE(RIGHT($A1195,1))=8,"dz. ","gm. m.-w. ")))))&amp;IF(LEN($A1195)=2,TRIM(UPPER(VLOOKUP($A1195,GUS_tabl_1!$A$7:$B$22,2,FALSE))),IF(ISERROR(FIND("..",TRIM(VLOOKUP(IF(AND(LEN($A1195)=4,VALUE(RIGHT($A1195,2))&gt;60),$A1195&amp;"01 1",$A1195),IF(AND(LEN($A1195)=4,VALUE(RIGHT($A1195,2))&lt;60),GUS_tabl_2!$A$8:$B$464,GUS_tabl_21!$A$5:$B$4886),2,FALSE)))),TRIM(VLOOKUP(IF(AND(LEN($A1195)=4,VALUE(RIGHT($A1195,2))&gt;60),$A1195&amp;"01 1",$A1195),IF(AND(LEN($A1195)=4,VALUE(RIGHT($A1195,2))&lt;60),GUS_tabl_2!$A$8:$B$464,GUS_tabl_21!$A$5:$B$4886),2,FALSE)),LEFT(TRIM(VLOOKUP(IF(AND(LEN($A1195)=4,VALUE(RIGHT($A1195,2))&gt;60),$A1195&amp;"01 1",$A1195),IF(AND(LEN($A1195)=4,VALUE(RIGHT($A1195,2))&lt;60),GUS_tabl_2!$A$8:$B$464,GUS_tabl_21!$A$5:$B$4886),2,FALSE)),SUM(FIND("..",TRIM(VLOOKUP(IF(AND(LEN($A1195)=4,VALUE(RIGHT($A1195,2))&gt;60),$A1195&amp;"01 1",$A1195),IF(AND(LEN($A1195)=4,VALUE(RIGHT($A1195,2))&lt;60),GUS_tabl_2!$A$8:$B$464,GUS_tabl_21!$A$5:$B$4886),2,FALSE))),-1)))))</f>
        <v>gm. w. Belsk Duży</v>
      </c>
      <c r="D1195" s="141">
        <f>IF(OR($A1195="",ISERROR(VALUE(LEFT($A1195,6)))),"",IF(LEN($A1195)=2,SUMIF($A1196:$A$2965,$A1195&amp;"??",$D1196:$D$2965),IF(AND(LEN($A1195)=4,VALUE(RIGHT($A1195,2))&lt;=60),SUMIF($A1196:$A$2965,$A1195&amp;"????",$D1196:$D$2965),VLOOKUP(IF(LEN($A1195)=4,$A1195&amp;"01 1",$A1195),GUS_tabl_21!$A$5:$F$4886,6,FALSE))))</f>
        <v>6475</v>
      </c>
      <c r="E1195" s="29"/>
    </row>
    <row r="1196" spans="1:5" ht="12" customHeight="1">
      <c r="A1196" s="155" t="str">
        <f>"140602 2"</f>
        <v>140602 2</v>
      </c>
      <c r="B1196" s="153" t="s">
        <v>45</v>
      </c>
      <c r="C1196" s="156" t="str">
        <f>IF(OR($A1196="",ISERROR(VALUE(LEFT($A1196,6)))),"",IF(LEN($A1196)=2,"WOJ. ",IF(LEN($A1196)=4,IF(VALUE(RIGHT($A1196,2))&gt;60,"","Powiat "),IF(VALUE(RIGHT($A1196,1))=1,"m. ",IF(VALUE(RIGHT($A1196,1))=2,"gm. w. ",IF(VALUE(RIGHT($A1196,1))=8,"dz. ","gm. m.-w. ")))))&amp;IF(LEN($A1196)=2,TRIM(UPPER(VLOOKUP($A1196,GUS_tabl_1!$A$7:$B$22,2,FALSE))),IF(ISERROR(FIND("..",TRIM(VLOOKUP(IF(AND(LEN($A1196)=4,VALUE(RIGHT($A1196,2))&gt;60),$A1196&amp;"01 1",$A1196),IF(AND(LEN($A1196)=4,VALUE(RIGHT($A1196,2))&lt;60),GUS_tabl_2!$A$8:$B$464,GUS_tabl_21!$A$5:$B$4886),2,FALSE)))),TRIM(VLOOKUP(IF(AND(LEN($A1196)=4,VALUE(RIGHT($A1196,2))&gt;60),$A1196&amp;"01 1",$A1196),IF(AND(LEN($A1196)=4,VALUE(RIGHT($A1196,2))&lt;60),GUS_tabl_2!$A$8:$B$464,GUS_tabl_21!$A$5:$B$4886),2,FALSE)),LEFT(TRIM(VLOOKUP(IF(AND(LEN($A1196)=4,VALUE(RIGHT($A1196,2))&gt;60),$A1196&amp;"01 1",$A1196),IF(AND(LEN($A1196)=4,VALUE(RIGHT($A1196,2))&lt;60),GUS_tabl_2!$A$8:$B$464,GUS_tabl_21!$A$5:$B$4886),2,FALSE)),SUM(FIND("..",TRIM(VLOOKUP(IF(AND(LEN($A1196)=4,VALUE(RIGHT($A1196,2))&gt;60),$A1196&amp;"01 1",$A1196),IF(AND(LEN($A1196)=4,VALUE(RIGHT($A1196,2))&lt;60),GUS_tabl_2!$A$8:$B$464,GUS_tabl_21!$A$5:$B$4886),2,FALSE))),-1)))))</f>
        <v>gm. w. Błędów</v>
      </c>
      <c r="D1196" s="141">
        <f>IF(OR($A1196="",ISERROR(VALUE(LEFT($A1196,6)))),"",IF(LEN($A1196)=2,SUMIF($A1197:$A$2965,$A1196&amp;"??",$D1197:$D$2965),IF(AND(LEN($A1196)=4,VALUE(RIGHT($A1196,2))&lt;=60),SUMIF($A1197:$A$2965,$A1196&amp;"????",$D1197:$D$2965),VLOOKUP(IF(LEN($A1196)=4,$A1196&amp;"01 1",$A1196),GUS_tabl_21!$A$5:$F$4886,6,FALSE))))</f>
        <v>7415</v>
      </c>
      <c r="E1196" s="29"/>
    </row>
    <row r="1197" spans="1:5" ht="12" customHeight="1">
      <c r="A1197" s="155" t="str">
        <f>"140603 2"</f>
        <v>140603 2</v>
      </c>
      <c r="B1197" s="153" t="s">
        <v>45</v>
      </c>
      <c r="C1197" s="156" t="str">
        <f>IF(OR($A1197="",ISERROR(VALUE(LEFT($A1197,6)))),"",IF(LEN($A1197)=2,"WOJ. ",IF(LEN($A1197)=4,IF(VALUE(RIGHT($A1197,2))&gt;60,"","Powiat "),IF(VALUE(RIGHT($A1197,1))=1,"m. ",IF(VALUE(RIGHT($A1197,1))=2,"gm. w. ",IF(VALUE(RIGHT($A1197,1))=8,"dz. ","gm. m.-w. ")))))&amp;IF(LEN($A1197)=2,TRIM(UPPER(VLOOKUP($A1197,GUS_tabl_1!$A$7:$B$22,2,FALSE))),IF(ISERROR(FIND("..",TRIM(VLOOKUP(IF(AND(LEN($A1197)=4,VALUE(RIGHT($A1197,2))&gt;60),$A1197&amp;"01 1",$A1197),IF(AND(LEN($A1197)=4,VALUE(RIGHT($A1197,2))&lt;60),GUS_tabl_2!$A$8:$B$464,GUS_tabl_21!$A$5:$B$4886),2,FALSE)))),TRIM(VLOOKUP(IF(AND(LEN($A1197)=4,VALUE(RIGHT($A1197,2))&gt;60),$A1197&amp;"01 1",$A1197),IF(AND(LEN($A1197)=4,VALUE(RIGHT($A1197,2))&lt;60),GUS_tabl_2!$A$8:$B$464,GUS_tabl_21!$A$5:$B$4886),2,FALSE)),LEFT(TRIM(VLOOKUP(IF(AND(LEN($A1197)=4,VALUE(RIGHT($A1197,2))&gt;60),$A1197&amp;"01 1",$A1197),IF(AND(LEN($A1197)=4,VALUE(RIGHT($A1197,2))&lt;60),GUS_tabl_2!$A$8:$B$464,GUS_tabl_21!$A$5:$B$4886),2,FALSE)),SUM(FIND("..",TRIM(VLOOKUP(IF(AND(LEN($A1197)=4,VALUE(RIGHT($A1197,2))&gt;60),$A1197&amp;"01 1",$A1197),IF(AND(LEN($A1197)=4,VALUE(RIGHT($A1197,2))&lt;60),GUS_tabl_2!$A$8:$B$464,GUS_tabl_21!$A$5:$B$4886),2,FALSE))),-1)))))</f>
        <v>gm. w. Chynów</v>
      </c>
      <c r="D1197" s="141">
        <f>IF(OR($A1197="",ISERROR(VALUE(LEFT($A1197,6)))),"",IF(LEN($A1197)=2,SUMIF($A1198:$A$2965,$A1197&amp;"??",$D1198:$D$2965),IF(AND(LEN($A1197)=4,VALUE(RIGHT($A1197,2))&lt;=60),SUMIF($A1198:$A$2965,$A1197&amp;"????",$D1198:$D$2965),VLOOKUP(IF(LEN($A1197)=4,$A1197&amp;"01 1",$A1197),GUS_tabl_21!$A$5:$F$4886,6,FALSE))))</f>
        <v>9846</v>
      </c>
      <c r="E1197" s="29"/>
    </row>
    <row r="1198" spans="1:5" ht="12" customHeight="1">
      <c r="A1198" s="155" t="str">
        <f>"140604 2"</f>
        <v>140604 2</v>
      </c>
      <c r="B1198" s="153" t="s">
        <v>45</v>
      </c>
      <c r="C1198" s="156" t="str">
        <f>IF(OR($A1198="",ISERROR(VALUE(LEFT($A1198,6)))),"",IF(LEN($A1198)=2,"WOJ. ",IF(LEN($A1198)=4,IF(VALUE(RIGHT($A1198,2))&gt;60,"","Powiat "),IF(VALUE(RIGHT($A1198,1))=1,"m. ",IF(VALUE(RIGHT($A1198,1))=2,"gm. w. ",IF(VALUE(RIGHT($A1198,1))=8,"dz. ","gm. m.-w. ")))))&amp;IF(LEN($A1198)=2,TRIM(UPPER(VLOOKUP($A1198,GUS_tabl_1!$A$7:$B$22,2,FALSE))),IF(ISERROR(FIND("..",TRIM(VLOOKUP(IF(AND(LEN($A1198)=4,VALUE(RIGHT($A1198,2))&gt;60),$A1198&amp;"01 1",$A1198),IF(AND(LEN($A1198)=4,VALUE(RIGHT($A1198,2))&lt;60),GUS_tabl_2!$A$8:$B$464,GUS_tabl_21!$A$5:$B$4886),2,FALSE)))),TRIM(VLOOKUP(IF(AND(LEN($A1198)=4,VALUE(RIGHT($A1198,2))&gt;60),$A1198&amp;"01 1",$A1198),IF(AND(LEN($A1198)=4,VALUE(RIGHT($A1198,2))&lt;60),GUS_tabl_2!$A$8:$B$464,GUS_tabl_21!$A$5:$B$4886),2,FALSE)),LEFT(TRIM(VLOOKUP(IF(AND(LEN($A1198)=4,VALUE(RIGHT($A1198,2))&gt;60),$A1198&amp;"01 1",$A1198),IF(AND(LEN($A1198)=4,VALUE(RIGHT($A1198,2))&lt;60),GUS_tabl_2!$A$8:$B$464,GUS_tabl_21!$A$5:$B$4886),2,FALSE)),SUM(FIND("..",TRIM(VLOOKUP(IF(AND(LEN($A1198)=4,VALUE(RIGHT($A1198,2))&gt;60),$A1198&amp;"01 1",$A1198),IF(AND(LEN($A1198)=4,VALUE(RIGHT($A1198,2))&lt;60),GUS_tabl_2!$A$8:$B$464,GUS_tabl_21!$A$5:$B$4886),2,FALSE))),-1)))))</f>
        <v>gm. w. Goszczyn</v>
      </c>
      <c r="D1198" s="141">
        <f>IF(OR($A1198="",ISERROR(VALUE(LEFT($A1198,6)))),"",IF(LEN($A1198)=2,SUMIF($A1199:$A$2965,$A1198&amp;"??",$D1199:$D$2965),IF(AND(LEN($A1198)=4,VALUE(RIGHT($A1198,2))&lt;=60),SUMIF($A1199:$A$2965,$A1198&amp;"????",$D1199:$D$2965),VLOOKUP(IF(LEN($A1198)=4,$A1198&amp;"01 1",$A1198),GUS_tabl_21!$A$5:$F$4886,6,FALSE))))</f>
        <v>2971</v>
      </c>
      <c r="E1198" s="29"/>
    </row>
    <row r="1199" spans="1:5" ht="12" customHeight="1">
      <c r="A1199" s="155" t="str">
        <f>"140605 3"</f>
        <v>140605 3</v>
      </c>
      <c r="B1199" s="153" t="s">
        <v>45</v>
      </c>
      <c r="C1199" s="156" t="str">
        <f>IF(OR($A1199="",ISERROR(VALUE(LEFT($A1199,6)))),"",IF(LEN($A1199)=2,"WOJ. ",IF(LEN($A1199)=4,IF(VALUE(RIGHT($A1199,2))&gt;60,"","Powiat "),IF(VALUE(RIGHT($A1199,1))=1,"m. ",IF(VALUE(RIGHT($A1199,1))=2,"gm. w. ",IF(VALUE(RIGHT($A1199,1))=8,"dz. ","gm. m.-w. ")))))&amp;IF(LEN($A1199)=2,TRIM(UPPER(VLOOKUP($A1199,GUS_tabl_1!$A$7:$B$22,2,FALSE))),IF(ISERROR(FIND("..",TRIM(VLOOKUP(IF(AND(LEN($A1199)=4,VALUE(RIGHT($A1199,2))&gt;60),$A1199&amp;"01 1",$A1199),IF(AND(LEN($A1199)=4,VALUE(RIGHT($A1199,2))&lt;60),GUS_tabl_2!$A$8:$B$464,GUS_tabl_21!$A$5:$B$4886),2,FALSE)))),TRIM(VLOOKUP(IF(AND(LEN($A1199)=4,VALUE(RIGHT($A1199,2))&gt;60),$A1199&amp;"01 1",$A1199),IF(AND(LEN($A1199)=4,VALUE(RIGHT($A1199,2))&lt;60),GUS_tabl_2!$A$8:$B$464,GUS_tabl_21!$A$5:$B$4886),2,FALSE)),LEFT(TRIM(VLOOKUP(IF(AND(LEN($A1199)=4,VALUE(RIGHT($A1199,2))&gt;60),$A1199&amp;"01 1",$A1199),IF(AND(LEN($A1199)=4,VALUE(RIGHT($A1199,2))&lt;60),GUS_tabl_2!$A$8:$B$464,GUS_tabl_21!$A$5:$B$4886),2,FALSE)),SUM(FIND("..",TRIM(VLOOKUP(IF(AND(LEN($A1199)=4,VALUE(RIGHT($A1199,2))&gt;60),$A1199&amp;"01 1",$A1199),IF(AND(LEN($A1199)=4,VALUE(RIGHT($A1199,2))&lt;60),GUS_tabl_2!$A$8:$B$464,GUS_tabl_21!$A$5:$B$4886),2,FALSE))),-1)))))</f>
        <v>gm. m.-w. Grójec</v>
      </c>
      <c r="D1199" s="141">
        <f>IF(OR($A1199="",ISERROR(VALUE(LEFT($A1199,6)))),"",IF(LEN($A1199)=2,SUMIF($A1200:$A$2965,$A1199&amp;"??",$D1200:$D$2965),IF(AND(LEN($A1199)=4,VALUE(RIGHT($A1199,2))&lt;=60),SUMIF($A1200:$A$2965,$A1199&amp;"????",$D1200:$D$2965),VLOOKUP(IF(LEN($A1199)=4,$A1199&amp;"01 1",$A1199),GUS_tabl_21!$A$5:$F$4886,6,FALSE))))</f>
        <v>25855</v>
      </c>
      <c r="E1199" s="29"/>
    </row>
    <row r="1200" spans="1:5" ht="12" customHeight="1">
      <c r="A1200" s="155" t="str">
        <f>"140606 2"</f>
        <v>140606 2</v>
      </c>
      <c r="B1200" s="153" t="s">
        <v>45</v>
      </c>
      <c r="C1200" s="156" t="str">
        <f>IF(OR($A1200="",ISERROR(VALUE(LEFT($A1200,6)))),"",IF(LEN($A1200)=2,"WOJ. ",IF(LEN($A1200)=4,IF(VALUE(RIGHT($A1200,2))&gt;60,"","Powiat "),IF(VALUE(RIGHT($A1200,1))=1,"m. ",IF(VALUE(RIGHT($A1200,1))=2,"gm. w. ",IF(VALUE(RIGHT($A1200,1))=8,"dz. ","gm. m.-w. ")))))&amp;IF(LEN($A1200)=2,TRIM(UPPER(VLOOKUP($A1200,GUS_tabl_1!$A$7:$B$22,2,FALSE))),IF(ISERROR(FIND("..",TRIM(VLOOKUP(IF(AND(LEN($A1200)=4,VALUE(RIGHT($A1200,2))&gt;60),$A1200&amp;"01 1",$A1200),IF(AND(LEN($A1200)=4,VALUE(RIGHT($A1200,2))&lt;60),GUS_tabl_2!$A$8:$B$464,GUS_tabl_21!$A$5:$B$4886),2,FALSE)))),TRIM(VLOOKUP(IF(AND(LEN($A1200)=4,VALUE(RIGHT($A1200,2))&gt;60),$A1200&amp;"01 1",$A1200),IF(AND(LEN($A1200)=4,VALUE(RIGHT($A1200,2))&lt;60),GUS_tabl_2!$A$8:$B$464,GUS_tabl_21!$A$5:$B$4886),2,FALSE)),LEFT(TRIM(VLOOKUP(IF(AND(LEN($A1200)=4,VALUE(RIGHT($A1200,2))&gt;60),$A1200&amp;"01 1",$A1200),IF(AND(LEN($A1200)=4,VALUE(RIGHT($A1200,2))&lt;60),GUS_tabl_2!$A$8:$B$464,GUS_tabl_21!$A$5:$B$4886),2,FALSE)),SUM(FIND("..",TRIM(VLOOKUP(IF(AND(LEN($A1200)=4,VALUE(RIGHT($A1200,2))&gt;60),$A1200&amp;"01 1",$A1200),IF(AND(LEN($A1200)=4,VALUE(RIGHT($A1200,2))&lt;60),GUS_tabl_2!$A$8:$B$464,GUS_tabl_21!$A$5:$B$4886),2,FALSE))),-1)))))</f>
        <v>gm. w. Jasieniec</v>
      </c>
      <c r="D1200" s="141">
        <f>IF(OR($A1200="",ISERROR(VALUE(LEFT($A1200,6)))),"",IF(LEN($A1200)=2,SUMIF($A1201:$A$2965,$A1200&amp;"??",$D1201:$D$2965),IF(AND(LEN($A1200)=4,VALUE(RIGHT($A1200,2))&lt;=60),SUMIF($A1201:$A$2965,$A1200&amp;"????",$D1201:$D$2965),VLOOKUP(IF(LEN($A1200)=4,$A1200&amp;"01 1",$A1200),GUS_tabl_21!$A$5:$F$4886,6,FALSE))))</f>
        <v>5376</v>
      </c>
      <c r="E1200" s="29"/>
    </row>
    <row r="1201" spans="1:5" ht="12" customHeight="1">
      <c r="A1201" s="155" t="str">
        <f>"140607 3"</f>
        <v>140607 3</v>
      </c>
      <c r="B1201" s="153" t="s">
        <v>45</v>
      </c>
      <c r="C1201" s="156" t="str">
        <f>IF(OR($A1201="",ISERROR(VALUE(LEFT($A1201,6)))),"",IF(LEN($A1201)=2,"WOJ. ",IF(LEN($A1201)=4,IF(VALUE(RIGHT($A1201,2))&gt;60,"","Powiat "),IF(VALUE(RIGHT($A1201,1))=1,"m. ",IF(VALUE(RIGHT($A1201,1))=2,"gm. w. ",IF(VALUE(RIGHT($A1201,1))=8,"dz. ","gm. m.-w. ")))))&amp;IF(LEN($A1201)=2,TRIM(UPPER(VLOOKUP($A1201,GUS_tabl_1!$A$7:$B$22,2,FALSE))),IF(ISERROR(FIND("..",TRIM(VLOOKUP(IF(AND(LEN($A1201)=4,VALUE(RIGHT($A1201,2))&gt;60),$A1201&amp;"01 1",$A1201),IF(AND(LEN($A1201)=4,VALUE(RIGHT($A1201,2))&lt;60),GUS_tabl_2!$A$8:$B$464,GUS_tabl_21!$A$5:$B$4886),2,FALSE)))),TRIM(VLOOKUP(IF(AND(LEN($A1201)=4,VALUE(RIGHT($A1201,2))&gt;60),$A1201&amp;"01 1",$A1201),IF(AND(LEN($A1201)=4,VALUE(RIGHT($A1201,2))&lt;60),GUS_tabl_2!$A$8:$B$464,GUS_tabl_21!$A$5:$B$4886),2,FALSE)),LEFT(TRIM(VLOOKUP(IF(AND(LEN($A1201)=4,VALUE(RIGHT($A1201,2))&gt;60),$A1201&amp;"01 1",$A1201),IF(AND(LEN($A1201)=4,VALUE(RIGHT($A1201,2))&lt;60),GUS_tabl_2!$A$8:$B$464,GUS_tabl_21!$A$5:$B$4886),2,FALSE)),SUM(FIND("..",TRIM(VLOOKUP(IF(AND(LEN($A1201)=4,VALUE(RIGHT($A1201,2))&gt;60),$A1201&amp;"01 1",$A1201),IF(AND(LEN($A1201)=4,VALUE(RIGHT($A1201,2))&lt;60),GUS_tabl_2!$A$8:$B$464,GUS_tabl_21!$A$5:$B$4886),2,FALSE))),-1)))))</f>
        <v>gm. m.-w. Mogielnica</v>
      </c>
      <c r="D1201" s="141">
        <f>IF(OR($A1201="",ISERROR(VALUE(LEFT($A1201,6)))),"",IF(LEN($A1201)=2,SUMIF($A1202:$A$2965,$A1201&amp;"??",$D1202:$D$2965),IF(AND(LEN($A1201)=4,VALUE(RIGHT($A1201,2))&lt;=60),SUMIF($A1202:$A$2965,$A1201&amp;"????",$D1202:$D$2965),VLOOKUP(IF(LEN($A1201)=4,$A1201&amp;"01 1",$A1201),GUS_tabl_21!$A$5:$F$4886,6,FALSE))))</f>
        <v>8682</v>
      </c>
      <c r="E1201" s="29"/>
    </row>
    <row r="1202" spans="1:5" ht="12" customHeight="1">
      <c r="A1202" s="155" t="str">
        <f>"140608 3"</f>
        <v>140608 3</v>
      </c>
      <c r="B1202" s="153" t="s">
        <v>45</v>
      </c>
      <c r="C1202" s="156" t="str">
        <f>IF(OR($A1202="",ISERROR(VALUE(LEFT($A1202,6)))),"",IF(LEN($A1202)=2,"WOJ. ",IF(LEN($A1202)=4,IF(VALUE(RIGHT($A1202,2))&gt;60,"","Powiat "),IF(VALUE(RIGHT($A1202,1))=1,"m. ",IF(VALUE(RIGHT($A1202,1))=2,"gm. w. ",IF(VALUE(RIGHT($A1202,1))=8,"dz. ","gm. m.-w. ")))))&amp;IF(LEN($A1202)=2,TRIM(UPPER(VLOOKUP($A1202,GUS_tabl_1!$A$7:$B$22,2,FALSE))),IF(ISERROR(FIND("..",TRIM(VLOOKUP(IF(AND(LEN($A1202)=4,VALUE(RIGHT($A1202,2))&gt;60),$A1202&amp;"01 1",$A1202),IF(AND(LEN($A1202)=4,VALUE(RIGHT($A1202,2))&lt;60),GUS_tabl_2!$A$8:$B$464,GUS_tabl_21!$A$5:$B$4886),2,FALSE)))),TRIM(VLOOKUP(IF(AND(LEN($A1202)=4,VALUE(RIGHT($A1202,2))&gt;60),$A1202&amp;"01 1",$A1202),IF(AND(LEN($A1202)=4,VALUE(RIGHT($A1202,2))&lt;60),GUS_tabl_2!$A$8:$B$464,GUS_tabl_21!$A$5:$B$4886),2,FALSE)),LEFT(TRIM(VLOOKUP(IF(AND(LEN($A1202)=4,VALUE(RIGHT($A1202,2))&gt;60),$A1202&amp;"01 1",$A1202),IF(AND(LEN($A1202)=4,VALUE(RIGHT($A1202,2))&lt;60),GUS_tabl_2!$A$8:$B$464,GUS_tabl_21!$A$5:$B$4886),2,FALSE)),SUM(FIND("..",TRIM(VLOOKUP(IF(AND(LEN($A1202)=4,VALUE(RIGHT($A1202,2))&gt;60),$A1202&amp;"01 1",$A1202),IF(AND(LEN($A1202)=4,VALUE(RIGHT($A1202,2))&lt;60),GUS_tabl_2!$A$8:$B$464,GUS_tabl_21!$A$5:$B$4886),2,FALSE))),-1)))))</f>
        <v>gm. m.-w. Nowe Miasto nad Pilicą</v>
      </c>
      <c r="D1202" s="141">
        <f>IF(OR($A1202="",ISERROR(VALUE(LEFT($A1202,6)))),"",IF(LEN($A1202)=2,SUMIF($A1203:$A$2965,$A1202&amp;"??",$D1203:$D$2965),IF(AND(LEN($A1202)=4,VALUE(RIGHT($A1202,2))&lt;=60),SUMIF($A1203:$A$2965,$A1202&amp;"????",$D1203:$D$2965),VLOOKUP(IF(LEN($A1202)=4,$A1202&amp;"01 1",$A1202),GUS_tabl_21!$A$5:$F$4886,6,FALSE))))</f>
        <v>7668</v>
      </c>
      <c r="E1202" s="29"/>
    </row>
    <row r="1203" spans="1:5" ht="12" customHeight="1">
      <c r="A1203" s="155" t="str">
        <f>"140609 2"</f>
        <v>140609 2</v>
      </c>
      <c r="B1203" s="153" t="s">
        <v>45</v>
      </c>
      <c r="C1203" s="156" t="str">
        <f>IF(OR($A1203="",ISERROR(VALUE(LEFT($A1203,6)))),"",IF(LEN($A1203)=2,"WOJ. ",IF(LEN($A1203)=4,IF(VALUE(RIGHT($A1203,2))&gt;60,"","Powiat "),IF(VALUE(RIGHT($A1203,1))=1,"m. ",IF(VALUE(RIGHT($A1203,1))=2,"gm. w. ",IF(VALUE(RIGHT($A1203,1))=8,"dz. ","gm. m.-w. ")))))&amp;IF(LEN($A1203)=2,TRIM(UPPER(VLOOKUP($A1203,GUS_tabl_1!$A$7:$B$22,2,FALSE))),IF(ISERROR(FIND("..",TRIM(VLOOKUP(IF(AND(LEN($A1203)=4,VALUE(RIGHT($A1203,2))&gt;60),$A1203&amp;"01 1",$A1203),IF(AND(LEN($A1203)=4,VALUE(RIGHT($A1203,2))&lt;60),GUS_tabl_2!$A$8:$B$464,GUS_tabl_21!$A$5:$B$4886),2,FALSE)))),TRIM(VLOOKUP(IF(AND(LEN($A1203)=4,VALUE(RIGHT($A1203,2))&gt;60),$A1203&amp;"01 1",$A1203),IF(AND(LEN($A1203)=4,VALUE(RIGHT($A1203,2))&lt;60),GUS_tabl_2!$A$8:$B$464,GUS_tabl_21!$A$5:$B$4886),2,FALSE)),LEFT(TRIM(VLOOKUP(IF(AND(LEN($A1203)=4,VALUE(RIGHT($A1203,2))&gt;60),$A1203&amp;"01 1",$A1203),IF(AND(LEN($A1203)=4,VALUE(RIGHT($A1203,2))&lt;60),GUS_tabl_2!$A$8:$B$464,GUS_tabl_21!$A$5:$B$4886),2,FALSE)),SUM(FIND("..",TRIM(VLOOKUP(IF(AND(LEN($A1203)=4,VALUE(RIGHT($A1203,2))&gt;60),$A1203&amp;"01 1",$A1203),IF(AND(LEN($A1203)=4,VALUE(RIGHT($A1203,2))&lt;60),GUS_tabl_2!$A$8:$B$464,GUS_tabl_21!$A$5:$B$4886),2,FALSE))),-1)))))</f>
        <v>gm. w. Pniewy</v>
      </c>
      <c r="D1203" s="141">
        <f>IF(OR($A1203="",ISERROR(VALUE(LEFT($A1203,6)))),"",IF(LEN($A1203)=2,SUMIF($A1204:$A$2965,$A1203&amp;"??",$D1204:$D$2965),IF(AND(LEN($A1203)=4,VALUE(RIGHT($A1203,2))&lt;=60),SUMIF($A1204:$A$2965,$A1203&amp;"????",$D1204:$D$2965),VLOOKUP(IF(LEN($A1203)=4,$A1203&amp;"01 1",$A1203),GUS_tabl_21!$A$5:$F$4886,6,FALSE))))</f>
        <v>4797</v>
      </c>
      <c r="E1203" s="29"/>
    </row>
    <row r="1204" spans="1:5" ht="12" customHeight="1">
      <c r="A1204" s="155" t="str">
        <f>"140611 3"</f>
        <v>140611 3</v>
      </c>
      <c r="B1204" s="153" t="s">
        <v>45</v>
      </c>
      <c r="C1204" s="156" t="str">
        <f>IF(OR($A1204="",ISERROR(VALUE(LEFT($A1204,6)))),"",IF(LEN($A1204)=2,"WOJ. ",IF(LEN($A1204)=4,IF(VALUE(RIGHT($A1204,2))&gt;60,"","Powiat "),IF(VALUE(RIGHT($A1204,1))=1,"m. ",IF(VALUE(RIGHT($A1204,1))=2,"gm. w. ",IF(VALUE(RIGHT($A1204,1))=8,"dz. ","gm. m.-w. ")))))&amp;IF(LEN($A1204)=2,TRIM(UPPER(VLOOKUP($A1204,GUS_tabl_1!$A$7:$B$22,2,FALSE))),IF(ISERROR(FIND("..",TRIM(VLOOKUP(IF(AND(LEN($A1204)=4,VALUE(RIGHT($A1204,2))&gt;60),$A1204&amp;"01 1",$A1204),IF(AND(LEN($A1204)=4,VALUE(RIGHT($A1204,2))&lt;60),GUS_tabl_2!$A$8:$B$464,GUS_tabl_21!$A$5:$B$4886),2,FALSE)))),TRIM(VLOOKUP(IF(AND(LEN($A1204)=4,VALUE(RIGHT($A1204,2))&gt;60),$A1204&amp;"01 1",$A1204),IF(AND(LEN($A1204)=4,VALUE(RIGHT($A1204,2))&lt;60),GUS_tabl_2!$A$8:$B$464,GUS_tabl_21!$A$5:$B$4886),2,FALSE)),LEFT(TRIM(VLOOKUP(IF(AND(LEN($A1204)=4,VALUE(RIGHT($A1204,2))&gt;60),$A1204&amp;"01 1",$A1204),IF(AND(LEN($A1204)=4,VALUE(RIGHT($A1204,2))&lt;60),GUS_tabl_2!$A$8:$B$464,GUS_tabl_21!$A$5:$B$4886),2,FALSE)),SUM(FIND("..",TRIM(VLOOKUP(IF(AND(LEN($A1204)=4,VALUE(RIGHT($A1204,2))&gt;60),$A1204&amp;"01 1",$A1204),IF(AND(LEN($A1204)=4,VALUE(RIGHT($A1204,2))&lt;60),GUS_tabl_2!$A$8:$B$464,GUS_tabl_21!$A$5:$B$4886),2,FALSE))),-1)))))</f>
        <v>gm. m.-w. Warka</v>
      </c>
      <c r="D1204" s="141">
        <f>IF(OR($A1204="",ISERROR(VALUE(LEFT($A1204,6)))),"",IF(LEN($A1204)=2,SUMIF($A1205:$A$2965,$A1204&amp;"??",$D1205:$D$2965),IF(AND(LEN($A1204)=4,VALUE(RIGHT($A1204,2))&lt;=60),SUMIF($A1205:$A$2965,$A1204&amp;"????",$D1205:$D$2965),VLOOKUP(IF(LEN($A1204)=4,$A1204&amp;"01 1",$A1204),GUS_tabl_21!$A$5:$F$4886,6,FALSE))))</f>
        <v>19226</v>
      </c>
      <c r="E1204" s="29"/>
    </row>
    <row r="1205" spans="1:5" ht="12" customHeight="1">
      <c r="A1205" s="152" t="str">
        <f>"1407"</f>
        <v>1407</v>
      </c>
      <c r="B1205" s="153" t="s">
        <v>45</v>
      </c>
      <c r="C1205" s="154" t="str">
        <f>IF(OR($A1205="",ISERROR(VALUE(LEFT($A1205,6)))),"",IF(LEN($A1205)=2,"WOJ. ",IF(LEN($A1205)=4,IF(VALUE(RIGHT($A1205,2))&gt;60,"","Powiat "),IF(VALUE(RIGHT($A1205,1))=1,"m. ",IF(VALUE(RIGHT($A1205,1))=2,"gm. w. ",IF(VALUE(RIGHT($A1205,1))=8,"dz. ","gm. m.-w. ")))))&amp;IF(LEN($A1205)=2,TRIM(UPPER(VLOOKUP($A1205,GUS_tabl_1!$A$7:$B$22,2,FALSE))),IF(ISERROR(FIND("..",TRIM(VLOOKUP(IF(AND(LEN($A1205)=4,VALUE(RIGHT($A1205,2))&gt;60),$A1205&amp;"01 1",$A1205),IF(AND(LEN($A1205)=4,VALUE(RIGHT($A1205,2))&lt;60),GUS_tabl_2!$A$8:$B$464,GUS_tabl_21!$A$5:$B$4886),2,FALSE)))),TRIM(VLOOKUP(IF(AND(LEN($A1205)=4,VALUE(RIGHT($A1205,2))&gt;60),$A1205&amp;"01 1",$A1205),IF(AND(LEN($A1205)=4,VALUE(RIGHT($A1205,2))&lt;60),GUS_tabl_2!$A$8:$B$464,GUS_tabl_21!$A$5:$B$4886),2,FALSE)),LEFT(TRIM(VLOOKUP(IF(AND(LEN($A1205)=4,VALUE(RIGHT($A1205,2))&gt;60),$A1205&amp;"01 1",$A1205),IF(AND(LEN($A1205)=4,VALUE(RIGHT($A1205,2))&lt;60),GUS_tabl_2!$A$8:$B$464,GUS_tabl_21!$A$5:$B$4886),2,FALSE)),SUM(FIND("..",TRIM(VLOOKUP(IF(AND(LEN($A1205)=4,VALUE(RIGHT($A1205,2))&gt;60),$A1205&amp;"01 1",$A1205),IF(AND(LEN($A1205)=4,VALUE(RIGHT($A1205,2))&lt;60),GUS_tabl_2!$A$8:$B$464,GUS_tabl_21!$A$5:$B$4886),2,FALSE))),-1)))))</f>
        <v>Powiat kozienicki</v>
      </c>
      <c r="D1205" s="140">
        <f>IF(OR($A1205="",ISERROR(VALUE(LEFT($A1205,6)))),"",IF(LEN($A1205)=2,SUMIF($A1206:$A$2965,$A1205&amp;"??",$D1206:$D$2965),IF(AND(LEN($A1205)=4,VALUE(RIGHT($A1205,2))&lt;=60),SUMIF($A1206:$A$2965,$A1205&amp;"????",$D1206:$D$2965),VLOOKUP(IF(LEN($A1205)=4,$A1205&amp;"01 1",$A1205),GUS_tabl_21!$A$5:$F$4886,6,FALSE))))</f>
        <v>59997</v>
      </c>
      <c r="E1205" s="29"/>
    </row>
    <row r="1206" spans="1:5" ht="12" customHeight="1">
      <c r="A1206" s="155" t="str">
        <f>"140701 2"</f>
        <v>140701 2</v>
      </c>
      <c r="B1206" s="153" t="s">
        <v>45</v>
      </c>
      <c r="C1206" s="156" t="str">
        <f>IF(OR($A1206="",ISERROR(VALUE(LEFT($A1206,6)))),"",IF(LEN($A1206)=2,"WOJ. ",IF(LEN($A1206)=4,IF(VALUE(RIGHT($A1206,2))&gt;60,"","Powiat "),IF(VALUE(RIGHT($A1206,1))=1,"m. ",IF(VALUE(RIGHT($A1206,1))=2,"gm. w. ",IF(VALUE(RIGHT($A1206,1))=8,"dz. ","gm. m.-w. ")))))&amp;IF(LEN($A1206)=2,TRIM(UPPER(VLOOKUP($A1206,GUS_tabl_1!$A$7:$B$22,2,FALSE))),IF(ISERROR(FIND("..",TRIM(VLOOKUP(IF(AND(LEN($A1206)=4,VALUE(RIGHT($A1206,2))&gt;60),$A1206&amp;"01 1",$A1206),IF(AND(LEN($A1206)=4,VALUE(RIGHT($A1206,2))&lt;60),GUS_tabl_2!$A$8:$B$464,GUS_tabl_21!$A$5:$B$4886),2,FALSE)))),TRIM(VLOOKUP(IF(AND(LEN($A1206)=4,VALUE(RIGHT($A1206,2))&gt;60),$A1206&amp;"01 1",$A1206),IF(AND(LEN($A1206)=4,VALUE(RIGHT($A1206,2))&lt;60),GUS_tabl_2!$A$8:$B$464,GUS_tabl_21!$A$5:$B$4886),2,FALSE)),LEFT(TRIM(VLOOKUP(IF(AND(LEN($A1206)=4,VALUE(RIGHT($A1206,2))&gt;60),$A1206&amp;"01 1",$A1206),IF(AND(LEN($A1206)=4,VALUE(RIGHT($A1206,2))&lt;60),GUS_tabl_2!$A$8:$B$464,GUS_tabl_21!$A$5:$B$4886),2,FALSE)),SUM(FIND("..",TRIM(VLOOKUP(IF(AND(LEN($A1206)=4,VALUE(RIGHT($A1206,2))&gt;60),$A1206&amp;"01 1",$A1206),IF(AND(LEN($A1206)=4,VALUE(RIGHT($A1206,2))&lt;60),GUS_tabl_2!$A$8:$B$464,GUS_tabl_21!$A$5:$B$4886),2,FALSE))),-1)))))</f>
        <v>gm. w. Garbatka-Letnisko</v>
      </c>
      <c r="D1206" s="141">
        <f>IF(OR($A1206="",ISERROR(VALUE(LEFT($A1206,6)))),"",IF(LEN($A1206)=2,SUMIF($A1207:$A$2965,$A1206&amp;"??",$D1207:$D$2965),IF(AND(LEN($A1206)=4,VALUE(RIGHT($A1206,2))&lt;=60),SUMIF($A1207:$A$2965,$A1206&amp;"????",$D1207:$D$2965),VLOOKUP(IF(LEN($A1206)=4,$A1206&amp;"01 1",$A1206),GUS_tabl_21!$A$5:$F$4886,6,FALSE))))</f>
        <v>5001</v>
      </c>
      <c r="E1206" s="29"/>
    </row>
    <row r="1207" spans="1:5" ht="12" customHeight="1">
      <c r="A1207" s="155" t="str">
        <f>"140702 2"</f>
        <v>140702 2</v>
      </c>
      <c r="B1207" s="153" t="s">
        <v>45</v>
      </c>
      <c r="C1207" s="156" t="str">
        <f>IF(OR($A1207="",ISERROR(VALUE(LEFT($A1207,6)))),"",IF(LEN($A1207)=2,"WOJ. ",IF(LEN($A1207)=4,IF(VALUE(RIGHT($A1207,2))&gt;60,"","Powiat "),IF(VALUE(RIGHT($A1207,1))=1,"m. ",IF(VALUE(RIGHT($A1207,1))=2,"gm. w. ",IF(VALUE(RIGHT($A1207,1))=8,"dz. ","gm. m.-w. ")))))&amp;IF(LEN($A1207)=2,TRIM(UPPER(VLOOKUP($A1207,GUS_tabl_1!$A$7:$B$22,2,FALSE))),IF(ISERROR(FIND("..",TRIM(VLOOKUP(IF(AND(LEN($A1207)=4,VALUE(RIGHT($A1207,2))&gt;60),$A1207&amp;"01 1",$A1207),IF(AND(LEN($A1207)=4,VALUE(RIGHT($A1207,2))&lt;60),GUS_tabl_2!$A$8:$B$464,GUS_tabl_21!$A$5:$B$4886),2,FALSE)))),TRIM(VLOOKUP(IF(AND(LEN($A1207)=4,VALUE(RIGHT($A1207,2))&gt;60),$A1207&amp;"01 1",$A1207),IF(AND(LEN($A1207)=4,VALUE(RIGHT($A1207,2))&lt;60),GUS_tabl_2!$A$8:$B$464,GUS_tabl_21!$A$5:$B$4886),2,FALSE)),LEFT(TRIM(VLOOKUP(IF(AND(LEN($A1207)=4,VALUE(RIGHT($A1207,2))&gt;60),$A1207&amp;"01 1",$A1207),IF(AND(LEN($A1207)=4,VALUE(RIGHT($A1207,2))&lt;60),GUS_tabl_2!$A$8:$B$464,GUS_tabl_21!$A$5:$B$4886),2,FALSE)),SUM(FIND("..",TRIM(VLOOKUP(IF(AND(LEN($A1207)=4,VALUE(RIGHT($A1207,2))&gt;60),$A1207&amp;"01 1",$A1207),IF(AND(LEN($A1207)=4,VALUE(RIGHT($A1207,2))&lt;60),GUS_tabl_2!$A$8:$B$464,GUS_tabl_21!$A$5:$B$4886),2,FALSE))),-1)))))</f>
        <v>gm. w. Głowaczów</v>
      </c>
      <c r="D1207" s="141">
        <f>IF(OR($A1207="",ISERROR(VALUE(LEFT($A1207,6)))),"",IF(LEN($A1207)=2,SUMIF($A1208:$A$2965,$A1207&amp;"??",$D1208:$D$2965),IF(AND(LEN($A1207)=4,VALUE(RIGHT($A1207,2))&lt;=60),SUMIF($A1208:$A$2965,$A1207&amp;"????",$D1208:$D$2965),VLOOKUP(IF(LEN($A1207)=4,$A1207&amp;"01 1",$A1207),GUS_tabl_21!$A$5:$F$4886,6,FALSE))))</f>
        <v>7166</v>
      </c>
      <c r="E1207" s="29"/>
    </row>
    <row r="1208" spans="1:5" ht="12" customHeight="1">
      <c r="A1208" s="155" t="str">
        <f>"140703 2"</f>
        <v>140703 2</v>
      </c>
      <c r="B1208" s="153" t="s">
        <v>45</v>
      </c>
      <c r="C1208" s="156" t="str">
        <f>IF(OR($A1208="",ISERROR(VALUE(LEFT($A1208,6)))),"",IF(LEN($A1208)=2,"WOJ. ",IF(LEN($A1208)=4,IF(VALUE(RIGHT($A1208,2))&gt;60,"","Powiat "),IF(VALUE(RIGHT($A1208,1))=1,"m. ",IF(VALUE(RIGHT($A1208,1))=2,"gm. w. ",IF(VALUE(RIGHT($A1208,1))=8,"dz. ","gm. m.-w. ")))))&amp;IF(LEN($A1208)=2,TRIM(UPPER(VLOOKUP($A1208,GUS_tabl_1!$A$7:$B$22,2,FALSE))),IF(ISERROR(FIND("..",TRIM(VLOOKUP(IF(AND(LEN($A1208)=4,VALUE(RIGHT($A1208,2))&gt;60),$A1208&amp;"01 1",$A1208),IF(AND(LEN($A1208)=4,VALUE(RIGHT($A1208,2))&lt;60),GUS_tabl_2!$A$8:$B$464,GUS_tabl_21!$A$5:$B$4886),2,FALSE)))),TRIM(VLOOKUP(IF(AND(LEN($A1208)=4,VALUE(RIGHT($A1208,2))&gt;60),$A1208&amp;"01 1",$A1208),IF(AND(LEN($A1208)=4,VALUE(RIGHT($A1208,2))&lt;60),GUS_tabl_2!$A$8:$B$464,GUS_tabl_21!$A$5:$B$4886),2,FALSE)),LEFT(TRIM(VLOOKUP(IF(AND(LEN($A1208)=4,VALUE(RIGHT($A1208,2))&gt;60),$A1208&amp;"01 1",$A1208),IF(AND(LEN($A1208)=4,VALUE(RIGHT($A1208,2))&lt;60),GUS_tabl_2!$A$8:$B$464,GUS_tabl_21!$A$5:$B$4886),2,FALSE)),SUM(FIND("..",TRIM(VLOOKUP(IF(AND(LEN($A1208)=4,VALUE(RIGHT($A1208,2))&gt;60),$A1208&amp;"01 1",$A1208),IF(AND(LEN($A1208)=4,VALUE(RIGHT($A1208,2))&lt;60),GUS_tabl_2!$A$8:$B$464,GUS_tabl_21!$A$5:$B$4886),2,FALSE))),-1)))))</f>
        <v>gm. w. Gniewoszów</v>
      </c>
      <c r="D1208" s="141">
        <f>IF(OR($A1208="",ISERROR(VALUE(LEFT($A1208,6)))),"",IF(LEN($A1208)=2,SUMIF($A1209:$A$2965,$A1208&amp;"??",$D1209:$D$2965),IF(AND(LEN($A1208)=4,VALUE(RIGHT($A1208,2))&lt;=60),SUMIF($A1209:$A$2965,$A1208&amp;"????",$D1209:$D$2965),VLOOKUP(IF(LEN($A1208)=4,$A1208&amp;"01 1",$A1208),GUS_tabl_21!$A$5:$F$4886,6,FALSE))))</f>
        <v>3878</v>
      </c>
      <c r="E1208" s="29"/>
    </row>
    <row r="1209" spans="1:5" ht="12" customHeight="1">
      <c r="A1209" s="155" t="str">
        <f>"140704 2"</f>
        <v>140704 2</v>
      </c>
      <c r="B1209" s="153" t="s">
        <v>45</v>
      </c>
      <c r="C1209" s="156" t="str">
        <f>IF(OR($A1209="",ISERROR(VALUE(LEFT($A1209,6)))),"",IF(LEN($A1209)=2,"WOJ. ",IF(LEN($A1209)=4,IF(VALUE(RIGHT($A1209,2))&gt;60,"","Powiat "),IF(VALUE(RIGHT($A1209,1))=1,"m. ",IF(VALUE(RIGHT($A1209,1))=2,"gm. w. ",IF(VALUE(RIGHT($A1209,1))=8,"dz. ","gm. m.-w. ")))))&amp;IF(LEN($A1209)=2,TRIM(UPPER(VLOOKUP($A1209,GUS_tabl_1!$A$7:$B$22,2,FALSE))),IF(ISERROR(FIND("..",TRIM(VLOOKUP(IF(AND(LEN($A1209)=4,VALUE(RIGHT($A1209,2))&gt;60),$A1209&amp;"01 1",$A1209),IF(AND(LEN($A1209)=4,VALUE(RIGHT($A1209,2))&lt;60),GUS_tabl_2!$A$8:$B$464,GUS_tabl_21!$A$5:$B$4886),2,FALSE)))),TRIM(VLOOKUP(IF(AND(LEN($A1209)=4,VALUE(RIGHT($A1209,2))&gt;60),$A1209&amp;"01 1",$A1209),IF(AND(LEN($A1209)=4,VALUE(RIGHT($A1209,2))&lt;60),GUS_tabl_2!$A$8:$B$464,GUS_tabl_21!$A$5:$B$4886),2,FALSE)),LEFT(TRIM(VLOOKUP(IF(AND(LEN($A1209)=4,VALUE(RIGHT($A1209,2))&gt;60),$A1209&amp;"01 1",$A1209),IF(AND(LEN($A1209)=4,VALUE(RIGHT($A1209,2))&lt;60),GUS_tabl_2!$A$8:$B$464,GUS_tabl_21!$A$5:$B$4886),2,FALSE)),SUM(FIND("..",TRIM(VLOOKUP(IF(AND(LEN($A1209)=4,VALUE(RIGHT($A1209,2))&gt;60),$A1209&amp;"01 1",$A1209),IF(AND(LEN($A1209)=4,VALUE(RIGHT($A1209,2))&lt;60),GUS_tabl_2!$A$8:$B$464,GUS_tabl_21!$A$5:$B$4886),2,FALSE))),-1)))))</f>
        <v>gm. w. Grabów nad Pilicą</v>
      </c>
      <c r="D1209" s="141">
        <f>IF(OR($A1209="",ISERROR(VALUE(LEFT($A1209,6)))),"",IF(LEN($A1209)=2,SUMIF($A1210:$A$2965,$A1209&amp;"??",$D1210:$D$2965),IF(AND(LEN($A1209)=4,VALUE(RIGHT($A1209,2))&lt;=60),SUMIF($A1210:$A$2965,$A1209&amp;"????",$D1210:$D$2965),VLOOKUP(IF(LEN($A1209)=4,$A1209&amp;"01 1",$A1209),GUS_tabl_21!$A$5:$F$4886,6,FALSE))))</f>
        <v>3899</v>
      </c>
      <c r="E1209" s="29"/>
    </row>
    <row r="1210" spans="1:5" ht="12" customHeight="1">
      <c r="A1210" s="155" t="str">
        <f>"140705 3"</f>
        <v>140705 3</v>
      </c>
      <c r="B1210" s="153" t="s">
        <v>45</v>
      </c>
      <c r="C1210" s="156" t="str">
        <f>IF(OR($A1210="",ISERROR(VALUE(LEFT($A1210,6)))),"",IF(LEN($A1210)=2,"WOJ. ",IF(LEN($A1210)=4,IF(VALUE(RIGHT($A1210,2))&gt;60,"","Powiat "),IF(VALUE(RIGHT($A1210,1))=1,"m. ",IF(VALUE(RIGHT($A1210,1))=2,"gm. w. ",IF(VALUE(RIGHT($A1210,1))=8,"dz. ","gm. m.-w. ")))))&amp;IF(LEN($A1210)=2,TRIM(UPPER(VLOOKUP($A1210,GUS_tabl_1!$A$7:$B$22,2,FALSE))),IF(ISERROR(FIND("..",TRIM(VLOOKUP(IF(AND(LEN($A1210)=4,VALUE(RIGHT($A1210,2))&gt;60),$A1210&amp;"01 1",$A1210),IF(AND(LEN($A1210)=4,VALUE(RIGHT($A1210,2))&lt;60),GUS_tabl_2!$A$8:$B$464,GUS_tabl_21!$A$5:$B$4886),2,FALSE)))),TRIM(VLOOKUP(IF(AND(LEN($A1210)=4,VALUE(RIGHT($A1210,2))&gt;60),$A1210&amp;"01 1",$A1210),IF(AND(LEN($A1210)=4,VALUE(RIGHT($A1210,2))&lt;60),GUS_tabl_2!$A$8:$B$464,GUS_tabl_21!$A$5:$B$4886),2,FALSE)),LEFT(TRIM(VLOOKUP(IF(AND(LEN($A1210)=4,VALUE(RIGHT($A1210,2))&gt;60),$A1210&amp;"01 1",$A1210),IF(AND(LEN($A1210)=4,VALUE(RIGHT($A1210,2))&lt;60),GUS_tabl_2!$A$8:$B$464,GUS_tabl_21!$A$5:$B$4886),2,FALSE)),SUM(FIND("..",TRIM(VLOOKUP(IF(AND(LEN($A1210)=4,VALUE(RIGHT($A1210,2))&gt;60),$A1210&amp;"01 1",$A1210),IF(AND(LEN($A1210)=4,VALUE(RIGHT($A1210,2))&lt;60),GUS_tabl_2!$A$8:$B$464,GUS_tabl_21!$A$5:$B$4886),2,FALSE))),-1)))))</f>
        <v>gm. m.-w. Kozienice</v>
      </c>
      <c r="D1210" s="141">
        <f>IF(OR($A1210="",ISERROR(VALUE(LEFT($A1210,6)))),"",IF(LEN($A1210)=2,SUMIF($A1211:$A$2965,$A1210&amp;"??",$D1211:$D$2965),IF(AND(LEN($A1210)=4,VALUE(RIGHT($A1210,2))&lt;=60),SUMIF($A1211:$A$2965,$A1210&amp;"????",$D1211:$D$2965),VLOOKUP(IF(LEN($A1210)=4,$A1210&amp;"01 1",$A1210),GUS_tabl_21!$A$5:$F$4886,6,FALSE))))</f>
        <v>29421</v>
      </c>
      <c r="E1210" s="29"/>
    </row>
    <row r="1211" spans="1:5" ht="12" customHeight="1">
      <c r="A1211" s="155" t="str">
        <f>"140706 2"</f>
        <v>140706 2</v>
      </c>
      <c r="B1211" s="153" t="s">
        <v>45</v>
      </c>
      <c r="C1211" s="156" t="str">
        <f>IF(OR($A1211="",ISERROR(VALUE(LEFT($A1211,6)))),"",IF(LEN($A1211)=2,"WOJ. ",IF(LEN($A1211)=4,IF(VALUE(RIGHT($A1211,2))&gt;60,"","Powiat "),IF(VALUE(RIGHT($A1211,1))=1,"m. ",IF(VALUE(RIGHT($A1211,1))=2,"gm. w. ",IF(VALUE(RIGHT($A1211,1))=8,"dz. ","gm. m.-w. ")))))&amp;IF(LEN($A1211)=2,TRIM(UPPER(VLOOKUP($A1211,GUS_tabl_1!$A$7:$B$22,2,FALSE))),IF(ISERROR(FIND("..",TRIM(VLOOKUP(IF(AND(LEN($A1211)=4,VALUE(RIGHT($A1211,2))&gt;60),$A1211&amp;"01 1",$A1211),IF(AND(LEN($A1211)=4,VALUE(RIGHT($A1211,2))&lt;60),GUS_tabl_2!$A$8:$B$464,GUS_tabl_21!$A$5:$B$4886),2,FALSE)))),TRIM(VLOOKUP(IF(AND(LEN($A1211)=4,VALUE(RIGHT($A1211,2))&gt;60),$A1211&amp;"01 1",$A1211),IF(AND(LEN($A1211)=4,VALUE(RIGHT($A1211,2))&lt;60),GUS_tabl_2!$A$8:$B$464,GUS_tabl_21!$A$5:$B$4886),2,FALSE)),LEFT(TRIM(VLOOKUP(IF(AND(LEN($A1211)=4,VALUE(RIGHT($A1211,2))&gt;60),$A1211&amp;"01 1",$A1211),IF(AND(LEN($A1211)=4,VALUE(RIGHT($A1211,2))&lt;60),GUS_tabl_2!$A$8:$B$464,GUS_tabl_21!$A$5:$B$4886),2,FALSE)),SUM(FIND("..",TRIM(VLOOKUP(IF(AND(LEN($A1211)=4,VALUE(RIGHT($A1211,2))&gt;60),$A1211&amp;"01 1",$A1211),IF(AND(LEN($A1211)=4,VALUE(RIGHT($A1211,2))&lt;60),GUS_tabl_2!$A$8:$B$464,GUS_tabl_21!$A$5:$B$4886),2,FALSE))),-1)))))</f>
        <v>gm. w. Magnuszew</v>
      </c>
      <c r="D1211" s="141">
        <f>IF(OR($A1211="",ISERROR(VALUE(LEFT($A1211,6)))),"",IF(LEN($A1211)=2,SUMIF($A1212:$A$2965,$A1211&amp;"??",$D1212:$D$2965),IF(AND(LEN($A1211)=4,VALUE(RIGHT($A1211,2))&lt;=60),SUMIF($A1212:$A$2965,$A1211&amp;"????",$D1212:$D$2965),VLOOKUP(IF(LEN($A1211)=4,$A1211&amp;"01 1",$A1211),GUS_tabl_21!$A$5:$F$4886,6,FALSE))))</f>
        <v>6742</v>
      </c>
      <c r="E1211" s="29"/>
    </row>
    <row r="1212" spans="1:5" ht="12" customHeight="1">
      <c r="A1212" s="155" t="str">
        <f>"140707 2"</f>
        <v>140707 2</v>
      </c>
      <c r="B1212" s="153" t="s">
        <v>45</v>
      </c>
      <c r="C1212" s="156" t="str">
        <f>IF(OR($A1212="",ISERROR(VALUE(LEFT($A1212,6)))),"",IF(LEN($A1212)=2,"WOJ. ",IF(LEN($A1212)=4,IF(VALUE(RIGHT($A1212,2))&gt;60,"","Powiat "),IF(VALUE(RIGHT($A1212,1))=1,"m. ",IF(VALUE(RIGHT($A1212,1))=2,"gm. w. ",IF(VALUE(RIGHT($A1212,1))=8,"dz. ","gm. m.-w. ")))))&amp;IF(LEN($A1212)=2,TRIM(UPPER(VLOOKUP($A1212,GUS_tabl_1!$A$7:$B$22,2,FALSE))),IF(ISERROR(FIND("..",TRIM(VLOOKUP(IF(AND(LEN($A1212)=4,VALUE(RIGHT($A1212,2))&gt;60),$A1212&amp;"01 1",$A1212),IF(AND(LEN($A1212)=4,VALUE(RIGHT($A1212,2))&lt;60),GUS_tabl_2!$A$8:$B$464,GUS_tabl_21!$A$5:$B$4886),2,FALSE)))),TRIM(VLOOKUP(IF(AND(LEN($A1212)=4,VALUE(RIGHT($A1212,2))&gt;60),$A1212&amp;"01 1",$A1212),IF(AND(LEN($A1212)=4,VALUE(RIGHT($A1212,2))&lt;60),GUS_tabl_2!$A$8:$B$464,GUS_tabl_21!$A$5:$B$4886),2,FALSE)),LEFT(TRIM(VLOOKUP(IF(AND(LEN($A1212)=4,VALUE(RIGHT($A1212,2))&gt;60),$A1212&amp;"01 1",$A1212),IF(AND(LEN($A1212)=4,VALUE(RIGHT($A1212,2))&lt;60),GUS_tabl_2!$A$8:$B$464,GUS_tabl_21!$A$5:$B$4886),2,FALSE)),SUM(FIND("..",TRIM(VLOOKUP(IF(AND(LEN($A1212)=4,VALUE(RIGHT($A1212,2))&gt;60),$A1212&amp;"01 1",$A1212),IF(AND(LEN($A1212)=4,VALUE(RIGHT($A1212,2))&lt;60),GUS_tabl_2!$A$8:$B$464,GUS_tabl_21!$A$5:$B$4886),2,FALSE))),-1)))))</f>
        <v>gm. w. Sieciechów</v>
      </c>
      <c r="D1212" s="141">
        <f>IF(OR($A1212="",ISERROR(VALUE(LEFT($A1212,6)))),"",IF(LEN($A1212)=2,SUMIF($A1213:$A$2965,$A1212&amp;"??",$D1213:$D$2965),IF(AND(LEN($A1212)=4,VALUE(RIGHT($A1212,2))&lt;=60),SUMIF($A1213:$A$2965,$A1212&amp;"????",$D1213:$D$2965),VLOOKUP(IF(LEN($A1212)=4,$A1212&amp;"01 1",$A1212),GUS_tabl_21!$A$5:$F$4886,6,FALSE))))</f>
        <v>3890</v>
      </c>
      <c r="E1212" s="29"/>
    </row>
    <row r="1213" spans="1:5" ht="12" customHeight="1">
      <c r="A1213" s="152" t="str">
        <f>"1408"</f>
        <v>1408</v>
      </c>
      <c r="B1213" s="153" t="s">
        <v>45</v>
      </c>
      <c r="C1213" s="154" t="str">
        <f>IF(OR($A1213="",ISERROR(VALUE(LEFT($A1213,6)))),"",IF(LEN($A1213)=2,"WOJ. ",IF(LEN($A1213)=4,IF(VALUE(RIGHT($A1213,2))&gt;60,"","Powiat "),IF(VALUE(RIGHT($A1213,1))=1,"m. ",IF(VALUE(RIGHT($A1213,1))=2,"gm. w. ",IF(VALUE(RIGHT($A1213,1))=8,"dz. ","gm. m.-w. ")))))&amp;IF(LEN($A1213)=2,TRIM(UPPER(VLOOKUP($A1213,GUS_tabl_1!$A$7:$B$22,2,FALSE))),IF(ISERROR(FIND("..",TRIM(VLOOKUP(IF(AND(LEN($A1213)=4,VALUE(RIGHT($A1213,2))&gt;60),$A1213&amp;"01 1",$A1213),IF(AND(LEN($A1213)=4,VALUE(RIGHT($A1213,2))&lt;60),GUS_tabl_2!$A$8:$B$464,GUS_tabl_21!$A$5:$B$4886),2,FALSE)))),TRIM(VLOOKUP(IF(AND(LEN($A1213)=4,VALUE(RIGHT($A1213,2))&gt;60),$A1213&amp;"01 1",$A1213),IF(AND(LEN($A1213)=4,VALUE(RIGHT($A1213,2))&lt;60),GUS_tabl_2!$A$8:$B$464,GUS_tabl_21!$A$5:$B$4886),2,FALSE)),LEFT(TRIM(VLOOKUP(IF(AND(LEN($A1213)=4,VALUE(RIGHT($A1213,2))&gt;60),$A1213&amp;"01 1",$A1213),IF(AND(LEN($A1213)=4,VALUE(RIGHT($A1213,2))&lt;60),GUS_tabl_2!$A$8:$B$464,GUS_tabl_21!$A$5:$B$4886),2,FALSE)),SUM(FIND("..",TRIM(VLOOKUP(IF(AND(LEN($A1213)=4,VALUE(RIGHT($A1213,2))&gt;60),$A1213&amp;"01 1",$A1213),IF(AND(LEN($A1213)=4,VALUE(RIGHT($A1213,2))&lt;60),GUS_tabl_2!$A$8:$B$464,GUS_tabl_21!$A$5:$B$4886),2,FALSE))),-1)))))</f>
        <v>Powiat legionowski</v>
      </c>
      <c r="D1213" s="140">
        <f>IF(OR($A1213="",ISERROR(VALUE(LEFT($A1213,6)))),"",IF(LEN($A1213)=2,SUMIF($A1214:$A$2965,$A1213&amp;"??",$D1214:$D$2965),IF(AND(LEN($A1213)=4,VALUE(RIGHT($A1213,2))&lt;=60),SUMIF($A1214:$A$2965,$A1213&amp;"????",$D1214:$D$2965),VLOOKUP(IF(LEN($A1213)=4,$A1213&amp;"01 1",$A1213),GUS_tabl_21!$A$5:$F$4886,6,FALSE))))</f>
        <v>118585</v>
      </c>
      <c r="E1213" s="29"/>
    </row>
    <row r="1214" spans="1:5" ht="12" customHeight="1">
      <c r="A1214" s="155" t="str">
        <f>"140801 1"</f>
        <v>140801 1</v>
      </c>
      <c r="B1214" s="153" t="s">
        <v>45</v>
      </c>
      <c r="C1214" s="156" t="str">
        <f>IF(OR($A1214="",ISERROR(VALUE(LEFT($A1214,6)))),"",IF(LEN($A1214)=2,"WOJ. ",IF(LEN($A1214)=4,IF(VALUE(RIGHT($A1214,2))&gt;60,"","Powiat "),IF(VALUE(RIGHT($A1214,1))=1,"m. ",IF(VALUE(RIGHT($A1214,1))=2,"gm. w. ",IF(VALUE(RIGHT($A1214,1))=8,"dz. ","gm. m.-w. ")))))&amp;IF(LEN($A1214)=2,TRIM(UPPER(VLOOKUP($A1214,GUS_tabl_1!$A$7:$B$22,2,FALSE))),IF(ISERROR(FIND("..",TRIM(VLOOKUP(IF(AND(LEN($A1214)=4,VALUE(RIGHT($A1214,2))&gt;60),$A1214&amp;"01 1",$A1214),IF(AND(LEN($A1214)=4,VALUE(RIGHT($A1214,2))&lt;60),GUS_tabl_2!$A$8:$B$464,GUS_tabl_21!$A$5:$B$4886),2,FALSE)))),TRIM(VLOOKUP(IF(AND(LEN($A1214)=4,VALUE(RIGHT($A1214,2))&gt;60),$A1214&amp;"01 1",$A1214),IF(AND(LEN($A1214)=4,VALUE(RIGHT($A1214,2))&lt;60),GUS_tabl_2!$A$8:$B$464,GUS_tabl_21!$A$5:$B$4886),2,FALSE)),LEFT(TRIM(VLOOKUP(IF(AND(LEN($A1214)=4,VALUE(RIGHT($A1214,2))&gt;60),$A1214&amp;"01 1",$A1214),IF(AND(LEN($A1214)=4,VALUE(RIGHT($A1214,2))&lt;60),GUS_tabl_2!$A$8:$B$464,GUS_tabl_21!$A$5:$B$4886),2,FALSE)),SUM(FIND("..",TRIM(VLOOKUP(IF(AND(LEN($A1214)=4,VALUE(RIGHT($A1214,2))&gt;60),$A1214&amp;"01 1",$A1214),IF(AND(LEN($A1214)=4,VALUE(RIGHT($A1214,2))&lt;60),GUS_tabl_2!$A$8:$B$464,GUS_tabl_21!$A$5:$B$4886),2,FALSE))),-1)))))</f>
        <v>m. Legionowo</v>
      </c>
      <c r="D1214" s="141">
        <f>IF(OR($A1214="",ISERROR(VALUE(LEFT($A1214,6)))),"",IF(LEN($A1214)=2,SUMIF($A1215:$A$2965,$A1214&amp;"??",$D1215:$D$2965),IF(AND(LEN($A1214)=4,VALUE(RIGHT($A1214,2))&lt;=60),SUMIF($A1215:$A$2965,$A1214&amp;"????",$D1215:$D$2965),VLOOKUP(IF(LEN($A1214)=4,$A1214&amp;"01 1",$A1214),GUS_tabl_21!$A$5:$F$4886,6,FALSE))))</f>
        <v>53886</v>
      </c>
      <c r="E1214" s="29"/>
    </row>
    <row r="1215" spans="1:5" ht="12" customHeight="1">
      <c r="A1215" s="155" t="str">
        <f>"140802 2"</f>
        <v>140802 2</v>
      </c>
      <c r="B1215" s="153" t="s">
        <v>45</v>
      </c>
      <c r="C1215" s="156" t="str">
        <f>IF(OR($A1215="",ISERROR(VALUE(LEFT($A1215,6)))),"",IF(LEN($A1215)=2,"WOJ. ",IF(LEN($A1215)=4,IF(VALUE(RIGHT($A1215,2))&gt;60,"","Powiat "),IF(VALUE(RIGHT($A1215,1))=1,"m. ",IF(VALUE(RIGHT($A1215,1))=2,"gm. w. ",IF(VALUE(RIGHT($A1215,1))=8,"dz. ","gm. m.-w. ")))))&amp;IF(LEN($A1215)=2,TRIM(UPPER(VLOOKUP($A1215,GUS_tabl_1!$A$7:$B$22,2,FALSE))),IF(ISERROR(FIND("..",TRIM(VLOOKUP(IF(AND(LEN($A1215)=4,VALUE(RIGHT($A1215,2))&gt;60),$A1215&amp;"01 1",$A1215),IF(AND(LEN($A1215)=4,VALUE(RIGHT($A1215,2))&lt;60),GUS_tabl_2!$A$8:$B$464,GUS_tabl_21!$A$5:$B$4886),2,FALSE)))),TRIM(VLOOKUP(IF(AND(LEN($A1215)=4,VALUE(RIGHT($A1215,2))&gt;60),$A1215&amp;"01 1",$A1215),IF(AND(LEN($A1215)=4,VALUE(RIGHT($A1215,2))&lt;60),GUS_tabl_2!$A$8:$B$464,GUS_tabl_21!$A$5:$B$4886),2,FALSE)),LEFT(TRIM(VLOOKUP(IF(AND(LEN($A1215)=4,VALUE(RIGHT($A1215,2))&gt;60),$A1215&amp;"01 1",$A1215),IF(AND(LEN($A1215)=4,VALUE(RIGHT($A1215,2))&lt;60),GUS_tabl_2!$A$8:$B$464,GUS_tabl_21!$A$5:$B$4886),2,FALSE)),SUM(FIND("..",TRIM(VLOOKUP(IF(AND(LEN($A1215)=4,VALUE(RIGHT($A1215,2))&gt;60),$A1215&amp;"01 1",$A1215),IF(AND(LEN($A1215)=4,VALUE(RIGHT($A1215,2))&lt;60),GUS_tabl_2!$A$8:$B$464,GUS_tabl_21!$A$5:$B$4886),2,FALSE))),-1)))))</f>
        <v>gm. w. Jabłonna</v>
      </c>
      <c r="D1215" s="141">
        <f>IF(OR($A1215="",ISERROR(VALUE(LEFT($A1215,6)))),"",IF(LEN($A1215)=2,SUMIF($A1216:$A$2965,$A1215&amp;"??",$D1216:$D$2965),IF(AND(LEN($A1215)=4,VALUE(RIGHT($A1215,2))&lt;=60),SUMIF($A1216:$A$2965,$A1215&amp;"????",$D1216:$D$2965),VLOOKUP(IF(LEN($A1215)=4,$A1215&amp;"01 1",$A1215),GUS_tabl_21!$A$5:$F$4886,6,FALSE))))</f>
        <v>19659</v>
      </c>
      <c r="E1215" s="29"/>
    </row>
    <row r="1216" spans="1:5" ht="12" customHeight="1">
      <c r="A1216" s="155" t="str">
        <f>"140803 2"</f>
        <v>140803 2</v>
      </c>
      <c r="B1216" s="153" t="s">
        <v>45</v>
      </c>
      <c r="C1216" s="156" t="str">
        <f>IF(OR($A1216="",ISERROR(VALUE(LEFT($A1216,6)))),"",IF(LEN($A1216)=2,"WOJ. ",IF(LEN($A1216)=4,IF(VALUE(RIGHT($A1216,2))&gt;60,"","Powiat "),IF(VALUE(RIGHT($A1216,1))=1,"m. ",IF(VALUE(RIGHT($A1216,1))=2,"gm. w. ",IF(VALUE(RIGHT($A1216,1))=8,"dz. ","gm. m.-w. ")))))&amp;IF(LEN($A1216)=2,TRIM(UPPER(VLOOKUP($A1216,GUS_tabl_1!$A$7:$B$22,2,FALSE))),IF(ISERROR(FIND("..",TRIM(VLOOKUP(IF(AND(LEN($A1216)=4,VALUE(RIGHT($A1216,2))&gt;60),$A1216&amp;"01 1",$A1216),IF(AND(LEN($A1216)=4,VALUE(RIGHT($A1216,2))&lt;60),GUS_tabl_2!$A$8:$B$464,GUS_tabl_21!$A$5:$B$4886),2,FALSE)))),TRIM(VLOOKUP(IF(AND(LEN($A1216)=4,VALUE(RIGHT($A1216,2))&gt;60),$A1216&amp;"01 1",$A1216),IF(AND(LEN($A1216)=4,VALUE(RIGHT($A1216,2))&lt;60),GUS_tabl_2!$A$8:$B$464,GUS_tabl_21!$A$5:$B$4886),2,FALSE)),LEFT(TRIM(VLOOKUP(IF(AND(LEN($A1216)=4,VALUE(RIGHT($A1216,2))&gt;60),$A1216&amp;"01 1",$A1216),IF(AND(LEN($A1216)=4,VALUE(RIGHT($A1216,2))&lt;60),GUS_tabl_2!$A$8:$B$464,GUS_tabl_21!$A$5:$B$4886),2,FALSE)),SUM(FIND("..",TRIM(VLOOKUP(IF(AND(LEN($A1216)=4,VALUE(RIGHT($A1216,2))&gt;60),$A1216&amp;"01 1",$A1216),IF(AND(LEN($A1216)=4,VALUE(RIGHT($A1216,2))&lt;60),GUS_tabl_2!$A$8:$B$464,GUS_tabl_21!$A$5:$B$4886),2,FALSE))),-1)))))</f>
        <v>gm. w. Nieporęt</v>
      </c>
      <c r="D1216" s="141">
        <f>IF(OR($A1216="",ISERROR(VALUE(LEFT($A1216,6)))),"",IF(LEN($A1216)=2,SUMIF($A1217:$A$2965,$A1216&amp;"??",$D1217:$D$2965),IF(AND(LEN($A1216)=4,VALUE(RIGHT($A1216,2))&lt;=60),SUMIF($A1217:$A$2965,$A1216&amp;"????",$D1217:$D$2965),VLOOKUP(IF(LEN($A1216)=4,$A1216&amp;"01 1",$A1216),GUS_tabl_21!$A$5:$F$4886,6,FALSE))))</f>
        <v>14687</v>
      </c>
      <c r="E1216" s="29"/>
    </row>
    <row r="1217" spans="1:5" ht="12" customHeight="1">
      <c r="A1217" s="155" t="str">
        <f>"140804 3"</f>
        <v>140804 3</v>
      </c>
      <c r="B1217" s="153" t="s">
        <v>45</v>
      </c>
      <c r="C1217" s="156" t="str">
        <f>IF(OR($A1217="",ISERROR(VALUE(LEFT($A1217,6)))),"",IF(LEN($A1217)=2,"WOJ. ",IF(LEN($A1217)=4,IF(VALUE(RIGHT($A1217,2))&gt;60,"","Powiat "),IF(VALUE(RIGHT($A1217,1))=1,"m. ",IF(VALUE(RIGHT($A1217,1))=2,"gm. w. ",IF(VALUE(RIGHT($A1217,1))=8,"dz. ","gm. m.-w. ")))))&amp;IF(LEN($A1217)=2,TRIM(UPPER(VLOOKUP($A1217,GUS_tabl_1!$A$7:$B$22,2,FALSE))),IF(ISERROR(FIND("..",TRIM(VLOOKUP(IF(AND(LEN($A1217)=4,VALUE(RIGHT($A1217,2))&gt;60),$A1217&amp;"01 1",$A1217),IF(AND(LEN($A1217)=4,VALUE(RIGHT($A1217,2))&lt;60),GUS_tabl_2!$A$8:$B$464,GUS_tabl_21!$A$5:$B$4886),2,FALSE)))),TRIM(VLOOKUP(IF(AND(LEN($A1217)=4,VALUE(RIGHT($A1217,2))&gt;60),$A1217&amp;"01 1",$A1217),IF(AND(LEN($A1217)=4,VALUE(RIGHT($A1217,2))&lt;60),GUS_tabl_2!$A$8:$B$464,GUS_tabl_21!$A$5:$B$4886),2,FALSE)),LEFT(TRIM(VLOOKUP(IF(AND(LEN($A1217)=4,VALUE(RIGHT($A1217,2))&gt;60),$A1217&amp;"01 1",$A1217),IF(AND(LEN($A1217)=4,VALUE(RIGHT($A1217,2))&lt;60),GUS_tabl_2!$A$8:$B$464,GUS_tabl_21!$A$5:$B$4886),2,FALSE)),SUM(FIND("..",TRIM(VLOOKUP(IF(AND(LEN($A1217)=4,VALUE(RIGHT($A1217,2))&gt;60),$A1217&amp;"01 1",$A1217),IF(AND(LEN($A1217)=4,VALUE(RIGHT($A1217,2))&lt;60),GUS_tabl_2!$A$8:$B$464,GUS_tabl_21!$A$5:$B$4886),2,FALSE))),-1)))))</f>
        <v>gm. m.-w. Serock</v>
      </c>
      <c r="D1217" s="141">
        <f>IF(OR($A1217="",ISERROR(VALUE(LEFT($A1217,6)))),"",IF(LEN($A1217)=2,SUMIF($A1218:$A$2965,$A1217&amp;"??",$D1218:$D$2965),IF(AND(LEN($A1217)=4,VALUE(RIGHT($A1217,2))&lt;=60),SUMIF($A1218:$A$2965,$A1217&amp;"????",$D1218:$D$2965),VLOOKUP(IF(LEN($A1217)=4,$A1217&amp;"01 1",$A1217),GUS_tabl_21!$A$5:$F$4886,6,FALSE))))</f>
        <v>15125</v>
      </c>
      <c r="E1217" s="29"/>
    </row>
    <row r="1218" spans="1:5" ht="12" customHeight="1">
      <c r="A1218" s="155" t="str">
        <f>"140805 2"</f>
        <v>140805 2</v>
      </c>
      <c r="B1218" s="153" t="s">
        <v>45</v>
      </c>
      <c r="C1218" s="156" t="str">
        <f>IF(OR($A1218="",ISERROR(VALUE(LEFT($A1218,6)))),"",IF(LEN($A1218)=2,"WOJ. ",IF(LEN($A1218)=4,IF(VALUE(RIGHT($A1218,2))&gt;60,"","Powiat "),IF(VALUE(RIGHT($A1218,1))=1,"m. ",IF(VALUE(RIGHT($A1218,1))=2,"gm. w. ",IF(VALUE(RIGHT($A1218,1))=8,"dz. ","gm. m.-w. ")))))&amp;IF(LEN($A1218)=2,TRIM(UPPER(VLOOKUP($A1218,GUS_tabl_1!$A$7:$B$22,2,FALSE))),IF(ISERROR(FIND("..",TRIM(VLOOKUP(IF(AND(LEN($A1218)=4,VALUE(RIGHT($A1218,2))&gt;60),$A1218&amp;"01 1",$A1218),IF(AND(LEN($A1218)=4,VALUE(RIGHT($A1218,2))&lt;60),GUS_tabl_2!$A$8:$B$464,GUS_tabl_21!$A$5:$B$4886),2,FALSE)))),TRIM(VLOOKUP(IF(AND(LEN($A1218)=4,VALUE(RIGHT($A1218,2))&gt;60),$A1218&amp;"01 1",$A1218),IF(AND(LEN($A1218)=4,VALUE(RIGHT($A1218,2))&lt;60),GUS_tabl_2!$A$8:$B$464,GUS_tabl_21!$A$5:$B$4886),2,FALSE)),LEFT(TRIM(VLOOKUP(IF(AND(LEN($A1218)=4,VALUE(RIGHT($A1218,2))&gt;60),$A1218&amp;"01 1",$A1218),IF(AND(LEN($A1218)=4,VALUE(RIGHT($A1218,2))&lt;60),GUS_tabl_2!$A$8:$B$464,GUS_tabl_21!$A$5:$B$4886),2,FALSE)),SUM(FIND("..",TRIM(VLOOKUP(IF(AND(LEN($A1218)=4,VALUE(RIGHT($A1218,2))&gt;60),$A1218&amp;"01 1",$A1218),IF(AND(LEN($A1218)=4,VALUE(RIGHT($A1218,2))&lt;60),GUS_tabl_2!$A$8:$B$464,GUS_tabl_21!$A$5:$B$4886),2,FALSE))),-1)))))</f>
        <v>gm. w. Wieliszew</v>
      </c>
      <c r="D1218" s="141">
        <f>IF(OR($A1218="",ISERROR(VALUE(LEFT($A1218,6)))),"",IF(LEN($A1218)=2,SUMIF($A1219:$A$2965,$A1218&amp;"??",$D1219:$D$2965),IF(AND(LEN($A1218)=4,VALUE(RIGHT($A1218,2))&lt;=60),SUMIF($A1219:$A$2965,$A1218&amp;"????",$D1219:$D$2965),VLOOKUP(IF(LEN($A1218)=4,$A1218&amp;"01 1",$A1218),GUS_tabl_21!$A$5:$F$4886,6,FALSE))))</f>
        <v>15228</v>
      </c>
      <c r="E1218" s="29"/>
    </row>
    <row r="1219" spans="1:5" ht="12" customHeight="1">
      <c r="A1219" s="152" t="str">
        <f>"1409"</f>
        <v>1409</v>
      </c>
      <c r="B1219" s="153" t="s">
        <v>45</v>
      </c>
      <c r="C1219" s="154" t="str">
        <f>IF(OR($A1219="",ISERROR(VALUE(LEFT($A1219,6)))),"",IF(LEN($A1219)=2,"WOJ. ",IF(LEN($A1219)=4,IF(VALUE(RIGHT($A1219,2))&gt;60,"","Powiat "),IF(VALUE(RIGHT($A1219,1))=1,"m. ",IF(VALUE(RIGHT($A1219,1))=2,"gm. w. ",IF(VALUE(RIGHT($A1219,1))=8,"dz. ","gm. m.-w. ")))))&amp;IF(LEN($A1219)=2,TRIM(UPPER(VLOOKUP($A1219,GUS_tabl_1!$A$7:$B$22,2,FALSE))),IF(ISERROR(FIND("..",TRIM(VLOOKUP(IF(AND(LEN($A1219)=4,VALUE(RIGHT($A1219,2))&gt;60),$A1219&amp;"01 1",$A1219),IF(AND(LEN($A1219)=4,VALUE(RIGHT($A1219,2))&lt;60),GUS_tabl_2!$A$8:$B$464,GUS_tabl_21!$A$5:$B$4886),2,FALSE)))),TRIM(VLOOKUP(IF(AND(LEN($A1219)=4,VALUE(RIGHT($A1219,2))&gt;60),$A1219&amp;"01 1",$A1219),IF(AND(LEN($A1219)=4,VALUE(RIGHT($A1219,2))&lt;60),GUS_tabl_2!$A$8:$B$464,GUS_tabl_21!$A$5:$B$4886),2,FALSE)),LEFT(TRIM(VLOOKUP(IF(AND(LEN($A1219)=4,VALUE(RIGHT($A1219,2))&gt;60),$A1219&amp;"01 1",$A1219),IF(AND(LEN($A1219)=4,VALUE(RIGHT($A1219,2))&lt;60),GUS_tabl_2!$A$8:$B$464,GUS_tabl_21!$A$5:$B$4886),2,FALSE)),SUM(FIND("..",TRIM(VLOOKUP(IF(AND(LEN($A1219)=4,VALUE(RIGHT($A1219,2))&gt;60),$A1219&amp;"01 1",$A1219),IF(AND(LEN($A1219)=4,VALUE(RIGHT($A1219,2))&lt;60),GUS_tabl_2!$A$8:$B$464,GUS_tabl_21!$A$5:$B$4886),2,FALSE))),-1)))))</f>
        <v>Powiat lipski</v>
      </c>
      <c r="D1219" s="140">
        <f>IF(OR($A1219="",ISERROR(VALUE(LEFT($A1219,6)))),"",IF(LEN($A1219)=2,SUMIF($A1220:$A$2965,$A1219&amp;"??",$D1220:$D$2965),IF(AND(LEN($A1219)=4,VALUE(RIGHT($A1219,2))&lt;=60),SUMIF($A1220:$A$2965,$A1219&amp;"????",$D1220:$D$2965),VLOOKUP(IF(LEN($A1219)=4,$A1219&amp;"01 1",$A1219),GUS_tabl_21!$A$5:$F$4886,6,FALSE))))</f>
        <v>33874</v>
      </c>
      <c r="E1219" s="29"/>
    </row>
    <row r="1220" spans="1:5" ht="12" customHeight="1">
      <c r="A1220" s="155" t="str">
        <f>"140901 2"</f>
        <v>140901 2</v>
      </c>
      <c r="B1220" s="153" t="s">
        <v>45</v>
      </c>
      <c r="C1220" s="156" t="str">
        <f>IF(OR($A1220="",ISERROR(VALUE(LEFT($A1220,6)))),"",IF(LEN($A1220)=2,"WOJ. ",IF(LEN($A1220)=4,IF(VALUE(RIGHT($A1220,2))&gt;60,"","Powiat "),IF(VALUE(RIGHT($A1220,1))=1,"m. ",IF(VALUE(RIGHT($A1220,1))=2,"gm. w. ",IF(VALUE(RIGHT($A1220,1))=8,"dz. ","gm. m.-w. ")))))&amp;IF(LEN($A1220)=2,TRIM(UPPER(VLOOKUP($A1220,GUS_tabl_1!$A$7:$B$22,2,FALSE))),IF(ISERROR(FIND("..",TRIM(VLOOKUP(IF(AND(LEN($A1220)=4,VALUE(RIGHT($A1220,2))&gt;60),$A1220&amp;"01 1",$A1220),IF(AND(LEN($A1220)=4,VALUE(RIGHT($A1220,2))&lt;60),GUS_tabl_2!$A$8:$B$464,GUS_tabl_21!$A$5:$B$4886),2,FALSE)))),TRIM(VLOOKUP(IF(AND(LEN($A1220)=4,VALUE(RIGHT($A1220,2))&gt;60),$A1220&amp;"01 1",$A1220),IF(AND(LEN($A1220)=4,VALUE(RIGHT($A1220,2))&lt;60),GUS_tabl_2!$A$8:$B$464,GUS_tabl_21!$A$5:$B$4886),2,FALSE)),LEFT(TRIM(VLOOKUP(IF(AND(LEN($A1220)=4,VALUE(RIGHT($A1220,2))&gt;60),$A1220&amp;"01 1",$A1220),IF(AND(LEN($A1220)=4,VALUE(RIGHT($A1220,2))&lt;60),GUS_tabl_2!$A$8:$B$464,GUS_tabl_21!$A$5:$B$4886),2,FALSE)),SUM(FIND("..",TRIM(VLOOKUP(IF(AND(LEN($A1220)=4,VALUE(RIGHT($A1220,2))&gt;60),$A1220&amp;"01 1",$A1220),IF(AND(LEN($A1220)=4,VALUE(RIGHT($A1220,2))&lt;60),GUS_tabl_2!$A$8:$B$464,GUS_tabl_21!$A$5:$B$4886),2,FALSE))),-1)))))</f>
        <v>gm. w. Chotcza</v>
      </c>
      <c r="D1220" s="141">
        <f>IF(OR($A1220="",ISERROR(VALUE(LEFT($A1220,6)))),"",IF(LEN($A1220)=2,SUMIF($A1221:$A$2965,$A1220&amp;"??",$D1221:$D$2965),IF(AND(LEN($A1220)=4,VALUE(RIGHT($A1220,2))&lt;=60),SUMIF($A1221:$A$2965,$A1220&amp;"????",$D1221:$D$2965),VLOOKUP(IF(LEN($A1220)=4,$A1220&amp;"01 1",$A1220),GUS_tabl_21!$A$5:$F$4886,6,FALSE))))</f>
        <v>2326</v>
      </c>
      <c r="E1220" s="29"/>
    </row>
    <row r="1221" spans="1:5" ht="12" customHeight="1">
      <c r="A1221" s="155" t="str">
        <f>"140902 2"</f>
        <v>140902 2</v>
      </c>
      <c r="B1221" s="153" t="s">
        <v>45</v>
      </c>
      <c r="C1221" s="156" t="str">
        <f>IF(OR($A1221="",ISERROR(VALUE(LEFT($A1221,6)))),"",IF(LEN($A1221)=2,"WOJ. ",IF(LEN($A1221)=4,IF(VALUE(RIGHT($A1221,2))&gt;60,"","Powiat "),IF(VALUE(RIGHT($A1221,1))=1,"m. ",IF(VALUE(RIGHT($A1221,1))=2,"gm. w. ",IF(VALUE(RIGHT($A1221,1))=8,"dz. ","gm. m.-w. ")))))&amp;IF(LEN($A1221)=2,TRIM(UPPER(VLOOKUP($A1221,GUS_tabl_1!$A$7:$B$22,2,FALSE))),IF(ISERROR(FIND("..",TRIM(VLOOKUP(IF(AND(LEN($A1221)=4,VALUE(RIGHT($A1221,2))&gt;60),$A1221&amp;"01 1",$A1221),IF(AND(LEN($A1221)=4,VALUE(RIGHT($A1221,2))&lt;60),GUS_tabl_2!$A$8:$B$464,GUS_tabl_21!$A$5:$B$4886),2,FALSE)))),TRIM(VLOOKUP(IF(AND(LEN($A1221)=4,VALUE(RIGHT($A1221,2))&gt;60),$A1221&amp;"01 1",$A1221),IF(AND(LEN($A1221)=4,VALUE(RIGHT($A1221,2))&lt;60),GUS_tabl_2!$A$8:$B$464,GUS_tabl_21!$A$5:$B$4886),2,FALSE)),LEFT(TRIM(VLOOKUP(IF(AND(LEN($A1221)=4,VALUE(RIGHT($A1221,2))&gt;60),$A1221&amp;"01 1",$A1221),IF(AND(LEN($A1221)=4,VALUE(RIGHT($A1221,2))&lt;60),GUS_tabl_2!$A$8:$B$464,GUS_tabl_21!$A$5:$B$4886),2,FALSE)),SUM(FIND("..",TRIM(VLOOKUP(IF(AND(LEN($A1221)=4,VALUE(RIGHT($A1221,2))&gt;60),$A1221&amp;"01 1",$A1221),IF(AND(LEN($A1221)=4,VALUE(RIGHT($A1221,2))&lt;60),GUS_tabl_2!$A$8:$B$464,GUS_tabl_21!$A$5:$B$4886),2,FALSE))),-1)))))</f>
        <v>gm. w. Ciepielów</v>
      </c>
      <c r="D1221" s="141">
        <f>IF(OR($A1221="",ISERROR(VALUE(LEFT($A1221,6)))),"",IF(LEN($A1221)=2,SUMIF($A1222:$A$2965,$A1221&amp;"??",$D1222:$D$2965),IF(AND(LEN($A1221)=4,VALUE(RIGHT($A1221,2))&lt;=60),SUMIF($A1222:$A$2965,$A1221&amp;"????",$D1222:$D$2965),VLOOKUP(IF(LEN($A1221)=4,$A1221&amp;"01 1",$A1221),GUS_tabl_21!$A$5:$F$4886,6,FALSE))))</f>
        <v>5530</v>
      </c>
      <c r="E1221" s="29"/>
    </row>
    <row r="1222" spans="1:5" ht="12" customHeight="1">
      <c r="A1222" s="155" t="str">
        <f>"140903 3"</f>
        <v>140903 3</v>
      </c>
      <c r="B1222" s="153" t="s">
        <v>45</v>
      </c>
      <c r="C1222" s="156" t="str">
        <f>IF(OR($A1222="",ISERROR(VALUE(LEFT($A1222,6)))),"",IF(LEN($A1222)=2,"WOJ. ",IF(LEN($A1222)=4,IF(VALUE(RIGHT($A1222,2))&gt;60,"","Powiat "),IF(VALUE(RIGHT($A1222,1))=1,"m. ",IF(VALUE(RIGHT($A1222,1))=2,"gm. w. ",IF(VALUE(RIGHT($A1222,1))=8,"dz. ","gm. m.-w. ")))))&amp;IF(LEN($A1222)=2,TRIM(UPPER(VLOOKUP($A1222,GUS_tabl_1!$A$7:$B$22,2,FALSE))),IF(ISERROR(FIND("..",TRIM(VLOOKUP(IF(AND(LEN($A1222)=4,VALUE(RIGHT($A1222,2))&gt;60),$A1222&amp;"01 1",$A1222),IF(AND(LEN($A1222)=4,VALUE(RIGHT($A1222,2))&lt;60),GUS_tabl_2!$A$8:$B$464,GUS_tabl_21!$A$5:$B$4886),2,FALSE)))),TRIM(VLOOKUP(IF(AND(LEN($A1222)=4,VALUE(RIGHT($A1222,2))&gt;60),$A1222&amp;"01 1",$A1222),IF(AND(LEN($A1222)=4,VALUE(RIGHT($A1222,2))&lt;60),GUS_tabl_2!$A$8:$B$464,GUS_tabl_21!$A$5:$B$4886),2,FALSE)),LEFT(TRIM(VLOOKUP(IF(AND(LEN($A1222)=4,VALUE(RIGHT($A1222,2))&gt;60),$A1222&amp;"01 1",$A1222),IF(AND(LEN($A1222)=4,VALUE(RIGHT($A1222,2))&lt;60),GUS_tabl_2!$A$8:$B$464,GUS_tabl_21!$A$5:$B$4886),2,FALSE)),SUM(FIND("..",TRIM(VLOOKUP(IF(AND(LEN($A1222)=4,VALUE(RIGHT($A1222,2))&gt;60),$A1222&amp;"01 1",$A1222),IF(AND(LEN($A1222)=4,VALUE(RIGHT($A1222,2))&lt;60),GUS_tabl_2!$A$8:$B$464,GUS_tabl_21!$A$5:$B$4886),2,FALSE))),-1)))))</f>
        <v>gm. m.-w. Lipsko</v>
      </c>
      <c r="D1222" s="141">
        <f>IF(OR($A1222="",ISERROR(VALUE(LEFT($A1222,6)))),"",IF(LEN($A1222)=2,SUMIF($A1223:$A$2965,$A1222&amp;"??",$D1223:$D$2965),IF(AND(LEN($A1222)=4,VALUE(RIGHT($A1222,2))&lt;=60),SUMIF($A1223:$A$2965,$A1222&amp;"????",$D1223:$D$2965),VLOOKUP(IF(LEN($A1222)=4,$A1222&amp;"01 1",$A1222),GUS_tabl_21!$A$5:$F$4886,6,FALSE))))</f>
        <v>10970</v>
      </c>
      <c r="E1222" s="29"/>
    </row>
    <row r="1223" spans="1:5" ht="12" customHeight="1">
      <c r="A1223" s="155" t="str">
        <f>"140904 2"</f>
        <v>140904 2</v>
      </c>
      <c r="B1223" s="153" t="s">
        <v>45</v>
      </c>
      <c r="C1223" s="156" t="str">
        <f>IF(OR($A1223="",ISERROR(VALUE(LEFT($A1223,6)))),"",IF(LEN($A1223)=2,"WOJ. ",IF(LEN($A1223)=4,IF(VALUE(RIGHT($A1223,2))&gt;60,"","Powiat "),IF(VALUE(RIGHT($A1223,1))=1,"m. ",IF(VALUE(RIGHT($A1223,1))=2,"gm. w. ",IF(VALUE(RIGHT($A1223,1))=8,"dz. ","gm. m.-w. ")))))&amp;IF(LEN($A1223)=2,TRIM(UPPER(VLOOKUP($A1223,GUS_tabl_1!$A$7:$B$22,2,FALSE))),IF(ISERROR(FIND("..",TRIM(VLOOKUP(IF(AND(LEN($A1223)=4,VALUE(RIGHT($A1223,2))&gt;60),$A1223&amp;"01 1",$A1223),IF(AND(LEN($A1223)=4,VALUE(RIGHT($A1223,2))&lt;60),GUS_tabl_2!$A$8:$B$464,GUS_tabl_21!$A$5:$B$4886),2,FALSE)))),TRIM(VLOOKUP(IF(AND(LEN($A1223)=4,VALUE(RIGHT($A1223,2))&gt;60),$A1223&amp;"01 1",$A1223),IF(AND(LEN($A1223)=4,VALUE(RIGHT($A1223,2))&lt;60),GUS_tabl_2!$A$8:$B$464,GUS_tabl_21!$A$5:$B$4886),2,FALSE)),LEFT(TRIM(VLOOKUP(IF(AND(LEN($A1223)=4,VALUE(RIGHT($A1223,2))&gt;60),$A1223&amp;"01 1",$A1223),IF(AND(LEN($A1223)=4,VALUE(RIGHT($A1223,2))&lt;60),GUS_tabl_2!$A$8:$B$464,GUS_tabl_21!$A$5:$B$4886),2,FALSE)),SUM(FIND("..",TRIM(VLOOKUP(IF(AND(LEN($A1223)=4,VALUE(RIGHT($A1223,2))&gt;60),$A1223&amp;"01 1",$A1223),IF(AND(LEN($A1223)=4,VALUE(RIGHT($A1223,2))&lt;60),GUS_tabl_2!$A$8:$B$464,GUS_tabl_21!$A$5:$B$4886),2,FALSE))),-1)))))</f>
        <v>gm. w. Rzeczniów</v>
      </c>
      <c r="D1223" s="141">
        <f>IF(OR($A1223="",ISERROR(VALUE(LEFT($A1223,6)))),"",IF(LEN($A1223)=2,SUMIF($A1224:$A$2965,$A1223&amp;"??",$D1224:$D$2965),IF(AND(LEN($A1223)=4,VALUE(RIGHT($A1223,2))&lt;=60),SUMIF($A1224:$A$2965,$A1223&amp;"????",$D1224:$D$2965),VLOOKUP(IF(LEN($A1223)=4,$A1223&amp;"01 1",$A1223),GUS_tabl_21!$A$5:$F$4886,6,FALSE))))</f>
        <v>4352</v>
      </c>
      <c r="E1223" s="29"/>
    </row>
    <row r="1224" spans="1:5" ht="12" customHeight="1">
      <c r="A1224" s="155" t="str">
        <f>"140905 2"</f>
        <v>140905 2</v>
      </c>
      <c r="B1224" s="153" t="s">
        <v>45</v>
      </c>
      <c r="C1224" s="156" t="str">
        <f>IF(OR($A1224="",ISERROR(VALUE(LEFT($A1224,6)))),"",IF(LEN($A1224)=2,"WOJ. ",IF(LEN($A1224)=4,IF(VALUE(RIGHT($A1224,2))&gt;60,"","Powiat "),IF(VALUE(RIGHT($A1224,1))=1,"m. ",IF(VALUE(RIGHT($A1224,1))=2,"gm. w. ",IF(VALUE(RIGHT($A1224,1))=8,"dz. ","gm. m.-w. ")))))&amp;IF(LEN($A1224)=2,TRIM(UPPER(VLOOKUP($A1224,GUS_tabl_1!$A$7:$B$22,2,FALSE))),IF(ISERROR(FIND("..",TRIM(VLOOKUP(IF(AND(LEN($A1224)=4,VALUE(RIGHT($A1224,2))&gt;60),$A1224&amp;"01 1",$A1224),IF(AND(LEN($A1224)=4,VALUE(RIGHT($A1224,2))&lt;60),GUS_tabl_2!$A$8:$B$464,GUS_tabl_21!$A$5:$B$4886),2,FALSE)))),TRIM(VLOOKUP(IF(AND(LEN($A1224)=4,VALUE(RIGHT($A1224,2))&gt;60),$A1224&amp;"01 1",$A1224),IF(AND(LEN($A1224)=4,VALUE(RIGHT($A1224,2))&lt;60),GUS_tabl_2!$A$8:$B$464,GUS_tabl_21!$A$5:$B$4886),2,FALSE)),LEFT(TRIM(VLOOKUP(IF(AND(LEN($A1224)=4,VALUE(RIGHT($A1224,2))&gt;60),$A1224&amp;"01 1",$A1224),IF(AND(LEN($A1224)=4,VALUE(RIGHT($A1224,2))&lt;60),GUS_tabl_2!$A$8:$B$464,GUS_tabl_21!$A$5:$B$4886),2,FALSE)),SUM(FIND("..",TRIM(VLOOKUP(IF(AND(LEN($A1224)=4,VALUE(RIGHT($A1224,2))&gt;60),$A1224&amp;"01 1",$A1224),IF(AND(LEN($A1224)=4,VALUE(RIGHT($A1224,2))&lt;60),GUS_tabl_2!$A$8:$B$464,GUS_tabl_21!$A$5:$B$4886),2,FALSE))),-1)))))</f>
        <v>gm. w. Sienno</v>
      </c>
      <c r="D1224" s="141">
        <f>IF(OR($A1224="",ISERROR(VALUE(LEFT($A1224,6)))),"",IF(LEN($A1224)=2,SUMIF($A1225:$A$2965,$A1224&amp;"??",$D1225:$D$2965),IF(AND(LEN($A1224)=4,VALUE(RIGHT($A1224,2))&lt;=60),SUMIF($A1225:$A$2965,$A1224&amp;"????",$D1225:$D$2965),VLOOKUP(IF(LEN($A1224)=4,$A1224&amp;"01 1",$A1224),GUS_tabl_21!$A$5:$F$4886,6,FALSE))))</f>
        <v>5802</v>
      </c>
      <c r="E1224" s="29"/>
    </row>
    <row r="1225" spans="1:5" ht="12" customHeight="1">
      <c r="A1225" s="155" t="str">
        <f>"140906 2"</f>
        <v>140906 2</v>
      </c>
      <c r="B1225" s="153" t="s">
        <v>45</v>
      </c>
      <c r="C1225" s="156" t="str">
        <f>IF(OR($A1225="",ISERROR(VALUE(LEFT($A1225,6)))),"",IF(LEN($A1225)=2,"WOJ. ",IF(LEN($A1225)=4,IF(VALUE(RIGHT($A1225,2))&gt;60,"","Powiat "),IF(VALUE(RIGHT($A1225,1))=1,"m. ",IF(VALUE(RIGHT($A1225,1))=2,"gm. w. ",IF(VALUE(RIGHT($A1225,1))=8,"dz. ","gm. m.-w. ")))))&amp;IF(LEN($A1225)=2,TRIM(UPPER(VLOOKUP($A1225,GUS_tabl_1!$A$7:$B$22,2,FALSE))),IF(ISERROR(FIND("..",TRIM(VLOOKUP(IF(AND(LEN($A1225)=4,VALUE(RIGHT($A1225,2))&gt;60),$A1225&amp;"01 1",$A1225),IF(AND(LEN($A1225)=4,VALUE(RIGHT($A1225,2))&lt;60),GUS_tabl_2!$A$8:$B$464,GUS_tabl_21!$A$5:$B$4886),2,FALSE)))),TRIM(VLOOKUP(IF(AND(LEN($A1225)=4,VALUE(RIGHT($A1225,2))&gt;60),$A1225&amp;"01 1",$A1225),IF(AND(LEN($A1225)=4,VALUE(RIGHT($A1225,2))&lt;60),GUS_tabl_2!$A$8:$B$464,GUS_tabl_21!$A$5:$B$4886),2,FALSE)),LEFT(TRIM(VLOOKUP(IF(AND(LEN($A1225)=4,VALUE(RIGHT($A1225,2))&gt;60),$A1225&amp;"01 1",$A1225),IF(AND(LEN($A1225)=4,VALUE(RIGHT($A1225,2))&lt;60),GUS_tabl_2!$A$8:$B$464,GUS_tabl_21!$A$5:$B$4886),2,FALSE)),SUM(FIND("..",TRIM(VLOOKUP(IF(AND(LEN($A1225)=4,VALUE(RIGHT($A1225,2))&gt;60),$A1225&amp;"01 1",$A1225),IF(AND(LEN($A1225)=4,VALUE(RIGHT($A1225,2))&lt;60),GUS_tabl_2!$A$8:$B$464,GUS_tabl_21!$A$5:$B$4886),2,FALSE))),-1)))))</f>
        <v>gm. w. Solec nad Wisłą</v>
      </c>
      <c r="D1225" s="141">
        <f>IF(OR($A1225="",ISERROR(VALUE(LEFT($A1225,6)))),"",IF(LEN($A1225)=2,SUMIF($A1226:$A$2965,$A1225&amp;"??",$D1226:$D$2965),IF(AND(LEN($A1225)=4,VALUE(RIGHT($A1225,2))&lt;=60),SUMIF($A1226:$A$2965,$A1225&amp;"????",$D1226:$D$2965),VLOOKUP(IF(LEN($A1225)=4,$A1225&amp;"01 1",$A1225),GUS_tabl_21!$A$5:$F$4886,6,FALSE))))</f>
        <v>4894</v>
      </c>
      <c r="E1225" s="29"/>
    </row>
    <row r="1226" spans="1:5" ht="12" customHeight="1">
      <c r="A1226" s="152" t="str">
        <f>"1410"</f>
        <v>1410</v>
      </c>
      <c r="B1226" s="153" t="s">
        <v>45</v>
      </c>
      <c r="C1226" s="154" t="str">
        <f>IF(OR($A1226="",ISERROR(VALUE(LEFT($A1226,6)))),"",IF(LEN($A1226)=2,"WOJ. ",IF(LEN($A1226)=4,IF(VALUE(RIGHT($A1226,2))&gt;60,"","Powiat "),IF(VALUE(RIGHT($A1226,1))=1,"m. ",IF(VALUE(RIGHT($A1226,1))=2,"gm. w. ",IF(VALUE(RIGHT($A1226,1))=8,"dz. ","gm. m.-w. ")))))&amp;IF(LEN($A1226)=2,TRIM(UPPER(VLOOKUP($A1226,GUS_tabl_1!$A$7:$B$22,2,FALSE))),IF(ISERROR(FIND("..",TRIM(VLOOKUP(IF(AND(LEN($A1226)=4,VALUE(RIGHT($A1226,2))&gt;60),$A1226&amp;"01 1",$A1226),IF(AND(LEN($A1226)=4,VALUE(RIGHT($A1226,2))&lt;60),GUS_tabl_2!$A$8:$B$464,GUS_tabl_21!$A$5:$B$4886),2,FALSE)))),TRIM(VLOOKUP(IF(AND(LEN($A1226)=4,VALUE(RIGHT($A1226,2))&gt;60),$A1226&amp;"01 1",$A1226),IF(AND(LEN($A1226)=4,VALUE(RIGHT($A1226,2))&lt;60),GUS_tabl_2!$A$8:$B$464,GUS_tabl_21!$A$5:$B$4886),2,FALSE)),LEFT(TRIM(VLOOKUP(IF(AND(LEN($A1226)=4,VALUE(RIGHT($A1226,2))&gt;60),$A1226&amp;"01 1",$A1226),IF(AND(LEN($A1226)=4,VALUE(RIGHT($A1226,2))&lt;60),GUS_tabl_2!$A$8:$B$464,GUS_tabl_21!$A$5:$B$4886),2,FALSE)),SUM(FIND("..",TRIM(VLOOKUP(IF(AND(LEN($A1226)=4,VALUE(RIGHT($A1226,2))&gt;60),$A1226&amp;"01 1",$A1226),IF(AND(LEN($A1226)=4,VALUE(RIGHT($A1226,2))&lt;60),GUS_tabl_2!$A$8:$B$464,GUS_tabl_21!$A$5:$B$4886),2,FALSE))),-1)))))</f>
        <v>Powiat łosicki</v>
      </c>
      <c r="D1226" s="140">
        <f>IF(OR($A1226="",ISERROR(VALUE(LEFT($A1226,6)))),"",IF(LEN($A1226)=2,SUMIF($A1227:$A$2965,$A1226&amp;"??",$D1227:$D$2965),IF(AND(LEN($A1226)=4,VALUE(RIGHT($A1226,2))&lt;=60),SUMIF($A1227:$A$2965,$A1226&amp;"????",$D1227:$D$2965),VLOOKUP(IF(LEN($A1226)=4,$A1226&amp;"01 1",$A1226),GUS_tabl_21!$A$5:$F$4886,6,FALSE))))</f>
        <v>30774</v>
      </c>
      <c r="E1226" s="29"/>
    </row>
    <row r="1227" spans="1:5" ht="12" customHeight="1">
      <c r="A1227" s="155" t="str">
        <f>"141001 2"</f>
        <v>141001 2</v>
      </c>
      <c r="B1227" s="153" t="s">
        <v>45</v>
      </c>
      <c r="C1227" s="156" t="str">
        <f>IF(OR($A1227="",ISERROR(VALUE(LEFT($A1227,6)))),"",IF(LEN($A1227)=2,"WOJ. ",IF(LEN($A1227)=4,IF(VALUE(RIGHT($A1227,2))&gt;60,"","Powiat "),IF(VALUE(RIGHT($A1227,1))=1,"m. ",IF(VALUE(RIGHT($A1227,1))=2,"gm. w. ",IF(VALUE(RIGHT($A1227,1))=8,"dz. ","gm. m.-w. ")))))&amp;IF(LEN($A1227)=2,TRIM(UPPER(VLOOKUP($A1227,GUS_tabl_1!$A$7:$B$22,2,FALSE))),IF(ISERROR(FIND("..",TRIM(VLOOKUP(IF(AND(LEN($A1227)=4,VALUE(RIGHT($A1227,2))&gt;60),$A1227&amp;"01 1",$A1227),IF(AND(LEN($A1227)=4,VALUE(RIGHT($A1227,2))&lt;60),GUS_tabl_2!$A$8:$B$464,GUS_tabl_21!$A$5:$B$4886),2,FALSE)))),TRIM(VLOOKUP(IF(AND(LEN($A1227)=4,VALUE(RIGHT($A1227,2))&gt;60),$A1227&amp;"01 1",$A1227),IF(AND(LEN($A1227)=4,VALUE(RIGHT($A1227,2))&lt;60),GUS_tabl_2!$A$8:$B$464,GUS_tabl_21!$A$5:$B$4886),2,FALSE)),LEFT(TRIM(VLOOKUP(IF(AND(LEN($A1227)=4,VALUE(RIGHT($A1227,2))&gt;60),$A1227&amp;"01 1",$A1227),IF(AND(LEN($A1227)=4,VALUE(RIGHT($A1227,2))&lt;60),GUS_tabl_2!$A$8:$B$464,GUS_tabl_21!$A$5:$B$4886),2,FALSE)),SUM(FIND("..",TRIM(VLOOKUP(IF(AND(LEN($A1227)=4,VALUE(RIGHT($A1227,2))&gt;60),$A1227&amp;"01 1",$A1227),IF(AND(LEN($A1227)=4,VALUE(RIGHT($A1227,2))&lt;60),GUS_tabl_2!$A$8:$B$464,GUS_tabl_21!$A$5:$B$4886),2,FALSE))),-1)))))</f>
        <v>gm. w. Huszlew</v>
      </c>
      <c r="D1227" s="141">
        <f>IF(OR($A1227="",ISERROR(VALUE(LEFT($A1227,6)))),"",IF(LEN($A1227)=2,SUMIF($A1228:$A$2965,$A1227&amp;"??",$D1228:$D$2965),IF(AND(LEN($A1227)=4,VALUE(RIGHT($A1227,2))&lt;=60),SUMIF($A1228:$A$2965,$A1227&amp;"????",$D1228:$D$2965),VLOOKUP(IF(LEN($A1227)=4,$A1227&amp;"01 1",$A1227),GUS_tabl_21!$A$5:$F$4886,6,FALSE))))</f>
        <v>2813</v>
      </c>
      <c r="E1227" s="29"/>
    </row>
    <row r="1228" spans="1:5" ht="12" customHeight="1">
      <c r="A1228" s="155" t="str">
        <f>"141002 3"</f>
        <v>141002 3</v>
      </c>
      <c r="B1228" s="153" t="s">
        <v>45</v>
      </c>
      <c r="C1228" s="156" t="str">
        <f>IF(OR($A1228="",ISERROR(VALUE(LEFT($A1228,6)))),"",IF(LEN($A1228)=2,"WOJ. ",IF(LEN($A1228)=4,IF(VALUE(RIGHT($A1228,2))&gt;60,"","Powiat "),IF(VALUE(RIGHT($A1228,1))=1,"m. ",IF(VALUE(RIGHT($A1228,1))=2,"gm. w. ",IF(VALUE(RIGHT($A1228,1))=8,"dz. ","gm. m.-w. ")))))&amp;IF(LEN($A1228)=2,TRIM(UPPER(VLOOKUP($A1228,GUS_tabl_1!$A$7:$B$22,2,FALSE))),IF(ISERROR(FIND("..",TRIM(VLOOKUP(IF(AND(LEN($A1228)=4,VALUE(RIGHT($A1228,2))&gt;60),$A1228&amp;"01 1",$A1228),IF(AND(LEN($A1228)=4,VALUE(RIGHT($A1228,2))&lt;60),GUS_tabl_2!$A$8:$B$464,GUS_tabl_21!$A$5:$B$4886),2,FALSE)))),TRIM(VLOOKUP(IF(AND(LEN($A1228)=4,VALUE(RIGHT($A1228,2))&gt;60),$A1228&amp;"01 1",$A1228),IF(AND(LEN($A1228)=4,VALUE(RIGHT($A1228,2))&lt;60),GUS_tabl_2!$A$8:$B$464,GUS_tabl_21!$A$5:$B$4886),2,FALSE)),LEFT(TRIM(VLOOKUP(IF(AND(LEN($A1228)=4,VALUE(RIGHT($A1228,2))&gt;60),$A1228&amp;"01 1",$A1228),IF(AND(LEN($A1228)=4,VALUE(RIGHT($A1228,2))&lt;60),GUS_tabl_2!$A$8:$B$464,GUS_tabl_21!$A$5:$B$4886),2,FALSE)),SUM(FIND("..",TRIM(VLOOKUP(IF(AND(LEN($A1228)=4,VALUE(RIGHT($A1228,2))&gt;60),$A1228&amp;"01 1",$A1228),IF(AND(LEN($A1228)=4,VALUE(RIGHT($A1228,2))&lt;60),GUS_tabl_2!$A$8:$B$464,GUS_tabl_21!$A$5:$B$4886),2,FALSE))),-1)))))</f>
        <v>gm. m.-w. Łosice</v>
      </c>
      <c r="D1228" s="141">
        <f>IF(OR($A1228="",ISERROR(VALUE(LEFT($A1228,6)))),"",IF(LEN($A1228)=2,SUMIF($A1229:$A$2965,$A1228&amp;"??",$D1229:$D$2965),IF(AND(LEN($A1228)=4,VALUE(RIGHT($A1228,2))&lt;=60),SUMIF($A1229:$A$2965,$A1228&amp;"????",$D1229:$D$2965),VLOOKUP(IF(LEN($A1228)=4,$A1228&amp;"01 1",$A1228),GUS_tabl_21!$A$5:$F$4886,6,FALSE))))</f>
        <v>10787</v>
      </c>
      <c r="E1228" s="29"/>
    </row>
    <row r="1229" spans="1:5" ht="12" customHeight="1">
      <c r="A1229" s="155" t="str">
        <f>"141003 2"</f>
        <v>141003 2</v>
      </c>
      <c r="B1229" s="153" t="s">
        <v>45</v>
      </c>
      <c r="C1229" s="156" t="str">
        <f>IF(OR($A1229="",ISERROR(VALUE(LEFT($A1229,6)))),"",IF(LEN($A1229)=2,"WOJ. ",IF(LEN($A1229)=4,IF(VALUE(RIGHT($A1229,2))&gt;60,"","Powiat "),IF(VALUE(RIGHT($A1229,1))=1,"m. ",IF(VALUE(RIGHT($A1229,1))=2,"gm. w. ",IF(VALUE(RIGHT($A1229,1))=8,"dz. ","gm. m.-w. ")))))&amp;IF(LEN($A1229)=2,TRIM(UPPER(VLOOKUP($A1229,GUS_tabl_1!$A$7:$B$22,2,FALSE))),IF(ISERROR(FIND("..",TRIM(VLOOKUP(IF(AND(LEN($A1229)=4,VALUE(RIGHT($A1229,2))&gt;60),$A1229&amp;"01 1",$A1229),IF(AND(LEN($A1229)=4,VALUE(RIGHT($A1229,2))&lt;60),GUS_tabl_2!$A$8:$B$464,GUS_tabl_21!$A$5:$B$4886),2,FALSE)))),TRIM(VLOOKUP(IF(AND(LEN($A1229)=4,VALUE(RIGHT($A1229,2))&gt;60),$A1229&amp;"01 1",$A1229),IF(AND(LEN($A1229)=4,VALUE(RIGHT($A1229,2))&lt;60),GUS_tabl_2!$A$8:$B$464,GUS_tabl_21!$A$5:$B$4886),2,FALSE)),LEFT(TRIM(VLOOKUP(IF(AND(LEN($A1229)=4,VALUE(RIGHT($A1229,2))&gt;60),$A1229&amp;"01 1",$A1229),IF(AND(LEN($A1229)=4,VALUE(RIGHT($A1229,2))&lt;60),GUS_tabl_2!$A$8:$B$464,GUS_tabl_21!$A$5:$B$4886),2,FALSE)),SUM(FIND("..",TRIM(VLOOKUP(IF(AND(LEN($A1229)=4,VALUE(RIGHT($A1229,2))&gt;60),$A1229&amp;"01 1",$A1229),IF(AND(LEN($A1229)=4,VALUE(RIGHT($A1229,2))&lt;60),GUS_tabl_2!$A$8:$B$464,GUS_tabl_21!$A$5:$B$4886),2,FALSE))),-1)))))</f>
        <v>gm. w. Olszanka</v>
      </c>
      <c r="D1229" s="141">
        <f>IF(OR($A1229="",ISERROR(VALUE(LEFT($A1229,6)))),"",IF(LEN($A1229)=2,SUMIF($A1230:$A$2965,$A1229&amp;"??",$D1230:$D$2965),IF(AND(LEN($A1229)=4,VALUE(RIGHT($A1229,2))&lt;=60),SUMIF($A1230:$A$2965,$A1229&amp;"????",$D1230:$D$2965),VLOOKUP(IF(LEN($A1229)=4,$A1229&amp;"01 1",$A1229),GUS_tabl_21!$A$5:$F$4886,6,FALSE))))</f>
        <v>2943</v>
      </c>
      <c r="E1229" s="29"/>
    </row>
    <row r="1230" spans="1:5" ht="12" customHeight="1">
      <c r="A1230" s="155" t="str">
        <f>"141004 2"</f>
        <v>141004 2</v>
      </c>
      <c r="B1230" s="153" t="s">
        <v>45</v>
      </c>
      <c r="C1230" s="156" t="str">
        <f>IF(OR($A1230="",ISERROR(VALUE(LEFT($A1230,6)))),"",IF(LEN($A1230)=2,"WOJ. ",IF(LEN($A1230)=4,IF(VALUE(RIGHT($A1230,2))&gt;60,"","Powiat "),IF(VALUE(RIGHT($A1230,1))=1,"m. ",IF(VALUE(RIGHT($A1230,1))=2,"gm. w. ",IF(VALUE(RIGHT($A1230,1))=8,"dz. ","gm. m.-w. ")))))&amp;IF(LEN($A1230)=2,TRIM(UPPER(VLOOKUP($A1230,GUS_tabl_1!$A$7:$B$22,2,FALSE))),IF(ISERROR(FIND("..",TRIM(VLOOKUP(IF(AND(LEN($A1230)=4,VALUE(RIGHT($A1230,2))&gt;60),$A1230&amp;"01 1",$A1230),IF(AND(LEN($A1230)=4,VALUE(RIGHT($A1230,2))&lt;60),GUS_tabl_2!$A$8:$B$464,GUS_tabl_21!$A$5:$B$4886),2,FALSE)))),TRIM(VLOOKUP(IF(AND(LEN($A1230)=4,VALUE(RIGHT($A1230,2))&gt;60),$A1230&amp;"01 1",$A1230),IF(AND(LEN($A1230)=4,VALUE(RIGHT($A1230,2))&lt;60),GUS_tabl_2!$A$8:$B$464,GUS_tabl_21!$A$5:$B$4886),2,FALSE)),LEFT(TRIM(VLOOKUP(IF(AND(LEN($A1230)=4,VALUE(RIGHT($A1230,2))&gt;60),$A1230&amp;"01 1",$A1230),IF(AND(LEN($A1230)=4,VALUE(RIGHT($A1230,2))&lt;60),GUS_tabl_2!$A$8:$B$464,GUS_tabl_21!$A$5:$B$4886),2,FALSE)),SUM(FIND("..",TRIM(VLOOKUP(IF(AND(LEN($A1230)=4,VALUE(RIGHT($A1230,2))&gt;60),$A1230&amp;"01 1",$A1230),IF(AND(LEN($A1230)=4,VALUE(RIGHT($A1230,2))&lt;60),GUS_tabl_2!$A$8:$B$464,GUS_tabl_21!$A$5:$B$4886),2,FALSE))),-1)))))</f>
        <v>gm. w. Platerów</v>
      </c>
      <c r="D1230" s="141">
        <f>IF(OR($A1230="",ISERROR(VALUE(LEFT($A1230,6)))),"",IF(LEN($A1230)=2,SUMIF($A1231:$A$2965,$A1230&amp;"??",$D1231:$D$2965),IF(AND(LEN($A1230)=4,VALUE(RIGHT($A1230,2))&lt;=60),SUMIF($A1231:$A$2965,$A1230&amp;"????",$D1231:$D$2965),VLOOKUP(IF(LEN($A1230)=4,$A1230&amp;"01 1",$A1230),GUS_tabl_21!$A$5:$F$4886,6,FALSE))))</f>
        <v>4849</v>
      </c>
      <c r="E1230" s="29"/>
    </row>
    <row r="1231" spans="1:5" ht="12" customHeight="1">
      <c r="A1231" s="155" t="str">
        <f>"141005 2"</f>
        <v>141005 2</v>
      </c>
      <c r="B1231" s="153" t="s">
        <v>45</v>
      </c>
      <c r="C1231" s="156" t="str">
        <f>IF(OR($A1231="",ISERROR(VALUE(LEFT($A1231,6)))),"",IF(LEN($A1231)=2,"WOJ. ",IF(LEN($A1231)=4,IF(VALUE(RIGHT($A1231,2))&gt;60,"","Powiat "),IF(VALUE(RIGHT($A1231,1))=1,"m. ",IF(VALUE(RIGHT($A1231,1))=2,"gm. w. ",IF(VALUE(RIGHT($A1231,1))=8,"dz. ","gm. m.-w. ")))))&amp;IF(LEN($A1231)=2,TRIM(UPPER(VLOOKUP($A1231,GUS_tabl_1!$A$7:$B$22,2,FALSE))),IF(ISERROR(FIND("..",TRIM(VLOOKUP(IF(AND(LEN($A1231)=4,VALUE(RIGHT($A1231,2))&gt;60),$A1231&amp;"01 1",$A1231),IF(AND(LEN($A1231)=4,VALUE(RIGHT($A1231,2))&lt;60),GUS_tabl_2!$A$8:$B$464,GUS_tabl_21!$A$5:$B$4886),2,FALSE)))),TRIM(VLOOKUP(IF(AND(LEN($A1231)=4,VALUE(RIGHT($A1231,2))&gt;60),$A1231&amp;"01 1",$A1231),IF(AND(LEN($A1231)=4,VALUE(RIGHT($A1231,2))&lt;60),GUS_tabl_2!$A$8:$B$464,GUS_tabl_21!$A$5:$B$4886),2,FALSE)),LEFT(TRIM(VLOOKUP(IF(AND(LEN($A1231)=4,VALUE(RIGHT($A1231,2))&gt;60),$A1231&amp;"01 1",$A1231),IF(AND(LEN($A1231)=4,VALUE(RIGHT($A1231,2))&lt;60),GUS_tabl_2!$A$8:$B$464,GUS_tabl_21!$A$5:$B$4886),2,FALSE)),SUM(FIND("..",TRIM(VLOOKUP(IF(AND(LEN($A1231)=4,VALUE(RIGHT($A1231,2))&gt;60),$A1231&amp;"01 1",$A1231),IF(AND(LEN($A1231)=4,VALUE(RIGHT($A1231,2))&lt;60),GUS_tabl_2!$A$8:$B$464,GUS_tabl_21!$A$5:$B$4886),2,FALSE))),-1)))))</f>
        <v>gm. w. Sarnaki</v>
      </c>
      <c r="D1231" s="141">
        <f>IF(OR($A1231="",ISERROR(VALUE(LEFT($A1231,6)))),"",IF(LEN($A1231)=2,SUMIF($A1232:$A$2965,$A1231&amp;"??",$D1232:$D$2965),IF(AND(LEN($A1231)=4,VALUE(RIGHT($A1231,2))&lt;=60),SUMIF($A1232:$A$2965,$A1231&amp;"????",$D1232:$D$2965),VLOOKUP(IF(LEN($A1231)=4,$A1231&amp;"01 1",$A1231),GUS_tabl_21!$A$5:$F$4886,6,FALSE))))</f>
        <v>4645</v>
      </c>
      <c r="E1231" s="29"/>
    </row>
    <row r="1232" spans="1:5" ht="12" customHeight="1">
      <c r="A1232" s="155" t="str">
        <f>"141006 2"</f>
        <v>141006 2</v>
      </c>
      <c r="B1232" s="153" t="s">
        <v>45</v>
      </c>
      <c r="C1232" s="156" t="str">
        <f>IF(OR($A1232="",ISERROR(VALUE(LEFT($A1232,6)))),"",IF(LEN($A1232)=2,"WOJ. ",IF(LEN($A1232)=4,IF(VALUE(RIGHT($A1232,2))&gt;60,"","Powiat "),IF(VALUE(RIGHT($A1232,1))=1,"m. ",IF(VALUE(RIGHT($A1232,1))=2,"gm. w. ",IF(VALUE(RIGHT($A1232,1))=8,"dz. ","gm. m.-w. ")))))&amp;IF(LEN($A1232)=2,TRIM(UPPER(VLOOKUP($A1232,GUS_tabl_1!$A$7:$B$22,2,FALSE))),IF(ISERROR(FIND("..",TRIM(VLOOKUP(IF(AND(LEN($A1232)=4,VALUE(RIGHT($A1232,2))&gt;60),$A1232&amp;"01 1",$A1232),IF(AND(LEN($A1232)=4,VALUE(RIGHT($A1232,2))&lt;60),GUS_tabl_2!$A$8:$B$464,GUS_tabl_21!$A$5:$B$4886),2,FALSE)))),TRIM(VLOOKUP(IF(AND(LEN($A1232)=4,VALUE(RIGHT($A1232,2))&gt;60),$A1232&amp;"01 1",$A1232),IF(AND(LEN($A1232)=4,VALUE(RIGHT($A1232,2))&lt;60),GUS_tabl_2!$A$8:$B$464,GUS_tabl_21!$A$5:$B$4886),2,FALSE)),LEFT(TRIM(VLOOKUP(IF(AND(LEN($A1232)=4,VALUE(RIGHT($A1232,2))&gt;60),$A1232&amp;"01 1",$A1232),IF(AND(LEN($A1232)=4,VALUE(RIGHT($A1232,2))&lt;60),GUS_tabl_2!$A$8:$B$464,GUS_tabl_21!$A$5:$B$4886),2,FALSE)),SUM(FIND("..",TRIM(VLOOKUP(IF(AND(LEN($A1232)=4,VALUE(RIGHT($A1232,2))&gt;60),$A1232&amp;"01 1",$A1232),IF(AND(LEN($A1232)=4,VALUE(RIGHT($A1232,2))&lt;60),GUS_tabl_2!$A$8:$B$464,GUS_tabl_21!$A$5:$B$4886),2,FALSE))),-1)))))</f>
        <v>gm. w. Stara Kornica</v>
      </c>
      <c r="D1232" s="141">
        <f>IF(OR($A1232="",ISERROR(VALUE(LEFT($A1232,6)))),"",IF(LEN($A1232)=2,SUMIF($A1233:$A$2965,$A1232&amp;"??",$D1233:$D$2965),IF(AND(LEN($A1232)=4,VALUE(RIGHT($A1232,2))&lt;=60),SUMIF($A1233:$A$2965,$A1232&amp;"????",$D1233:$D$2965),VLOOKUP(IF(LEN($A1232)=4,$A1232&amp;"01 1",$A1232),GUS_tabl_21!$A$5:$F$4886,6,FALSE))))</f>
        <v>4737</v>
      </c>
      <c r="E1232" s="29"/>
    </row>
    <row r="1233" spans="1:5" ht="12" customHeight="1">
      <c r="A1233" s="152" t="str">
        <f>"1411"</f>
        <v>1411</v>
      </c>
      <c r="B1233" s="153" t="s">
        <v>45</v>
      </c>
      <c r="C1233" s="154" t="str">
        <f>IF(OR($A1233="",ISERROR(VALUE(LEFT($A1233,6)))),"",IF(LEN($A1233)=2,"WOJ. ",IF(LEN($A1233)=4,IF(VALUE(RIGHT($A1233,2))&gt;60,"","Powiat "),IF(VALUE(RIGHT($A1233,1))=1,"m. ",IF(VALUE(RIGHT($A1233,1))=2,"gm. w. ",IF(VALUE(RIGHT($A1233,1))=8,"dz. ","gm. m.-w. ")))))&amp;IF(LEN($A1233)=2,TRIM(UPPER(VLOOKUP($A1233,GUS_tabl_1!$A$7:$B$22,2,FALSE))),IF(ISERROR(FIND("..",TRIM(VLOOKUP(IF(AND(LEN($A1233)=4,VALUE(RIGHT($A1233,2))&gt;60),$A1233&amp;"01 1",$A1233),IF(AND(LEN($A1233)=4,VALUE(RIGHT($A1233,2))&lt;60),GUS_tabl_2!$A$8:$B$464,GUS_tabl_21!$A$5:$B$4886),2,FALSE)))),TRIM(VLOOKUP(IF(AND(LEN($A1233)=4,VALUE(RIGHT($A1233,2))&gt;60),$A1233&amp;"01 1",$A1233),IF(AND(LEN($A1233)=4,VALUE(RIGHT($A1233,2))&lt;60),GUS_tabl_2!$A$8:$B$464,GUS_tabl_21!$A$5:$B$4886),2,FALSE)),LEFT(TRIM(VLOOKUP(IF(AND(LEN($A1233)=4,VALUE(RIGHT($A1233,2))&gt;60),$A1233&amp;"01 1",$A1233),IF(AND(LEN($A1233)=4,VALUE(RIGHT($A1233,2))&lt;60),GUS_tabl_2!$A$8:$B$464,GUS_tabl_21!$A$5:$B$4886),2,FALSE)),SUM(FIND("..",TRIM(VLOOKUP(IF(AND(LEN($A1233)=4,VALUE(RIGHT($A1233,2))&gt;60),$A1233&amp;"01 1",$A1233),IF(AND(LEN($A1233)=4,VALUE(RIGHT($A1233,2))&lt;60),GUS_tabl_2!$A$8:$B$464,GUS_tabl_21!$A$5:$B$4886),2,FALSE))),-1)))))</f>
        <v>Powiat makowski</v>
      </c>
      <c r="D1233" s="140">
        <f>IF(OR($A1233="",ISERROR(VALUE(LEFT($A1233,6)))),"",IF(LEN($A1233)=2,SUMIF($A1234:$A$2965,$A1233&amp;"??",$D1234:$D$2965),IF(AND(LEN($A1233)=4,VALUE(RIGHT($A1233,2))&lt;=60),SUMIF($A1234:$A$2965,$A1233&amp;"????",$D1234:$D$2965),VLOOKUP(IF(LEN($A1233)=4,$A1233&amp;"01 1",$A1233),GUS_tabl_21!$A$5:$F$4886,6,FALSE))))</f>
        <v>44892</v>
      </c>
      <c r="E1233" s="29"/>
    </row>
    <row r="1234" spans="1:5" ht="12" customHeight="1">
      <c r="A1234" s="155" t="str">
        <f>"141101 1"</f>
        <v>141101 1</v>
      </c>
      <c r="B1234" s="153" t="s">
        <v>45</v>
      </c>
      <c r="C1234" s="156" t="str">
        <f>IF(OR($A1234="",ISERROR(VALUE(LEFT($A1234,6)))),"",IF(LEN($A1234)=2,"WOJ. ",IF(LEN($A1234)=4,IF(VALUE(RIGHT($A1234,2))&gt;60,"","Powiat "),IF(VALUE(RIGHT($A1234,1))=1,"m. ",IF(VALUE(RIGHT($A1234,1))=2,"gm. w. ",IF(VALUE(RIGHT($A1234,1))=8,"dz. ","gm. m.-w. ")))))&amp;IF(LEN($A1234)=2,TRIM(UPPER(VLOOKUP($A1234,GUS_tabl_1!$A$7:$B$22,2,FALSE))),IF(ISERROR(FIND("..",TRIM(VLOOKUP(IF(AND(LEN($A1234)=4,VALUE(RIGHT($A1234,2))&gt;60),$A1234&amp;"01 1",$A1234),IF(AND(LEN($A1234)=4,VALUE(RIGHT($A1234,2))&lt;60),GUS_tabl_2!$A$8:$B$464,GUS_tabl_21!$A$5:$B$4886),2,FALSE)))),TRIM(VLOOKUP(IF(AND(LEN($A1234)=4,VALUE(RIGHT($A1234,2))&gt;60),$A1234&amp;"01 1",$A1234),IF(AND(LEN($A1234)=4,VALUE(RIGHT($A1234,2))&lt;60),GUS_tabl_2!$A$8:$B$464,GUS_tabl_21!$A$5:$B$4886),2,FALSE)),LEFT(TRIM(VLOOKUP(IF(AND(LEN($A1234)=4,VALUE(RIGHT($A1234,2))&gt;60),$A1234&amp;"01 1",$A1234),IF(AND(LEN($A1234)=4,VALUE(RIGHT($A1234,2))&lt;60),GUS_tabl_2!$A$8:$B$464,GUS_tabl_21!$A$5:$B$4886),2,FALSE)),SUM(FIND("..",TRIM(VLOOKUP(IF(AND(LEN($A1234)=4,VALUE(RIGHT($A1234,2))&gt;60),$A1234&amp;"01 1",$A1234),IF(AND(LEN($A1234)=4,VALUE(RIGHT($A1234,2))&lt;60),GUS_tabl_2!$A$8:$B$464,GUS_tabl_21!$A$5:$B$4886),2,FALSE))),-1)))))</f>
        <v>m. Maków Mazowiecki</v>
      </c>
      <c r="D1234" s="141">
        <f>IF(OR($A1234="",ISERROR(VALUE(LEFT($A1234,6)))),"",IF(LEN($A1234)=2,SUMIF($A1235:$A$2965,$A1234&amp;"??",$D1235:$D$2965),IF(AND(LEN($A1234)=4,VALUE(RIGHT($A1234,2))&lt;=60),SUMIF($A1235:$A$2965,$A1234&amp;"????",$D1235:$D$2965),VLOOKUP(IF(LEN($A1234)=4,$A1234&amp;"01 1",$A1234),GUS_tabl_21!$A$5:$F$4886,6,FALSE))))</f>
        <v>9711</v>
      </c>
      <c r="E1234" s="29"/>
    </row>
    <row r="1235" spans="1:5" ht="12" customHeight="1">
      <c r="A1235" s="155" t="str">
        <f>"141102 2"</f>
        <v>141102 2</v>
      </c>
      <c r="B1235" s="153" t="s">
        <v>45</v>
      </c>
      <c r="C1235" s="156" t="str">
        <f>IF(OR($A1235="",ISERROR(VALUE(LEFT($A1235,6)))),"",IF(LEN($A1235)=2,"WOJ. ",IF(LEN($A1235)=4,IF(VALUE(RIGHT($A1235,2))&gt;60,"","Powiat "),IF(VALUE(RIGHT($A1235,1))=1,"m. ",IF(VALUE(RIGHT($A1235,1))=2,"gm. w. ",IF(VALUE(RIGHT($A1235,1))=8,"dz. ","gm. m.-w. ")))))&amp;IF(LEN($A1235)=2,TRIM(UPPER(VLOOKUP($A1235,GUS_tabl_1!$A$7:$B$22,2,FALSE))),IF(ISERROR(FIND("..",TRIM(VLOOKUP(IF(AND(LEN($A1235)=4,VALUE(RIGHT($A1235,2))&gt;60),$A1235&amp;"01 1",$A1235),IF(AND(LEN($A1235)=4,VALUE(RIGHT($A1235,2))&lt;60),GUS_tabl_2!$A$8:$B$464,GUS_tabl_21!$A$5:$B$4886),2,FALSE)))),TRIM(VLOOKUP(IF(AND(LEN($A1235)=4,VALUE(RIGHT($A1235,2))&gt;60),$A1235&amp;"01 1",$A1235),IF(AND(LEN($A1235)=4,VALUE(RIGHT($A1235,2))&lt;60),GUS_tabl_2!$A$8:$B$464,GUS_tabl_21!$A$5:$B$4886),2,FALSE)),LEFT(TRIM(VLOOKUP(IF(AND(LEN($A1235)=4,VALUE(RIGHT($A1235,2))&gt;60),$A1235&amp;"01 1",$A1235),IF(AND(LEN($A1235)=4,VALUE(RIGHT($A1235,2))&lt;60),GUS_tabl_2!$A$8:$B$464,GUS_tabl_21!$A$5:$B$4886),2,FALSE)),SUM(FIND("..",TRIM(VLOOKUP(IF(AND(LEN($A1235)=4,VALUE(RIGHT($A1235,2))&gt;60),$A1235&amp;"01 1",$A1235),IF(AND(LEN($A1235)=4,VALUE(RIGHT($A1235,2))&lt;60),GUS_tabl_2!$A$8:$B$464,GUS_tabl_21!$A$5:$B$4886),2,FALSE))),-1)))))</f>
        <v>gm. w. Czerwonka</v>
      </c>
      <c r="D1235" s="141">
        <f>IF(OR($A1235="",ISERROR(VALUE(LEFT($A1235,6)))),"",IF(LEN($A1235)=2,SUMIF($A1236:$A$2965,$A1235&amp;"??",$D1236:$D$2965),IF(AND(LEN($A1235)=4,VALUE(RIGHT($A1235,2))&lt;=60),SUMIF($A1236:$A$2965,$A1235&amp;"????",$D1236:$D$2965),VLOOKUP(IF(LEN($A1235)=4,$A1235&amp;"01 1",$A1235),GUS_tabl_21!$A$5:$F$4886,6,FALSE))))</f>
        <v>2647</v>
      </c>
      <c r="E1235" s="29"/>
    </row>
    <row r="1236" spans="1:5" ht="12" customHeight="1">
      <c r="A1236" s="155" t="str">
        <f>"141103 2"</f>
        <v>141103 2</v>
      </c>
      <c r="B1236" s="153" t="s">
        <v>45</v>
      </c>
      <c r="C1236" s="156" t="str">
        <f>IF(OR($A1236="",ISERROR(VALUE(LEFT($A1236,6)))),"",IF(LEN($A1236)=2,"WOJ. ",IF(LEN($A1236)=4,IF(VALUE(RIGHT($A1236,2))&gt;60,"","Powiat "),IF(VALUE(RIGHT($A1236,1))=1,"m. ",IF(VALUE(RIGHT($A1236,1))=2,"gm. w. ",IF(VALUE(RIGHT($A1236,1))=8,"dz. ","gm. m.-w. ")))))&amp;IF(LEN($A1236)=2,TRIM(UPPER(VLOOKUP($A1236,GUS_tabl_1!$A$7:$B$22,2,FALSE))),IF(ISERROR(FIND("..",TRIM(VLOOKUP(IF(AND(LEN($A1236)=4,VALUE(RIGHT($A1236,2))&gt;60),$A1236&amp;"01 1",$A1236),IF(AND(LEN($A1236)=4,VALUE(RIGHT($A1236,2))&lt;60),GUS_tabl_2!$A$8:$B$464,GUS_tabl_21!$A$5:$B$4886),2,FALSE)))),TRIM(VLOOKUP(IF(AND(LEN($A1236)=4,VALUE(RIGHT($A1236,2))&gt;60),$A1236&amp;"01 1",$A1236),IF(AND(LEN($A1236)=4,VALUE(RIGHT($A1236,2))&lt;60),GUS_tabl_2!$A$8:$B$464,GUS_tabl_21!$A$5:$B$4886),2,FALSE)),LEFT(TRIM(VLOOKUP(IF(AND(LEN($A1236)=4,VALUE(RIGHT($A1236,2))&gt;60),$A1236&amp;"01 1",$A1236),IF(AND(LEN($A1236)=4,VALUE(RIGHT($A1236,2))&lt;60),GUS_tabl_2!$A$8:$B$464,GUS_tabl_21!$A$5:$B$4886),2,FALSE)),SUM(FIND("..",TRIM(VLOOKUP(IF(AND(LEN($A1236)=4,VALUE(RIGHT($A1236,2))&gt;60),$A1236&amp;"01 1",$A1236),IF(AND(LEN($A1236)=4,VALUE(RIGHT($A1236,2))&lt;60),GUS_tabl_2!$A$8:$B$464,GUS_tabl_21!$A$5:$B$4886),2,FALSE))),-1)))))</f>
        <v>gm. w. Karniewo</v>
      </c>
      <c r="D1236" s="141">
        <f>IF(OR($A1236="",ISERROR(VALUE(LEFT($A1236,6)))),"",IF(LEN($A1236)=2,SUMIF($A1237:$A$2965,$A1236&amp;"??",$D1237:$D$2965),IF(AND(LEN($A1236)=4,VALUE(RIGHT($A1236,2))&lt;=60),SUMIF($A1237:$A$2965,$A1236&amp;"????",$D1237:$D$2965),VLOOKUP(IF(LEN($A1236)=4,$A1236&amp;"01 1",$A1236),GUS_tabl_21!$A$5:$F$4886,6,FALSE))))</f>
        <v>5176</v>
      </c>
      <c r="E1236" s="29"/>
    </row>
    <row r="1237" spans="1:5" ht="12" customHeight="1">
      <c r="A1237" s="155" t="str">
        <f>"141104 2"</f>
        <v>141104 2</v>
      </c>
      <c r="B1237" s="153" t="s">
        <v>45</v>
      </c>
      <c r="C1237" s="156" t="str">
        <f>IF(OR($A1237="",ISERROR(VALUE(LEFT($A1237,6)))),"",IF(LEN($A1237)=2,"WOJ. ",IF(LEN($A1237)=4,IF(VALUE(RIGHT($A1237,2))&gt;60,"","Powiat "),IF(VALUE(RIGHT($A1237,1))=1,"m. ",IF(VALUE(RIGHT($A1237,1))=2,"gm. w. ",IF(VALUE(RIGHT($A1237,1))=8,"dz. ","gm. m.-w. ")))))&amp;IF(LEN($A1237)=2,TRIM(UPPER(VLOOKUP($A1237,GUS_tabl_1!$A$7:$B$22,2,FALSE))),IF(ISERROR(FIND("..",TRIM(VLOOKUP(IF(AND(LEN($A1237)=4,VALUE(RIGHT($A1237,2))&gt;60),$A1237&amp;"01 1",$A1237),IF(AND(LEN($A1237)=4,VALUE(RIGHT($A1237,2))&lt;60),GUS_tabl_2!$A$8:$B$464,GUS_tabl_21!$A$5:$B$4886),2,FALSE)))),TRIM(VLOOKUP(IF(AND(LEN($A1237)=4,VALUE(RIGHT($A1237,2))&gt;60),$A1237&amp;"01 1",$A1237),IF(AND(LEN($A1237)=4,VALUE(RIGHT($A1237,2))&lt;60),GUS_tabl_2!$A$8:$B$464,GUS_tabl_21!$A$5:$B$4886),2,FALSE)),LEFT(TRIM(VLOOKUP(IF(AND(LEN($A1237)=4,VALUE(RIGHT($A1237,2))&gt;60),$A1237&amp;"01 1",$A1237),IF(AND(LEN($A1237)=4,VALUE(RIGHT($A1237,2))&lt;60),GUS_tabl_2!$A$8:$B$464,GUS_tabl_21!$A$5:$B$4886),2,FALSE)),SUM(FIND("..",TRIM(VLOOKUP(IF(AND(LEN($A1237)=4,VALUE(RIGHT($A1237,2))&gt;60),$A1237&amp;"01 1",$A1237),IF(AND(LEN($A1237)=4,VALUE(RIGHT($A1237,2))&lt;60),GUS_tabl_2!$A$8:$B$464,GUS_tabl_21!$A$5:$B$4886),2,FALSE))),-1)))))</f>
        <v>gm. w. Krasnosielc</v>
      </c>
      <c r="D1237" s="141">
        <f>IF(OR($A1237="",ISERROR(VALUE(LEFT($A1237,6)))),"",IF(LEN($A1237)=2,SUMIF($A1238:$A$2965,$A1237&amp;"??",$D1238:$D$2965),IF(AND(LEN($A1237)=4,VALUE(RIGHT($A1237,2))&lt;=60),SUMIF($A1238:$A$2965,$A1237&amp;"????",$D1238:$D$2965),VLOOKUP(IF(LEN($A1237)=4,$A1237&amp;"01 1",$A1237),GUS_tabl_21!$A$5:$F$4886,6,FALSE))))</f>
        <v>6352</v>
      </c>
      <c r="E1237" s="29"/>
    </row>
    <row r="1238" spans="1:5" ht="12" customHeight="1">
      <c r="A1238" s="155" t="str">
        <f>"141105 2"</f>
        <v>141105 2</v>
      </c>
      <c r="B1238" s="153" t="s">
        <v>45</v>
      </c>
      <c r="C1238" s="156" t="str">
        <f>IF(OR($A1238="",ISERROR(VALUE(LEFT($A1238,6)))),"",IF(LEN($A1238)=2,"WOJ. ",IF(LEN($A1238)=4,IF(VALUE(RIGHT($A1238,2))&gt;60,"","Powiat "),IF(VALUE(RIGHT($A1238,1))=1,"m. ",IF(VALUE(RIGHT($A1238,1))=2,"gm. w. ",IF(VALUE(RIGHT($A1238,1))=8,"dz. ","gm. m.-w. ")))))&amp;IF(LEN($A1238)=2,TRIM(UPPER(VLOOKUP($A1238,GUS_tabl_1!$A$7:$B$22,2,FALSE))),IF(ISERROR(FIND("..",TRIM(VLOOKUP(IF(AND(LEN($A1238)=4,VALUE(RIGHT($A1238,2))&gt;60),$A1238&amp;"01 1",$A1238),IF(AND(LEN($A1238)=4,VALUE(RIGHT($A1238,2))&lt;60),GUS_tabl_2!$A$8:$B$464,GUS_tabl_21!$A$5:$B$4886),2,FALSE)))),TRIM(VLOOKUP(IF(AND(LEN($A1238)=4,VALUE(RIGHT($A1238,2))&gt;60),$A1238&amp;"01 1",$A1238),IF(AND(LEN($A1238)=4,VALUE(RIGHT($A1238,2))&lt;60),GUS_tabl_2!$A$8:$B$464,GUS_tabl_21!$A$5:$B$4886),2,FALSE)),LEFT(TRIM(VLOOKUP(IF(AND(LEN($A1238)=4,VALUE(RIGHT($A1238,2))&gt;60),$A1238&amp;"01 1",$A1238),IF(AND(LEN($A1238)=4,VALUE(RIGHT($A1238,2))&lt;60),GUS_tabl_2!$A$8:$B$464,GUS_tabl_21!$A$5:$B$4886),2,FALSE)),SUM(FIND("..",TRIM(VLOOKUP(IF(AND(LEN($A1238)=4,VALUE(RIGHT($A1238,2))&gt;60),$A1238&amp;"01 1",$A1238),IF(AND(LEN($A1238)=4,VALUE(RIGHT($A1238,2))&lt;60),GUS_tabl_2!$A$8:$B$464,GUS_tabl_21!$A$5:$B$4886),2,FALSE))),-1)))))</f>
        <v>gm. w. Młynarze</v>
      </c>
      <c r="D1238" s="141">
        <f>IF(OR($A1238="",ISERROR(VALUE(LEFT($A1238,6)))),"",IF(LEN($A1238)=2,SUMIF($A1239:$A$2965,$A1238&amp;"??",$D1239:$D$2965),IF(AND(LEN($A1238)=4,VALUE(RIGHT($A1238,2))&lt;=60),SUMIF($A1239:$A$2965,$A1238&amp;"????",$D1239:$D$2965),VLOOKUP(IF(LEN($A1238)=4,$A1238&amp;"01 1",$A1238),GUS_tabl_21!$A$5:$F$4886,6,FALSE))))</f>
        <v>1742</v>
      </c>
      <c r="E1238" s="29"/>
    </row>
    <row r="1239" spans="1:5" ht="12" customHeight="1">
      <c r="A1239" s="155" t="str">
        <f>"141106 2"</f>
        <v>141106 2</v>
      </c>
      <c r="B1239" s="153" t="s">
        <v>45</v>
      </c>
      <c r="C1239" s="156" t="str">
        <f>IF(OR($A1239="",ISERROR(VALUE(LEFT($A1239,6)))),"",IF(LEN($A1239)=2,"WOJ. ",IF(LEN($A1239)=4,IF(VALUE(RIGHT($A1239,2))&gt;60,"","Powiat "),IF(VALUE(RIGHT($A1239,1))=1,"m. ",IF(VALUE(RIGHT($A1239,1))=2,"gm. w. ",IF(VALUE(RIGHT($A1239,1))=8,"dz. ","gm. m.-w. ")))))&amp;IF(LEN($A1239)=2,TRIM(UPPER(VLOOKUP($A1239,GUS_tabl_1!$A$7:$B$22,2,FALSE))),IF(ISERROR(FIND("..",TRIM(VLOOKUP(IF(AND(LEN($A1239)=4,VALUE(RIGHT($A1239,2))&gt;60),$A1239&amp;"01 1",$A1239),IF(AND(LEN($A1239)=4,VALUE(RIGHT($A1239,2))&lt;60),GUS_tabl_2!$A$8:$B$464,GUS_tabl_21!$A$5:$B$4886),2,FALSE)))),TRIM(VLOOKUP(IF(AND(LEN($A1239)=4,VALUE(RIGHT($A1239,2))&gt;60),$A1239&amp;"01 1",$A1239),IF(AND(LEN($A1239)=4,VALUE(RIGHT($A1239,2))&lt;60),GUS_tabl_2!$A$8:$B$464,GUS_tabl_21!$A$5:$B$4886),2,FALSE)),LEFT(TRIM(VLOOKUP(IF(AND(LEN($A1239)=4,VALUE(RIGHT($A1239,2))&gt;60),$A1239&amp;"01 1",$A1239),IF(AND(LEN($A1239)=4,VALUE(RIGHT($A1239,2))&lt;60),GUS_tabl_2!$A$8:$B$464,GUS_tabl_21!$A$5:$B$4886),2,FALSE)),SUM(FIND("..",TRIM(VLOOKUP(IF(AND(LEN($A1239)=4,VALUE(RIGHT($A1239,2))&gt;60),$A1239&amp;"01 1",$A1239),IF(AND(LEN($A1239)=4,VALUE(RIGHT($A1239,2))&lt;60),GUS_tabl_2!$A$8:$B$464,GUS_tabl_21!$A$5:$B$4886),2,FALSE))),-1)))))</f>
        <v>gm. w. Płoniawy-Bramura</v>
      </c>
      <c r="D1239" s="141">
        <f>IF(OR($A1239="",ISERROR(VALUE(LEFT($A1239,6)))),"",IF(LEN($A1239)=2,SUMIF($A1240:$A$2965,$A1239&amp;"??",$D1240:$D$2965),IF(AND(LEN($A1239)=4,VALUE(RIGHT($A1239,2))&lt;=60),SUMIF($A1240:$A$2965,$A1239&amp;"????",$D1240:$D$2965),VLOOKUP(IF(LEN($A1239)=4,$A1239&amp;"01 1",$A1239),GUS_tabl_21!$A$5:$F$4886,6,FALSE))))</f>
        <v>5336</v>
      </c>
      <c r="E1239" s="29"/>
    </row>
    <row r="1240" spans="1:5" ht="12" customHeight="1">
      <c r="A1240" s="155" t="str">
        <f>"141107 3"</f>
        <v>141107 3</v>
      </c>
      <c r="B1240" s="153" t="s">
        <v>45</v>
      </c>
      <c r="C1240" s="156" t="str">
        <f>IF(OR($A1240="",ISERROR(VALUE(LEFT($A1240,6)))),"",IF(LEN($A1240)=2,"WOJ. ",IF(LEN($A1240)=4,IF(VALUE(RIGHT($A1240,2))&gt;60,"","Powiat "),IF(VALUE(RIGHT($A1240,1))=1,"m. ",IF(VALUE(RIGHT($A1240,1))=2,"gm. w. ",IF(VALUE(RIGHT($A1240,1))=8,"dz. ","gm. m.-w. ")))))&amp;IF(LEN($A1240)=2,TRIM(UPPER(VLOOKUP($A1240,GUS_tabl_1!$A$7:$B$22,2,FALSE))),IF(ISERROR(FIND("..",TRIM(VLOOKUP(IF(AND(LEN($A1240)=4,VALUE(RIGHT($A1240,2))&gt;60),$A1240&amp;"01 1",$A1240),IF(AND(LEN($A1240)=4,VALUE(RIGHT($A1240,2))&lt;60),GUS_tabl_2!$A$8:$B$464,GUS_tabl_21!$A$5:$B$4886),2,FALSE)))),TRIM(VLOOKUP(IF(AND(LEN($A1240)=4,VALUE(RIGHT($A1240,2))&gt;60),$A1240&amp;"01 1",$A1240),IF(AND(LEN($A1240)=4,VALUE(RIGHT($A1240,2))&lt;60),GUS_tabl_2!$A$8:$B$464,GUS_tabl_21!$A$5:$B$4886),2,FALSE)),LEFT(TRIM(VLOOKUP(IF(AND(LEN($A1240)=4,VALUE(RIGHT($A1240,2))&gt;60),$A1240&amp;"01 1",$A1240),IF(AND(LEN($A1240)=4,VALUE(RIGHT($A1240,2))&lt;60),GUS_tabl_2!$A$8:$B$464,GUS_tabl_21!$A$5:$B$4886),2,FALSE)),SUM(FIND("..",TRIM(VLOOKUP(IF(AND(LEN($A1240)=4,VALUE(RIGHT($A1240,2))&gt;60),$A1240&amp;"01 1",$A1240),IF(AND(LEN($A1240)=4,VALUE(RIGHT($A1240,2))&lt;60),GUS_tabl_2!$A$8:$B$464,GUS_tabl_21!$A$5:$B$4886),2,FALSE))),-1)))))</f>
        <v>gm. m.-w. Różan</v>
      </c>
      <c r="D1240" s="141">
        <f>IF(OR($A1240="",ISERROR(VALUE(LEFT($A1240,6)))),"",IF(LEN($A1240)=2,SUMIF($A1241:$A$2965,$A1240&amp;"??",$D1241:$D$2965),IF(AND(LEN($A1240)=4,VALUE(RIGHT($A1240,2))&lt;=60),SUMIF($A1241:$A$2965,$A1240&amp;"????",$D1241:$D$2965),VLOOKUP(IF(LEN($A1240)=4,$A1240&amp;"01 1",$A1240),GUS_tabl_21!$A$5:$F$4886,6,FALSE))))</f>
        <v>4418</v>
      </c>
      <c r="E1240" s="29"/>
    </row>
    <row r="1241" spans="1:5" ht="12" customHeight="1">
      <c r="A1241" s="155" t="str">
        <f>"141108 2"</f>
        <v>141108 2</v>
      </c>
      <c r="B1241" s="153" t="s">
        <v>45</v>
      </c>
      <c r="C1241" s="156" t="str">
        <f>IF(OR($A1241="",ISERROR(VALUE(LEFT($A1241,6)))),"",IF(LEN($A1241)=2,"WOJ. ",IF(LEN($A1241)=4,IF(VALUE(RIGHT($A1241,2))&gt;60,"","Powiat "),IF(VALUE(RIGHT($A1241,1))=1,"m. ",IF(VALUE(RIGHT($A1241,1))=2,"gm. w. ",IF(VALUE(RIGHT($A1241,1))=8,"dz. ","gm. m.-w. ")))))&amp;IF(LEN($A1241)=2,TRIM(UPPER(VLOOKUP($A1241,GUS_tabl_1!$A$7:$B$22,2,FALSE))),IF(ISERROR(FIND("..",TRIM(VLOOKUP(IF(AND(LEN($A1241)=4,VALUE(RIGHT($A1241,2))&gt;60),$A1241&amp;"01 1",$A1241),IF(AND(LEN($A1241)=4,VALUE(RIGHT($A1241,2))&lt;60),GUS_tabl_2!$A$8:$B$464,GUS_tabl_21!$A$5:$B$4886),2,FALSE)))),TRIM(VLOOKUP(IF(AND(LEN($A1241)=4,VALUE(RIGHT($A1241,2))&gt;60),$A1241&amp;"01 1",$A1241),IF(AND(LEN($A1241)=4,VALUE(RIGHT($A1241,2))&lt;60),GUS_tabl_2!$A$8:$B$464,GUS_tabl_21!$A$5:$B$4886),2,FALSE)),LEFT(TRIM(VLOOKUP(IF(AND(LEN($A1241)=4,VALUE(RIGHT($A1241,2))&gt;60),$A1241&amp;"01 1",$A1241),IF(AND(LEN($A1241)=4,VALUE(RIGHT($A1241,2))&lt;60),GUS_tabl_2!$A$8:$B$464,GUS_tabl_21!$A$5:$B$4886),2,FALSE)),SUM(FIND("..",TRIM(VLOOKUP(IF(AND(LEN($A1241)=4,VALUE(RIGHT($A1241,2))&gt;60),$A1241&amp;"01 1",$A1241),IF(AND(LEN($A1241)=4,VALUE(RIGHT($A1241,2))&lt;60),GUS_tabl_2!$A$8:$B$464,GUS_tabl_21!$A$5:$B$4886),2,FALSE))),-1)))))</f>
        <v>gm. w. Rzewnie</v>
      </c>
      <c r="D1241" s="141">
        <f>IF(OR($A1241="",ISERROR(VALUE(LEFT($A1241,6)))),"",IF(LEN($A1241)=2,SUMIF($A1242:$A$2965,$A1241&amp;"??",$D1242:$D$2965),IF(AND(LEN($A1241)=4,VALUE(RIGHT($A1241,2))&lt;=60),SUMIF($A1242:$A$2965,$A1241&amp;"????",$D1242:$D$2965),VLOOKUP(IF(LEN($A1241)=4,$A1241&amp;"01 1",$A1241),GUS_tabl_21!$A$5:$F$4886,6,FALSE))))</f>
        <v>2638</v>
      </c>
      <c r="E1241" s="29"/>
    </row>
    <row r="1242" spans="1:5" ht="12" customHeight="1">
      <c r="A1242" s="155" t="str">
        <f>"141109 2"</f>
        <v>141109 2</v>
      </c>
      <c r="B1242" s="153" t="s">
        <v>45</v>
      </c>
      <c r="C1242" s="156" t="str">
        <f>IF(OR($A1242="",ISERROR(VALUE(LEFT($A1242,6)))),"",IF(LEN($A1242)=2,"WOJ. ",IF(LEN($A1242)=4,IF(VALUE(RIGHT($A1242,2))&gt;60,"","Powiat "),IF(VALUE(RIGHT($A1242,1))=1,"m. ",IF(VALUE(RIGHT($A1242,1))=2,"gm. w. ",IF(VALUE(RIGHT($A1242,1))=8,"dz. ","gm. m.-w. ")))))&amp;IF(LEN($A1242)=2,TRIM(UPPER(VLOOKUP($A1242,GUS_tabl_1!$A$7:$B$22,2,FALSE))),IF(ISERROR(FIND("..",TRIM(VLOOKUP(IF(AND(LEN($A1242)=4,VALUE(RIGHT($A1242,2))&gt;60),$A1242&amp;"01 1",$A1242),IF(AND(LEN($A1242)=4,VALUE(RIGHT($A1242,2))&lt;60),GUS_tabl_2!$A$8:$B$464,GUS_tabl_21!$A$5:$B$4886),2,FALSE)))),TRIM(VLOOKUP(IF(AND(LEN($A1242)=4,VALUE(RIGHT($A1242,2))&gt;60),$A1242&amp;"01 1",$A1242),IF(AND(LEN($A1242)=4,VALUE(RIGHT($A1242,2))&lt;60),GUS_tabl_2!$A$8:$B$464,GUS_tabl_21!$A$5:$B$4886),2,FALSE)),LEFT(TRIM(VLOOKUP(IF(AND(LEN($A1242)=4,VALUE(RIGHT($A1242,2))&gt;60),$A1242&amp;"01 1",$A1242),IF(AND(LEN($A1242)=4,VALUE(RIGHT($A1242,2))&lt;60),GUS_tabl_2!$A$8:$B$464,GUS_tabl_21!$A$5:$B$4886),2,FALSE)),SUM(FIND("..",TRIM(VLOOKUP(IF(AND(LEN($A1242)=4,VALUE(RIGHT($A1242,2))&gt;60),$A1242&amp;"01 1",$A1242),IF(AND(LEN($A1242)=4,VALUE(RIGHT($A1242,2))&lt;60),GUS_tabl_2!$A$8:$B$464,GUS_tabl_21!$A$5:$B$4886),2,FALSE))),-1)))))</f>
        <v>gm. w. Sypniewo</v>
      </c>
      <c r="D1242" s="141">
        <f>IF(OR($A1242="",ISERROR(VALUE(LEFT($A1242,6)))),"",IF(LEN($A1242)=2,SUMIF($A1243:$A$2965,$A1242&amp;"??",$D1243:$D$2965),IF(AND(LEN($A1242)=4,VALUE(RIGHT($A1242,2))&lt;=60),SUMIF($A1243:$A$2965,$A1242&amp;"????",$D1243:$D$2965),VLOOKUP(IF(LEN($A1242)=4,$A1242&amp;"01 1",$A1242),GUS_tabl_21!$A$5:$F$4886,6,FALSE))))</f>
        <v>3248</v>
      </c>
      <c r="E1242" s="29"/>
    </row>
    <row r="1243" spans="1:5" ht="12" customHeight="1">
      <c r="A1243" s="155" t="str">
        <f>"141110 2"</f>
        <v>141110 2</v>
      </c>
      <c r="B1243" s="153" t="s">
        <v>45</v>
      </c>
      <c r="C1243" s="156" t="str">
        <f>IF(OR($A1243="",ISERROR(VALUE(LEFT($A1243,6)))),"",IF(LEN($A1243)=2,"WOJ. ",IF(LEN($A1243)=4,IF(VALUE(RIGHT($A1243,2))&gt;60,"","Powiat "),IF(VALUE(RIGHT($A1243,1))=1,"m. ",IF(VALUE(RIGHT($A1243,1))=2,"gm. w. ",IF(VALUE(RIGHT($A1243,1))=8,"dz. ","gm. m.-w. ")))))&amp;IF(LEN($A1243)=2,TRIM(UPPER(VLOOKUP($A1243,GUS_tabl_1!$A$7:$B$22,2,FALSE))),IF(ISERROR(FIND("..",TRIM(VLOOKUP(IF(AND(LEN($A1243)=4,VALUE(RIGHT($A1243,2))&gt;60),$A1243&amp;"01 1",$A1243),IF(AND(LEN($A1243)=4,VALUE(RIGHT($A1243,2))&lt;60),GUS_tabl_2!$A$8:$B$464,GUS_tabl_21!$A$5:$B$4886),2,FALSE)))),TRIM(VLOOKUP(IF(AND(LEN($A1243)=4,VALUE(RIGHT($A1243,2))&gt;60),$A1243&amp;"01 1",$A1243),IF(AND(LEN($A1243)=4,VALUE(RIGHT($A1243,2))&lt;60),GUS_tabl_2!$A$8:$B$464,GUS_tabl_21!$A$5:$B$4886),2,FALSE)),LEFT(TRIM(VLOOKUP(IF(AND(LEN($A1243)=4,VALUE(RIGHT($A1243,2))&gt;60),$A1243&amp;"01 1",$A1243),IF(AND(LEN($A1243)=4,VALUE(RIGHT($A1243,2))&lt;60),GUS_tabl_2!$A$8:$B$464,GUS_tabl_21!$A$5:$B$4886),2,FALSE)),SUM(FIND("..",TRIM(VLOOKUP(IF(AND(LEN($A1243)=4,VALUE(RIGHT($A1243,2))&gt;60),$A1243&amp;"01 1",$A1243),IF(AND(LEN($A1243)=4,VALUE(RIGHT($A1243,2))&lt;60),GUS_tabl_2!$A$8:$B$464,GUS_tabl_21!$A$5:$B$4886),2,FALSE))),-1)))))</f>
        <v>gm. w. Szelków</v>
      </c>
      <c r="D1243" s="141">
        <f>IF(OR($A1243="",ISERROR(VALUE(LEFT($A1243,6)))),"",IF(LEN($A1243)=2,SUMIF($A1244:$A$2965,$A1243&amp;"??",$D1244:$D$2965),IF(AND(LEN($A1243)=4,VALUE(RIGHT($A1243,2))&lt;=60),SUMIF($A1244:$A$2965,$A1243&amp;"????",$D1244:$D$2965),VLOOKUP(IF(LEN($A1243)=4,$A1243&amp;"01 1",$A1243),GUS_tabl_21!$A$5:$F$4886,6,FALSE))))</f>
        <v>3624</v>
      </c>
      <c r="E1243" s="29"/>
    </row>
    <row r="1244" spans="1:5" ht="12" customHeight="1">
      <c r="A1244" s="152" t="str">
        <f>"1412"</f>
        <v>1412</v>
      </c>
      <c r="B1244" s="153" t="s">
        <v>45</v>
      </c>
      <c r="C1244" s="154" t="str">
        <f>IF(OR($A1244="",ISERROR(VALUE(LEFT($A1244,6)))),"",IF(LEN($A1244)=2,"WOJ. ",IF(LEN($A1244)=4,IF(VALUE(RIGHT($A1244,2))&gt;60,"","Powiat "),IF(VALUE(RIGHT($A1244,1))=1,"m. ",IF(VALUE(RIGHT($A1244,1))=2,"gm. w. ",IF(VALUE(RIGHT($A1244,1))=8,"dz. ","gm. m.-w. ")))))&amp;IF(LEN($A1244)=2,TRIM(UPPER(VLOOKUP($A1244,GUS_tabl_1!$A$7:$B$22,2,FALSE))),IF(ISERROR(FIND("..",TRIM(VLOOKUP(IF(AND(LEN($A1244)=4,VALUE(RIGHT($A1244,2))&gt;60),$A1244&amp;"01 1",$A1244),IF(AND(LEN($A1244)=4,VALUE(RIGHT($A1244,2))&lt;60),GUS_tabl_2!$A$8:$B$464,GUS_tabl_21!$A$5:$B$4886),2,FALSE)))),TRIM(VLOOKUP(IF(AND(LEN($A1244)=4,VALUE(RIGHT($A1244,2))&gt;60),$A1244&amp;"01 1",$A1244),IF(AND(LEN($A1244)=4,VALUE(RIGHT($A1244,2))&lt;60),GUS_tabl_2!$A$8:$B$464,GUS_tabl_21!$A$5:$B$4886),2,FALSE)),LEFT(TRIM(VLOOKUP(IF(AND(LEN($A1244)=4,VALUE(RIGHT($A1244,2))&gt;60),$A1244&amp;"01 1",$A1244),IF(AND(LEN($A1244)=4,VALUE(RIGHT($A1244,2))&lt;60),GUS_tabl_2!$A$8:$B$464,GUS_tabl_21!$A$5:$B$4886),2,FALSE)),SUM(FIND("..",TRIM(VLOOKUP(IF(AND(LEN($A1244)=4,VALUE(RIGHT($A1244,2))&gt;60),$A1244&amp;"01 1",$A1244),IF(AND(LEN($A1244)=4,VALUE(RIGHT($A1244,2))&lt;60),GUS_tabl_2!$A$8:$B$464,GUS_tabl_21!$A$5:$B$4886),2,FALSE))),-1)))))</f>
        <v>Powiat miński</v>
      </c>
      <c r="D1244" s="140">
        <f>IF(OR($A1244="",ISERROR(VALUE(LEFT($A1244,6)))),"",IF(LEN($A1244)=2,SUMIF($A1245:$A$2965,$A1244&amp;"??",$D1245:$D$2965),IF(AND(LEN($A1244)=4,VALUE(RIGHT($A1244,2))&lt;=60),SUMIF($A1245:$A$2965,$A1244&amp;"????",$D1245:$D$2965),VLOOKUP(IF(LEN($A1244)=4,$A1244&amp;"01 1",$A1244),GUS_tabl_21!$A$5:$F$4886,6,FALSE))))</f>
        <v>154526</v>
      </c>
      <c r="E1244" s="29"/>
    </row>
    <row r="1245" spans="1:5" ht="12" customHeight="1">
      <c r="A1245" s="155" t="str">
        <f>"141201 1"</f>
        <v>141201 1</v>
      </c>
      <c r="B1245" s="153" t="s">
        <v>45</v>
      </c>
      <c r="C1245" s="156" t="str">
        <f>IF(OR($A1245="",ISERROR(VALUE(LEFT($A1245,6)))),"",IF(LEN($A1245)=2,"WOJ. ",IF(LEN($A1245)=4,IF(VALUE(RIGHT($A1245,2))&gt;60,"","Powiat "),IF(VALUE(RIGHT($A1245,1))=1,"m. ",IF(VALUE(RIGHT($A1245,1))=2,"gm. w. ",IF(VALUE(RIGHT($A1245,1))=8,"dz. ","gm. m.-w. ")))))&amp;IF(LEN($A1245)=2,TRIM(UPPER(VLOOKUP($A1245,GUS_tabl_1!$A$7:$B$22,2,FALSE))),IF(ISERROR(FIND("..",TRIM(VLOOKUP(IF(AND(LEN($A1245)=4,VALUE(RIGHT($A1245,2))&gt;60),$A1245&amp;"01 1",$A1245),IF(AND(LEN($A1245)=4,VALUE(RIGHT($A1245,2))&lt;60),GUS_tabl_2!$A$8:$B$464,GUS_tabl_21!$A$5:$B$4886),2,FALSE)))),TRIM(VLOOKUP(IF(AND(LEN($A1245)=4,VALUE(RIGHT($A1245,2))&gt;60),$A1245&amp;"01 1",$A1245),IF(AND(LEN($A1245)=4,VALUE(RIGHT($A1245,2))&lt;60),GUS_tabl_2!$A$8:$B$464,GUS_tabl_21!$A$5:$B$4886),2,FALSE)),LEFT(TRIM(VLOOKUP(IF(AND(LEN($A1245)=4,VALUE(RIGHT($A1245,2))&gt;60),$A1245&amp;"01 1",$A1245),IF(AND(LEN($A1245)=4,VALUE(RIGHT($A1245,2))&lt;60),GUS_tabl_2!$A$8:$B$464,GUS_tabl_21!$A$5:$B$4886),2,FALSE)),SUM(FIND("..",TRIM(VLOOKUP(IF(AND(LEN($A1245)=4,VALUE(RIGHT($A1245,2))&gt;60),$A1245&amp;"01 1",$A1245),IF(AND(LEN($A1245)=4,VALUE(RIGHT($A1245,2))&lt;60),GUS_tabl_2!$A$8:$B$464,GUS_tabl_21!$A$5:$B$4886),2,FALSE))),-1)))))</f>
        <v>m. Mińsk Mazowiecki</v>
      </c>
      <c r="D1245" s="141">
        <f>IF(OR($A1245="",ISERROR(VALUE(LEFT($A1245,6)))),"",IF(LEN($A1245)=2,SUMIF($A1246:$A$2965,$A1245&amp;"??",$D1246:$D$2965),IF(AND(LEN($A1245)=4,VALUE(RIGHT($A1245,2))&lt;=60),SUMIF($A1246:$A$2965,$A1245&amp;"????",$D1246:$D$2965),VLOOKUP(IF(LEN($A1245)=4,$A1245&amp;"01 1",$A1245),GUS_tabl_21!$A$5:$F$4886,6,FALSE))))</f>
        <v>40999</v>
      </c>
      <c r="E1245" s="29"/>
    </row>
    <row r="1246" spans="1:5" ht="12" customHeight="1">
      <c r="A1246" s="155" t="str">
        <f>"141204 2"</f>
        <v>141204 2</v>
      </c>
      <c r="B1246" s="153" t="s">
        <v>45</v>
      </c>
      <c r="C1246" s="156" t="str">
        <f>IF(OR($A1246="",ISERROR(VALUE(LEFT($A1246,6)))),"",IF(LEN($A1246)=2,"WOJ. ",IF(LEN($A1246)=4,IF(VALUE(RIGHT($A1246,2))&gt;60,"","Powiat "),IF(VALUE(RIGHT($A1246,1))=1,"m. ",IF(VALUE(RIGHT($A1246,1))=2,"gm. w. ",IF(VALUE(RIGHT($A1246,1))=8,"dz. ","gm. m.-w. ")))))&amp;IF(LEN($A1246)=2,TRIM(UPPER(VLOOKUP($A1246,GUS_tabl_1!$A$7:$B$22,2,FALSE))),IF(ISERROR(FIND("..",TRIM(VLOOKUP(IF(AND(LEN($A1246)=4,VALUE(RIGHT($A1246,2))&gt;60),$A1246&amp;"01 1",$A1246),IF(AND(LEN($A1246)=4,VALUE(RIGHT($A1246,2))&lt;60),GUS_tabl_2!$A$8:$B$464,GUS_tabl_21!$A$5:$B$4886),2,FALSE)))),TRIM(VLOOKUP(IF(AND(LEN($A1246)=4,VALUE(RIGHT($A1246,2))&gt;60),$A1246&amp;"01 1",$A1246),IF(AND(LEN($A1246)=4,VALUE(RIGHT($A1246,2))&lt;60),GUS_tabl_2!$A$8:$B$464,GUS_tabl_21!$A$5:$B$4886),2,FALSE)),LEFT(TRIM(VLOOKUP(IF(AND(LEN($A1246)=4,VALUE(RIGHT($A1246,2))&gt;60),$A1246&amp;"01 1",$A1246),IF(AND(LEN($A1246)=4,VALUE(RIGHT($A1246,2))&lt;60),GUS_tabl_2!$A$8:$B$464,GUS_tabl_21!$A$5:$B$4886),2,FALSE)),SUM(FIND("..",TRIM(VLOOKUP(IF(AND(LEN($A1246)=4,VALUE(RIGHT($A1246,2))&gt;60),$A1246&amp;"01 1",$A1246),IF(AND(LEN($A1246)=4,VALUE(RIGHT($A1246,2))&lt;60),GUS_tabl_2!$A$8:$B$464,GUS_tabl_21!$A$5:$B$4886),2,FALSE))),-1)))))</f>
        <v>gm. w. Cegłów</v>
      </c>
      <c r="D1246" s="141">
        <f>IF(OR($A1246="",ISERROR(VALUE(LEFT($A1246,6)))),"",IF(LEN($A1246)=2,SUMIF($A1247:$A$2965,$A1246&amp;"??",$D1247:$D$2965),IF(AND(LEN($A1246)=4,VALUE(RIGHT($A1246,2))&lt;=60),SUMIF($A1247:$A$2965,$A1246&amp;"????",$D1247:$D$2965),VLOOKUP(IF(LEN($A1246)=4,$A1246&amp;"01 1",$A1246),GUS_tabl_21!$A$5:$F$4886,6,FALSE))))</f>
        <v>6087</v>
      </c>
      <c r="E1246" s="29"/>
    </row>
    <row r="1247" spans="1:5" ht="12" customHeight="1">
      <c r="A1247" s="155" t="str">
        <f>"141205 2"</f>
        <v>141205 2</v>
      </c>
      <c r="B1247" s="153" t="s">
        <v>45</v>
      </c>
      <c r="C1247" s="156" t="str">
        <f>IF(OR($A1247="",ISERROR(VALUE(LEFT($A1247,6)))),"",IF(LEN($A1247)=2,"WOJ. ",IF(LEN($A1247)=4,IF(VALUE(RIGHT($A1247,2))&gt;60,"","Powiat "),IF(VALUE(RIGHT($A1247,1))=1,"m. ",IF(VALUE(RIGHT($A1247,1))=2,"gm. w. ",IF(VALUE(RIGHT($A1247,1))=8,"dz. ","gm. m.-w. ")))))&amp;IF(LEN($A1247)=2,TRIM(UPPER(VLOOKUP($A1247,GUS_tabl_1!$A$7:$B$22,2,FALSE))),IF(ISERROR(FIND("..",TRIM(VLOOKUP(IF(AND(LEN($A1247)=4,VALUE(RIGHT($A1247,2))&gt;60),$A1247&amp;"01 1",$A1247),IF(AND(LEN($A1247)=4,VALUE(RIGHT($A1247,2))&lt;60),GUS_tabl_2!$A$8:$B$464,GUS_tabl_21!$A$5:$B$4886),2,FALSE)))),TRIM(VLOOKUP(IF(AND(LEN($A1247)=4,VALUE(RIGHT($A1247,2))&gt;60),$A1247&amp;"01 1",$A1247),IF(AND(LEN($A1247)=4,VALUE(RIGHT($A1247,2))&lt;60),GUS_tabl_2!$A$8:$B$464,GUS_tabl_21!$A$5:$B$4886),2,FALSE)),LEFT(TRIM(VLOOKUP(IF(AND(LEN($A1247)=4,VALUE(RIGHT($A1247,2))&gt;60),$A1247&amp;"01 1",$A1247),IF(AND(LEN($A1247)=4,VALUE(RIGHT($A1247,2))&lt;60),GUS_tabl_2!$A$8:$B$464,GUS_tabl_21!$A$5:$B$4886),2,FALSE)),SUM(FIND("..",TRIM(VLOOKUP(IF(AND(LEN($A1247)=4,VALUE(RIGHT($A1247,2))&gt;60),$A1247&amp;"01 1",$A1247),IF(AND(LEN($A1247)=4,VALUE(RIGHT($A1247,2))&lt;60),GUS_tabl_2!$A$8:$B$464,GUS_tabl_21!$A$5:$B$4886),2,FALSE))),-1)))))</f>
        <v>gm. w. Dębe Wielkie</v>
      </c>
      <c r="D1247" s="141">
        <f>IF(OR($A1247="",ISERROR(VALUE(LEFT($A1247,6)))),"",IF(LEN($A1247)=2,SUMIF($A1248:$A$2965,$A1247&amp;"??",$D1248:$D$2965),IF(AND(LEN($A1247)=4,VALUE(RIGHT($A1247,2))&lt;=60),SUMIF($A1248:$A$2965,$A1247&amp;"????",$D1248:$D$2965),VLOOKUP(IF(LEN($A1247)=4,$A1247&amp;"01 1",$A1247),GUS_tabl_21!$A$5:$F$4886,6,FALSE))))</f>
        <v>10518</v>
      </c>
      <c r="E1247" s="29"/>
    </row>
    <row r="1248" spans="1:5" ht="12" customHeight="1">
      <c r="A1248" s="155" t="str">
        <f>"141206 2"</f>
        <v>141206 2</v>
      </c>
      <c r="B1248" s="153" t="s">
        <v>45</v>
      </c>
      <c r="C1248" s="156" t="str">
        <f>IF(OR($A1248="",ISERROR(VALUE(LEFT($A1248,6)))),"",IF(LEN($A1248)=2,"WOJ. ",IF(LEN($A1248)=4,IF(VALUE(RIGHT($A1248,2))&gt;60,"","Powiat "),IF(VALUE(RIGHT($A1248,1))=1,"m. ",IF(VALUE(RIGHT($A1248,1))=2,"gm. w. ",IF(VALUE(RIGHT($A1248,1))=8,"dz. ","gm. m.-w. ")))))&amp;IF(LEN($A1248)=2,TRIM(UPPER(VLOOKUP($A1248,GUS_tabl_1!$A$7:$B$22,2,FALSE))),IF(ISERROR(FIND("..",TRIM(VLOOKUP(IF(AND(LEN($A1248)=4,VALUE(RIGHT($A1248,2))&gt;60),$A1248&amp;"01 1",$A1248),IF(AND(LEN($A1248)=4,VALUE(RIGHT($A1248,2))&lt;60),GUS_tabl_2!$A$8:$B$464,GUS_tabl_21!$A$5:$B$4886),2,FALSE)))),TRIM(VLOOKUP(IF(AND(LEN($A1248)=4,VALUE(RIGHT($A1248,2))&gt;60),$A1248&amp;"01 1",$A1248),IF(AND(LEN($A1248)=4,VALUE(RIGHT($A1248,2))&lt;60),GUS_tabl_2!$A$8:$B$464,GUS_tabl_21!$A$5:$B$4886),2,FALSE)),LEFT(TRIM(VLOOKUP(IF(AND(LEN($A1248)=4,VALUE(RIGHT($A1248,2))&gt;60),$A1248&amp;"01 1",$A1248),IF(AND(LEN($A1248)=4,VALUE(RIGHT($A1248,2))&lt;60),GUS_tabl_2!$A$8:$B$464,GUS_tabl_21!$A$5:$B$4886),2,FALSE)),SUM(FIND("..",TRIM(VLOOKUP(IF(AND(LEN($A1248)=4,VALUE(RIGHT($A1248,2))&gt;60),$A1248&amp;"01 1",$A1248),IF(AND(LEN($A1248)=4,VALUE(RIGHT($A1248,2))&lt;60),GUS_tabl_2!$A$8:$B$464,GUS_tabl_21!$A$5:$B$4886),2,FALSE))),-1)))))</f>
        <v>gm. w. Dobre</v>
      </c>
      <c r="D1248" s="141">
        <f>IF(OR($A1248="",ISERROR(VALUE(LEFT($A1248,6)))),"",IF(LEN($A1248)=2,SUMIF($A1249:$A$2965,$A1248&amp;"??",$D1249:$D$2965),IF(AND(LEN($A1248)=4,VALUE(RIGHT($A1248,2))&lt;=60),SUMIF($A1249:$A$2965,$A1248&amp;"????",$D1249:$D$2965),VLOOKUP(IF(LEN($A1248)=4,$A1248&amp;"01 1",$A1248),GUS_tabl_21!$A$5:$F$4886,6,FALSE))))</f>
        <v>5985</v>
      </c>
      <c r="E1248" s="29"/>
    </row>
    <row r="1249" spans="1:5" ht="12" customHeight="1">
      <c r="A1249" s="155" t="str">
        <f>"141207 3"</f>
        <v>141207 3</v>
      </c>
      <c r="B1249" s="153" t="s">
        <v>45</v>
      </c>
      <c r="C1249" s="156" t="str">
        <f>IF(OR($A1249="",ISERROR(VALUE(LEFT($A1249,6)))),"",IF(LEN($A1249)=2,"WOJ. ",IF(LEN($A1249)=4,IF(VALUE(RIGHT($A1249,2))&gt;60,"","Powiat "),IF(VALUE(RIGHT($A1249,1))=1,"m. ",IF(VALUE(RIGHT($A1249,1))=2,"gm. w. ",IF(VALUE(RIGHT($A1249,1))=8,"dz. ","gm. m.-w. ")))))&amp;IF(LEN($A1249)=2,TRIM(UPPER(VLOOKUP($A1249,GUS_tabl_1!$A$7:$B$22,2,FALSE))),IF(ISERROR(FIND("..",TRIM(VLOOKUP(IF(AND(LEN($A1249)=4,VALUE(RIGHT($A1249,2))&gt;60),$A1249&amp;"01 1",$A1249),IF(AND(LEN($A1249)=4,VALUE(RIGHT($A1249,2))&lt;60),GUS_tabl_2!$A$8:$B$464,GUS_tabl_21!$A$5:$B$4886),2,FALSE)))),TRIM(VLOOKUP(IF(AND(LEN($A1249)=4,VALUE(RIGHT($A1249,2))&gt;60),$A1249&amp;"01 1",$A1249),IF(AND(LEN($A1249)=4,VALUE(RIGHT($A1249,2))&lt;60),GUS_tabl_2!$A$8:$B$464,GUS_tabl_21!$A$5:$B$4886),2,FALSE)),LEFT(TRIM(VLOOKUP(IF(AND(LEN($A1249)=4,VALUE(RIGHT($A1249,2))&gt;60),$A1249&amp;"01 1",$A1249),IF(AND(LEN($A1249)=4,VALUE(RIGHT($A1249,2))&lt;60),GUS_tabl_2!$A$8:$B$464,GUS_tabl_21!$A$5:$B$4886),2,FALSE)),SUM(FIND("..",TRIM(VLOOKUP(IF(AND(LEN($A1249)=4,VALUE(RIGHT($A1249,2))&gt;60),$A1249&amp;"01 1",$A1249),IF(AND(LEN($A1249)=4,VALUE(RIGHT($A1249,2))&lt;60),GUS_tabl_2!$A$8:$B$464,GUS_tabl_21!$A$5:$B$4886),2,FALSE))),-1)))))</f>
        <v>gm. m.-w. Halinów</v>
      </c>
      <c r="D1249" s="141">
        <f>IF(OR($A1249="",ISERROR(VALUE(LEFT($A1249,6)))),"",IF(LEN($A1249)=2,SUMIF($A1250:$A$2965,$A1249&amp;"??",$D1250:$D$2965),IF(AND(LEN($A1249)=4,VALUE(RIGHT($A1249,2))&lt;=60),SUMIF($A1250:$A$2965,$A1249&amp;"????",$D1250:$D$2965),VLOOKUP(IF(LEN($A1249)=4,$A1249&amp;"01 1",$A1249),GUS_tabl_21!$A$5:$F$4886,6,FALSE))))</f>
        <v>16336</v>
      </c>
      <c r="E1249" s="29"/>
    </row>
    <row r="1250" spans="1:5" ht="12" customHeight="1">
      <c r="A1250" s="155" t="str">
        <f>"141208 2"</f>
        <v>141208 2</v>
      </c>
      <c r="B1250" s="153" t="s">
        <v>45</v>
      </c>
      <c r="C1250" s="156" t="str">
        <f>IF(OR($A1250="",ISERROR(VALUE(LEFT($A1250,6)))),"",IF(LEN($A1250)=2,"WOJ. ",IF(LEN($A1250)=4,IF(VALUE(RIGHT($A1250,2))&gt;60,"","Powiat "),IF(VALUE(RIGHT($A1250,1))=1,"m. ",IF(VALUE(RIGHT($A1250,1))=2,"gm. w. ",IF(VALUE(RIGHT($A1250,1))=8,"dz. ","gm. m.-w. ")))))&amp;IF(LEN($A1250)=2,TRIM(UPPER(VLOOKUP($A1250,GUS_tabl_1!$A$7:$B$22,2,FALSE))),IF(ISERROR(FIND("..",TRIM(VLOOKUP(IF(AND(LEN($A1250)=4,VALUE(RIGHT($A1250,2))&gt;60),$A1250&amp;"01 1",$A1250),IF(AND(LEN($A1250)=4,VALUE(RIGHT($A1250,2))&lt;60),GUS_tabl_2!$A$8:$B$464,GUS_tabl_21!$A$5:$B$4886),2,FALSE)))),TRIM(VLOOKUP(IF(AND(LEN($A1250)=4,VALUE(RIGHT($A1250,2))&gt;60),$A1250&amp;"01 1",$A1250),IF(AND(LEN($A1250)=4,VALUE(RIGHT($A1250,2))&lt;60),GUS_tabl_2!$A$8:$B$464,GUS_tabl_21!$A$5:$B$4886),2,FALSE)),LEFT(TRIM(VLOOKUP(IF(AND(LEN($A1250)=4,VALUE(RIGHT($A1250,2))&gt;60),$A1250&amp;"01 1",$A1250),IF(AND(LEN($A1250)=4,VALUE(RIGHT($A1250,2))&lt;60),GUS_tabl_2!$A$8:$B$464,GUS_tabl_21!$A$5:$B$4886),2,FALSE)),SUM(FIND("..",TRIM(VLOOKUP(IF(AND(LEN($A1250)=4,VALUE(RIGHT($A1250,2))&gt;60),$A1250&amp;"01 1",$A1250),IF(AND(LEN($A1250)=4,VALUE(RIGHT($A1250,2))&lt;60),GUS_tabl_2!$A$8:$B$464,GUS_tabl_21!$A$5:$B$4886),2,FALSE))),-1)))))</f>
        <v>gm. w. Jakubów</v>
      </c>
      <c r="D1250" s="141">
        <f>IF(OR($A1250="",ISERROR(VALUE(LEFT($A1250,6)))),"",IF(LEN($A1250)=2,SUMIF($A1251:$A$2965,$A1250&amp;"??",$D1251:$D$2965),IF(AND(LEN($A1250)=4,VALUE(RIGHT($A1250,2))&lt;=60),SUMIF($A1251:$A$2965,$A1250&amp;"????",$D1251:$D$2965),VLOOKUP(IF(LEN($A1250)=4,$A1250&amp;"01 1",$A1250),GUS_tabl_21!$A$5:$F$4886,6,FALSE))))</f>
        <v>5101</v>
      </c>
      <c r="E1250" s="29"/>
    </row>
    <row r="1251" spans="1:5" ht="12" customHeight="1">
      <c r="A1251" s="155" t="str">
        <f>"141209 3"</f>
        <v>141209 3</v>
      </c>
      <c r="B1251" s="153" t="s">
        <v>45</v>
      </c>
      <c r="C1251" s="156" t="str">
        <f>IF(OR($A1251="",ISERROR(VALUE(LEFT($A1251,6)))),"",IF(LEN($A1251)=2,"WOJ. ",IF(LEN($A1251)=4,IF(VALUE(RIGHT($A1251,2))&gt;60,"","Powiat "),IF(VALUE(RIGHT($A1251,1))=1,"m. ",IF(VALUE(RIGHT($A1251,1))=2,"gm. w. ",IF(VALUE(RIGHT($A1251,1))=8,"dz. ","gm. m.-w. ")))))&amp;IF(LEN($A1251)=2,TRIM(UPPER(VLOOKUP($A1251,GUS_tabl_1!$A$7:$B$22,2,FALSE))),IF(ISERROR(FIND("..",TRIM(VLOOKUP(IF(AND(LEN($A1251)=4,VALUE(RIGHT($A1251,2))&gt;60),$A1251&amp;"01 1",$A1251),IF(AND(LEN($A1251)=4,VALUE(RIGHT($A1251,2))&lt;60),GUS_tabl_2!$A$8:$B$464,GUS_tabl_21!$A$5:$B$4886),2,FALSE)))),TRIM(VLOOKUP(IF(AND(LEN($A1251)=4,VALUE(RIGHT($A1251,2))&gt;60),$A1251&amp;"01 1",$A1251),IF(AND(LEN($A1251)=4,VALUE(RIGHT($A1251,2))&lt;60),GUS_tabl_2!$A$8:$B$464,GUS_tabl_21!$A$5:$B$4886),2,FALSE)),LEFT(TRIM(VLOOKUP(IF(AND(LEN($A1251)=4,VALUE(RIGHT($A1251,2))&gt;60),$A1251&amp;"01 1",$A1251),IF(AND(LEN($A1251)=4,VALUE(RIGHT($A1251,2))&lt;60),GUS_tabl_2!$A$8:$B$464,GUS_tabl_21!$A$5:$B$4886),2,FALSE)),SUM(FIND("..",TRIM(VLOOKUP(IF(AND(LEN($A1251)=4,VALUE(RIGHT($A1251,2))&gt;60),$A1251&amp;"01 1",$A1251),IF(AND(LEN($A1251)=4,VALUE(RIGHT($A1251,2))&lt;60),GUS_tabl_2!$A$8:$B$464,GUS_tabl_21!$A$5:$B$4886),2,FALSE))),-1)))))</f>
        <v>gm. m.-w. Kałuszyn</v>
      </c>
      <c r="D1251" s="141">
        <f>IF(OR($A1251="",ISERROR(VALUE(LEFT($A1251,6)))),"",IF(LEN($A1251)=2,SUMIF($A1252:$A$2965,$A1251&amp;"??",$D1252:$D$2965),IF(AND(LEN($A1251)=4,VALUE(RIGHT($A1251,2))&lt;=60),SUMIF($A1252:$A$2965,$A1251&amp;"????",$D1252:$D$2965),VLOOKUP(IF(LEN($A1251)=4,$A1251&amp;"01 1",$A1251),GUS_tabl_21!$A$5:$F$4886,6,FALSE))))</f>
        <v>5825</v>
      </c>
      <c r="E1251" s="29"/>
    </row>
    <row r="1252" spans="1:5" ht="12" customHeight="1">
      <c r="A1252" s="155" t="str">
        <f>"141210 2"</f>
        <v>141210 2</v>
      </c>
      <c r="B1252" s="153" t="s">
        <v>45</v>
      </c>
      <c r="C1252" s="156" t="str">
        <f>IF(OR($A1252="",ISERROR(VALUE(LEFT($A1252,6)))),"",IF(LEN($A1252)=2,"WOJ. ",IF(LEN($A1252)=4,IF(VALUE(RIGHT($A1252,2))&gt;60,"","Powiat "),IF(VALUE(RIGHT($A1252,1))=1,"m. ",IF(VALUE(RIGHT($A1252,1))=2,"gm. w. ",IF(VALUE(RIGHT($A1252,1))=8,"dz. ","gm. m.-w. ")))))&amp;IF(LEN($A1252)=2,TRIM(UPPER(VLOOKUP($A1252,GUS_tabl_1!$A$7:$B$22,2,FALSE))),IF(ISERROR(FIND("..",TRIM(VLOOKUP(IF(AND(LEN($A1252)=4,VALUE(RIGHT($A1252,2))&gt;60),$A1252&amp;"01 1",$A1252),IF(AND(LEN($A1252)=4,VALUE(RIGHT($A1252,2))&lt;60),GUS_tabl_2!$A$8:$B$464,GUS_tabl_21!$A$5:$B$4886),2,FALSE)))),TRIM(VLOOKUP(IF(AND(LEN($A1252)=4,VALUE(RIGHT($A1252,2))&gt;60),$A1252&amp;"01 1",$A1252),IF(AND(LEN($A1252)=4,VALUE(RIGHT($A1252,2))&lt;60),GUS_tabl_2!$A$8:$B$464,GUS_tabl_21!$A$5:$B$4886),2,FALSE)),LEFT(TRIM(VLOOKUP(IF(AND(LEN($A1252)=4,VALUE(RIGHT($A1252,2))&gt;60),$A1252&amp;"01 1",$A1252),IF(AND(LEN($A1252)=4,VALUE(RIGHT($A1252,2))&lt;60),GUS_tabl_2!$A$8:$B$464,GUS_tabl_21!$A$5:$B$4886),2,FALSE)),SUM(FIND("..",TRIM(VLOOKUP(IF(AND(LEN($A1252)=4,VALUE(RIGHT($A1252,2))&gt;60),$A1252&amp;"01 1",$A1252),IF(AND(LEN($A1252)=4,VALUE(RIGHT($A1252,2))&lt;60),GUS_tabl_2!$A$8:$B$464,GUS_tabl_21!$A$5:$B$4886),2,FALSE))),-1)))))</f>
        <v>gm. w. Latowicz</v>
      </c>
      <c r="D1252" s="141">
        <f>IF(OR($A1252="",ISERROR(VALUE(LEFT($A1252,6)))),"",IF(LEN($A1252)=2,SUMIF($A1253:$A$2965,$A1252&amp;"??",$D1253:$D$2965),IF(AND(LEN($A1252)=4,VALUE(RIGHT($A1252,2))&lt;=60),SUMIF($A1253:$A$2965,$A1252&amp;"????",$D1253:$D$2965),VLOOKUP(IF(LEN($A1252)=4,$A1252&amp;"01 1",$A1252),GUS_tabl_21!$A$5:$F$4886,6,FALSE))))</f>
        <v>5399</v>
      </c>
      <c r="E1252" s="29"/>
    </row>
    <row r="1253" spans="1:5" ht="12" customHeight="1">
      <c r="A1253" s="155" t="str">
        <f>"141211 2"</f>
        <v>141211 2</v>
      </c>
      <c r="B1253" s="153" t="s">
        <v>45</v>
      </c>
      <c r="C1253" s="156" t="str">
        <f>IF(OR($A1253="",ISERROR(VALUE(LEFT($A1253,6)))),"",IF(LEN($A1253)=2,"WOJ. ",IF(LEN($A1253)=4,IF(VALUE(RIGHT($A1253,2))&gt;60,"","Powiat "),IF(VALUE(RIGHT($A1253,1))=1,"m. ",IF(VALUE(RIGHT($A1253,1))=2,"gm. w. ",IF(VALUE(RIGHT($A1253,1))=8,"dz. ","gm. m.-w. ")))))&amp;IF(LEN($A1253)=2,TRIM(UPPER(VLOOKUP($A1253,GUS_tabl_1!$A$7:$B$22,2,FALSE))),IF(ISERROR(FIND("..",TRIM(VLOOKUP(IF(AND(LEN($A1253)=4,VALUE(RIGHT($A1253,2))&gt;60),$A1253&amp;"01 1",$A1253),IF(AND(LEN($A1253)=4,VALUE(RIGHT($A1253,2))&lt;60),GUS_tabl_2!$A$8:$B$464,GUS_tabl_21!$A$5:$B$4886),2,FALSE)))),TRIM(VLOOKUP(IF(AND(LEN($A1253)=4,VALUE(RIGHT($A1253,2))&gt;60),$A1253&amp;"01 1",$A1253),IF(AND(LEN($A1253)=4,VALUE(RIGHT($A1253,2))&lt;60),GUS_tabl_2!$A$8:$B$464,GUS_tabl_21!$A$5:$B$4886),2,FALSE)),LEFT(TRIM(VLOOKUP(IF(AND(LEN($A1253)=4,VALUE(RIGHT($A1253,2))&gt;60),$A1253&amp;"01 1",$A1253),IF(AND(LEN($A1253)=4,VALUE(RIGHT($A1253,2))&lt;60),GUS_tabl_2!$A$8:$B$464,GUS_tabl_21!$A$5:$B$4886),2,FALSE)),SUM(FIND("..",TRIM(VLOOKUP(IF(AND(LEN($A1253)=4,VALUE(RIGHT($A1253,2))&gt;60),$A1253&amp;"01 1",$A1253),IF(AND(LEN($A1253)=4,VALUE(RIGHT($A1253,2))&lt;60),GUS_tabl_2!$A$8:$B$464,GUS_tabl_21!$A$5:$B$4886),2,FALSE))),-1)))))</f>
        <v>gm. w. Mińsk Mazowiecki</v>
      </c>
      <c r="D1253" s="141">
        <f>IF(OR($A1253="",ISERROR(VALUE(LEFT($A1253,6)))),"",IF(LEN($A1253)=2,SUMIF($A1254:$A$2965,$A1253&amp;"??",$D1254:$D$2965),IF(AND(LEN($A1253)=4,VALUE(RIGHT($A1253,2))&lt;=60),SUMIF($A1254:$A$2965,$A1253&amp;"????",$D1254:$D$2965),VLOOKUP(IF(LEN($A1253)=4,$A1253&amp;"01 1",$A1253),GUS_tabl_21!$A$5:$F$4886,6,FALSE))))</f>
        <v>15490</v>
      </c>
      <c r="E1253" s="29"/>
    </row>
    <row r="1254" spans="1:5" ht="12" customHeight="1">
      <c r="A1254" s="155" t="str">
        <f>"141212 3"</f>
        <v>141212 3</v>
      </c>
      <c r="B1254" s="153" t="s">
        <v>45</v>
      </c>
      <c r="C1254" s="159" t="str">
        <f>IF(OR($A1254="",ISERROR(VALUE(LEFT($A1254,6)))),"",IF(LEN($A1254)=2,"WOJ. ",IF(LEN($A1254)=4,IF(VALUE(RIGHT($A1254,2))&gt;60,"","Powiat "),IF(VALUE(RIGHT($A1254,1))=1,"m. ",IF(VALUE(RIGHT($A1254,1))=2,"gm. w. ",IF(VALUE(RIGHT($A1254,1))=8,"dz. ","gm. m.-w. ")))))&amp;IF(LEN($A1254)=2,TRIM(UPPER(VLOOKUP($A1254,GUS_tabl_1!$A$7:$B$22,2,FALSE))),IF(ISERROR(FIND("..",TRIM(VLOOKUP(IF(AND(LEN($A1254)=4,VALUE(RIGHT($A1254,2))&gt;60),$A1254&amp;"01 1",$A1254),IF(AND(LEN($A1254)=4,VALUE(RIGHT($A1254,2))&lt;60),GUS_tabl_2!$A$8:$B$464,GUS_tabl_21!$A$5:$B$4886),2,FALSE)))),TRIM(VLOOKUP(IF(AND(LEN($A1254)=4,VALUE(RIGHT($A1254,2))&gt;60),$A1254&amp;"01 1",$A1254),IF(AND(LEN($A1254)=4,VALUE(RIGHT($A1254,2))&lt;60),GUS_tabl_2!$A$8:$B$464,GUS_tabl_21!$A$5:$B$4886),2,FALSE)),LEFT(TRIM(VLOOKUP(IF(AND(LEN($A1254)=4,VALUE(RIGHT($A1254,2))&gt;60),$A1254&amp;"01 1",$A1254),IF(AND(LEN($A1254)=4,VALUE(RIGHT($A1254,2))&lt;60),GUS_tabl_2!$A$8:$B$464,GUS_tabl_21!$A$5:$B$4886),2,FALSE)),SUM(FIND("..",TRIM(VLOOKUP(IF(AND(LEN($A1254)=4,VALUE(RIGHT($A1254,2))&gt;60),$A1254&amp;"01 1",$A1254),IF(AND(LEN($A1254)=4,VALUE(RIGHT($A1254,2))&lt;60),GUS_tabl_2!$A$8:$B$464,GUS_tabl_21!$A$5:$B$4886),2,FALSE))),-1)))))</f>
        <v>gm. m.-w. Mrozy</v>
      </c>
      <c r="D1254" s="141">
        <f>IF(OR($A1254="",ISERROR(VALUE(LEFT($A1254,6)))),"",IF(LEN($A1254)=2,SUMIF($A1255:$A$2965,$A1254&amp;"??",$D1255:$D$2965),IF(AND(LEN($A1254)=4,VALUE(RIGHT($A1254,2))&lt;=60),SUMIF($A1255:$A$2965,$A1254&amp;"????",$D1255:$D$2965),VLOOKUP(IF(LEN($A1254)=4,$A1254&amp;"01 1",$A1254),GUS_tabl_21!$A$5:$F$4886,6,FALSE))))</f>
        <v>8712</v>
      </c>
      <c r="E1254" s="29"/>
    </row>
    <row r="1255" spans="1:5" ht="12" customHeight="1">
      <c r="A1255" s="155" t="str">
        <f>"141213 2"</f>
        <v>141213 2</v>
      </c>
      <c r="B1255" s="153" t="s">
        <v>45</v>
      </c>
      <c r="C1255" s="156" t="str">
        <f>IF(OR($A1255="",ISERROR(VALUE(LEFT($A1255,6)))),"",IF(LEN($A1255)=2,"WOJ. ",IF(LEN($A1255)=4,IF(VALUE(RIGHT($A1255,2))&gt;60,"","Powiat "),IF(VALUE(RIGHT($A1255,1))=1,"m. ",IF(VALUE(RIGHT($A1255,1))=2,"gm. w. ",IF(VALUE(RIGHT($A1255,1))=8,"dz. ","gm. m.-w. ")))))&amp;IF(LEN($A1255)=2,TRIM(UPPER(VLOOKUP($A1255,GUS_tabl_1!$A$7:$B$22,2,FALSE))),IF(ISERROR(FIND("..",TRIM(VLOOKUP(IF(AND(LEN($A1255)=4,VALUE(RIGHT($A1255,2))&gt;60),$A1255&amp;"01 1",$A1255),IF(AND(LEN($A1255)=4,VALUE(RIGHT($A1255,2))&lt;60),GUS_tabl_2!$A$8:$B$464,GUS_tabl_21!$A$5:$B$4886),2,FALSE)))),TRIM(VLOOKUP(IF(AND(LEN($A1255)=4,VALUE(RIGHT($A1255,2))&gt;60),$A1255&amp;"01 1",$A1255),IF(AND(LEN($A1255)=4,VALUE(RIGHT($A1255,2))&lt;60),GUS_tabl_2!$A$8:$B$464,GUS_tabl_21!$A$5:$B$4886),2,FALSE)),LEFT(TRIM(VLOOKUP(IF(AND(LEN($A1255)=4,VALUE(RIGHT($A1255,2))&gt;60),$A1255&amp;"01 1",$A1255),IF(AND(LEN($A1255)=4,VALUE(RIGHT($A1255,2))&lt;60),GUS_tabl_2!$A$8:$B$464,GUS_tabl_21!$A$5:$B$4886),2,FALSE)),SUM(FIND("..",TRIM(VLOOKUP(IF(AND(LEN($A1255)=4,VALUE(RIGHT($A1255,2))&gt;60),$A1255&amp;"01 1",$A1255),IF(AND(LEN($A1255)=4,VALUE(RIGHT($A1255,2))&lt;60),GUS_tabl_2!$A$8:$B$464,GUS_tabl_21!$A$5:$B$4886),2,FALSE))),-1)))))</f>
        <v>gm. w. Siennica</v>
      </c>
      <c r="D1255" s="141">
        <f>IF(OR($A1255="",ISERROR(VALUE(LEFT($A1255,6)))),"",IF(LEN($A1255)=2,SUMIF($A1256:$A$2965,$A1255&amp;"??",$D1256:$D$2965),IF(AND(LEN($A1255)=4,VALUE(RIGHT($A1255,2))&lt;=60),SUMIF($A1256:$A$2965,$A1255&amp;"????",$D1256:$D$2965),VLOOKUP(IF(LEN($A1255)=4,$A1255&amp;"01 1",$A1255),GUS_tabl_21!$A$5:$F$4886,6,FALSE))))</f>
        <v>7480</v>
      </c>
      <c r="E1255" s="29"/>
    </row>
    <row r="1256" spans="1:5" ht="12" customHeight="1">
      <c r="A1256" s="155" t="str">
        <f>"141214 2"</f>
        <v>141214 2</v>
      </c>
      <c r="B1256" s="153" t="s">
        <v>45</v>
      </c>
      <c r="C1256" s="156" t="str">
        <f>IF(OR($A1256="",ISERROR(VALUE(LEFT($A1256,6)))),"",IF(LEN($A1256)=2,"WOJ. ",IF(LEN($A1256)=4,IF(VALUE(RIGHT($A1256,2))&gt;60,"","Powiat "),IF(VALUE(RIGHT($A1256,1))=1,"m. ",IF(VALUE(RIGHT($A1256,1))=2,"gm. w. ",IF(VALUE(RIGHT($A1256,1))=8,"dz. ","gm. m.-w. ")))))&amp;IF(LEN($A1256)=2,TRIM(UPPER(VLOOKUP($A1256,GUS_tabl_1!$A$7:$B$22,2,FALSE))),IF(ISERROR(FIND("..",TRIM(VLOOKUP(IF(AND(LEN($A1256)=4,VALUE(RIGHT($A1256,2))&gt;60),$A1256&amp;"01 1",$A1256),IF(AND(LEN($A1256)=4,VALUE(RIGHT($A1256,2))&lt;60),GUS_tabl_2!$A$8:$B$464,GUS_tabl_21!$A$5:$B$4886),2,FALSE)))),TRIM(VLOOKUP(IF(AND(LEN($A1256)=4,VALUE(RIGHT($A1256,2))&gt;60),$A1256&amp;"01 1",$A1256),IF(AND(LEN($A1256)=4,VALUE(RIGHT($A1256,2))&lt;60),GUS_tabl_2!$A$8:$B$464,GUS_tabl_21!$A$5:$B$4886),2,FALSE)),LEFT(TRIM(VLOOKUP(IF(AND(LEN($A1256)=4,VALUE(RIGHT($A1256,2))&gt;60),$A1256&amp;"01 1",$A1256),IF(AND(LEN($A1256)=4,VALUE(RIGHT($A1256,2))&lt;60),GUS_tabl_2!$A$8:$B$464,GUS_tabl_21!$A$5:$B$4886),2,FALSE)),SUM(FIND("..",TRIM(VLOOKUP(IF(AND(LEN($A1256)=4,VALUE(RIGHT($A1256,2))&gt;60),$A1256&amp;"01 1",$A1256),IF(AND(LEN($A1256)=4,VALUE(RIGHT($A1256,2))&lt;60),GUS_tabl_2!$A$8:$B$464,GUS_tabl_21!$A$5:$B$4886),2,FALSE))),-1)))))</f>
        <v>gm. w. Stanisławów</v>
      </c>
      <c r="D1256" s="141">
        <f>IF(OR($A1256="",ISERROR(VALUE(LEFT($A1256,6)))),"",IF(LEN($A1256)=2,SUMIF($A1257:$A$2965,$A1256&amp;"??",$D1257:$D$2965),IF(AND(LEN($A1256)=4,VALUE(RIGHT($A1256,2))&lt;=60),SUMIF($A1257:$A$2965,$A1256&amp;"????",$D1257:$D$2965),VLOOKUP(IF(LEN($A1256)=4,$A1256&amp;"01 1",$A1256),GUS_tabl_21!$A$5:$F$4886,6,FALSE))))</f>
        <v>6756</v>
      </c>
      <c r="E1256" s="29"/>
    </row>
    <row r="1257" spans="1:5" ht="12" customHeight="1">
      <c r="A1257" s="155" t="str">
        <f>"141215 1"</f>
        <v>141215 1</v>
      </c>
      <c r="B1257" s="153" t="s">
        <v>45</v>
      </c>
      <c r="C1257" s="156" t="str">
        <f>IF(OR($A1257="",ISERROR(VALUE(LEFT($A1257,6)))),"",IF(LEN($A1257)=2,"WOJ. ",IF(LEN($A1257)=4,IF(VALUE(RIGHT($A1257,2))&gt;60,"","Powiat "),IF(VALUE(RIGHT($A1257,1))=1,"m. ",IF(VALUE(RIGHT($A1257,1))=2,"gm. w. ",IF(VALUE(RIGHT($A1257,1))=8,"dz. ","gm. m.-w. ")))))&amp;IF(LEN($A1257)=2,TRIM(UPPER(VLOOKUP($A1257,GUS_tabl_1!$A$7:$B$22,2,FALSE))),IF(ISERROR(FIND("..",TRIM(VLOOKUP(IF(AND(LEN($A1257)=4,VALUE(RIGHT($A1257,2))&gt;60),$A1257&amp;"01 1",$A1257),IF(AND(LEN($A1257)=4,VALUE(RIGHT($A1257,2))&lt;60),GUS_tabl_2!$A$8:$B$464,GUS_tabl_21!$A$5:$B$4886),2,FALSE)))),TRIM(VLOOKUP(IF(AND(LEN($A1257)=4,VALUE(RIGHT($A1257,2))&gt;60),$A1257&amp;"01 1",$A1257),IF(AND(LEN($A1257)=4,VALUE(RIGHT($A1257,2))&lt;60),GUS_tabl_2!$A$8:$B$464,GUS_tabl_21!$A$5:$B$4886),2,FALSE)),LEFT(TRIM(VLOOKUP(IF(AND(LEN($A1257)=4,VALUE(RIGHT($A1257,2))&gt;60),$A1257&amp;"01 1",$A1257),IF(AND(LEN($A1257)=4,VALUE(RIGHT($A1257,2))&lt;60),GUS_tabl_2!$A$8:$B$464,GUS_tabl_21!$A$5:$B$4886),2,FALSE)),SUM(FIND("..",TRIM(VLOOKUP(IF(AND(LEN($A1257)=4,VALUE(RIGHT($A1257,2))&gt;60),$A1257&amp;"01 1",$A1257),IF(AND(LEN($A1257)=4,VALUE(RIGHT($A1257,2))&lt;60),GUS_tabl_2!$A$8:$B$464,GUS_tabl_21!$A$5:$B$4886),2,FALSE))),-1)))))</f>
        <v>m. Sulejówek</v>
      </c>
      <c r="D1257" s="141">
        <f>IF(OR($A1257="",ISERROR(VALUE(LEFT($A1257,6)))),"",IF(LEN($A1257)=2,SUMIF($A1258:$A$2965,$A1257&amp;"??",$D1258:$D$2965),IF(AND(LEN($A1257)=4,VALUE(RIGHT($A1257,2))&lt;=60),SUMIF($A1258:$A$2965,$A1257&amp;"????",$D1258:$D$2965),VLOOKUP(IF(LEN($A1257)=4,$A1257&amp;"01 1",$A1257),GUS_tabl_21!$A$5:$F$4886,6,FALSE))))</f>
        <v>19838</v>
      </c>
      <c r="E1257" s="29"/>
    </row>
    <row r="1258" spans="1:5" ht="12" customHeight="1">
      <c r="A1258" s="152" t="str">
        <f>"1413"</f>
        <v>1413</v>
      </c>
      <c r="B1258" s="153" t="s">
        <v>45</v>
      </c>
      <c r="C1258" s="154" t="str">
        <f>IF(OR($A1258="",ISERROR(VALUE(LEFT($A1258,6)))),"",IF(LEN($A1258)=2,"WOJ. ",IF(LEN($A1258)=4,IF(VALUE(RIGHT($A1258,2))&gt;60,"","Powiat "),IF(VALUE(RIGHT($A1258,1))=1,"m. ",IF(VALUE(RIGHT($A1258,1))=2,"gm. w. ",IF(VALUE(RIGHT($A1258,1))=8,"dz. ","gm. m.-w. ")))))&amp;IF(LEN($A1258)=2,TRIM(UPPER(VLOOKUP($A1258,GUS_tabl_1!$A$7:$B$22,2,FALSE))),IF(ISERROR(FIND("..",TRIM(VLOOKUP(IF(AND(LEN($A1258)=4,VALUE(RIGHT($A1258,2))&gt;60),$A1258&amp;"01 1",$A1258),IF(AND(LEN($A1258)=4,VALUE(RIGHT($A1258,2))&lt;60),GUS_tabl_2!$A$8:$B$464,GUS_tabl_21!$A$5:$B$4886),2,FALSE)))),TRIM(VLOOKUP(IF(AND(LEN($A1258)=4,VALUE(RIGHT($A1258,2))&gt;60),$A1258&amp;"01 1",$A1258),IF(AND(LEN($A1258)=4,VALUE(RIGHT($A1258,2))&lt;60),GUS_tabl_2!$A$8:$B$464,GUS_tabl_21!$A$5:$B$4886),2,FALSE)),LEFT(TRIM(VLOOKUP(IF(AND(LEN($A1258)=4,VALUE(RIGHT($A1258,2))&gt;60),$A1258&amp;"01 1",$A1258),IF(AND(LEN($A1258)=4,VALUE(RIGHT($A1258,2))&lt;60),GUS_tabl_2!$A$8:$B$464,GUS_tabl_21!$A$5:$B$4886),2,FALSE)),SUM(FIND("..",TRIM(VLOOKUP(IF(AND(LEN($A1258)=4,VALUE(RIGHT($A1258,2))&gt;60),$A1258&amp;"01 1",$A1258),IF(AND(LEN($A1258)=4,VALUE(RIGHT($A1258,2))&lt;60),GUS_tabl_2!$A$8:$B$464,GUS_tabl_21!$A$5:$B$4886),2,FALSE))),-1)))))</f>
        <v>Powiat mławski</v>
      </c>
      <c r="D1258" s="140">
        <f>IF(OR($A1258="",ISERROR(VALUE(LEFT($A1258,6)))),"",IF(LEN($A1258)=2,SUMIF($A1259:$A$2965,$A1258&amp;"??",$D1259:$D$2965),IF(AND(LEN($A1258)=4,VALUE(RIGHT($A1258,2))&lt;=60),SUMIF($A1259:$A$2965,$A1258&amp;"????",$D1259:$D$2965),VLOOKUP(IF(LEN($A1258)=4,$A1258&amp;"01 1",$A1258),GUS_tabl_21!$A$5:$F$4886,6,FALSE))))</f>
        <v>72626</v>
      </c>
      <c r="E1258" s="29"/>
    </row>
    <row r="1259" spans="1:5" ht="12" customHeight="1">
      <c r="A1259" s="155" t="str">
        <f>"141301 1"</f>
        <v>141301 1</v>
      </c>
      <c r="B1259" s="153" t="s">
        <v>45</v>
      </c>
      <c r="C1259" s="156" t="str">
        <f>IF(OR($A1259="",ISERROR(VALUE(LEFT($A1259,6)))),"",IF(LEN($A1259)=2,"WOJ. ",IF(LEN($A1259)=4,IF(VALUE(RIGHT($A1259,2))&gt;60,"","Powiat "),IF(VALUE(RIGHT($A1259,1))=1,"m. ",IF(VALUE(RIGHT($A1259,1))=2,"gm. w. ",IF(VALUE(RIGHT($A1259,1))=8,"dz. ","gm. m.-w. ")))))&amp;IF(LEN($A1259)=2,TRIM(UPPER(VLOOKUP($A1259,GUS_tabl_1!$A$7:$B$22,2,FALSE))),IF(ISERROR(FIND("..",TRIM(VLOOKUP(IF(AND(LEN($A1259)=4,VALUE(RIGHT($A1259,2))&gt;60),$A1259&amp;"01 1",$A1259),IF(AND(LEN($A1259)=4,VALUE(RIGHT($A1259,2))&lt;60),GUS_tabl_2!$A$8:$B$464,GUS_tabl_21!$A$5:$B$4886),2,FALSE)))),TRIM(VLOOKUP(IF(AND(LEN($A1259)=4,VALUE(RIGHT($A1259,2))&gt;60),$A1259&amp;"01 1",$A1259),IF(AND(LEN($A1259)=4,VALUE(RIGHT($A1259,2))&lt;60),GUS_tabl_2!$A$8:$B$464,GUS_tabl_21!$A$5:$B$4886),2,FALSE)),LEFT(TRIM(VLOOKUP(IF(AND(LEN($A1259)=4,VALUE(RIGHT($A1259,2))&gt;60),$A1259&amp;"01 1",$A1259),IF(AND(LEN($A1259)=4,VALUE(RIGHT($A1259,2))&lt;60),GUS_tabl_2!$A$8:$B$464,GUS_tabl_21!$A$5:$B$4886),2,FALSE)),SUM(FIND("..",TRIM(VLOOKUP(IF(AND(LEN($A1259)=4,VALUE(RIGHT($A1259,2))&gt;60),$A1259&amp;"01 1",$A1259),IF(AND(LEN($A1259)=4,VALUE(RIGHT($A1259,2))&lt;60),GUS_tabl_2!$A$8:$B$464,GUS_tabl_21!$A$5:$B$4886),2,FALSE))),-1)))))</f>
        <v>m. Mława</v>
      </c>
      <c r="D1259" s="141">
        <f>IF(OR($A1259="",ISERROR(VALUE(LEFT($A1259,6)))),"",IF(LEN($A1259)=2,SUMIF($A1260:$A$2965,$A1259&amp;"??",$D1260:$D$2965),IF(AND(LEN($A1259)=4,VALUE(RIGHT($A1259,2))&lt;=60),SUMIF($A1260:$A$2965,$A1259&amp;"????",$D1260:$D$2965),VLOOKUP(IF(LEN($A1259)=4,$A1259&amp;"01 1",$A1259),GUS_tabl_21!$A$5:$F$4886,6,FALSE))))</f>
        <v>31246</v>
      </c>
      <c r="E1259" s="29"/>
    </row>
    <row r="1260" spans="1:5" ht="12" customHeight="1">
      <c r="A1260" s="155" t="str">
        <f>"141302 2"</f>
        <v>141302 2</v>
      </c>
      <c r="B1260" s="153" t="s">
        <v>45</v>
      </c>
      <c r="C1260" s="156" t="str">
        <f>IF(OR($A1260="",ISERROR(VALUE(LEFT($A1260,6)))),"",IF(LEN($A1260)=2,"WOJ. ",IF(LEN($A1260)=4,IF(VALUE(RIGHT($A1260,2))&gt;60,"","Powiat "),IF(VALUE(RIGHT($A1260,1))=1,"m. ",IF(VALUE(RIGHT($A1260,1))=2,"gm. w. ",IF(VALUE(RIGHT($A1260,1))=8,"dz. ","gm. m.-w. ")))))&amp;IF(LEN($A1260)=2,TRIM(UPPER(VLOOKUP($A1260,GUS_tabl_1!$A$7:$B$22,2,FALSE))),IF(ISERROR(FIND("..",TRIM(VLOOKUP(IF(AND(LEN($A1260)=4,VALUE(RIGHT($A1260,2))&gt;60),$A1260&amp;"01 1",$A1260),IF(AND(LEN($A1260)=4,VALUE(RIGHT($A1260,2))&lt;60),GUS_tabl_2!$A$8:$B$464,GUS_tabl_21!$A$5:$B$4886),2,FALSE)))),TRIM(VLOOKUP(IF(AND(LEN($A1260)=4,VALUE(RIGHT($A1260,2))&gt;60),$A1260&amp;"01 1",$A1260),IF(AND(LEN($A1260)=4,VALUE(RIGHT($A1260,2))&lt;60),GUS_tabl_2!$A$8:$B$464,GUS_tabl_21!$A$5:$B$4886),2,FALSE)),LEFT(TRIM(VLOOKUP(IF(AND(LEN($A1260)=4,VALUE(RIGHT($A1260,2))&gt;60),$A1260&amp;"01 1",$A1260),IF(AND(LEN($A1260)=4,VALUE(RIGHT($A1260,2))&lt;60),GUS_tabl_2!$A$8:$B$464,GUS_tabl_21!$A$5:$B$4886),2,FALSE)),SUM(FIND("..",TRIM(VLOOKUP(IF(AND(LEN($A1260)=4,VALUE(RIGHT($A1260,2))&gt;60),$A1260&amp;"01 1",$A1260),IF(AND(LEN($A1260)=4,VALUE(RIGHT($A1260,2))&lt;60),GUS_tabl_2!$A$8:$B$464,GUS_tabl_21!$A$5:$B$4886),2,FALSE))),-1)))))</f>
        <v>gm. w. Dzierzgowo</v>
      </c>
      <c r="D1260" s="141">
        <f>IF(OR($A1260="",ISERROR(VALUE(LEFT($A1260,6)))),"",IF(LEN($A1260)=2,SUMIF($A1261:$A$2965,$A1260&amp;"??",$D1261:$D$2965),IF(AND(LEN($A1260)=4,VALUE(RIGHT($A1260,2))&lt;=60),SUMIF($A1261:$A$2965,$A1260&amp;"????",$D1261:$D$2965),VLOOKUP(IF(LEN($A1260)=4,$A1260&amp;"01 1",$A1260),GUS_tabl_21!$A$5:$F$4886,6,FALSE))))</f>
        <v>3051</v>
      </c>
      <c r="E1260" s="29"/>
    </row>
    <row r="1261" spans="1:5" ht="12" customHeight="1">
      <c r="A1261" s="155" t="str">
        <f>"141303 2"</f>
        <v>141303 2</v>
      </c>
      <c r="B1261" s="153" t="s">
        <v>45</v>
      </c>
      <c r="C1261" s="156" t="str">
        <f>IF(OR($A1261="",ISERROR(VALUE(LEFT($A1261,6)))),"",IF(LEN($A1261)=2,"WOJ. ",IF(LEN($A1261)=4,IF(VALUE(RIGHT($A1261,2))&gt;60,"","Powiat "),IF(VALUE(RIGHT($A1261,1))=1,"m. ",IF(VALUE(RIGHT($A1261,1))=2,"gm. w. ",IF(VALUE(RIGHT($A1261,1))=8,"dz. ","gm. m.-w. ")))))&amp;IF(LEN($A1261)=2,TRIM(UPPER(VLOOKUP($A1261,GUS_tabl_1!$A$7:$B$22,2,FALSE))),IF(ISERROR(FIND("..",TRIM(VLOOKUP(IF(AND(LEN($A1261)=4,VALUE(RIGHT($A1261,2))&gt;60),$A1261&amp;"01 1",$A1261),IF(AND(LEN($A1261)=4,VALUE(RIGHT($A1261,2))&lt;60),GUS_tabl_2!$A$8:$B$464,GUS_tabl_21!$A$5:$B$4886),2,FALSE)))),TRIM(VLOOKUP(IF(AND(LEN($A1261)=4,VALUE(RIGHT($A1261,2))&gt;60),$A1261&amp;"01 1",$A1261),IF(AND(LEN($A1261)=4,VALUE(RIGHT($A1261,2))&lt;60),GUS_tabl_2!$A$8:$B$464,GUS_tabl_21!$A$5:$B$4886),2,FALSE)),LEFT(TRIM(VLOOKUP(IF(AND(LEN($A1261)=4,VALUE(RIGHT($A1261,2))&gt;60),$A1261&amp;"01 1",$A1261),IF(AND(LEN($A1261)=4,VALUE(RIGHT($A1261,2))&lt;60),GUS_tabl_2!$A$8:$B$464,GUS_tabl_21!$A$5:$B$4886),2,FALSE)),SUM(FIND("..",TRIM(VLOOKUP(IF(AND(LEN($A1261)=4,VALUE(RIGHT($A1261,2))&gt;60),$A1261&amp;"01 1",$A1261),IF(AND(LEN($A1261)=4,VALUE(RIGHT($A1261,2))&lt;60),GUS_tabl_2!$A$8:$B$464,GUS_tabl_21!$A$5:$B$4886),2,FALSE))),-1)))))</f>
        <v>gm. w. Lipowiec Kościelny</v>
      </c>
      <c r="D1261" s="141">
        <f>IF(OR($A1261="",ISERROR(VALUE(LEFT($A1261,6)))),"",IF(LEN($A1261)=2,SUMIF($A1262:$A$2965,$A1261&amp;"??",$D1262:$D$2965),IF(AND(LEN($A1261)=4,VALUE(RIGHT($A1261,2))&lt;=60),SUMIF($A1262:$A$2965,$A1261&amp;"????",$D1262:$D$2965),VLOOKUP(IF(LEN($A1261)=4,$A1261&amp;"01 1",$A1261),GUS_tabl_21!$A$5:$F$4886,6,FALSE))))</f>
        <v>4781</v>
      </c>
      <c r="E1261" s="29"/>
    </row>
    <row r="1262" spans="1:5" ht="12" customHeight="1">
      <c r="A1262" s="155" t="str">
        <f>"141304 2"</f>
        <v>141304 2</v>
      </c>
      <c r="B1262" s="153" t="s">
        <v>45</v>
      </c>
      <c r="C1262" s="156" t="str">
        <f>IF(OR($A1262="",ISERROR(VALUE(LEFT($A1262,6)))),"",IF(LEN($A1262)=2,"WOJ. ",IF(LEN($A1262)=4,IF(VALUE(RIGHT($A1262,2))&gt;60,"","Powiat "),IF(VALUE(RIGHT($A1262,1))=1,"m. ",IF(VALUE(RIGHT($A1262,1))=2,"gm. w. ",IF(VALUE(RIGHT($A1262,1))=8,"dz. ","gm. m.-w. ")))))&amp;IF(LEN($A1262)=2,TRIM(UPPER(VLOOKUP($A1262,GUS_tabl_1!$A$7:$B$22,2,FALSE))),IF(ISERROR(FIND("..",TRIM(VLOOKUP(IF(AND(LEN($A1262)=4,VALUE(RIGHT($A1262,2))&gt;60),$A1262&amp;"01 1",$A1262),IF(AND(LEN($A1262)=4,VALUE(RIGHT($A1262,2))&lt;60),GUS_tabl_2!$A$8:$B$464,GUS_tabl_21!$A$5:$B$4886),2,FALSE)))),TRIM(VLOOKUP(IF(AND(LEN($A1262)=4,VALUE(RIGHT($A1262,2))&gt;60),$A1262&amp;"01 1",$A1262),IF(AND(LEN($A1262)=4,VALUE(RIGHT($A1262,2))&lt;60),GUS_tabl_2!$A$8:$B$464,GUS_tabl_21!$A$5:$B$4886),2,FALSE)),LEFT(TRIM(VLOOKUP(IF(AND(LEN($A1262)=4,VALUE(RIGHT($A1262,2))&gt;60),$A1262&amp;"01 1",$A1262),IF(AND(LEN($A1262)=4,VALUE(RIGHT($A1262,2))&lt;60),GUS_tabl_2!$A$8:$B$464,GUS_tabl_21!$A$5:$B$4886),2,FALSE)),SUM(FIND("..",TRIM(VLOOKUP(IF(AND(LEN($A1262)=4,VALUE(RIGHT($A1262,2))&gt;60),$A1262&amp;"01 1",$A1262),IF(AND(LEN($A1262)=4,VALUE(RIGHT($A1262,2))&lt;60),GUS_tabl_2!$A$8:$B$464,GUS_tabl_21!$A$5:$B$4886),2,FALSE))),-1)))))</f>
        <v>gm. w. Radzanów</v>
      </c>
      <c r="D1262" s="141">
        <f>IF(OR($A1262="",ISERROR(VALUE(LEFT($A1262,6)))),"",IF(LEN($A1262)=2,SUMIF($A1263:$A$2965,$A1262&amp;"??",$D1263:$D$2965),IF(AND(LEN($A1262)=4,VALUE(RIGHT($A1262,2))&lt;=60),SUMIF($A1263:$A$2965,$A1262&amp;"????",$D1263:$D$2965),VLOOKUP(IF(LEN($A1262)=4,$A1262&amp;"01 1",$A1262),GUS_tabl_21!$A$5:$F$4886,6,FALSE))))</f>
        <v>3270</v>
      </c>
      <c r="E1262" s="29"/>
    </row>
    <row r="1263" spans="1:5" ht="12" customHeight="1">
      <c r="A1263" s="155" t="str">
        <f>"141305 2"</f>
        <v>141305 2</v>
      </c>
      <c r="B1263" s="153" t="s">
        <v>45</v>
      </c>
      <c r="C1263" s="156" t="str">
        <f>IF(OR($A1263="",ISERROR(VALUE(LEFT($A1263,6)))),"",IF(LEN($A1263)=2,"WOJ. ",IF(LEN($A1263)=4,IF(VALUE(RIGHT($A1263,2))&gt;60,"","Powiat "),IF(VALUE(RIGHT($A1263,1))=1,"m. ",IF(VALUE(RIGHT($A1263,1))=2,"gm. w. ",IF(VALUE(RIGHT($A1263,1))=8,"dz. ","gm. m.-w. ")))))&amp;IF(LEN($A1263)=2,TRIM(UPPER(VLOOKUP($A1263,GUS_tabl_1!$A$7:$B$22,2,FALSE))),IF(ISERROR(FIND("..",TRIM(VLOOKUP(IF(AND(LEN($A1263)=4,VALUE(RIGHT($A1263,2))&gt;60),$A1263&amp;"01 1",$A1263),IF(AND(LEN($A1263)=4,VALUE(RIGHT($A1263,2))&lt;60),GUS_tabl_2!$A$8:$B$464,GUS_tabl_21!$A$5:$B$4886),2,FALSE)))),TRIM(VLOOKUP(IF(AND(LEN($A1263)=4,VALUE(RIGHT($A1263,2))&gt;60),$A1263&amp;"01 1",$A1263),IF(AND(LEN($A1263)=4,VALUE(RIGHT($A1263,2))&lt;60),GUS_tabl_2!$A$8:$B$464,GUS_tabl_21!$A$5:$B$4886),2,FALSE)),LEFT(TRIM(VLOOKUP(IF(AND(LEN($A1263)=4,VALUE(RIGHT($A1263,2))&gt;60),$A1263&amp;"01 1",$A1263),IF(AND(LEN($A1263)=4,VALUE(RIGHT($A1263,2))&lt;60),GUS_tabl_2!$A$8:$B$464,GUS_tabl_21!$A$5:$B$4886),2,FALSE)),SUM(FIND("..",TRIM(VLOOKUP(IF(AND(LEN($A1263)=4,VALUE(RIGHT($A1263,2))&gt;60),$A1263&amp;"01 1",$A1263),IF(AND(LEN($A1263)=4,VALUE(RIGHT($A1263,2))&lt;60),GUS_tabl_2!$A$8:$B$464,GUS_tabl_21!$A$5:$B$4886),2,FALSE))),-1)))))</f>
        <v>gm. w. Strzegowo</v>
      </c>
      <c r="D1263" s="141">
        <f>IF(OR($A1263="",ISERROR(VALUE(LEFT($A1263,6)))),"",IF(LEN($A1263)=2,SUMIF($A1264:$A$2965,$A1263&amp;"??",$D1264:$D$2965),IF(AND(LEN($A1263)=4,VALUE(RIGHT($A1263,2))&lt;=60),SUMIF($A1264:$A$2965,$A1263&amp;"????",$D1264:$D$2965),VLOOKUP(IF(LEN($A1263)=4,$A1263&amp;"01 1",$A1263),GUS_tabl_21!$A$5:$F$4886,6,FALSE))))</f>
        <v>7478</v>
      </c>
      <c r="E1263" s="29"/>
    </row>
    <row r="1264" spans="1:5" ht="12" customHeight="1">
      <c r="A1264" s="155" t="str">
        <f>"141306 2"</f>
        <v>141306 2</v>
      </c>
      <c r="B1264" s="153" t="s">
        <v>45</v>
      </c>
      <c r="C1264" s="156" t="str">
        <f>IF(OR($A1264="",ISERROR(VALUE(LEFT($A1264,6)))),"",IF(LEN($A1264)=2,"WOJ. ",IF(LEN($A1264)=4,IF(VALUE(RIGHT($A1264,2))&gt;60,"","Powiat "),IF(VALUE(RIGHT($A1264,1))=1,"m. ",IF(VALUE(RIGHT($A1264,1))=2,"gm. w. ",IF(VALUE(RIGHT($A1264,1))=8,"dz. ","gm. m.-w. ")))))&amp;IF(LEN($A1264)=2,TRIM(UPPER(VLOOKUP($A1264,GUS_tabl_1!$A$7:$B$22,2,FALSE))),IF(ISERROR(FIND("..",TRIM(VLOOKUP(IF(AND(LEN($A1264)=4,VALUE(RIGHT($A1264,2))&gt;60),$A1264&amp;"01 1",$A1264),IF(AND(LEN($A1264)=4,VALUE(RIGHT($A1264,2))&lt;60),GUS_tabl_2!$A$8:$B$464,GUS_tabl_21!$A$5:$B$4886),2,FALSE)))),TRIM(VLOOKUP(IF(AND(LEN($A1264)=4,VALUE(RIGHT($A1264,2))&gt;60),$A1264&amp;"01 1",$A1264),IF(AND(LEN($A1264)=4,VALUE(RIGHT($A1264,2))&lt;60),GUS_tabl_2!$A$8:$B$464,GUS_tabl_21!$A$5:$B$4886),2,FALSE)),LEFT(TRIM(VLOOKUP(IF(AND(LEN($A1264)=4,VALUE(RIGHT($A1264,2))&gt;60),$A1264&amp;"01 1",$A1264),IF(AND(LEN($A1264)=4,VALUE(RIGHT($A1264,2))&lt;60),GUS_tabl_2!$A$8:$B$464,GUS_tabl_21!$A$5:$B$4886),2,FALSE)),SUM(FIND("..",TRIM(VLOOKUP(IF(AND(LEN($A1264)=4,VALUE(RIGHT($A1264,2))&gt;60),$A1264&amp;"01 1",$A1264),IF(AND(LEN($A1264)=4,VALUE(RIGHT($A1264,2))&lt;60),GUS_tabl_2!$A$8:$B$464,GUS_tabl_21!$A$5:$B$4886),2,FALSE))),-1)))))</f>
        <v>gm. w. Stupsk</v>
      </c>
      <c r="D1264" s="141">
        <f>IF(OR($A1264="",ISERROR(VALUE(LEFT($A1264,6)))),"",IF(LEN($A1264)=2,SUMIF($A1265:$A$2965,$A1264&amp;"??",$D1265:$D$2965),IF(AND(LEN($A1264)=4,VALUE(RIGHT($A1264,2))&lt;=60),SUMIF($A1265:$A$2965,$A1264&amp;"????",$D1265:$D$2965),VLOOKUP(IF(LEN($A1264)=4,$A1264&amp;"01 1",$A1264),GUS_tabl_21!$A$5:$F$4886,6,FALSE))))</f>
        <v>4836</v>
      </c>
      <c r="E1264" s="29"/>
    </row>
    <row r="1265" spans="1:6" ht="12" customHeight="1">
      <c r="A1265" s="155" t="str">
        <f>"141307 2"</f>
        <v>141307 2</v>
      </c>
      <c r="B1265" s="153" t="s">
        <v>45</v>
      </c>
      <c r="C1265" s="156" t="str">
        <f>IF(OR($A1265="",ISERROR(VALUE(LEFT($A1265,6)))),"",IF(LEN($A1265)=2,"WOJ. ",IF(LEN($A1265)=4,IF(VALUE(RIGHT($A1265,2))&gt;60,"","Powiat "),IF(VALUE(RIGHT($A1265,1))=1,"m. ",IF(VALUE(RIGHT($A1265,1))=2,"gm. w. ",IF(VALUE(RIGHT($A1265,1))=8,"dz. ","gm. m.-w. ")))))&amp;IF(LEN($A1265)=2,TRIM(UPPER(VLOOKUP($A1265,GUS_tabl_1!$A$7:$B$22,2,FALSE))),IF(ISERROR(FIND("..",TRIM(VLOOKUP(IF(AND(LEN($A1265)=4,VALUE(RIGHT($A1265,2))&gt;60),$A1265&amp;"01 1",$A1265),IF(AND(LEN($A1265)=4,VALUE(RIGHT($A1265,2))&lt;60),GUS_tabl_2!$A$8:$B$464,GUS_tabl_21!$A$5:$B$4886),2,FALSE)))),TRIM(VLOOKUP(IF(AND(LEN($A1265)=4,VALUE(RIGHT($A1265,2))&gt;60),$A1265&amp;"01 1",$A1265),IF(AND(LEN($A1265)=4,VALUE(RIGHT($A1265,2))&lt;60),GUS_tabl_2!$A$8:$B$464,GUS_tabl_21!$A$5:$B$4886),2,FALSE)),LEFT(TRIM(VLOOKUP(IF(AND(LEN($A1265)=4,VALUE(RIGHT($A1265,2))&gt;60),$A1265&amp;"01 1",$A1265),IF(AND(LEN($A1265)=4,VALUE(RIGHT($A1265,2))&lt;60),GUS_tabl_2!$A$8:$B$464,GUS_tabl_21!$A$5:$B$4886),2,FALSE)),SUM(FIND("..",TRIM(VLOOKUP(IF(AND(LEN($A1265)=4,VALUE(RIGHT($A1265,2))&gt;60),$A1265&amp;"01 1",$A1265),IF(AND(LEN($A1265)=4,VALUE(RIGHT($A1265,2))&lt;60),GUS_tabl_2!$A$8:$B$464,GUS_tabl_21!$A$5:$B$4886),2,FALSE))),-1)))))</f>
        <v>gm. w. Szreńsk</v>
      </c>
      <c r="D1265" s="141">
        <f>IF(OR($A1265="",ISERROR(VALUE(LEFT($A1265,6)))),"",IF(LEN($A1265)=2,SUMIF($A1266:$A$2965,$A1265&amp;"??",$D1266:$D$2965),IF(AND(LEN($A1265)=4,VALUE(RIGHT($A1265,2))&lt;=60),SUMIF($A1266:$A$2965,$A1265&amp;"????",$D1266:$D$2965),VLOOKUP(IF(LEN($A1265)=4,$A1265&amp;"01 1",$A1265),GUS_tabl_21!$A$5:$F$4886,6,FALSE))))</f>
        <v>4115</v>
      </c>
      <c r="E1265" s="29"/>
    </row>
    <row r="1266" spans="1:6" ht="12" customHeight="1">
      <c r="A1266" s="155" t="str">
        <f>"141308 2"</f>
        <v>141308 2</v>
      </c>
      <c r="B1266" s="153" t="s">
        <v>45</v>
      </c>
      <c r="C1266" s="156" t="str">
        <f>IF(OR($A1266="",ISERROR(VALUE(LEFT($A1266,6)))),"",IF(LEN($A1266)=2,"WOJ. ",IF(LEN($A1266)=4,IF(VALUE(RIGHT($A1266,2))&gt;60,"","Powiat "),IF(VALUE(RIGHT($A1266,1))=1,"m. ",IF(VALUE(RIGHT($A1266,1))=2,"gm. w. ",IF(VALUE(RIGHT($A1266,1))=8,"dz. ","gm. m.-w. ")))))&amp;IF(LEN($A1266)=2,TRIM(UPPER(VLOOKUP($A1266,GUS_tabl_1!$A$7:$B$22,2,FALSE))),IF(ISERROR(FIND("..",TRIM(VLOOKUP(IF(AND(LEN($A1266)=4,VALUE(RIGHT($A1266,2))&gt;60),$A1266&amp;"01 1",$A1266),IF(AND(LEN($A1266)=4,VALUE(RIGHT($A1266,2))&lt;60),GUS_tabl_2!$A$8:$B$464,GUS_tabl_21!$A$5:$B$4886),2,FALSE)))),TRIM(VLOOKUP(IF(AND(LEN($A1266)=4,VALUE(RIGHT($A1266,2))&gt;60),$A1266&amp;"01 1",$A1266),IF(AND(LEN($A1266)=4,VALUE(RIGHT($A1266,2))&lt;60),GUS_tabl_2!$A$8:$B$464,GUS_tabl_21!$A$5:$B$4886),2,FALSE)),LEFT(TRIM(VLOOKUP(IF(AND(LEN($A1266)=4,VALUE(RIGHT($A1266,2))&gt;60),$A1266&amp;"01 1",$A1266),IF(AND(LEN($A1266)=4,VALUE(RIGHT($A1266,2))&lt;60),GUS_tabl_2!$A$8:$B$464,GUS_tabl_21!$A$5:$B$4886),2,FALSE)),SUM(FIND("..",TRIM(VLOOKUP(IF(AND(LEN($A1266)=4,VALUE(RIGHT($A1266,2))&gt;60),$A1266&amp;"01 1",$A1266),IF(AND(LEN($A1266)=4,VALUE(RIGHT($A1266,2))&lt;60),GUS_tabl_2!$A$8:$B$464,GUS_tabl_21!$A$5:$B$4886),2,FALSE))),-1)))))</f>
        <v>gm. w. Szydłowo</v>
      </c>
      <c r="D1266" s="141">
        <f>IF(OR($A1266="",ISERROR(VALUE(LEFT($A1266,6)))),"",IF(LEN($A1266)=2,SUMIF($A1267:$A$2965,$A1266&amp;"??",$D1267:$D$2965),IF(AND(LEN($A1266)=4,VALUE(RIGHT($A1266,2))&lt;=60),SUMIF($A1267:$A$2965,$A1266&amp;"????",$D1267:$D$2965),VLOOKUP(IF(LEN($A1266)=4,$A1266&amp;"01 1",$A1266),GUS_tabl_21!$A$5:$F$4886,6,FALSE))))</f>
        <v>4576</v>
      </c>
      <c r="E1266" s="29"/>
    </row>
    <row r="1267" spans="1:6" ht="12" customHeight="1">
      <c r="A1267" s="155" t="str">
        <f>"141309 2"</f>
        <v>141309 2</v>
      </c>
      <c r="B1267" s="153" t="s">
        <v>45</v>
      </c>
      <c r="C1267" s="156" t="str">
        <f>IF(OR($A1267="",ISERROR(VALUE(LEFT($A1267,6)))),"",IF(LEN($A1267)=2,"WOJ. ",IF(LEN($A1267)=4,IF(VALUE(RIGHT($A1267,2))&gt;60,"","Powiat "),IF(VALUE(RIGHT($A1267,1))=1,"m. ",IF(VALUE(RIGHT($A1267,1))=2,"gm. w. ",IF(VALUE(RIGHT($A1267,1))=8,"dz. ","gm. m.-w. ")))))&amp;IF(LEN($A1267)=2,TRIM(UPPER(VLOOKUP($A1267,GUS_tabl_1!$A$7:$B$22,2,FALSE))),IF(ISERROR(FIND("..",TRIM(VLOOKUP(IF(AND(LEN($A1267)=4,VALUE(RIGHT($A1267,2))&gt;60),$A1267&amp;"01 1",$A1267),IF(AND(LEN($A1267)=4,VALUE(RIGHT($A1267,2))&lt;60),GUS_tabl_2!$A$8:$B$464,GUS_tabl_21!$A$5:$B$4886),2,FALSE)))),TRIM(VLOOKUP(IF(AND(LEN($A1267)=4,VALUE(RIGHT($A1267,2))&gt;60),$A1267&amp;"01 1",$A1267),IF(AND(LEN($A1267)=4,VALUE(RIGHT($A1267,2))&lt;60),GUS_tabl_2!$A$8:$B$464,GUS_tabl_21!$A$5:$B$4886),2,FALSE)),LEFT(TRIM(VLOOKUP(IF(AND(LEN($A1267)=4,VALUE(RIGHT($A1267,2))&gt;60),$A1267&amp;"01 1",$A1267),IF(AND(LEN($A1267)=4,VALUE(RIGHT($A1267,2))&lt;60),GUS_tabl_2!$A$8:$B$464,GUS_tabl_21!$A$5:$B$4886),2,FALSE)),SUM(FIND("..",TRIM(VLOOKUP(IF(AND(LEN($A1267)=4,VALUE(RIGHT($A1267,2))&gt;60),$A1267&amp;"01 1",$A1267),IF(AND(LEN($A1267)=4,VALUE(RIGHT($A1267,2))&lt;60),GUS_tabl_2!$A$8:$B$464,GUS_tabl_21!$A$5:$B$4886),2,FALSE))),-1)))))</f>
        <v>gm. w. Wieczfnia Kościelna</v>
      </c>
      <c r="D1267" s="141">
        <f>IF(OR($A1267="",ISERROR(VALUE(LEFT($A1267,6)))),"",IF(LEN($A1267)=2,SUMIF($A1268:$A$2965,$A1267&amp;"??",$D1268:$D$2965),IF(AND(LEN($A1267)=4,VALUE(RIGHT($A1267,2))&lt;=60),SUMIF($A1268:$A$2965,$A1267&amp;"????",$D1268:$D$2965),VLOOKUP(IF(LEN($A1267)=4,$A1267&amp;"01 1",$A1267),GUS_tabl_21!$A$5:$F$4886,6,FALSE))))</f>
        <v>4048</v>
      </c>
      <c r="E1267" s="29"/>
    </row>
    <row r="1268" spans="1:6" ht="12" customHeight="1">
      <c r="A1268" s="155" t="str">
        <f>"141310 2"</f>
        <v>141310 2</v>
      </c>
      <c r="B1268" s="153" t="s">
        <v>45</v>
      </c>
      <c r="C1268" s="156" t="str">
        <f>IF(OR($A1268="",ISERROR(VALUE(LEFT($A1268,6)))),"",IF(LEN($A1268)=2,"WOJ. ",IF(LEN($A1268)=4,IF(VALUE(RIGHT($A1268,2))&gt;60,"","Powiat "),IF(VALUE(RIGHT($A1268,1))=1,"m. ",IF(VALUE(RIGHT($A1268,1))=2,"gm. w. ",IF(VALUE(RIGHT($A1268,1))=8,"dz. ","gm. m.-w. ")))))&amp;IF(LEN($A1268)=2,TRIM(UPPER(VLOOKUP($A1268,GUS_tabl_1!$A$7:$B$22,2,FALSE))),IF(ISERROR(FIND("..",TRIM(VLOOKUP(IF(AND(LEN($A1268)=4,VALUE(RIGHT($A1268,2))&gt;60),$A1268&amp;"01 1",$A1268),IF(AND(LEN($A1268)=4,VALUE(RIGHT($A1268,2))&lt;60),GUS_tabl_2!$A$8:$B$464,GUS_tabl_21!$A$5:$B$4886),2,FALSE)))),TRIM(VLOOKUP(IF(AND(LEN($A1268)=4,VALUE(RIGHT($A1268,2))&gt;60),$A1268&amp;"01 1",$A1268),IF(AND(LEN($A1268)=4,VALUE(RIGHT($A1268,2))&lt;60),GUS_tabl_2!$A$8:$B$464,GUS_tabl_21!$A$5:$B$4886),2,FALSE)),LEFT(TRIM(VLOOKUP(IF(AND(LEN($A1268)=4,VALUE(RIGHT($A1268,2))&gt;60),$A1268&amp;"01 1",$A1268),IF(AND(LEN($A1268)=4,VALUE(RIGHT($A1268,2))&lt;60),GUS_tabl_2!$A$8:$B$464,GUS_tabl_21!$A$5:$B$4886),2,FALSE)),SUM(FIND("..",TRIM(VLOOKUP(IF(AND(LEN($A1268)=4,VALUE(RIGHT($A1268,2))&gt;60),$A1268&amp;"01 1",$A1268),IF(AND(LEN($A1268)=4,VALUE(RIGHT($A1268,2))&lt;60),GUS_tabl_2!$A$8:$B$464,GUS_tabl_21!$A$5:$B$4886),2,FALSE))),-1)))))</f>
        <v>gm. w. Wiśniewo</v>
      </c>
      <c r="D1268" s="141">
        <f>IF(OR($A1268="",ISERROR(VALUE(LEFT($A1268,6)))),"",IF(LEN($A1268)=2,SUMIF($A1269:$A$2965,$A1268&amp;"??",$D1269:$D$2965),IF(AND(LEN($A1268)=4,VALUE(RIGHT($A1268,2))&lt;=60),SUMIF($A1269:$A$2965,$A1268&amp;"????",$D1269:$D$2965),VLOOKUP(IF(LEN($A1268)=4,$A1268&amp;"01 1",$A1268),GUS_tabl_21!$A$5:$F$4886,6,FALSE))))</f>
        <v>5225</v>
      </c>
      <c r="E1268" s="29"/>
    </row>
    <row r="1269" spans="1:6" ht="12" customHeight="1">
      <c r="A1269" s="152" t="str">
        <f>"1414"</f>
        <v>1414</v>
      </c>
      <c r="B1269" s="153" t="s">
        <v>45</v>
      </c>
      <c r="C1269" s="154" t="str">
        <f>IF(OR($A1269="",ISERROR(VALUE(LEFT($A1269,6)))),"",IF(LEN($A1269)=2,"WOJ. ",IF(LEN($A1269)=4,IF(VALUE(RIGHT($A1269,2))&gt;60,"","Powiat "),IF(VALUE(RIGHT($A1269,1))=1,"m. ",IF(VALUE(RIGHT($A1269,1))=2,"gm. w. ",IF(VALUE(RIGHT($A1269,1))=8,"dz. ","gm. m.-w. ")))))&amp;IF(LEN($A1269)=2,TRIM(UPPER(VLOOKUP($A1269,GUS_tabl_1!$A$7:$B$22,2,FALSE))),IF(ISERROR(FIND("..",TRIM(VLOOKUP(IF(AND(LEN($A1269)=4,VALUE(RIGHT($A1269,2))&gt;60),$A1269&amp;"01 1",$A1269),IF(AND(LEN($A1269)=4,VALUE(RIGHT($A1269,2))&lt;60),GUS_tabl_2!$A$8:$B$464,GUS_tabl_21!$A$5:$B$4886),2,FALSE)))),TRIM(VLOOKUP(IF(AND(LEN($A1269)=4,VALUE(RIGHT($A1269,2))&gt;60),$A1269&amp;"01 1",$A1269),IF(AND(LEN($A1269)=4,VALUE(RIGHT($A1269,2))&lt;60),GUS_tabl_2!$A$8:$B$464,GUS_tabl_21!$A$5:$B$4886),2,FALSE)),LEFT(TRIM(VLOOKUP(IF(AND(LEN($A1269)=4,VALUE(RIGHT($A1269,2))&gt;60),$A1269&amp;"01 1",$A1269),IF(AND(LEN($A1269)=4,VALUE(RIGHT($A1269,2))&lt;60),GUS_tabl_2!$A$8:$B$464,GUS_tabl_21!$A$5:$B$4886),2,FALSE)),SUM(FIND("..",TRIM(VLOOKUP(IF(AND(LEN($A1269)=4,VALUE(RIGHT($A1269,2))&gt;60),$A1269&amp;"01 1",$A1269),IF(AND(LEN($A1269)=4,VALUE(RIGHT($A1269,2))&lt;60),GUS_tabl_2!$A$8:$B$464,GUS_tabl_21!$A$5:$B$4886),2,FALSE))),-1)))))</f>
        <v>Powiat nowodworski</v>
      </c>
      <c r="D1269" s="140">
        <f>IF(OR($A1269="",ISERROR(VALUE(LEFT($A1269,6)))),"",IF(LEN($A1269)=2,SUMIF($A1270:$A$2965,$A1269&amp;"??",$D1270:$D$2965),IF(AND(LEN($A1269)=4,VALUE(RIGHT($A1269,2))&lt;=60),SUMIF($A1270:$A$2965,$A1269&amp;"????",$D1270:$D$2965),VLOOKUP(IF(LEN($A1269)=4,$A1269&amp;"01 1",$A1269),GUS_tabl_21!$A$5:$F$4886,6,FALSE))))</f>
        <v>79378</v>
      </c>
      <c r="E1269" s="29"/>
    </row>
    <row r="1270" spans="1:6" ht="12" customHeight="1">
      <c r="A1270" s="155" t="str">
        <f>"141401 1"</f>
        <v>141401 1</v>
      </c>
      <c r="B1270" s="153" t="s">
        <v>45</v>
      </c>
      <c r="C1270" s="156" t="str">
        <f>IF(OR($A1270="",ISERROR(VALUE(LEFT($A1270,6)))),"",IF(LEN($A1270)=2,"WOJ. ",IF(LEN($A1270)=4,IF(VALUE(RIGHT($A1270,2))&gt;60,"","Powiat "),IF(VALUE(RIGHT($A1270,1))=1,"m. ",IF(VALUE(RIGHT($A1270,1))=2,"gm. w. ",IF(VALUE(RIGHT($A1270,1))=8,"dz. ","gm. m.-w. ")))))&amp;IF(LEN($A1270)=2,TRIM(UPPER(VLOOKUP($A1270,GUS_tabl_1!$A$7:$B$22,2,FALSE))),IF(ISERROR(FIND("..",TRIM(VLOOKUP(IF(AND(LEN($A1270)=4,VALUE(RIGHT($A1270,2))&gt;60),$A1270&amp;"01 1",$A1270),IF(AND(LEN($A1270)=4,VALUE(RIGHT($A1270,2))&lt;60),GUS_tabl_2!$A$8:$B$464,GUS_tabl_21!$A$5:$B$4886),2,FALSE)))),TRIM(VLOOKUP(IF(AND(LEN($A1270)=4,VALUE(RIGHT($A1270,2))&gt;60),$A1270&amp;"01 1",$A1270),IF(AND(LEN($A1270)=4,VALUE(RIGHT($A1270,2))&lt;60),GUS_tabl_2!$A$8:$B$464,GUS_tabl_21!$A$5:$B$4886),2,FALSE)),LEFT(TRIM(VLOOKUP(IF(AND(LEN($A1270)=4,VALUE(RIGHT($A1270,2))&gt;60),$A1270&amp;"01 1",$A1270),IF(AND(LEN($A1270)=4,VALUE(RIGHT($A1270,2))&lt;60),GUS_tabl_2!$A$8:$B$464,GUS_tabl_21!$A$5:$B$4886),2,FALSE)),SUM(FIND("..",TRIM(VLOOKUP(IF(AND(LEN($A1270)=4,VALUE(RIGHT($A1270,2))&gt;60),$A1270&amp;"01 1",$A1270),IF(AND(LEN($A1270)=4,VALUE(RIGHT($A1270,2))&lt;60),GUS_tabl_2!$A$8:$B$464,GUS_tabl_21!$A$5:$B$4886),2,FALSE))),-1)))))</f>
        <v>m. Nowy Dwór Mazowiecki (a)</v>
      </c>
      <c r="D1270" s="141">
        <f>IF(OR($A1270="",ISERROR(VALUE(LEFT($A1270,6)))),"",IF(LEN($A1270)=2,SUMIF($A1271:$A$2965,$A1270&amp;"??",$D1271:$D$2965),IF(AND(LEN($A1270)=4,VALUE(RIGHT($A1270,2))&lt;=60),SUMIF($A1271:$A$2965,$A1270&amp;"????",$D1271:$D$2965),VLOOKUP(IF(LEN($A1270)=4,$A1270&amp;"01 1",$A1270),GUS_tabl_21!$A$5:$F$4886,6,FALSE))))</f>
        <v>28679</v>
      </c>
      <c r="E1270" s="29"/>
    </row>
    <row r="1271" spans="1:6" ht="12" customHeight="1">
      <c r="A1271" s="155" t="str">
        <f>"141402 2"</f>
        <v>141402 2</v>
      </c>
      <c r="B1271" s="153" t="s">
        <v>45</v>
      </c>
      <c r="C1271" s="156" t="str">
        <f>IF(OR($A1271="",ISERROR(VALUE(LEFT($A1271,6)))),"",IF(LEN($A1271)=2,"WOJ. ",IF(LEN($A1271)=4,IF(VALUE(RIGHT($A1271,2))&gt;60,"","Powiat "),IF(VALUE(RIGHT($A1271,1))=1,"m. ",IF(VALUE(RIGHT($A1271,1))=2,"gm. w. ",IF(VALUE(RIGHT($A1271,1))=8,"dz. ","gm. m.-w. ")))))&amp;IF(LEN($A1271)=2,TRIM(UPPER(VLOOKUP($A1271,GUS_tabl_1!$A$7:$B$22,2,FALSE))),IF(ISERROR(FIND("..",TRIM(VLOOKUP(IF(AND(LEN($A1271)=4,VALUE(RIGHT($A1271,2))&gt;60),$A1271&amp;"01 1",$A1271),IF(AND(LEN($A1271)=4,VALUE(RIGHT($A1271,2))&lt;60),GUS_tabl_2!$A$8:$B$464,GUS_tabl_21!$A$5:$B$4886),2,FALSE)))),TRIM(VLOOKUP(IF(AND(LEN($A1271)=4,VALUE(RIGHT($A1271,2))&gt;60),$A1271&amp;"01 1",$A1271),IF(AND(LEN($A1271)=4,VALUE(RIGHT($A1271,2))&lt;60),GUS_tabl_2!$A$8:$B$464,GUS_tabl_21!$A$5:$B$4886),2,FALSE)),LEFT(TRIM(VLOOKUP(IF(AND(LEN($A1271)=4,VALUE(RIGHT($A1271,2))&gt;60),$A1271&amp;"01 1",$A1271),IF(AND(LEN($A1271)=4,VALUE(RIGHT($A1271,2))&lt;60),GUS_tabl_2!$A$8:$B$464,GUS_tabl_21!$A$5:$B$4886),2,FALSE)),SUM(FIND("..",TRIM(VLOOKUP(IF(AND(LEN($A1271)=4,VALUE(RIGHT($A1271,2))&gt;60),$A1271&amp;"01 1",$A1271),IF(AND(LEN($A1271)=4,VALUE(RIGHT($A1271,2))&lt;60),GUS_tabl_2!$A$8:$B$464,GUS_tabl_21!$A$5:$B$4886),2,FALSE))),-1)))))</f>
        <v>gm. w. Czosnów</v>
      </c>
      <c r="D1271" s="141">
        <f>IF(OR($A1271="",ISERROR(VALUE(LEFT($A1271,6)))),"",IF(LEN($A1271)=2,SUMIF($A1272:$A$2965,$A1271&amp;"??",$D1272:$D$2965),IF(AND(LEN($A1271)=4,VALUE(RIGHT($A1271,2))&lt;=60),SUMIF($A1272:$A$2965,$A1271&amp;"????",$D1272:$D$2965),VLOOKUP(IF(LEN($A1271)=4,$A1271&amp;"01 1",$A1271),GUS_tabl_21!$A$5:$F$4886,6,FALSE))))</f>
        <v>9991</v>
      </c>
      <c r="E1271" s="29"/>
    </row>
    <row r="1272" spans="1:6" ht="12" customHeight="1">
      <c r="A1272" s="155" t="str">
        <f>"141403 2"</f>
        <v>141403 2</v>
      </c>
      <c r="B1272" s="153" t="s">
        <v>45</v>
      </c>
      <c r="C1272" s="156" t="str">
        <f>IF(OR($A1272="",ISERROR(VALUE(LEFT($A1272,6)))),"",IF(LEN($A1272)=2,"WOJ. ",IF(LEN($A1272)=4,IF(VALUE(RIGHT($A1272,2))&gt;60,"","Powiat "),IF(VALUE(RIGHT($A1272,1))=1,"m. ",IF(VALUE(RIGHT($A1272,1))=2,"gm. w. ",IF(VALUE(RIGHT($A1272,1))=8,"dz. ","gm. m.-w. ")))))&amp;IF(LEN($A1272)=2,TRIM(UPPER(VLOOKUP($A1272,GUS_tabl_1!$A$7:$B$22,2,FALSE))),IF(ISERROR(FIND("..",TRIM(VLOOKUP(IF(AND(LEN($A1272)=4,VALUE(RIGHT($A1272,2))&gt;60),$A1272&amp;"01 1",$A1272),IF(AND(LEN($A1272)=4,VALUE(RIGHT($A1272,2))&lt;60),GUS_tabl_2!$A$8:$B$464,GUS_tabl_21!$A$5:$B$4886),2,FALSE)))),TRIM(VLOOKUP(IF(AND(LEN($A1272)=4,VALUE(RIGHT($A1272,2))&gt;60),$A1272&amp;"01 1",$A1272),IF(AND(LEN($A1272)=4,VALUE(RIGHT($A1272,2))&lt;60),GUS_tabl_2!$A$8:$B$464,GUS_tabl_21!$A$5:$B$4886),2,FALSE)),LEFT(TRIM(VLOOKUP(IF(AND(LEN($A1272)=4,VALUE(RIGHT($A1272,2))&gt;60),$A1272&amp;"01 1",$A1272),IF(AND(LEN($A1272)=4,VALUE(RIGHT($A1272,2))&lt;60),GUS_tabl_2!$A$8:$B$464,GUS_tabl_21!$A$5:$B$4886),2,FALSE)),SUM(FIND("..",TRIM(VLOOKUP(IF(AND(LEN($A1272)=4,VALUE(RIGHT($A1272,2))&gt;60),$A1272&amp;"01 1",$A1272),IF(AND(LEN($A1272)=4,VALUE(RIGHT($A1272,2))&lt;60),GUS_tabl_2!$A$8:$B$464,GUS_tabl_21!$A$5:$B$4886),2,FALSE))),-1)))))</f>
        <v>gm. w. Leoncin</v>
      </c>
      <c r="D1272" s="141">
        <f>IF(OR($A1272="",ISERROR(VALUE(LEFT($A1272,6)))),"",IF(LEN($A1272)=2,SUMIF($A1273:$A$2965,$A1272&amp;"??",$D1273:$D$2965),IF(AND(LEN($A1272)=4,VALUE(RIGHT($A1272,2))&lt;=60),SUMIF($A1273:$A$2965,$A1272&amp;"????",$D1273:$D$2965),VLOOKUP(IF(LEN($A1272)=4,$A1272&amp;"01 1",$A1272),GUS_tabl_21!$A$5:$F$4886,6,FALSE))))</f>
        <v>5620</v>
      </c>
      <c r="E1272" s="29"/>
    </row>
    <row r="1273" spans="1:6" ht="12" customHeight="1">
      <c r="A1273" s="155" t="str">
        <f>"141404 3"</f>
        <v>141404 3</v>
      </c>
      <c r="B1273" s="153" t="s">
        <v>45</v>
      </c>
      <c r="C1273" s="156" t="str">
        <f>IF(OR($A1273="",ISERROR(VALUE(LEFT($A1273,6)))),"",IF(LEN($A1273)=2,"WOJ. ",IF(LEN($A1273)=4,IF(VALUE(RIGHT($A1273,2))&gt;60,"","Powiat "),IF(VALUE(RIGHT($A1273,1))=1,"m. ",IF(VALUE(RIGHT($A1273,1))=2,"gm. w. ",IF(VALUE(RIGHT($A1273,1))=8,"dz. ","gm. m.-w. ")))))&amp;IF(LEN($A1273)=2,TRIM(UPPER(VLOOKUP($A1273,GUS_tabl_1!$A$7:$B$22,2,FALSE))),IF(ISERROR(FIND("..",TRIM(VLOOKUP(IF(AND(LEN($A1273)=4,VALUE(RIGHT($A1273,2))&gt;60),$A1273&amp;"01 1",$A1273),IF(AND(LEN($A1273)=4,VALUE(RIGHT($A1273,2))&lt;60),GUS_tabl_2!$A$8:$B$464,GUS_tabl_21!$A$5:$B$4886),2,FALSE)))),TRIM(VLOOKUP(IF(AND(LEN($A1273)=4,VALUE(RIGHT($A1273,2))&gt;60),$A1273&amp;"01 1",$A1273),IF(AND(LEN($A1273)=4,VALUE(RIGHT($A1273,2))&lt;60),GUS_tabl_2!$A$8:$B$464,GUS_tabl_21!$A$5:$B$4886),2,FALSE)),LEFT(TRIM(VLOOKUP(IF(AND(LEN($A1273)=4,VALUE(RIGHT($A1273,2))&gt;60),$A1273&amp;"01 1",$A1273),IF(AND(LEN($A1273)=4,VALUE(RIGHT($A1273,2))&lt;60),GUS_tabl_2!$A$8:$B$464,GUS_tabl_21!$A$5:$B$4886),2,FALSE)),SUM(FIND("..",TRIM(VLOOKUP(IF(AND(LEN($A1273)=4,VALUE(RIGHT($A1273,2))&gt;60),$A1273&amp;"01 1",$A1273),IF(AND(LEN($A1273)=4,VALUE(RIGHT($A1273,2))&lt;60),GUS_tabl_2!$A$8:$B$464,GUS_tabl_21!$A$5:$B$4886),2,FALSE))),-1)))))</f>
        <v>gm. m.-w. Nasielsk</v>
      </c>
      <c r="D1273" s="141">
        <f>IF(OR($A1273="",ISERROR(VALUE(LEFT($A1273,6)))),"",IF(LEN($A1273)=2,SUMIF($A1274:$A$2965,$A1273&amp;"??",$D1274:$D$2965),IF(AND(LEN($A1273)=4,VALUE(RIGHT($A1273,2))&lt;=60),SUMIF($A1274:$A$2965,$A1273&amp;"????",$D1274:$D$2965),VLOOKUP(IF(LEN($A1273)=4,$A1273&amp;"01 1",$A1273),GUS_tabl_21!$A$5:$F$4886,6,FALSE))))</f>
        <v>19965</v>
      </c>
      <c r="E1273" s="29"/>
    </row>
    <row r="1274" spans="1:6" ht="12" customHeight="1">
      <c r="A1274" s="155" t="str">
        <f>"141405 2"</f>
        <v>141405 2</v>
      </c>
      <c r="B1274" s="153" t="s">
        <v>45</v>
      </c>
      <c r="C1274" s="156" t="str">
        <f>IF(OR($A1274="",ISERROR(VALUE(LEFT($A1274,6)))),"",IF(LEN($A1274)=2,"WOJ. ",IF(LEN($A1274)=4,IF(VALUE(RIGHT($A1274,2))&gt;60,"","Powiat "),IF(VALUE(RIGHT($A1274,1))=1,"m. ",IF(VALUE(RIGHT($A1274,1))=2,"gm. w. ",IF(VALUE(RIGHT($A1274,1))=8,"dz. ","gm. m.-w. ")))))&amp;IF(LEN($A1274)=2,TRIM(UPPER(VLOOKUP($A1274,GUS_tabl_1!$A$7:$B$22,2,FALSE))),IF(ISERROR(FIND("..",TRIM(VLOOKUP(IF(AND(LEN($A1274)=4,VALUE(RIGHT($A1274,2))&gt;60),$A1274&amp;"01 1",$A1274),IF(AND(LEN($A1274)=4,VALUE(RIGHT($A1274,2))&lt;60),GUS_tabl_2!$A$8:$B$464,GUS_tabl_21!$A$5:$B$4886),2,FALSE)))),TRIM(VLOOKUP(IF(AND(LEN($A1274)=4,VALUE(RIGHT($A1274,2))&gt;60),$A1274&amp;"01 1",$A1274),IF(AND(LEN($A1274)=4,VALUE(RIGHT($A1274,2))&lt;60),GUS_tabl_2!$A$8:$B$464,GUS_tabl_21!$A$5:$B$4886),2,FALSE)),LEFT(TRIM(VLOOKUP(IF(AND(LEN($A1274)=4,VALUE(RIGHT($A1274,2))&gt;60),$A1274&amp;"01 1",$A1274),IF(AND(LEN($A1274)=4,VALUE(RIGHT($A1274,2))&lt;60),GUS_tabl_2!$A$8:$B$464,GUS_tabl_21!$A$5:$B$4886),2,FALSE)),SUM(FIND("..",TRIM(VLOOKUP(IF(AND(LEN($A1274)=4,VALUE(RIGHT($A1274,2))&gt;60),$A1274&amp;"01 1",$A1274),IF(AND(LEN($A1274)=4,VALUE(RIGHT($A1274,2))&lt;60),GUS_tabl_2!$A$8:$B$464,GUS_tabl_21!$A$5:$B$4886),2,FALSE))),-1)))))</f>
        <v>gm. w. Pomiechówek</v>
      </c>
      <c r="D1274" s="141">
        <f>IF(OR($A1274="",ISERROR(VALUE(LEFT($A1274,6)))),"",IF(LEN($A1274)=2,SUMIF($A1275:$A$2965,$A1274&amp;"??",$D1275:$D$2965),IF(AND(LEN($A1274)=4,VALUE(RIGHT($A1274,2))&lt;=60),SUMIF($A1275:$A$2965,$A1274&amp;"????",$D1275:$D$2965),VLOOKUP(IF(LEN($A1274)=4,$A1274&amp;"01 1",$A1274),GUS_tabl_21!$A$5:$F$4886,6,FALSE))))</f>
        <v>9090</v>
      </c>
      <c r="E1274" s="29"/>
    </row>
    <row r="1275" spans="1:6" ht="12" customHeight="1">
      <c r="A1275" s="155" t="str">
        <f>"141406 3"</f>
        <v>141406 3</v>
      </c>
      <c r="B1275" s="153" t="s">
        <v>45</v>
      </c>
      <c r="C1275" s="156" t="str">
        <f>IF(OR($A1275="",ISERROR(VALUE(LEFT($A1275,6)))),"",IF(LEN($A1275)=2,"WOJ. ",IF(LEN($A1275)=4,IF(VALUE(RIGHT($A1275,2))&gt;60,"","Powiat "),IF(VALUE(RIGHT($A1275,1))=1,"m. ",IF(VALUE(RIGHT($A1275,1))=2,"gm. w. ",IF(VALUE(RIGHT($A1275,1))=8,"dz. ","gm. m.-w. ")))))&amp;IF(LEN($A1275)=2,TRIM(UPPER(VLOOKUP($A1275,GUS_tabl_1!$A$7:$B$22,2,FALSE))),IF(ISERROR(FIND("..",TRIM(VLOOKUP(IF(AND(LEN($A1275)=4,VALUE(RIGHT($A1275,2))&gt;60),$A1275&amp;"01 1",$A1275),IF(AND(LEN($A1275)=4,VALUE(RIGHT($A1275,2))&lt;60),GUS_tabl_2!$A$8:$B$464,GUS_tabl_21!$A$5:$B$4886),2,FALSE)))),TRIM(VLOOKUP(IF(AND(LEN($A1275)=4,VALUE(RIGHT($A1275,2))&gt;60),$A1275&amp;"01 1",$A1275),IF(AND(LEN($A1275)=4,VALUE(RIGHT($A1275,2))&lt;60),GUS_tabl_2!$A$8:$B$464,GUS_tabl_21!$A$5:$B$4886),2,FALSE)),LEFT(TRIM(VLOOKUP(IF(AND(LEN($A1275)=4,VALUE(RIGHT($A1275,2))&gt;60),$A1275&amp;"01 1",$A1275),IF(AND(LEN($A1275)=4,VALUE(RIGHT($A1275,2))&lt;60),GUS_tabl_2!$A$8:$B$464,GUS_tabl_21!$A$5:$B$4886),2,FALSE)),SUM(FIND("..",TRIM(VLOOKUP(IF(AND(LEN($A1275)=4,VALUE(RIGHT($A1275,2))&gt;60),$A1275&amp;"01 1",$A1275),IF(AND(LEN($A1275)=4,VALUE(RIGHT($A1275,2))&lt;60),GUS_tabl_2!$A$8:$B$464,GUS_tabl_21!$A$5:$B$4886),2,FALSE))),-1)))))</f>
        <v>gm. m.-w. Zakroczym</v>
      </c>
      <c r="D1275" s="141">
        <f>IF(OR($A1275="",ISERROR(VALUE(LEFT($A1275,6)))),"",IF(LEN($A1275)=2,SUMIF($A1276:$A$2965,$A1275&amp;"??",$D1276:$D$2965),IF(AND(LEN($A1275)=4,VALUE(RIGHT($A1275,2))&lt;=60),SUMIF($A1276:$A$2965,$A1275&amp;"????",$D1276:$D$2965),VLOOKUP(IF(LEN($A1275)=4,$A1275&amp;"01 1",$A1275),GUS_tabl_21!$A$5:$F$4886,6,FALSE))))</f>
        <v>6033</v>
      </c>
      <c r="E1275" s="29"/>
    </row>
    <row r="1276" spans="1:6" ht="12" customHeight="1">
      <c r="A1276" s="152" t="str">
        <f>"1415"</f>
        <v>1415</v>
      </c>
      <c r="B1276" s="153" t="s">
        <v>45</v>
      </c>
      <c r="C1276" s="154" t="str">
        <f>IF(OR($A1276="",ISERROR(VALUE(LEFT($A1276,6)))),"",IF(LEN($A1276)=2,"WOJ. ",IF(LEN($A1276)=4,IF(VALUE(RIGHT($A1276,2))&gt;60,"","Powiat "),IF(VALUE(RIGHT($A1276,1))=1,"m. ",IF(VALUE(RIGHT($A1276,1))=2,"gm. w. ",IF(VALUE(RIGHT($A1276,1))=8,"dz. ","gm. m.-w. ")))))&amp;IF(LEN($A1276)=2,TRIM(UPPER(VLOOKUP($A1276,GUS_tabl_1!$A$7:$B$22,2,FALSE))),IF(ISERROR(FIND("..",TRIM(VLOOKUP(IF(AND(LEN($A1276)=4,VALUE(RIGHT($A1276,2))&gt;60),$A1276&amp;"01 1",$A1276),IF(AND(LEN($A1276)=4,VALUE(RIGHT($A1276,2))&lt;60),GUS_tabl_2!$A$8:$B$464,GUS_tabl_21!$A$5:$B$4886),2,FALSE)))),TRIM(VLOOKUP(IF(AND(LEN($A1276)=4,VALUE(RIGHT($A1276,2))&gt;60),$A1276&amp;"01 1",$A1276),IF(AND(LEN($A1276)=4,VALUE(RIGHT($A1276,2))&lt;60),GUS_tabl_2!$A$8:$B$464,GUS_tabl_21!$A$5:$B$4886),2,FALSE)),LEFT(TRIM(VLOOKUP(IF(AND(LEN($A1276)=4,VALUE(RIGHT($A1276,2))&gt;60),$A1276&amp;"01 1",$A1276),IF(AND(LEN($A1276)=4,VALUE(RIGHT($A1276,2))&lt;60),GUS_tabl_2!$A$8:$B$464,GUS_tabl_21!$A$5:$B$4886),2,FALSE)),SUM(FIND("..",TRIM(VLOOKUP(IF(AND(LEN($A1276)=4,VALUE(RIGHT($A1276,2))&gt;60),$A1276&amp;"01 1",$A1276),IF(AND(LEN($A1276)=4,VALUE(RIGHT($A1276,2))&lt;60),GUS_tabl_2!$A$8:$B$464,GUS_tabl_21!$A$5:$B$4886),2,FALSE))),-1)))))</f>
        <v>Powiat ostrołęcki</v>
      </c>
      <c r="D1276" s="140">
        <f>IF(OR($A1276="",ISERROR(VALUE(LEFT($A1276,6)))),"",IF(LEN($A1276)=2,SUMIF($A1277:$A$2965,$A1276&amp;"??",$D1277:$D$2965),IF(AND(LEN($A1276)=4,VALUE(RIGHT($A1276,2))&lt;=60),SUMIF($A1277:$A$2965,$A1276&amp;"????",$D1277:$D$2965),VLOOKUP(IF(LEN($A1276)=4,$A1276&amp;"01 1",$A1276),GUS_tabl_21!$A$5:$F$4886,6,FALSE))))</f>
        <v>88654</v>
      </c>
      <c r="E1276" s="29"/>
      <c r="F1276" s="193"/>
    </row>
    <row r="1277" spans="1:6" ht="12" customHeight="1">
      <c r="A1277" s="155" t="str">
        <f>"141501 2"</f>
        <v>141501 2</v>
      </c>
      <c r="B1277" s="153" t="s">
        <v>45</v>
      </c>
      <c r="C1277" s="156" t="str">
        <f>IF(OR($A1277="",ISERROR(VALUE(LEFT($A1277,6)))),"",IF(LEN($A1277)=2,"WOJ. ",IF(LEN($A1277)=4,IF(VALUE(RIGHT($A1277,2))&gt;60,"","Powiat "),IF(VALUE(RIGHT($A1277,1))=1,"m. ",IF(VALUE(RIGHT($A1277,1))=2,"gm. w. ",IF(VALUE(RIGHT($A1277,1))=8,"dz. ","gm. m.-w. ")))))&amp;IF(LEN($A1277)=2,TRIM(UPPER(VLOOKUP($A1277,GUS_tabl_1!$A$7:$B$22,2,FALSE))),IF(ISERROR(FIND("..",TRIM(VLOOKUP(IF(AND(LEN($A1277)=4,VALUE(RIGHT($A1277,2))&gt;60),$A1277&amp;"01 1",$A1277),IF(AND(LEN($A1277)=4,VALUE(RIGHT($A1277,2))&lt;60),GUS_tabl_2!$A$8:$B$464,GUS_tabl_21!$A$5:$B$4886),2,FALSE)))),TRIM(VLOOKUP(IF(AND(LEN($A1277)=4,VALUE(RIGHT($A1277,2))&gt;60),$A1277&amp;"01 1",$A1277),IF(AND(LEN($A1277)=4,VALUE(RIGHT($A1277,2))&lt;60),GUS_tabl_2!$A$8:$B$464,GUS_tabl_21!$A$5:$B$4886),2,FALSE)),LEFT(TRIM(VLOOKUP(IF(AND(LEN($A1277)=4,VALUE(RIGHT($A1277,2))&gt;60),$A1277&amp;"01 1",$A1277),IF(AND(LEN($A1277)=4,VALUE(RIGHT($A1277,2))&lt;60),GUS_tabl_2!$A$8:$B$464,GUS_tabl_21!$A$5:$B$4886),2,FALSE)),SUM(FIND("..",TRIM(VLOOKUP(IF(AND(LEN($A1277)=4,VALUE(RIGHT($A1277,2))&gt;60),$A1277&amp;"01 1",$A1277),IF(AND(LEN($A1277)=4,VALUE(RIGHT($A1277,2))&lt;60),GUS_tabl_2!$A$8:$B$464,GUS_tabl_21!$A$5:$B$4886),2,FALSE))),-1)))))</f>
        <v>gm. w. Baranowo</v>
      </c>
      <c r="D1277" s="141">
        <f>IF(OR($A1277="",ISERROR(VALUE(LEFT($A1277,6)))),"",IF(LEN($A1277)=2,SUMIF($A1278:$A$2965,$A1277&amp;"??",$D1278:$D$2965),IF(AND(LEN($A1277)=4,VALUE(RIGHT($A1277,2))&lt;=60),SUMIF($A1278:$A$2965,$A1277&amp;"????",$D1278:$D$2965),VLOOKUP(IF(LEN($A1277)=4,$A1277&amp;"01 1",$A1277),GUS_tabl_21!$A$5:$F$4886,6,FALSE))))</f>
        <v>6496</v>
      </c>
      <c r="E1277" s="29"/>
    </row>
    <row r="1278" spans="1:6" ht="12" customHeight="1">
      <c r="A1278" s="155" t="str">
        <f>"141502 2"</f>
        <v>141502 2</v>
      </c>
      <c r="B1278" s="153" t="s">
        <v>45</v>
      </c>
      <c r="C1278" s="156" t="str">
        <f>IF(OR($A1278="",ISERROR(VALUE(LEFT($A1278,6)))),"",IF(LEN($A1278)=2,"WOJ. ",IF(LEN($A1278)=4,IF(VALUE(RIGHT($A1278,2))&gt;60,"","Powiat "),IF(VALUE(RIGHT($A1278,1))=1,"m. ",IF(VALUE(RIGHT($A1278,1))=2,"gm. w. ",IF(VALUE(RIGHT($A1278,1))=8,"dz. ","gm. m.-w. ")))))&amp;IF(LEN($A1278)=2,TRIM(UPPER(VLOOKUP($A1278,GUS_tabl_1!$A$7:$B$22,2,FALSE))),IF(ISERROR(FIND("..",TRIM(VLOOKUP(IF(AND(LEN($A1278)=4,VALUE(RIGHT($A1278,2))&gt;60),$A1278&amp;"01 1",$A1278),IF(AND(LEN($A1278)=4,VALUE(RIGHT($A1278,2))&lt;60),GUS_tabl_2!$A$8:$B$464,GUS_tabl_21!$A$5:$B$4886),2,FALSE)))),TRIM(VLOOKUP(IF(AND(LEN($A1278)=4,VALUE(RIGHT($A1278,2))&gt;60),$A1278&amp;"01 1",$A1278),IF(AND(LEN($A1278)=4,VALUE(RIGHT($A1278,2))&lt;60),GUS_tabl_2!$A$8:$B$464,GUS_tabl_21!$A$5:$B$4886),2,FALSE)),LEFT(TRIM(VLOOKUP(IF(AND(LEN($A1278)=4,VALUE(RIGHT($A1278,2))&gt;60),$A1278&amp;"01 1",$A1278),IF(AND(LEN($A1278)=4,VALUE(RIGHT($A1278,2))&lt;60),GUS_tabl_2!$A$8:$B$464,GUS_tabl_21!$A$5:$B$4886),2,FALSE)),SUM(FIND("..",TRIM(VLOOKUP(IF(AND(LEN($A1278)=4,VALUE(RIGHT($A1278,2))&gt;60),$A1278&amp;"01 1",$A1278),IF(AND(LEN($A1278)=4,VALUE(RIGHT($A1278,2))&lt;60),GUS_tabl_2!$A$8:$B$464,GUS_tabl_21!$A$5:$B$4886),2,FALSE))),-1)))))</f>
        <v>gm. w. Czarnia</v>
      </c>
      <c r="D1278" s="141">
        <f>IF(OR($A1278="",ISERROR(VALUE(LEFT($A1278,6)))),"",IF(LEN($A1278)=2,SUMIF($A1279:$A$2965,$A1278&amp;"??",$D1279:$D$2965),IF(AND(LEN($A1278)=4,VALUE(RIGHT($A1278,2))&lt;=60),SUMIF($A1279:$A$2965,$A1278&amp;"????",$D1279:$D$2965),VLOOKUP(IF(LEN($A1278)=4,$A1278&amp;"01 1",$A1278),GUS_tabl_21!$A$5:$F$4886,6,FALSE))))</f>
        <v>2513</v>
      </c>
      <c r="E1278" s="29"/>
    </row>
    <row r="1279" spans="1:6" ht="12" customHeight="1">
      <c r="A1279" s="155" t="str">
        <f>"141503 2"</f>
        <v>141503 2</v>
      </c>
      <c r="B1279" s="153" t="s">
        <v>45</v>
      </c>
      <c r="C1279" s="156" t="str">
        <f>IF(OR($A1279="",ISERROR(VALUE(LEFT($A1279,6)))),"",IF(LEN($A1279)=2,"WOJ. ",IF(LEN($A1279)=4,IF(VALUE(RIGHT($A1279,2))&gt;60,"","Powiat "),IF(VALUE(RIGHT($A1279,1))=1,"m. ",IF(VALUE(RIGHT($A1279,1))=2,"gm. w. ",IF(VALUE(RIGHT($A1279,1))=8,"dz. ","gm. m.-w. ")))))&amp;IF(LEN($A1279)=2,TRIM(UPPER(VLOOKUP($A1279,GUS_tabl_1!$A$7:$B$22,2,FALSE))),IF(ISERROR(FIND("..",TRIM(VLOOKUP(IF(AND(LEN($A1279)=4,VALUE(RIGHT($A1279,2))&gt;60),$A1279&amp;"01 1",$A1279),IF(AND(LEN($A1279)=4,VALUE(RIGHT($A1279,2))&lt;60),GUS_tabl_2!$A$8:$B$464,GUS_tabl_21!$A$5:$B$4886),2,FALSE)))),TRIM(VLOOKUP(IF(AND(LEN($A1279)=4,VALUE(RIGHT($A1279,2))&gt;60),$A1279&amp;"01 1",$A1279),IF(AND(LEN($A1279)=4,VALUE(RIGHT($A1279,2))&lt;60),GUS_tabl_2!$A$8:$B$464,GUS_tabl_21!$A$5:$B$4886),2,FALSE)),LEFT(TRIM(VLOOKUP(IF(AND(LEN($A1279)=4,VALUE(RIGHT($A1279,2))&gt;60),$A1279&amp;"01 1",$A1279),IF(AND(LEN($A1279)=4,VALUE(RIGHT($A1279,2))&lt;60),GUS_tabl_2!$A$8:$B$464,GUS_tabl_21!$A$5:$B$4886),2,FALSE)),SUM(FIND("..",TRIM(VLOOKUP(IF(AND(LEN($A1279)=4,VALUE(RIGHT($A1279,2))&gt;60),$A1279&amp;"01 1",$A1279),IF(AND(LEN($A1279)=4,VALUE(RIGHT($A1279,2))&lt;60),GUS_tabl_2!$A$8:$B$464,GUS_tabl_21!$A$5:$B$4886),2,FALSE))),-1)))))</f>
        <v>gm. w. Czerwin</v>
      </c>
      <c r="D1279" s="141">
        <f>IF(OR($A1279="",ISERROR(VALUE(LEFT($A1279,6)))),"",IF(LEN($A1279)=2,SUMIF($A1280:$A$2965,$A1279&amp;"??",$D1280:$D$2965),IF(AND(LEN($A1279)=4,VALUE(RIGHT($A1279,2))&lt;=60),SUMIF($A1280:$A$2965,$A1279&amp;"????",$D1280:$D$2965),VLOOKUP(IF(LEN($A1279)=4,$A1279&amp;"01 1",$A1279),GUS_tabl_21!$A$5:$F$4886,6,FALSE))))</f>
        <v>5098</v>
      </c>
      <c r="E1279" s="29"/>
    </row>
    <row r="1280" spans="1:6" ht="12" customHeight="1">
      <c r="A1280" s="155" t="str">
        <f>"141504 2"</f>
        <v>141504 2</v>
      </c>
      <c r="B1280" s="153" t="s">
        <v>45</v>
      </c>
      <c r="C1280" s="156" t="str">
        <f>IF(OR($A1280="",ISERROR(VALUE(LEFT($A1280,6)))),"",IF(LEN($A1280)=2,"WOJ. ",IF(LEN($A1280)=4,IF(VALUE(RIGHT($A1280,2))&gt;60,"","Powiat "),IF(VALUE(RIGHT($A1280,1))=1,"m. ",IF(VALUE(RIGHT($A1280,1))=2,"gm. w. ",IF(VALUE(RIGHT($A1280,1))=8,"dz. ","gm. m.-w. ")))))&amp;IF(LEN($A1280)=2,TRIM(UPPER(VLOOKUP($A1280,GUS_tabl_1!$A$7:$B$22,2,FALSE))),IF(ISERROR(FIND("..",TRIM(VLOOKUP(IF(AND(LEN($A1280)=4,VALUE(RIGHT($A1280,2))&gt;60),$A1280&amp;"01 1",$A1280),IF(AND(LEN($A1280)=4,VALUE(RIGHT($A1280,2))&lt;60),GUS_tabl_2!$A$8:$B$464,GUS_tabl_21!$A$5:$B$4886),2,FALSE)))),TRIM(VLOOKUP(IF(AND(LEN($A1280)=4,VALUE(RIGHT($A1280,2))&gt;60),$A1280&amp;"01 1",$A1280),IF(AND(LEN($A1280)=4,VALUE(RIGHT($A1280,2))&lt;60),GUS_tabl_2!$A$8:$B$464,GUS_tabl_21!$A$5:$B$4886),2,FALSE)),LEFT(TRIM(VLOOKUP(IF(AND(LEN($A1280)=4,VALUE(RIGHT($A1280,2))&gt;60),$A1280&amp;"01 1",$A1280),IF(AND(LEN($A1280)=4,VALUE(RIGHT($A1280,2))&lt;60),GUS_tabl_2!$A$8:$B$464,GUS_tabl_21!$A$5:$B$4886),2,FALSE)),SUM(FIND("..",TRIM(VLOOKUP(IF(AND(LEN($A1280)=4,VALUE(RIGHT($A1280,2))&gt;60),$A1280&amp;"01 1",$A1280),IF(AND(LEN($A1280)=4,VALUE(RIGHT($A1280,2))&lt;60),GUS_tabl_2!$A$8:$B$464,GUS_tabl_21!$A$5:$B$4886),2,FALSE))),-1)))))</f>
        <v>gm. w. Goworowo</v>
      </c>
      <c r="D1280" s="141">
        <f>IF(OR($A1280="",ISERROR(VALUE(LEFT($A1280,6)))),"",IF(LEN($A1280)=2,SUMIF($A1281:$A$2965,$A1280&amp;"??",$D1281:$D$2965),IF(AND(LEN($A1280)=4,VALUE(RIGHT($A1280,2))&lt;=60),SUMIF($A1281:$A$2965,$A1280&amp;"????",$D1281:$D$2965),VLOOKUP(IF(LEN($A1280)=4,$A1280&amp;"01 1",$A1280),GUS_tabl_21!$A$5:$F$4886,6,FALSE))))</f>
        <v>8275</v>
      </c>
      <c r="E1280" s="29"/>
    </row>
    <row r="1281" spans="1:5" ht="12" customHeight="1">
      <c r="A1281" s="155" t="str">
        <f>"141505 2"</f>
        <v>141505 2</v>
      </c>
      <c r="B1281" s="153" t="s">
        <v>45</v>
      </c>
      <c r="C1281" s="156" t="str">
        <f>IF(OR($A1281="",ISERROR(VALUE(LEFT($A1281,6)))),"",IF(LEN($A1281)=2,"WOJ. ",IF(LEN($A1281)=4,IF(VALUE(RIGHT($A1281,2))&gt;60,"","Powiat "),IF(VALUE(RIGHT($A1281,1))=1,"m. ",IF(VALUE(RIGHT($A1281,1))=2,"gm. w. ",IF(VALUE(RIGHT($A1281,1))=8,"dz. ","gm. m.-w. ")))))&amp;IF(LEN($A1281)=2,TRIM(UPPER(VLOOKUP($A1281,GUS_tabl_1!$A$7:$B$22,2,FALSE))),IF(ISERROR(FIND("..",TRIM(VLOOKUP(IF(AND(LEN($A1281)=4,VALUE(RIGHT($A1281,2))&gt;60),$A1281&amp;"01 1",$A1281),IF(AND(LEN($A1281)=4,VALUE(RIGHT($A1281,2))&lt;60),GUS_tabl_2!$A$8:$B$464,GUS_tabl_21!$A$5:$B$4886),2,FALSE)))),TRIM(VLOOKUP(IF(AND(LEN($A1281)=4,VALUE(RIGHT($A1281,2))&gt;60),$A1281&amp;"01 1",$A1281),IF(AND(LEN($A1281)=4,VALUE(RIGHT($A1281,2))&lt;60),GUS_tabl_2!$A$8:$B$464,GUS_tabl_21!$A$5:$B$4886),2,FALSE)),LEFT(TRIM(VLOOKUP(IF(AND(LEN($A1281)=4,VALUE(RIGHT($A1281,2))&gt;60),$A1281&amp;"01 1",$A1281),IF(AND(LEN($A1281)=4,VALUE(RIGHT($A1281,2))&lt;60),GUS_tabl_2!$A$8:$B$464,GUS_tabl_21!$A$5:$B$4886),2,FALSE)),SUM(FIND("..",TRIM(VLOOKUP(IF(AND(LEN($A1281)=4,VALUE(RIGHT($A1281,2))&gt;60),$A1281&amp;"01 1",$A1281),IF(AND(LEN($A1281)=4,VALUE(RIGHT($A1281,2))&lt;60),GUS_tabl_2!$A$8:$B$464,GUS_tabl_21!$A$5:$B$4886),2,FALSE))),-1)))))</f>
        <v>gm. w. Kadzidło</v>
      </c>
      <c r="D1281" s="141">
        <f>IF(OR($A1281="",ISERROR(VALUE(LEFT($A1281,6)))),"",IF(LEN($A1281)=2,SUMIF($A1282:$A$2965,$A1281&amp;"??",$D1282:$D$2965),IF(AND(LEN($A1281)=4,VALUE(RIGHT($A1281,2))&lt;=60),SUMIF($A1282:$A$2965,$A1281&amp;"????",$D1282:$D$2965),VLOOKUP(IF(LEN($A1281)=4,$A1281&amp;"01 1",$A1281),GUS_tabl_21!$A$5:$F$4886,6,FALSE))))</f>
        <v>11363</v>
      </c>
      <c r="E1281" s="29"/>
    </row>
    <row r="1282" spans="1:5" ht="12" customHeight="1">
      <c r="A1282" s="155" t="str">
        <f>"141506 2"</f>
        <v>141506 2</v>
      </c>
      <c r="B1282" s="153" t="s">
        <v>45</v>
      </c>
      <c r="C1282" s="156" t="str">
        <f>IF(OR($A1282="",ISERROR(VALUE(LEFT($A1282,6)))),"",IF(LEN($A1282)=2,"WOJ. ",IF(LEN($A1282)=4,IF(VALUE(RIGHT($A1282,2))&gt;60,"","Powiat "),IF(VALUE(RIGHT($A1282,1))=1,"m. ",IF(VALUE(RIGHT($A1282,1))=2,"gm. w. ",IF(VALUE(RIGHT($A1282,1))=8,"dz. ","gm. m.-w. ")))))&amp;IF(LEN($A1282)=2,TRIM(UPPER(VLOOKUP($A1282,GUS_tabl_1!$A$7:$B$22,2,FALSE))),IF(ISERROR(FIND("..",TRIM(VLOOKUP(IF(AND(LEN($A1282)=4,VALUE(RIGHT($A1282,2))&gt;60),$A1282&amp;"01 1",$A1282),IF(AND(LEN($A1282)=4,VALUE(RIGHT($A1282,2))&lt;60),GUS_tabl_2!$A$8:$B$464,GUS_tabl_21!$A$5:$B$4886),2,FALSE)))),TRIM(VLOOKUP(IF(AND(LEN($A1282)=4,VALUE(RIGHT($A1282,2))&gt;60),$A1282&amp;"01 1",$A1282),IF(AND(LEN($A1282)=4,VALUE(RIGHT($A1282,2))&lt;60),GUS_tabl_2!$A$8:$B$464,GUS_tabl_21!$A$5:$B$4886),2,FALSE)),LEFT(TRIM(VLOOKUP(IF(AND(LEN($A1282)=4,VALUE(RIGHT($A1282,2))&gt;60),$A1282&amp;"01 1",$A1282),IF(AND(LEN($A1282)=4,VALUE(RIGHT($A1282,2))&lt;60),GUS_tabl_2!$A$8:$B$464,GUS_tabl_21!$A$5:$B$4886),2,FALSE)),SUM(FIND("..",TRIM(VLOOKUP(IF(AND(LEN($A1282)=4,VALUE(RIGHT($A1282,2))&gt;60),$A1282&amp;"01 1",$A1282),IF(AND(LEN($A1282)=4,VALUE(RIGHT($A1282,2))&lt;60),GUS_tabl_2!$A$8:$B$464,GUS_tabl_21!$A$5:$B$4886),2,FALSE))),-1)))))</f>
        <v>gm. w. Lelis</v>
      </c>
      <c r="D1282" s="141">
        <f>IF(OR($A1282="",ISERROR(VALUE(LEFT($A1282,6)))),"",IF(LEN($A1282)=2,SUMIF($A1283:$A$2965,$A1282&amp;"??",$D1283:$D$2965),IF(AND(LEN($A1282)=4,VALUE(RIGHT($A1282,2))&lt;=60),SUMIF($A1283:$A$2965,$A1282&amp;"????",$D1283:$D$2965),VLOOKUP(IF(LEN($A1282)=4,$A1282&amp;"01 1",$A1282),GUS_tabl_21!$A$5:$F$4886,6,FALSE))))</f>
        <v>9707</v>
      </c>
      <c r="E1282" s="29"/>
    </row>
    <row r="1283" spans="1:5" ht="12" customHeight="1">
      <c r="A1283" s="155" t="str">
        <f>"141507 2"</f>
        <v>141507 2</v>
      </c>
      <c r="B1283" s="153" t="s">
        <v>45</v>
      </c>
      <c r="C1283" s="156" t="str">
        <f>IF(OR($A1283="",ISERROR(VALUE(LEFT($A1283,6)))),"",IF(LEN($A1283)=2,"WOJ. ",IF(LEN($A1283)=4,IF(VALUE(RIGHT($A1283,2))&gt;60,"","Powiat "),IF(VALUE(RIGHT($A1283,1))=1,"m. ",IF(VALUE(RIGHT($A1283,1))=2,"gm. w. ",IF(VALUE(RIGHT($A1283,1))=8,"dz. ","gm. m.-w. ")))))&amp;IF(LEN($A1283)=2,TRIM(UPPER(VLOOKUP($A1283,GUS_tabl_1!$A$7:$B$22,2,FALSE))),IF(ISERROR(FIND("..",TRIM(VLOOKUP(IF(AND(LEN($A1283)=4,VALUE(RIGHT($A1283,2))&gt;60),$A1283&amp;"01 1",$A1283),IF(AND(LEN($A1283)=4,VALUE(RIGHT($A1283,2))&lt;60),GUS_tabl_2!$A$8:$B$464,GUS_tabl_21!$A$5:$B$4886),2,FALSE)))),TRIM(VLOOKUP(IF(AND(LEN($A1283)=4,VALUE(RIGHT($A1283,2))&gt;60),$A1283&amp;"01 1",$A1283),IF(AND(LEN($A1283)=4,VALUE(RIGHT($A1283,2))&lt;60),GUS_tabl_2!$A$8:$B$464,GUS_tabl_21!$A$5:$B$4886),2,FALSE)),LEFT(TRIM(VLOOKUP(IF(AND(LEN($A1283)=4,VALUE(RIGHT($A1283,2))&gt;60),$A1283&amp;"01 1",$A1283),IF(AND(LEN($A1283)=4,VALUE(RIGHT($A1283,2))&lt;60),GUS_tabl_2!$A$8:$B$464,GUS_tabl_21!$A$5:$B$4886),2,FALSE)),SUM(FIND("..",TRIM(VLOOKUP(IF(AND(LEN($A1283)=4,VALUE(RIGHT($A1283,2))&gt;60),$A1283&amp;"01 1",$A1283),IF(AND(LEN($A1283)=4,VALUE(RIGHT($A1283,2))&lt;60),GUS_tabl_2!$A$8:$B$464,GUS_tabl_21!$A$5:$B$4886),2,FALSE))),-1)))))</f>
        <v>gm. w. Łyse</v>
      </c>
      <c r="D1283" s="141">
        <f>IF(OR($A1283="",ISERROR(VALUE(LEFT($A1283,6)))),"",IF(LEN($A1283)=2,SUMIF($A1284:$A$2965,$A1283&amp;"??",$D1284:$D$2965),IF(AND(LEN($A1283)=4,VALUE(RIGHT($A1283,2))&lt;=60),SUMIF($A1284:$A$2965,$A1283&amp;"????",$D1284:$D$2965),VLOOKUP(IF(LEN($A1283)=4,$A1283&amp;"01 1",$A1283),GUS_tabl_21!$A$5:$F$4886,6,FALSE))))</f>
        <v>8384</v>
      </c>
      <c r="E1283" s="29"/>
    </row>
    <row r="1284" spans="1:5" ht="12" customHeight="1">
      <c r="A1284" s="155" t="str">
        <f>"141508 3"</f>
        <v>141508 3</v>
      </c>
      <c r="B1284" s="153" t="s">
        <v>45</v>
      </c>
      <c r="C1284" s="156" t="str">
        <f>IF(OR($A1284="",ISERROR(VALUE(LEFT($A1284,6)))),"",IF(LEN($A1284)=2,"WOJ. ",IF(LEN($A1284)=4,IF(VALUE(RIGHT($A1284,2))&gt;60,"","Powiat "),IF(VALUE(RIGHT($A1284,1))=1,"m. ",IF(VALUE(RIGHT($A1284,1))=2,"gm. w. ",IF(VALUE(RIGHT($A1284,1))=8,"dz. ","gm. m.-w. ")))))&amp;IF(LEN($A1284)=2,TRIM(UPPER(VLOOKUP($A1284,GUS_tabl_1!$A$7:$B$22,2,FALSE))),IF(ISERROR(FIND("..",TRIM(VLOOKUP(IF(AND(LEN($A1284)=4,VALUE(RIGHT($A1284,2))&gt;60),$A1284&amp;"01 1",$A1284),IF(AND(LEN($A1284)=4,VALUE(RIGHT($A1284,2))&lt;60),GUS_tabl_2!$A$8:$B$464,GUS_tabl_21!$A$5:$B$4886),2,FALSE)))),TRIM(VLOOKUP(IF(AND(LEN($A1284)=4,VALUE(RIGHT($A1284,2))&gt;60),$A1284&amp;"01 1",$A1284),IF(AND(LEN($A1284)=4,VALUE(RIGHT($A1284,2))&lt;60),GUS_tabl_2!$A$8:$B$464,GUS_tabl_21!$A$5:$B$4886),2,FALSE)),LEFT(TRIM(VLOOKUP(IF(AND(LEN($A1284)=4,VALUE(RIGHT($A1284,2))&gt;60),$A1284&amp;"01 1",$A1284),IF(AND(LEN($A1284)=4,VALUE(RIGHT($A1284,2))&lt;60),GUS_tabl_2!$A$8:$B$464,GUS_tabl_21!$A$5:$B$4886),2,FALSE)),SUM(FIND("..",TRIM(VLOOKUP(IF(AND(LEN($A1284)=4,VALUE(RIGHT($A1284,2))&gt;60),$A1284&amp;"01 1",$A1284),IF(AND(LEN($A1284)=4,VALUE(RIGHT($A1284,2))&lt;60),GUS_tabl_2!$A$8:$B$464,GUS_tabl_21!$A$5:$B$4886),2,FALSE))),-1)))))</f>
        <v>gm. m.-w. Myszyniec</v>
      </c>
      <c r="D1284" s="141">
        <f>IF(OR($A1284="",ISERROR(VALUE(LEFT($A1284,6)))),"",IF(LEN($A1284)=2,SUMIF($A1285:$A$2965,$A1284&amp;"??",$D1285:$D$2965),IF(AND(LEN($A1284)=4,VALUE(RIGHT($A1284,2))&lt;=60),SUMIF($A1285:$A$2965,$A1284&amp;"????",$D1285:$D$2965),VLOOKUP(IF(LEN($A1284)=4,$A1284&amp;"01 1",$A1284),GUS_tabl_21!$A$5:$F$4886,6,FALSE))))</f>
        <v>10437</v>
      </c>
      <c r="E1284" s="29"/>
    </row>
    <row r="1285" spans="1:5" ht="12" customHeight="1">
      <c r="A1285" s="155" t="str">
        <f>"141509 2"</f>
        <v>141509 2</v>
      </c>
      <c r="B1285" s="153" t="s">
        <v>45</v>
      </c>
      <c r="C1285" s="156" t="str">
        <f>IF(OR($A1285="",ISERROR(VALUE(LEFT($A1285,6)))),"",IF(LEN($A1285)=2,"WOJ. ",IF(LEN($A1285)=4,IF(VALUE(RIGHT($A1285,2))&gt;60,"","Powiat "),IF(VALUE(RIGHT($A1285,1))=1,"m. ",IF(VALUE(RIGHT($A1285,1))=2,"gm. w. ",IF(VALUE(RIGHT($A1285,1))=8,"dz. ","gm. m.-w. ")))))&amp;IF(LEN($A1285)=2,TRIM(UPPER(VLOOKUP($A1285,GUS_tabl_1!$A$7:$B$22,2,FALSE))),IF(ISERROR(FIND("..",TRIM(VLOOKUP(IF(AND(LEN($A1285)=4,VALUE(RIGHT($A1285,2))&gt;60),$A1285&amp;"01 1",$A1285),IF(AND(LEN($A1285)=4,VALUE(RIGHT($A1285,2))&lt;60),GUS_tabl_2!$A$8:$B$464,GUS_tabl_21!$A$5:$B$4886),2,FALSE)))),TRIM(VLOOKUP(IF(AND(LEN($A1285)=4,VALUE(RIGHT($A1285,2))&gt;60),$A1285&amp;"01 1",$A1285),IF(AND(LEN($A1285)=4,VALUE(RIGHT($A1285,2))&lt;60),GUS_tabl_2!$A$8:$B$464,GUS_tabl_21!$A$5:$B$4886),2,FALSE)),LEFT(TRIM(VLOOKUP(IF(AND(LEN($A1285)=4,VALUE(RIGHT($A1285,2))&gt;60),$A1285&amp;"01 1",$A1285),IF(AND(LEN($A1285)=4,VALUE(RIGHT($A1285,2))&lt;60),GUS_tabl_2!$A$8:$B$464,GUS_tabl_21!$A$5:$B$4886),2,FALSE)),SUM(FIND("..",TRIM(VLOOKUP(IF(AND(LEN($A1285)=4,VALUE(RIGHT($A1285,2))&gt;60),$A1285&amp;"01 1",$A1285),IF(AND(LEN($A1285)=4,VALUE(RIGHT($A1285,2))&lt;60),GUS_tabl_2!$A$8:$B$464,GUS_tabl_21!$A$5:$B$4886),2,FALSE))),-1)))))</f>
        <v>gm. w. Olszewo-Borki</v>
      </c>
      <c r="D1285" s="141">
        <f>IF(OR($A1285="",ISERROR(VALUE(LEFT($A1285,6)))),"",IF(LEN($A1285)=2,SUMIF($A1286:$A$2965,$A1285&amp;"??",$D1286:$D$2965),IF(AND(LEN($A1285)=4,VALUE(RIGHT($A1285,2))&lt;=60),SUMIF($A1286:$A$2965,$A1285&amp;"????",$D1286:$D$2965),VLOOKUP(IF(LEN($A1285)=4,$A1285&amp;"01 1",$A1285),GUS_tabl_21!$A$5:$F$4886,6,FALSE))))</f>
        <v>10786</v>
      </c>
      <c r="E1285" s="29"/>
    </row>
    <row r="1286" spans="1:5" ht="12" customHeight="1">
      <c r="A1286" s="155" t="str">
        <f>"141510 2"</f>
        <v>141510 2</v>
      </c>
      <c r="B1286" s="153" t="s">
        <v>45</v>
      </c>
      <c r="C1286" s="156" t="str">
        <f>IF(OR($A1286="",ISERROR(VALUE(LEFT($A1286,6)))),"",IF(LEN($A1286)=2,"WOJ. ",IF(LEN($A1286)=4,IF(VALUE(RIGHT($A1286,2))&gt;60,"","Powiat "),IF(VALUE(RIGHT($A1286,1))=1,"m. ",IF(VALUE(RIGHT($A1286,1))=2,"gm. w. ",IF(VALUE(RIGHT($A1286,1))=8,"dz. ","gm. m.-w. ")))))&amp;IF(LEN($A1286)=2,TRIM(UPPER(VLOOKUP($A1286,GUS_tabl_1!$A$7:$B$22,2,FALSE))),IF(ISERROR(FIND("..",TRIM(VLOOKUP(IF(AND(LEN($A1286)=4,VALUE(RIGHT($A1286,2))&gt;60),$A1286&amp;"01 1",$A1286),IF(AND(LEN($A1286)=4,VALUE(RIGHT($A1286,2))&lt;60),GUS_tabl_2!$A$8:$B$464,GUS_tabl_21!$A$5:$B$4886),2,FALSE)))),TRIM(VLOOKUP(IF(AND(LEN($A1286)=4,VALUE(RIGHT($A1286,2))&gt;60),$A1286&amp;"01 1",$A1286),IF(AND(LEN($A1286)=4,VALUE(RIGHT($A1286,2))&lt;60),GUS_tabl_2!$A$8:$B$464,GUS_tabl_21!$A$5:$B$4886),2,FALSE)),LEFT(TRIM(VLOOKUP(IF(AND(LEN($A1286)=4,VALUE(RIGHT($A1286,2))&gt;60),$A1286&amp;"01 1",$A1286),IF(AND(LEN($A1286)=4,VALUE(RIGHT($A1286,2))&lt;60),GUS_tabl_2!$A$8:$B$464,GUS_tabl_21!$A$5:$B$4886),2,FALSE)),SUM(FIND("..",TRIM(VLOOKUP(IF(AND(LEN($A1286)=4,VALUE(RIGHT($A1286,2))&gt;60),$A1286&amp;"01 1",$A1286),IF(AND(LEN($A1286)=4,VALUE(RIGHT($A1286,2))&lt;60),GUS_tabl_2!$A$8:$B$464,GUS_tabl_21!$A$5:$B$4886),2,FALSE))),-1)))))</f>
        <v>gm. w. Rzekuń</v>
      </c>
      <c r="D1286" s="141">
        <f>IF(OR($A1286="",ISERROR(VALUE(LEFT($A1286,6)))),"",IF(LEN($A1286)=2,SUMIF($A1287:$A$2965,$A1286&amp;"??",$D1287:$D$2965),IF(AND(LEN($A1286)=4,VALUE(RIGHT($A1286,2))&lt;=60),SUMIF($A1287:$A$2965,$A1286&amp;"????",$D1287:$D$2965),VLOOKUP(IF(LEN($A1286)=4,$A1286&amp;"01 1",$A1286),GUS_tabl_21!$A$5:$F$4886,6,FALSE))))</f>
        <v>10839</v>
      </c>
      <c r="E1286" s="29"/>
    </row>
    <row r="1287" spans="1:5" ht="12" customHeight="1">
      <c r="A1287" s="155" t="str">
        <f>"141511 2"</f>
        <v>141511 2</v>
      </c>
      <c r="B1287" s="153" t="s">
        <v>45</v>
      </c>
      <c r="C1287" s="156" t="str">
        <f>IF(OR($A1287="",ISERROR(VALUE(LEFT($A1287,6)))),"",IF(LEN($A1287)=2,"WOJ. ",IF(LEN($A1287)=4,IF(VALUE(RIGHT($A1287,2))&gt;60,"","Powiat "),IF(VALUE(RIGHT($A1287,1))=1,"m. ",IF(VALUE(RIGHT($A1287,1))=2,"gm. w. ",IF(VALUE(RIGHT($A1287,1))=8,"dz. ","gm. m.-w. ")))))&amp;IF(LEN($A1287)=2,TRIM(UPPER(VLOOKUP($A1287,GUS_tabl_1!$A$7:$B$22,2,FALSE))),IF(ISERROR(FIND("..",TRIM(VLOOKUP(IF(AND(LEN($A1287)=4,VALUE(RIGHT($A1287,2))&gt;60),$A1287&amp;"01 1",$A1287),IF(AND(LEN($A1287)=4,VALUE(RIGHT($A1287,2))&lt;60),GUS_tabl_2!$A$8:$B$464,GUS_tabl_21!$A$5:$B$4886),2,FALSE)))),TRIM(VLOOKUP(IF(AND(LEN($A1287)=4,VALUE(RIGHT($A1287,2))&gt;60),$A1287&amp;"01 1",$A1287),IF(AND(LEN($A1287)=4,VALUE(RIGHT($A1287,2))&lt;60),GUS_tabl_2!$A$8:$B$464,GUS_tabl_21!$A$5:$B$4886),2,FALSE)),LEFT(TRIM(VLOOKUP(IF(AND(LEN($A1287)=4,VALUE(RIGHT($A1287,2))&gt;60),$A1287&amp;"01 1",$A1287),IF(AND(LEN($A1287)=4,VALUE(RIGHT($A1287,2))&lt;60),GUS_tabl_2!$A$8:$B$464,GUS_tabl_21!$A$5:$B$4886),2,FALSE)),SUM(FIND("..",TRIM(VLOOKUP(IF(AND(LEN($A1287)=4,VALUE(RIGHT($A1287,2))&gt;60),$A1287&amp;"01 1",$A1287),IF(AND(LEN($A1287)=4,VALUE(RIGHT($A1287,2))&lt;60),GUS_tabl_2!$A$8:$B$464,GUS_tabl_21!$A$5:$B$4886),2,FALSE))),-1)))))</f>
        <v>gm. w. Troszyn</v>
      </c>
      <c r="D1287" s="141">
        <f>IF(OR($A1287="",ISERROR(VALUE(LEFT($A1287,6)))),"",IF(LEN($A1287)=2,SUMIF($A1288:$A$2965,$A1287&amp;"??",$D1288:$D$2965),IF(AND(LEN($A1287)=4,VALUE(RIGHT($A1287,2))&lt;=60),SUMIF($A1288:$A$2965,$A1287&amp;"????",$D1288:$D$2965),VLOOKUP(IF(LEN($A1287)=4,$A1287&amp;"01 1",$A1287),GUS_tabl_21!$A$5:$F$4886,6,FALSE))))</f>
        <v>4756</v>
      </c>
      <c r="E1287" s="29"/>
    </row>
    <row r="1288" spans="1:5" ht="12" customHeight="1">
      <c r="A1288" s="152" t="str">
        <f>"1416"</f>
        <v>1416</v>
      </c>
      <c r="B1288" s="153" t="s">
        <v>45</v>
      </c>
      <c r="C1288" s="154" t="str">
        <f>IF(OR($A1288="",ISERROR(VALUE(LEFT($A1288,6)))),"",IF(LEN($A1288)=2,"WOJ. ",IF(LEN($A1288)=4,IF(VALUE(RIGHT($A1288,2))&gt;60,"","Powiat "),IF(VALUE(RIGHT($A1288,1))=1,"m. ",IF(VALUE(RIGHT($A1288,1))=2,"gm. w. ",IF(VALUE(RIGHT($A1288,1))=8,"dz. ","gm. m.-w. ")))))&amp;IF(LEN($A1288)=2,TRIM(UPPER(VLOOKUP($A1288,GUS_tabl_1!$A$7:$B$22,2,FALSE))),IF(ISERROR(FIND("..",TRIM(VLOOKUP(IF(AND(LEN($A1288)=4,VALUE(RIGHT($A1288,2))&gt;60),$A1288&amp;"01 1",$A1288),IF(AND(LEN($A1288)=4,VALUE(RIGHT($A1288,2))&lt;60),GUS_tabl_2!$A$8:$B$464,GUS_tabl_21!$A$5:$B$4886),2,FALSE)))),TRIM(VLOOKUP(IF(AND(LEN($A1288)=4,VALUE(RIGHT($A1288,2))&gt;60),$A1288&amp;"01 1",$A1288),IF(AND(LEN($A1288)=4,VALUE(RIGHT($A1288,2))&lt;60),GUS_tabl_2!$A$8:$B$464,GUS_tabl_21!$A$5:$B$4886),2,FALSE)),LEFT(TRIM(VLOOKUP(IF(AND(LEN($A1288)=4,VALUE(RIGHT($A1288,2))&gt;60),$A1288&amp;"01 1",$A1288),IF(AND(LEN($A1288)=4,VALUE(RIGHT($A1288,2))&lt;60),GUS_tabl_2!$A$8:$B$464,GUS_tabl_21!$A$5:$B$4886),2,FALSE)),SUM(FIND("..",TRIM(VLOOKUP(IF(AND(LEN($A1288)=4,VALUE(RIGHT($A1288,2))&gt;60),$A1288&amp;"01 1",$A1288),IF(AND(LEN($A1288)=4,VALUE(RIGHT($A1288,2))&lt;60),GUS_tabl_2!$A$8:$B$464,GUS_tabl_21!$A$5:$B$4886),2,FALSE))),-1)))))</f>
        <v>Powiat ostrowski</v>
      </c>
      <c r="D1288" s="140">
        <f>IF(OR($A1288="",ISERROR(VALUE(LEFT($A1288,6)))),"",IF(LEN($A1288)=2,SUMIF($A1289:$A$2965,$A1288&amp;"??",$D1289:$D$2965),IF(AND(LEN($A1288)=4,VALUE(RIGHT($A1288,2))&lt;=60),SUMIF($A1289:$A$2965,$A1288&amp;"????",$D1289:$D$2965),VLOOKUP(IF(LEN($A1288)=4,$A1288&amp;"01 1",$A1288),GUS_tabl_21!$A$5:$F$4886,6,FALSE))))</f>
        <v>72328</v>
      </c>
      <c r="E1288" s="29"/>
    </row>
    <row r="1289" spans="1:5" ht="12" customHeight="1">
      <c r="A1289" s="155" t="str">
        <f>"141601 1"</f>
        <v>141601 1</v>
      </c>
      <c r="B1289" s="153" t="s">
        <v>45</v>
      </c>
      <c r="C1289" s="156" t="str">
        <f>IF(OR($A1289="",ISERROR(VALUE(LEFT($A1289,6)))),"",IF(LEN($A1289)=2,"WOJ. ",IF(LEN($A1289)=4,IF(VALUE(RIGHT($A1289,2))&gt;60,"","Powiat "),IF(VALUE(RIGHT($A1289,1))=1,"m. ",IF(VALUE(RIGHT($A1289,1))=2,"gm. w. ",IF(VALUE(RIGHT($A1289,1))=8,"dz. ","gm. m.-w. ")))))&amp;IF(LEN($A1289)=2,TRIM(UPPER(VLOOKUP($A1289,GUS_tabl_1!$A$7:$B$22,2,FALSE))),IF(ISERROR(FIND("..",TRIM(VLOOKUP(IF(AND(LEN($A1289)=4,VALUE(RIGHT($A1289,2))&gt;60),$A1289&amp;"01 1",$A1289),IF(AND(LEN($A1289)=4,VALUE(RIGHT($A1289,2))&lt;60),GUS_tabl_2!$A$8:$B$464,GUS_tabl_21!$A$5:$B$4886),2,FALSE)))),TRIM(VLOOKUP(IF(AND(LEN($A1289)=4,VALUE(RIGHT($A1289,2))&gt;60),$A1289&amp;"01 1",$A1289),IF(AND(LEN($A1289)=4,VALUE(RIGHT($A1289,2))&lt;60),GUS_tabl_2!$A$8:$B$464,GUS_tabl_21!$A$5:$B$4886),2,FALSE)),LEFT(TRIM(VLOOKUP(IF(AND(LEN($A1289)=4,VALUE(RIGHT($A1289,2))&gt;60),$A1289&amp;"01 1",$A1289),IF(AND(LEN($A1289)=4,VALUE(RIGHT($A1289,2))&lt;60),GUS_tabl_2!$A$8:$B$464,GUS_tabl_21!$A$5:$B$4886),2,FALSE)),SUM(FIND("..",TRIM(VLOOKUP(IF(AND(LEN($A1289)=4,VALUE(RIGHT($A1289,2))&gt;60),$A1289&amp;"01 1",$A1289),IF(AND(LEN($A1289)=4,VALUE(RIGHT($A1289,2))&lt;60),GUS_tabl_2!$A$8:$B$464,GUS_tabl_21!$A$5:$B$4886),2,FALSE))),-1)))))</f>
        <v>m. Ostrów Mazowiecka</v>
      </c>
      <c r="D1289" s="141">
        <f>IF(OR($A1289="",ISERROR(VALUE(LEFT($A1289,6)))),"",IF(LEN($A1289)=2,SUMIF($A1290:$A$2965,$A1289&amp;"??",$D1290:$D$2965),IF(AND(LEN($A1289)=4,VALUE(RIGHT($A1289,2))&lt;=60),SUMIF($A1290:$A$2965,$A1289&amp;"????",$D1290:$D$2965),VLOOKUP(IF(LEN($A1289)=4,$A1289&amp;"01 1",$A1289),GUS_tabl_21!$A$5:$F$4886,6,FALSE))))</f>
        <v>22399</v>
      </c>
      <c r="E1289" s="29"/>
    </row>
    <row r="1290" spans="1:5" ht="12" customHeight="1">
      <c r="A1290" s="155" t="str">
        <f>"141602 2"</f>
        <v>141602 2</v>
      </c>
      <c r="B1290" s="153" t="s">
        <v>45</v>
      </c>
      <c r="C1290" s="156" t="str">
        <f>IF(OR($A1290="",ISERROR(VALUE(LEFT($A1290,6)))),"",IF(LEN($A1290)=2,"WOJ. ",IF(LEN($A1290)=4,IF(VALUE(RIGHT($A1290,2))&gt;60,"","Powiat "),IF(VALUE(RIGHT($A1290,1))=1,"m. ",IF(VALUE(RIGHT($A1290,1))=2,"gm. w. ",IF(VALUE(RIGHT($A1290,1))=8,"dz. ","gm. m.-w. ")))))&amp;IF(LEN($A1290)=2,TRIM(UPPER(VLOOKUP($A1290,GUS_tabl_1!$A$7:$B$22,2,FALSE))),IF(ISERROR(FIND("..",TRIM(VLOOKUP(IF(AND(LEN($A1290)=4,VALUE(RIGHT($A1290,2))&gt;60),$A1290&amp;"01 1",$A1290),IF(AND(LEN($A1290)=4,VALUE(RIGHT($A1290,2))&lt;60),GUS_tabl_2!$A$8:$B$464,GUS_tabl_21!$A$5:$B$4886),2,FALSE)))),TRIM(VLOOKUP(IF(AND(LEN($A1290)=4,VALUE(RIGHT($A1290,2))&gt;60),$A1290&amp;"01 1",$A1290),IF(AND(LEN($A1290)=4,VALUE(RIGHT($A1290,2))&lt;60),GUS_tabl_2!$A$8:$B$464,GUS_tabl_21!$A$5:$B$4886),2,FALSE)),LEFT(TRIM(VLOOKUP(IF(AND(LEN($A1290)=4,VALUE(RIGHT($A1290,2))&gt;60),$A1290&amp;"01 1",$A1290),IF(AND(LEN($A1290)=4,VALUE(RIGHT($A1290,2))&lt;60),GUS_tabl_2!$A$8:$B$464,GUS_tabl_21!$A$5:$B$4886),2,FALSE)),SUM(FIND("..",TRIM(VLOOKUP(IF(AND(LEN($A1290)=4,VALUE(RIGHT($A1290,2))&gt;60),$A1290&amp;"01 1",$A1290),IF(AND(LEN($A1290)=4,VALUE(RIGHT($A1290,2))&lt;60),GUS_tabl_2!$A$8:$B$464,GUS_tabl_21!$A$5:$B$4886),2,FALSE))),-1)))))</f>
        <v>gm. w. Andrzejewo</v>
      </c>
      <c r="D1290" s="141">
        <f>IF(OR($A1290="",ISERROR(VALUE(LEFT($A1290,6)))),"",IF(LEN($A1290)=2,SUMIF($A1291:$A$2965,$A1290&amp;"??",$D1291:$D$2965),IF(AND(LEN($A1290)=4,VALUE(RIGHT($A1290,2))&lt;=60),SUMIF($A1291:$A$2965,$A1290&amp;"????",$D1291:$D$2965),VLOOKUP(IF(LEN($A1290)=4,$A1290&amp;"01 1",$A1290),GUS_tabl_21!$A$5:$F$4886,6,FALSE))))</f>
        <v>4063</v>
      </c>
      <c r="E1290" s="29"/>
    </row>
    <row r="1291" spans="1:5" ht="12" customHeight="1">
      <c r="A1291" s="155" t="str">
        <f>"141603 2"</f>
        <v>141603 2</v>
      </c>
      <c r="B1291" s="153" t="s">
        <v>45</v>
      </c>
      <c r="C1291" s="156" t="str">
        <f>IF(OR($A1291="",ISERROR(VALUE(LEFT($A1291,6)))),"",IF(LEN($A1291)=2,"WOJ. ",IF(LEN($A1291)=4,IF(VALUE(RIGHT($A1291,2))&gt;60,"","Powiat "),IF(VALUE(RIGHT($A1291,1))=1,"m. ",IF(VALUE(RIGHT($A1291,1))=2,"gm. w. ",IF(VALUE(RIGHT($A1291,1))=8,"dz. ","gm. m.-w. ")))))&amp;IF(LEN($A1291)=2,TRIM(UPPER(VLOOKUP($A1291,GUS_tabl_1!$A$7:$B$22,2,FALSE))),IF(ISERROR(FIND("..",TRIM(VLOOKUP(IF(AND(LEN($A1291)=4,VALUE(RIGHT($A1291,2))&gt;60),$A1291&amp;"01 1",$A1291),IF(AND(LEN($A1291)=4,VALUE(RIGHT($A1291,2))&lt;60),GUS_tabl_2!$A$8:$B$464,GUS_tabl_21!$A$5:$B$4886),2,FALSE)))),TRIM(VLOOKUP(IF(AND(LEN($A1291)=4,VALUE(RIGHT($A1291,2))&gt;60),$A1291&amp;"01 1",$A1291),IF(AND(LEN($A1291)=4,VALUE(RIGHT($A1291,2))&lt;60),GUS_tabl_2!$A$8:$B$464,GUS_tabl_21!$A$5:$B$4886),2,FALSE)),LEFT(TRIM(VLOOKUP(IF(AND(LEN($A1291)=4,VALUE(RIGHT($A1291,2))&gt;60),$A1291&amp;"01 1",$A1291),IF(AND(LEN($A1291)=4,VALUE(RIGHT($A1291,2))&lt;60),GUS_tabl_2!$A$8:$B$464,GUS_tabl_21!$A$5:$B$4886),2,FALSE)),SUM(FIND("..",TRIM(VLOOKUP(IF(AND(LEN($A1291)=4,VALUE(RIGHT($A1291,2))&gt;60),$A1291&amp;"01 1",$A1291),IF(AND(LEN($A1291)=4,VALUE(RIGHT($A1291,2))&lt;60),GUS_tabl_2!$A$8:$B$464,GUS_tabl_21!$A$5:$B$4886),2,FALSE))),-1)))))</f>
        <v>gm. w. Boguty-Pianki</v>
      </c>
      <c r="D1291" s="141">
        <f>IF(OR($A1291="",ISERROR(VALUE(LEFT($A1291,6)))),"",IF(LEN($A1291)=2,SUMIF($A1292:$A$2965,$A1291&amp;"??",$D1292:$D$2965),IF(AND(LEN($A1291)=4,VALUE(RIGHT($A1291,2))&lt;=60),SUMIF($A1292:$A$2965,$A1291&amp;"????",$D1292:$D$2965),VLOOKUP(IF(LEN($A1291)=4,$A1291&amp;"01 1",$A1291),GUS_tabl_21!$A$5:$F$4886,6,FALSE))))</f>
        <v>2581</v>
      </c>
      <c r="E1291" s="29"/>
    </row>
    <row r="1292" spans="1:5" ht="12" customHeight="1">
      <c r="A1292" s="155" t="str">
        <f>"141604 3"</f>
        <v>141604 3</v>
      </c>
      <c r="B1292" s="153" t="s">
        <v>45</v>
      </c>
      <c r="C1292" s="156" t="str">
        <f>IF(OR($A1292="",ISERROR(VALUE(LEFT($A1292,6)))),"",IF(LEN($A1292)=2,"WOJ. ",IF(LEN($A1292)=4,IF(VALUE(RIGHT($A1292,2))&gt;60,"","Powiat "),IF(VALUE(RIGHT($A1292,1))=1,"m. ",IF(VALUE(RIGHT($A1292,1))=2,"gm. w. ",IF(VALUE(RIGHT($A1292,1))=8,"dz. ","gm. m.-w. ")))))&amp;IF(LEN($A1292)=2,TRIM(UPPER(VLOOKUP($A1292,GUS_tabl_1!$A$7:$B$22,2,FALSE))),IF(ISERROR(FIND("..",TRIM(VLOOKUP(IF(AND(LEN($A1292)=4,VALUE(RIGHT($A1292,2))&gt;60),$A1292&amp;"01 1",$A1292),IF(AND(LEN($A1292)=4,VALUE(RIGHT($A1292,2))&lt;60),GUS_tabl_2!$A$8:$B$464,GUS_tabl_21!$A$5:$B$4886),2,FALSE)))),TRIM(VLOOKUP(IF(AND(LEN($A1292)=4,VALUE(RIGHT($A1292,2))&gt;60),$A1292&amp;"01 1",$A1292),IF(AND(LEN($A1292)=4,VALUE(RIGHT($A1292,2))&lt;60),GUS_tabl_2!$A$8:$B$464,GUS_tabl_21!$A$5:$B$4886),2,FALSE)),LEFT(TRIM(VLOOKUP(IF(AND(LEN($A1292)=4,VALUE(RIGHT($A1292,2))&gt;60),$A1292&amp;"01 1",$A1292),IF(AND(LEN($A1292)=4,VALUE(RIGHT($A1292,2))&lt;60),GUS_tabl_2!$A$8:$B$464,GUS_tabl_21!$A$5:$B$4886),2,FALSE)),SUM(FIND("..",TRIM(VLOOKUP(IF(AND(LEN($A1292)=4,VALUE(RIGHT($A1292,2))&gt;60),$A1292&amp;"01 1",$A1292),IF(AND(LEN($A1292)=4,VALUE(RIGHT($A1292,2))&lt;60),GUS_tabl_2!$A$8:$B$464,GUS_tabl_21!$A$5:$B$4886),2,FALSE))),-1)))))</f>
        <v>gm. m.-w. Brok</v>
      </c>
      <c r="D1292" s="141">
        <f>IF(OR($A1292="",ISERROR(VALUE(LEFT($A1292,6)))),"",IF(LEN($A1292)=2,SUMIF($A1293:$A$2965,$A1292&amp;"??",$D1293:$D$2965),IF(AND(LEN($A1292)=4,VALUE(RIGHT($A1292,2))&lt;=60),SUMIF($A1293:$A$2965,$A1292&amp;"????",$D1293:$D$2965),VLOOKUP(IF(LEN($A1292)=4,$A1292&amp;"01 1",$A1292),GUS_tabl_21!$A$5:$F$4886,6,FALSE))))</f>
        <v>2813</v>
      </c>
      <c r="E1292" s="29"/>
    </row>
    <row r="1293" spans="1:5" ht="12" customHeight="1">
      <c r="A1293" s="155" t="str">
        <f>"141605 2"</f>
        <v>141605 2</v>
      </c>
      <c r="B1293" s="153" t="s">
        <v>45</v>
      </c>
      <c r="C1293" s="156" t="str">
        <f>IF(OR($A1293="",ISERROR(VALUE(LEFT($A1293,6)))),"",IF(LEN($A1293)=2,"WOJ. ",IF(LEN($A1293)=4,IF(VALUE(RIGHT($A1293,2))&gt;60,"","Powiat "),IF(VALUE(RIGHT($A1293,1))=1,"m. ",IF(VALUE(RIGHT($A1293,1))=2,"gm. w. ",IF(VALUE(RIGHT($A1293,1))=8,"dz. ","gm. m.-w. ")))))&amp;IF(LEN($A1293)=2,TRIM(UPPER(VLOOKUP($A1293,GUS_tabl_1!$A$7:$B$22,2,FALSE))),IF(ISERROR(FIND("..",TRIM(VLOOKUP(IF(AND(LEN($A1293)=4,VALUE(RIGHT($A1293,2))&gt;60),$A1293&amp;"01 1",$A1293),IF(AND(LEN($A1293)=4,VALUE(RIGHT($A1293,2))&lt;60),GUS_tabl_2!$A$8:$B$464,GUS_tabl_21!$A$5:$B$4886),2,FALSE)))),TRIM(VLOOKUP(IF(AND(LEN($A1293)=4,VALUE(RIGHT($A1293,2))&gt;60),$A1293&amp;"01 1",$A1293),IF(AND(LEN($A1293)=4,VALUE(RIGHT($A1293,2))&lt;60),GUS_tabl_2!$A$8:$B$464,GUS_tabl_21!$A$5:$B$4886),2,FALSE)),LEFT(TRIM(VLOOKUP(IF(AND(LEN($A1293)=4,VALUE(RIGHT($A1293,2))&gt;60),$A1293&amp;"01 1",$A1293),IF(AND(LEN($A1293)=4,VALUE(RIGHT($A1293,2))&lt;60),GUS_tabl_2!$A$8:$B$464,GUS_tabl_21!$A$5:$B$4886),2,FALSE)),SUM(FIND("..",TRIM(VLOOKUP(IF(AND(LEN($A1293)=4,VALUE(RIGHT($A1293,2))&gt;60),$A1293&amp;"01 1",$A1293),IF(AND(LEN($A1293)=4,VALUE(RIGHT($A1293,2))&lt;60),GUS_tabl_2!$A$8:$B$464,GUS_tabl_21!$A$5:$B$4886),2,FALSE))),-1)))))</f>
        <v>gm. w. Małkinia Górna</v>
      </c>
      <c r="D1293" s="141">
        <f>IF(OR($A1293="",ISERROR(VALUE(LEFT($A1293,6)))),"",IF(LEN($A1293)=2,SUMIF($A1294:$A$2965,$A1293&amp;"??",$D1294:$D$2965),IF(AND(LEN($A1293)=4,VALUE(RIGHT($A1293,2))&lt;=60),SUMIF($A1294:$A$2965,$A1293&amp;"????",$D1294:$D$2965),VLOOKUP(IF(LEN($A1293)=4,$A1293&amp;"01 1",$A1293),GUS_tabl_21!$A$5:$F$4886,6,FALSE))))</f>
        <v>11624</v>
      </c>
      <c r="E1293" s="29"/>
    </row>
    <row r="1294" spans="1:5" ht="12" customHeight="1">
      <c r="A1294" s="155" t="str">
        <f>"141606 2"</f>
        <v>141606 2</v>
      </c>
      <c r="B1294" s="153" t="s">
        <v>45</v>
      </c>
      <c r="C1294" s="156" t="str">
        <f>IF(OR($A1294="",ISERROR(VALUE(LEFT($A1294,6)))),"",IF(LEN($A1294)=2,"WOJ. ",IF(LEN($A1294)=4,IF(VALUE(RIGHT($A1294,2))&gt;60,"","Powiat "),IF(VALUE(RIGHT($A1294,1))=1,"m. ",IF(VALUE(RIGHT($A1294,1))=2,"gm. w. ",IF(VALUE(RIGHT($A1294,1))=8,"dz. ","gm. m.-w. ")))))&amp;IF(LEN($A1294)=2,TRIM(UPPER(VLOOKUP($A1294,GUS_tabl_1!$A$7:$B$22,2,FALSE))),IF(ISERROR(FIND("..",TRIM(VLOOKUP(IF(AND(LEN($A1294)=4,VALUE(RIGHT($A1294,2))&gt;60),$A1294&amp;"01 1",$A1294),IF(AND(LEN($A1294)=4,VALUE(RIGHT($A1294,2))&lt;60),GUS_tabl_2!$A$8:$B$464,GUS_tabl_21!$A$5:$B$4886),2,FALSE)))),TRIM(VLOOKUP(IF(AND(LEN($A1294)=4,VALUE(RIGHT($A1294,2))&gt;60),$A1294&amp;"01 1",$A1294),IF(AND(LEN($A1294)=4,VALUE(RIGHT($A1294,2))&lt;60),GUS_tabl_2!$A$8:$B$464,GUS_tabl_21!$A$5:$B$4886),2,FALSE)),LEFT(TRIM(VLOOKUP(IF(AND(LEN($A1294)=4,VALUE(RIGHT($A1294,2))&gt;60),$A1294&amp;"01 1",$A1294),IF(AND(LEN($A1294)=4,VALUE(RIGHT($A1294,2))&lt;60),GUS_tabl_2!$A$8:$B$464,GUS_tabl_21!$A$5:$B$4886),2,FALSE)),SUM(FIND("..",TRIM(VLOOKUP(IF(AND(LEN($A1294)=4,VALUE(RIGHT($A1294,2))&gt;60),$A1294&amp;"01 1",$A1294),IF(AND(LEN($A1294)=4,VALUE(RIGHT($A1294,2))&lt;60),GUS_tabl_2!$A$8:$B$464,GUS_tabl_21!$A$5:$B$4886),2,FALSE))),-1)))))</f>
        <v>gm. w. Nur</v>
      </c>
      <c r="D1294" s="141">
        <f>IF(OR($A1294="",ISERROR(VALUE(LEFT($A1294,6)))),"",IF(LEN($A1294)=2,SUMIF($A1295:$A$2965,$A1294&amp;"??",$D1295:$D$2965),IF(AND(LEN($A1294)=4,VALUE(RIGHT($A1294,2))&lt;=60),SUMIF($A1295:$A$2965,$A1294&amp;"????",$D1295:$D$2965),VLOOKUP(IF(LEN($A1294)=4,$A1294&amp;"01 1",$A1294),GUS_tabl_21!$A$5:$F$4886,6,FALSE))))</f>
        <v>2673</v>
      </c>
      <c r="E1294" s="29"/>
    </row>
    <row r="1295" spans="1:5" ht="12" customHeight="1">
      <c r="A1295" s="155" t="str">
        <f>"141607 2"</f>
        <v>141607 2</v>
      </c>
      <c r="B1295" s="153" t="s">
        <v>45</v>
      </c>
      <c r="C1295" s="156" t="str">
        <f>IF(OR($A1295="",ISERROR(VALUE(LEFT($A1295,6)))),"",IF(LEN($A1295)=2,"WOJ. ",IF(LEN($A1295)=4,IF(VALUE(RIGHT($A1295,2))&gt;60,"","Powiat "),IF(VALUE(RIGHT($A1295,1))=1,"m. ",IF(VALUE(RIGHT($A1295,1))=2,"gm. w. ",IF(VALUE(RIGHT($A1295,1))=8,"dz. ","gm. m.-w. ")))))&amp;IF(LEN($A1295)=2,TRIM(UPPER(VLOOKUP($A1295,GUS_tabl_1!$A$7:$B$22,2,FALSE))),IF(ISERROR(FIND("..",TRIM(VLOOKUP(IF(AND(LEN($A1295)=4,VALUE(RIGHT($A1295,2))&gt;60),$A1295&amp;"01 1",$A1295),IF(AND(LEN($A1295)=4,VALUE(RIGHT($A1295,2))&lt;60),GUS_tabl_2!$A$8:$B$464,GUS_tabl_21!$A$5:$B$4886),2,FALSE)))),TRIM(VLOOKUP(IF(AND(LEN($A1295)=4,VALUE(RIGHT($A1295,2))&gt;60),$A1295&amp;"01 1",$A1295),IF(AND(LEN($A1295)=4,VALUE(RIGHT($A1295,2))&lt;60),GUS_tabl_2!$A$8:$B$464,GUS_tabl_21!$A$5:$B$4886),2,FALSE)),LEFT(TRIM(VLOOKUP(IF(AND(LEN($A1295)=4,VALUE(RIGHT($A1295,2))&gt;60),$A1295&amp;"01 1",$A1295),IF(AND(LEN($A1295)=4,VALUE(RIGHT($A1295,2))&lt;60),GUS_tabl_2!$A$8:$B$464,GUS_tabl_21!$A$5:$B$4886),2,FALSE)),SUM(FIND("..",TRIM(VLOOKUP(IF(AND(LEN($A1295)=4,VALUE(RIGHT($A1295,2))&gt;60),$A1295&amp;"01 1",$A1295),IF(AND(LEN($A1295)=4,VALUE(RIGHT($A1295,2))&lt;60),GUS_tabl_2!$A$8:$B$464,GUS_tabl_21!$A$5:$B$4886),2,FALSE))),-1)))))</f>
        <v>gm. w. Ostrów Mazowiecka</v>
      </c>
      <c r="D1295" s="141">
        <f>IF(OR($A1295="",ISERROR(VALUE(LEFT($A1295,6)))),"",IF(LEN($A1295)=2,SUMIF($A1296:$A$2965,$A1295&amp;"??",$D1296:$D$2965),IF(AND(LEN($A1295)=4,VALUE(RIGHT($A1295,2))&lt;=60),SUMIF($A1296:$A$2965,$A1295&amp;"????",$D1296:$D$2965),VLOOKUP(IF(LEN($A1295)=4,$A1295&amp;"01 1",$A1295),GUS_tabl_21!$A$5:$F$4886,6,FALSE))))</f>
        <v>12884</v>
      </c>
      <c r="E1295" s="29"/>
    </row>
    <row r="1296" spans="1:5" ht="12" customHeight="1">
      <c r="A1296" s="155" t="str">
        <f>"141608 2"</f>
        <v>141608 2</v>
      </c>
      <c r="B1296" s="153" t="s">
        <v>45</v>
      </c>
      <c r="C1296" s="156" t="str">
        <f>IF(OR($A1296="",ISERROR(VALUE(LEFT($A1296,6)))),"",IF(LEN($A1296)=2,"WOJ. ",IF(LEN($A1296)=4,IF(VALUE(RIGHT($A1296,2))&gt;60,"","Powiat "),IF(VALUE(RIGHT($A1296,1))=1,"m. ",IF(VALUE(RIGHT($A1296,1))=2,"gm. w. ",IF(VALUE(RIGHT($A1296,1))=8,"dz. ","gm. m.-w. ")))))&amp;IF(LEN($A1296)=2,TRIM(UPPER(VLOOKUP($A1296,GUS_tabl_1!$A$7:$B$22,2,FALSE))),IF(ISERROR(FIND("..",TRIM(VLOOKUP(IF(AND(LEN($A1296)=4,VALUE(RIGHT($A1296,2))&gt;60),$A1296&amp;"01 1",$A1296),IF(AND(LEN($A1296)=4,VALUE(RIGHT($A1296,2))&lt;60),GUS_tabl_2!$A$8:$B$464,GUS_tabl_21!$A$5:$B$4886),2,FALSE)))),TRIM(VLOOKUP(IF(AND(LEN($A1296)=4,VALUE(RIGHT($A1296,2))&gt;60),$A1296&amp;"01 1",$A1296),IF(AND(LEN($A1296)=4,VALUE(RIGHT($A1296,2))&lt;60),GUS_tabl_2!$A$8:$B$464,GUS_tabl_21!$A$5:$B$4886),2,FALSE)),LEFT(TRIM(VLOOKUP(IF(AND(LEN($A1296)=4,VALUE(RIGHT($A1296,2))&gt;60),$A1296&amp;"01 1",$A1296),IF(AND(LEN($A1296)=4,VALUE(RIGHT($A1296,2))&lt;60),GUS_tabl_2!$A$8:$B$464,GUS_tabl_21!$A$5:$B$4886),2,FALSE)),SUM(FIND("..",TRIM(VLOOKUP(IF(AND(LEN($A1296)=4,VALUE(RIGHT($A1296,2))&gt;60),$A1296&amp;"01 1",$A1296),IF(AND(LEN($A1296)=4,VALUE(RIGHT($A1296,2))&lt;60),GUS_tabl_2!$A$8:$B$464,GUS_tabl_21!$A$5:$B$4886),2,FALSE))),-1)))))</f>
        <v>gm. w. Stary Lubotyń</v>
      </c>
      <c r="D1296" s="141">
        <f>IF(OR($A1296="",ISERROR(VALUE(LEFT($A1296,6)))),"",IF(LEN($A1296)=2,SUMIF($A1297:$A$2965,$A1296&amp;"??",$D1297:$D$2965),IF(AND(LEN($A1296)=4,VALUE(RIGHT($A1296,2))&lt;=60),SUMIF($A1297:$A$2965,$A1296&amp;"????",$D1297:$D$2965),VLOOKUP(IF(LEN($A1296)=4,$A1296&amp;"01 1",$A1296),GUS_tabl_21!$A$5:$F$4886,6,FALSE))))</f>
        <v>3707</v>
      </c>
      <c r="E1296" s="29"/>
    </row>
    <row r="1297" spans="1:5" ht="12" customHeight="1">
      <c r="A1297" s="155" t="str">
        <f>"141609 2"</f>
        <v>141609 2</v>
      </c>
      <c r="B1297" s="153" t="s">
        <v>45</v>
      </c>
      <c r="C1297" s="156" t="str">
        <f>IF(OR($A1297="",ISERROR(VALUE(LEFT($A1297,6)))),"",IF(LEN($A1297)=2,"WOJ. ",IF(LEN($A1297)=4,IF(VALUE(RIGHT($A1297,2))&gt;60,"","Powiat "),IF(VALUE(RIGHT($A1297,1))=1,"m. ",IF(VALUE(RIGHT($A1297,1))=2,"gm. w. ",IF(VALUE(RIGHT($A1297,1))=8,"dz. ","gm. m.-w. ")))))&amp;IF(LEN($A1297)=2,TRIM(UPPER(VLOOKUP($A1297,GUS_tabl_1!$A$7:$B$22,2,FALSE))),IF(ISERROR(FIND("..",TRIM(VLOOKUP(IF(AND(LEN($A1297)=4,VALUE(RIGHT($A1297,2))&gt;60),$A1297&amp;"01 1",$A1297),IF(AND(LEN($A1297)=4,VALUE(RIGHT($A1297,2))&lt;60),GUS_tabl_2!$A$8:$B$464,GUS_tabl_21!$A$5:$B$4886),2,FALSE)))),TRIM(VLOOKUP(IF(AND(LEN($A1297)=4,VALUE(RIGHT($A1297,2))&gt;60),$A1297&amp;"01 1",$A1297),IF(AND(LEN($A1297)=4,VALUE(RIGHT($A1297,2))&lt;60),GUS_tabl_2!$A$8:$B$464,GUS_tabl_21!$A$5:$B$4886),2,FALSE)),LEFT(TRIM(VLOOKUP(IF(AND(LEN($A1297)=4,VALUE(RIGHT($A1297,2))&gt;60),$A1297&amp;"01 1",$A1297),IF(AND(LEN($A1297)=4,VALUE(RIGHT($A1297,2))&lt;60),GUS_tabl_2!$A$8:$B$464,GUS_tabl_21!$A$5:$B$4886),2,FALSE)),SUM(FIND("..",TRIM(VLOOKUP(IF(AND(LEN($A1297)=4,VALUE(RIGHT($A1297,2))&gt;60),$A1297&amp;"01 1",$A1297),IF(AND(LEN($A1297)=4,VALUE(RIGHT($A1297,2))&lt;60),GUS_tabl_2!$A$8:$B$464,GUS_tabl_21!$A$5:$B$4886),2,FALSE))),-1)))))</f>
        <v>gm. w. Szulborze Wielkie</v>
      </c>
      <c r="D1297" s="141">
        <f>IF(OR($A1297="",ISERROR(VALUE(LEFT($A1297,6)))),"",IF(LEN($A1297)=2,SUMIF($A1298:$A$2965,$A1297&amp;"??",$D1298:$D$2965),IF(AND(LEN($A1297)=4,VALUE(RIGHT($A1297,2))&lt;=60),SUMIF($A1298:$A$2965,$A1297&amp;"????",$D1298:$D$2965),VLOOKUP(IF(LEN($A1297)=4,$A1297&amp;"01 1",$A1297),GUS_tabl_21!$A$5:$F$4886,6,FALSE))))</f>
        <v>1646</v>
      </c>
      <c r="E1297" s="29"/>
    </row>
    <row r="1298" spans="1:5" ht="12" customHeight="1">
      <c r="A1298" s="155" t="str">
        <f>"141610 2"</f>
        <v>141610 2</v>
      </c>
      <c r="B1298" s="153" t="s">
        <v>45</v>
      </c>
      <c r="C1298" s="156" t="str">
        <f>IF(OR($A1298="",ISERROR(VALUE(LEFT($A1298,6)))),"",IF(LEN($A1298)=2,"WOJ. ",IF(LEN($A1298)=4,IF(VALUE(RIGHT($A1298,2))&gt;60,"","Powiat "),IF(VALUE(RIGHT($A1298,1))=1,"m. ",IF(VALUE(RIGHT($A1298,1))=2,"gm. w. ",IF(VALUE(RIGHT($A1298,1))=8,"dz. ","gm. m.-w. ")))))&amp;IF(LEN($A1298)=2,TRIM(UPPER(VLOOKUP($A1298,GUS_tabl_1!$A$7:$B$22,2,FALSE))),IF(ISERROR(FIND("..",TRIM(VLOOKUP(IF(AND(LEN($A1298)=4,VALUE(RIGHT($A1298,2))&gt;60),$A1298&amp;"01 1",$A1298),IF(AND(LEN($A1298)=4,VALUE(RIGHT($A1298,2))&lt;60),GUS_tabl_2!$A$8:$B$464,GUS_tabl_21!$A$5:$B$4886),2,FALSE)))),TRIM(VLOOKUP(IF(AND(LEN($A1298)=4,VALUE(RIGHT($A1298,2))&gt;60),$A1298&amp;"01 1",$A1298),IF(AND(LEN($A1298)=4,VALUE(RIGHT($A1298,2))&lt;60),GUS_tabl_2!$A$8:$B$464,GUS_tabl_21!$A$5:$B$4886),2,FALSE)),LEFT(TRIM(VLOOKUP(IF(AND(LEN($A1298)=4,VALUE(RIGHT($A1298,2))&gt;60),$A1298&amp;"01 1",$A1298),IF(AND(LEN($A1298)=4,VALUE(RIGHT($A1298,2))&lt;60),GUS_tabl_2!$A$8:$B$464,GUS_tabl_21!$A$5:$B$4886),2,FALSE)),SUM(FIND("..",TRIM(VLOOKUP(IF(AND(LEN($A1298)=4,VALUE(RIGHT($A1298,2))&gt;60),$A1298&amp;"01 1",$A1298),IF(AND(LEN($A1298)=4,VALUE(RIGHT($A1298,2))&lt;60),GUS_tabl_2!$A$8:$B$464,GUS_tabl_21!$A$5:$B$4886),2,FALSE))),-1)))))</f>
        <v>gm. w. Wąsewo</v>
      </c>
      <c r="D1298" s="141">
        <f>IF(OR($A1298="",ISERROR(VALUE(LEFT($A1298,6)))),"",IF(LEN($A1298)=2,SUMIF($A1299:$A$2965,$A1298&amp;"??",$D1299:$D$2965),IF(AND(LEN($A1298)=4,VALUE(RIGHT($A1298,2))&lt;=60),SUMIF($A1299:$A$2965,$A1298&amp;"????",$D1299:$D$2965),VLOOKUP(IF(LEN($A1298)=4,$A1298&amp;"01 1",$A1298),GUS_tabl_21!$A$5:$F$4886,6,FALSE))))</f>
        <v>4293</v>
      </c>
      <c r="E1298" s="29"/>
    </row>
    <row r="1299" spans="1:5" ht="12" customHeight="1">
      <c r="A1299" s="155" t="str">
        <f>"141611 2"</f>
        <v>141611 2</v>
      </c>
      <c r="B1299" s="153" t="s">
        <v>45</v>
      </c>
      <c r="C1299" s="156" t="str">
        <f>IF(OR($A1299="",ISERROR(VALUE(LEFT($A1299,6)))),"",IF(LEN($A1299)=2,"WOJ. ",IF(LEN($A1299)=4,IF(VALUE(RIGHT($A1299,2))&gt;60,"","Powiat "),IF(VALUE(RIGHT($A1299,1))=1,"m. ",IF(VALUE(RIGHT($A1299,1))=2,"gm. w. ",IF(VALUE(RIGHT($A1299,1))=8,"dz. ","gm. m.-w. ")))))&amp;IF(LEN($A1299)=2,TRIM(UPPER(VLOOKUP($A1299,GUS_tabl_1!$A$7:$B$22,2,FALSE))),IF(ISERROR(FIND("..",TRIM(VLOOKUP(IF(AND(LEN($A1299)=4,VALUE(RIGHT($A1299,2))&gt;60),$A1299&amp;"01 1",$A1299),IF(AND(LEN($A1299)=4,VALUE(RIGHT($A1299,2))&lt;60),GUS_tabl_2!$A$8:$B$464,GUS_tabl_21!$A$5:$B$4886),2,FALSE)))),TRIM(VLOOKUP(IF(AND(LEN($A1299)=4,VALUE(RIGHT($A1299,2))&gt;60),$A1299&amp;"01 1",$A1299),IF(AND(LEN($A1299)=4,VALUE(RIGHT($A1299,2))&lt;60),GUS_tabl_2!$A$8:$B$464,GUS_tabl_21!$A$5:$B$4886),2,FALSE)),LEFT(TRIM(VLOOKUP(IF(AND(LEN($A1299)=4,VALUE(RIGHT($A1299,2))&gt;60),$A1299&amp;"01 1",$A1299),IF(AND(LEN($A1299)=4,VALUE(RIGHT($A1299,2))&lt;60),GUS_tabl_2!$A$8:$B$464,GUS_tabl_21!$A$5:$B$4886),2,FALSE)),SUM(FIND("..",TRIM(VLOOKUP(IF(AND(LEN($A1299)=4,VALUE(RIGHT($A1299,2))&gt;60),$A1299&amp;"01 1",$A1299),IF(AND(LEN($A1299)=4,VALUE(RIGHT($A1299,2))&lt;60),GUS_tabl_2!$A$8:$B$464,GUS_tabl_21!$A$5:$B$4886),2,FALSE))),-1)))))</f>
        <v>gm. w. Zaręby Kościelne</v>
      </c>
      <c r="D1299" s="141">
        <f>IF(OR($A1299="",ISERROR(VALUE(LEFT($A1299,6)))),"",IF(LEN($A1299)=2,SUMIF($A1300:$A$2965,$A1299&amp;"??",$D1300:$D$2965),IF(AND(LEN($A1299)=4,VALUE(RIGHT($A1299,2))&lt;=60),SUMIF($A1300:$A$2965,$A1299&amp;"????",$D1300:$D$2965),VLOOKUP(IF(LEN($A1299)=4,$A1299&amp;"01 1",$A1299),GUS_tabl_21!$A$5:$F$4886,6,FALSE))))</f>
        <v>3645</v>
      </c>
      <c r="E1299" s="29"/>
    </row>
    <row r="1300" spans="1:5" ht="12" customHeight="1">
      <c r="A1300" s="152" t="str">
        <f>"1417"</f>
        <v>1417</v>
      </c>
      <c r="B1300" s="153" t="s">
        <v>45</v>
      </c>
      <c r="C1300" s="154" t="str">
        <f>IF(OR($A1300="",ISERROR(VALUE(LEFT($A1300,6)))),"",IF(LEN($A1300)=2,"WOJ. ",IF(LEN($A1300)=4,IF(VALUE(RIGHT($A1300,2))&gt;60,"","Powiat "),IF(VALUE(RIGHT($A1300,1))=1,"m. ",IF(VALUE(RIGHT($A1300,1))=2,"gm. w. ",IF(VALUE(RIGHT($A1300,1))=8,"dz. ","gm. m.-w. ")))))&amp;IF(LEN($A1300)=2,TRIM(UPPER(VLOOKUP($A1300,GUS_tabl_1!$A$7:$B$22,2,FALSE))),IF(ISERROR(FIND("..",TRIM(VLOOKUP(IF(AND(LEN($A1300)=4,VALUE(RIGHT($A1300,2))&gt;60),$A1300&amp;"01 1",$A1300),IF(AND(LEN($A1300)=4,VALUE(RIGHT($A1300,2))&lt;60),GUS_tabl_2!$A$8:$B$464,GUS_tabl_21!$A$5:$B$4886),2,FALSE)))),TRIM(VLOOKUP(IF(AND(LEN($A1300)=4,VALUE(RIGHT($A1300,2))&gt;60),$A1300&amp;"01 1",$A1300),IF(AND(LEN($A1300)=4,VALUE(RIGHT($A1300,2))&lt;60),GUS_tabl_2!$A$8:$B$464,GUS_tabl_21!$A$5:$B$4886),2,FALSE)),LEFT(TRIM(VLOOKUP(IF(AND(LEN($A1300)=4,VALUE(RIGHT($A1300,2))&gt;60),$A1300&amp;"01 1",$A1300),IF(AND(LEN($A1300)=4,VALUE(RIGHT($A1300,2))&lt;60),GUS_tabl_2!$A$8:$B$464,GUS_tabl_21!$A$5:$B$4886),2,FALSE)),SUM(FIND("..",TRIM(VLOOKUP(IF(AND(LEN($A1300)=4,VALUE(RIGHT($A1300,2))&gt;60),$A1300&amp;"01 1",$A1300),IF(AND(LEN($A1300)=4,VALUE(RIGHT($A1300,2))&lt;60),GUS_tabl_2!$A$8:$B$464,GUS_tabl_21!$A$5:$B$4886),2,FALSE))),-1)))))</f>
        <v>Powiat otwocki</v>
      </c>
      <c r="D1300" s="140">
        <f>IF(OR($A1300="",ISERROR(VALUE(LEFT($A1300,6)))),"",IF(LEN($A1300)=2,SUMIF($A1301:$A$2965,$A1300&amp;"??",$D1301:$D$2965),IF(AND(LEN($A1300)=4,VALUE(RIGHT($A1300,2))&lt;=60),SUMIF($A1301:$A$2965,$A1300&amp;"????",$D1301:$D$2965),VLOOKUP(IF(LEN($A1300)=4,$A1300&amp;"01 1",$A1300),GUS_tabl_21!$A$5:$F$4886,6,FALSE))))</f>
        <v>124352</v>
      </c>
      <c r="E1300" s="29"/>
    </row>
    <row r="1301" spans="1:5" ht="12" customHeight="1">
      <c r="A1301" s="155" t="str">
        <f>"141701 1"</f>
        <v>141701 1</v>
      </c>
      <c r="B1301" s="153" t="s">
        <v>45</v>
      </c>
      <c r="C1301" s="156" t="str">
        <f>IF(OR($A1301="",ISERROR(VALUE(LEFT($A1301,6)))),"",IF(LEN($A1301)=2,"WOJ. ",IF(LEN($A1301)=4,IF(VALUE(RIGHT($A1301,2))&gt;60,"","Powiat "),IF(VALUE(RIGHT($A1301,1))=1,"m. ",IF(VALUE(RIGHT($A1301,1))=2,"gm. w. ",IF(VALUE(RIGHT($A1301,1))=8,"dz. ","gm. m.-w. ")))))&amp;IF(LEN($A1301)=2,TRIM(UPPER(VLOOKUP($A1301,GUS_tabl_1!$A$7:$B$22,2,FALSE))),IF(ISERROR(FIND("..",TRIM(VLOOKUP(IF(AND(LEN($A1301)=4,VALUE(RIGHT($A1301,2))&gt;60),$A1301&amp;"01 1",$A1301),IF(AND(LEN($A1301)=4,VALUE(RIGHT($A1301,2))&lt;60),GUS_tabl_2!$A$8:$B$464,GUS_tabl_21!$A$5:$B$4886),2,FALSE)))),TRIM(VLOOKUP(IF(AND(LEN($A1301)=4,VALUE(RIGHT($A1301,2))&gt;60),$A1301&amp;"01 1",$A1301),IF(AND(LEN($A1301)=4,VALUE(RIGHT($A1301,2))&lt;60),GUS_tabl_2!$A$8:$B$464,GUS_tabl_21!$A$5:$B$4886),2,FALSE)),LEFT(TRIM(VLOOKUP(IF(AND(LEN($A1301)=4,VALUE(RIGHT($A1301,2))&gt;60),$A1301&amp;"01 1",$A1301),IF(AND(LEN($A1301)=4,VALUE(RIGHT($A1301,2))&lt;60),GUS_tabl_2!$A$8:$B$464,GUS_tabl_21!$A$5:$B$4886),2,FALSE)),SUM(FIND("..",TRIM(VLOOKUP(IF(AND(LEN($A1301)=4,VALUE(RIGHT($A1301,2))&gt;60),$A1301&amp;"01 1",$A1301),IF(AND(LEN($A1301)=4,VALUE(RIGHT($A1301,2))&lt;60),GUS_tabl_2!$A$8:$B$464,GUS_tabl_21!$A$5:$B$4886),2,FALSE))),-1)))))</f>
        <v>m. Józefów</v>
      </c>
      <c r="D1301" s="141">
        <f>IF(OR($A1301="",ISERROR(VALUE(LEFT($A1301,6)))),"",IF(LEN($A1301)=2,SUMIF($A1302:$A$2965,$A1301&amp;"??",$D1302:$D$2965),IF(AND(LEN($A1301)=4,VALUE(RIGHT($A1301,2))&lt;=60),SUMIF($A1302:$A$2965,$A1301&amp;"????",$D1302:$D$2965),VLOOKUP(IF(LEN($A1301)=4,$A1301&amp;"01 1",$A1301),GUS_tabl_21!$A$5:$F$4886,6,FALSE))))</f>
        <v>20724</v>
      </c>
      <c r="E1301" s="29"/>
    </row>
    <row r="1302" spans="1:5" ht="12" customHeight="1">
      <c r="A1302" s="155" t="str">
        <f>"141702 1"</f>
        <v>141702 1</v>
      </c>
      <c r="B1302" s="153" t="s">
        <v>45</v>
      </c>
      <c r="C1302" s="156" t="str">
        <f>IF(OR($A1302="",ISERROR(VALUE(LEFT($A1302,6)))),"",IF(LEN($A1302)=2,"WOJ. ",IF(LEN($A1302)=4,IF(VALUE(RIGHT($A1302,2))&gt;60,"","Powiat "),IF(VALUE(RIGHT($A1302,1))=1,"m. ",IF(VALUE(RIGHT($A1302,1))=2,"gm. w. ",IF(VALUE(RIGHT($A1302,1))=8,"dz. ","gm. m.-w. ")))))&amp;IF(LEN($A1302)=2,TRIM(UPPER(VLOOKUP($A1302,GUS_tabl_1!$A$7:$B$22,2,FALSE))),IF(ISERROR(FIND("..",TRIM(VLOOKUP(IF(AND(LEN($A1302)=4,VALUE(RIGHT($A1302,2))&gt;60),$A1302&amp;"01 1",$A1302),IF(AND(LEN($A1302)=4,VALUE(RIGHT($A1302,2))&lt;60),GUS_tabl_2!$A$8:$B$464,GUS_tabl_21!$A$5:$B$4886),2,FALSE)))),TRIM(VLOOKUP(IF(AND(LEN($A1302)=4,VALUE(RIGHT($A1302,2))&gt;60),$A1302&amp;"01 1",$A1302),IF(AND(LEN($A1302)=4,VALUE(RIGHT($A1302,2))&lt;60),GUS_tabl_2!$A$8:$B$464,GUS_tabl_21!$A$5:$B$4886),2,FALSE)),LEFT(TRIM(VLOOKUP(IF(AND(LEN($A1302)=4,VALUE(RIGHT($A1302,2))&gt;60),$A1302&amp;"01 1",$A1302),IF(AND(LEN($A1302)=4,VALUE(RIGHT($A1302,2))&lt;60),GUS_tabl_2!$A$8:$B$464,GUS_tabl_21!$A$5:$B$4886),2,FALSE)),SUM(FIND("..",TRIM(VLOOKUP(IF(AND(LEN($A1302)=4,VALUE(RIGHT($A1302,2))&gt;60),$A1302&amp;"01 1",$A1302),IF(AND(LEN($A1302)=4,VALUE(RIGHT($A1302,2))&lt;60),GUS_tabl_2!$A$8:$B$464,GUS_tabl_21!$A$5:$B$4886),2,FALSE))),-1)))))</f>
        <v>m. Otwock</v>
      </c>
      <c r="D1302" s="141">
        <f>IF(OR($A1302="",ISERROR(VALUE(LEFT($A1302,6)))),"",IF(LEN($A1302)=2,SUMIF($A1303:$A$2965,$A1302&amp;"??",$D1303:$D$2965),IF(AND(LEN($A1302)=4,VALUE(RIGHT($A1302,2))&lt;=60),SUMIF($A1303:$A$2965,$A1302&amp;"????",$D1303:$D$2965),VLOOKUP(IF(LEN($A1302)=4,$A1302&amp;"01 1",$A1302),GUS_tabl_21!$A$5:$F$4886,6,FALSE))))</f>
        <v>44635</v>
      </c>
      <c r="E1302" s="29"/>
    </row>
    <row r="1303" spans="1:5" ht="12" customHeight="1">
      <c r="A1303" s="155" t="str">
        <f>"141703 2"</f>
        <v>141703 2</v>
      </c>
      <c r="B1303" s="153" t="s">
        <v>45</v>
      </c>
      <c r="C1303" s="156" t="str">
        <f>IF(OR($A1303="",ISERROR(VALUE(LEFT($A1303,6)))),"",IF(LEN($A1303)=2,"WOJ. ",IF(LEN($A1303)=4,IF(VALUE(RIGHT($A1303,2))&gt;60,"","Powiat "),IF(VALUE(RIGHT($A1303,1))=1,"m. ",IF(VALUE(RIGHT($A1303,1))=2,"gm. w. ",IF(VALUE(RIGHT($A1303,1))=8,"dz. ","gm. m.-w. ")))))&amp;IF(LEN($A1303)=2,TRIM(UPPER(VLOOKUP($A1303,GUS_tabl_1!$A$7:$B$22,2,FALSE))),IF(ISERROR(FIND("..",TRIM(VLOOKUP(IF(AND(LEN($A1303)=4,VALUE(RIGHT($A1303,2))&gt;60),$A1303&amp;"01 1",$A1303),IF(AND(LEN($A1303)=4,VALUE(RIGHT($A1303,2))&lt;60),GUS_tabl_2!$A$8:$B$464,GUS_tabl_21!$A$5:$B$4886),2,FALSE)))),TRIM(VLOOKUP(IF(AND(LEN($A1303)=4,VALUE(RIGHT($A1303,2))&gt;60),$A1303&amp;"01 1",$A1303),IF(AND(LEN($A1303)=4,VALUE(RIGHT($A1303,2))&lt;60),GUS_tabl_2!$A$8:$B$464,GUS_tabl_21!$A$5:$B$4886),2,FALSE)),LEFT(TRIM(VLOOKUP(IF(AND(LEN($A1303)=4,VALUE(RIGHT($A1303,2))&gt;60),$A1303&amp;"01 1",$A1303),IF(AND(LEN($A1303)=4,VALUE(RIGHT($A1303,2))&lt;60),GUS_tabl_2!$A$8:$B$464,GUS_tabl_21!$A$5:$B$4886),2,FALSE)),SUM(FIND("..",TRIM(VLOOKUP(IF(AND(LEN($A1303)=4,VALUE(RIGHT($A1303,2))&gt;60),$A1303&amp;"01 1",$A1303),IF(AND(LEN($A1303)=4,VALUE(RIGHT($A1303,2))&lt;60),GUS_tabl_2!$A$8:$B$464,GUS_tabl_21!$A$5:$B$4886),2,FALSE))),-1)))))</f>
        <v>gm. w. Celestynów</v>
      </c>
      <c r="D1303" s="141">
        <f>IF(OR($A1303="",ISERROR(VALUE(LEFT($A1303,6)))),"",IF(LEN($A1303)=2,SUMIF($A1304:$A$2965,$A1303&amp;"??",$D1304:$D$2965),IF(AND(LEN($A1303)=4,VALUE(RIGHT($A1303,2))&lt;=60),SUMIF($A1304:$A$2965,$A1303&amp;"????",$D1304:$D$2965),VLOOKUP(IF(LEN($A1303)=4,$A1303&amp;"01 1",$A1303),GUS_tabl_21!$A$5:$F$4886,6,FALSE))))</f>
        <v>11732</v>
      </c>
      <c r="E1303" s="29"/>
    </row>
    <row r="1304" spans="1:5" ht="12" customHeight="1">
      <c r="A1304" s="155" t="str">
        <f>"141704 3"</f>
        <v>141704 3</v>
      </c>
      <c r="B1304" s="153" t="s">
        <v>45</v>
      </c>
      <c r="C1304" s="156" t="str">
        <f>IF(OR($A1304="",ISERROR(VALUE(LEFT($A1304,6)))),"",IF(LEN($A1304)=2,"WOJ. ",IF(LEN($A1304)=4,IF(VALUE(RIGHT($A1304,2))&gt;60,"","Powiat "),IF(VALUE(RIGHT($A1304,1))=1,"m. ",IF(VALUE(RIGHT($A1304,1))=2,"gm. w. ",IF(VALUE(RIGHT($A1304,1))=8,"dz. ","gm. m.-w. ")))))&amp;IF(LEN($A1304)=2,TRIM(UPPER(VLOOKUP($A1304,GUS_tabl_1!$A$7:$B$22,2,FALSE))),IF(ISERROR(FIND("..",TRIM(VLOOKUP(IF(AND(LEN($A1304)=4,VALUE(RIGHT($A1304,2))&gt;60),$A1304&amp;"01 1",$A1304),IF(AND(LEN($A1304)=4,VALUE(RIGHT($A1304,2))&lt;60),GUS_tabl_2!$A$8:$B$464,GUS_tabl_21!$A$5:$B$4886),2,FALSE)))),TRIM(VLOOKUP(IF(AND(LEN($A1304)=4,VALUE(RIGHT($A1304,2))&gt;60),$A1304&amp;"01 1",$A1304),IF(AND(LEN($A1304)=4,VALUE(RIGHT($A1304,2))&lt;60),GUS_tabl_2!$A$8:$B$464,GUS_tabl_21!$A$5:$B$4886),2,FALSE)),LEFT(TRIM(VLOOKUP(IF(AND(LEN($A1304)=4,VALUE(RIGHT($A1304,2))&gt;60),$A1304&amp;"01 1",$A1304),IF(AND(LEN($A1304)=4,VALUE(RIGHT($A1304,2))&lt;60),GUS_tabl_2!$A$8:$B$464,GUS_tabl_21!$A$5:$B$4886),2,FALSE)),SUM(FIND("..",TRIM(VLOOKUP(IF(AND(LEN($A1304)=4,VALUE(RIGHT($A1304,2))&gt;60),$A1304&amp;"01 1",$A1304),IF(AND(LEN($A1304)=4,VALUE(RIGHT($A1304,2))&lt;60),GUS_tabl_2!$A$8:$B$464,GUS_tabl_21!$A$5:$B$4886),2,FALSE))),-1)))))</f>
        <v>gm. m.-w. Karczew</v>
      </c>
      <c r="D1304" s="141">
        <f>IF(OR($A1304="",ISERROR(VALUE(LEFT($A1304,6)))),"",IF(LEN($A1304)=2,SUMIF($A1305:$A$2965,$A1304&amp;"??",$D1305:$D$2965),IF(AND(LEN($A1304)=4,VALUE(RIGHT($A1304,2))&lt;=60),SUMIF($A1305:$A$2965,$A1304&amp;"????",$D1305:$D$2965),VLOOKUP(IF(LEN($A1304)=4,$A1304&amp;"01 1",$A1304),GUS_tabl_21!$A$5:$F$4886,6,FALSE))))</f>
        <v>15899</v>
      </c>
      <c r="E1304" s="29"/>
    </row>
    <row r="1305" spans="1:5" ht="12" customHeight="1">
      <c r="A1305" s="155" t="str">
        <f>"141705 2"</f>
        <v>141705 2</v>
      </c>
      <c r="B1305" s="153" t="s">
        <v>45</v>
      </c>
      <c r="C1305" s="156" t="str">
        <f>IF(OR($A1305="",ISERROR(VALUE(LEFT($A1305,6)))),"",IF(LEN($A1305)=2,"WOJ. ",IF(LEN($A1305)=4,IF(VALUE(RIGHT($A1305,2))&gt;60,"","Powiat "),IF(VALUE(RIGHT($A1305,1))=1,"m. ",IF(VALUE(RIGHT($A1305,1))=2,"gm. w. ",IF(VALUE(RIGHT($A1305,1))=8,"dz. ","gm. m.-w. ")))))&amp;IF(LEN($A1305)=2,TRIM(UPPER(VLOOKUP($A1305,GUS_tabl_1!$A$7:$B$22,2,FALSE))),IF(ISERROR(FIND("..",TRIM(VLOOKUP(IF(AND(LEN($A1305)=4,VALUE(RIGHT($A1305,2))&gt;60),$A1305&amp;"01 1",$A1305),IF(AND(LEN($A1305)=4,VALUE(RIGHT($A1305,2))&lt;60),GUS_tabl_2!$A$8:$B$464,GUS_tabl_21!$A$5:$B$4886),2,FALSE)))),TRIM(VLOOKUP(IF(AND(LEN($A1305)=4,VALUE(RIGHT($A1305,2))&gt;60),$A1305&amp;"01 1",$A1305),IF(AND(LEN($A1305)=4,VALUE(RIGHT($A1305,2))&lt;60),GUS_tabl_2!$A$8:$B$464,GUS_tabl_21!$A$5:$B$4886),2,FALSE)),LEFT(TRIM(VLOOKUP(IF(AND(LEN($A1305)=4,VALUE(RIGHT($A1305,2))&gt;60),$A1305&amp;"01 1",$A1305),IF(AND(LEN($A1305)=4,VALUE(RIGHT($A1305,2))&lt;60),GUS_tabl_2!$A$8:$B$464,GUS_tabl_21!$A$5:$B$4886),2,FALSE)),SUM(FIND("..",TRIM(VLOOKUP(IF(AND(LEN($A1305)=4,VALUE(RIGHT($A1305,2))&gt;60),$A1305&amp;"01 1",$A1305),IF(AND(LEN($A1305)=4,VALUE(RIGHT($A1305,2))&lt;60),GUS_tabl_2!$A$8:$B$464,GUS_tabl_21!$A$5:$B$4886),2,FALSE))),-1)))))</f>
        <v>gm. w. Kołbiel</v>
      </c>
      <c r="D1305" s="141">
        <f>IF(OR($A1305="",ISERROR(VALUE(LEFT($A1305,6)))),"",IF(LEN($A1305)=2,SUMIF($A1306:$A$2965,$A1305&amp;"??",$D1306:$D$2965),IF(AND(LEN($A1305)=4,VALUE(RIGHT($A1305,2))&lt;=60),SUMIF($A1306:$A$2965,$A1305&amp;"????",$D1306:$D$2965),VLOOKUP(IF(LEN($A1305)=4,$A1305&amp;"01 1",$A1305),GUS_tabl_21!$A$5:$F$4886,6,FALSE))))</f>
        <v>8230</v>
      </c>
      <c r="E1305" s="29"/>
    </row>
    <row r="1306" spans="1:5" ht="12" customHeight="1">
      <c r="A1306" s="155" t="str">
        <f>"141706 2"</f>
        <v>141706 2</v>
      </c>
      <c r="B1306" s="153" t="s">
        <v>45</v>
      </c>
      <c r="C1306" s="156" t="str">
        <f>IF(OR($A1306="",ISERROR(VALUE(LEFT($A1306,6)))),"",IF(LEN($A1306)=2,"WOJ. ",IF(LEN($A1306)=4,IF(VALUE(RIGHT($A1306,2))&gt;60,"","Powiat "),IF(VALUE(RIGHT($A1306,1))=1,"m. ",IF(VALUE(RIGHT($A1306,1))=2,"gm. w. ",IF(VALUE(RIGHT($A1306,1))=8,"dz. ","gm. m.-w. ")))))&amp;IF(LEN($A1306)=2,TRIM(UPPER(VLOOKUP($A1306,GUS_tabl_1!$A$7:$B$22,2,FALSE))),IF(ISERROR(FIND("..",TRIM(VLOOKUP(IF(AND(LEN($A1306)=4,VALUE(RIGHT($A1306,2))&gt;60),$A1306&amp;"01 1",$A1306),IF(AND(LEN($A1306)=4,VALUE(RIGHT($A1306,2))&lt;60),GUS_tabl_2!$A$8:$B$464,GUS_tabl_21!$A$5:$B$4886),2,FALSE)))),TRIM(VLOOKUP(IF(AND(LEN($A1306)=4,VALUE(RIGHT($A1306,2))&gt;60),$A1306&amp;"01 1",$A1306),IF(AND(LEN($A1306)=4,VALUE(RIGHT($A1306,2))&lt;60),GUS_tabl_2!$A$8:$B$464,GUS_tabl_21!$A$5:$B$4886),2,FALSE)),LEFT(TRIM(VLOOKUP(IF(AND(LEN($A1306)=4,VALUE(RIGHT($A1306,2))&gt;60),$A1306&amp;"01 1",$A1306),IF(AND(LEN($A1306)=4,VALUE(RIGHT($A1306,2))&lt;60),GUS_tabl_2!$A$8:$B$464,GUS_tabl_21!$A$5:$B$4886),2,FALSE)),SUM(FIND("..",TRIM(VLOOKUP(IF(AND(LEN($A1306)=4,VALUE(RIGHT($A1306,2))&gt;60),$A1306&amp;"01 1",$A1306),IF(AND(LEN($A1306)=4,VALUE(RIGHT($A1306,2))&lt;60),GUS_tabl_2!$A$8:$B$464,GUS_tabl_21!$A$5:$B$4886),2,FALSE))),-1)))))</f>
        <v>gm. w. Osieck</v>
      </c>
      <c r="D1306" s="141">
        <f>IF(OR($A1306="",ISERROR(VALUE(LEFT($A1306,6)))),"",IF(LEN($A1306)=2,SUMIF($A1307:$A$2965,$A1306&amp;"??",$D1307:$D$2965),IF(AND(LEN($A1306)=4,VALUE(RIGHT($A1306,2))&lt;=60),SUMIF($A1307:$A$2965,$A1306&amp;"????",$D1307:$D$2965),VLOOKUP(IF(LEN($A1306)=4,$A1306&amp;"01 1",$A1306),GUS_tabl_21!$A$5:$F$4886,6,FALSE))))</f>
        <v>3636</v>
      </c>
      <c r="E1306" s="29"/>
    </row>
    <row r="1307" spans="1:5" ht="12" customHeight="1">
      <c r="A1307" s="155" t="str">
        <f>"141707 2"</f>
        <v>141707 2</v>
      </c>
      <c r="B1307" s="153" t="s">
        <v>45</v>
      </c>
      <c r="C1307" s="156" t="str">
        <f>IF(OR($A1307="",ISERROR(VALUE(LEFT($A1307,6)))),"",IF(LEN($A1307)=2,"WOJ. ",IF(LEN($A1307)=4,IF(VALUE(RIGHT($A1307,2))&gt;60,"","Powiat "),IF(VALUE(RIGHT($A1307,1))=1,"m. ",IF(VALUE(RIGHT($A1307,1))=2,"gm. w. ",IF(VALUE(RIGHT($A1307,1))=8,"dz. ","gm. m.-w. ")))))&amp;IF(LEN($A1307)=2,TRIM(UPPER(VLOOKUP($A1307,GUS_tabl_1!$A$7:$B$22,2,FALSE))),IF(ISERROR(FIND("..",TRIM(VLOOKUP(IF(AND(LEN($A1307)=4,VALUE(RIGHT($A1307,2))&gt;60),$A1307&amp;"01 1",$A1307),IF(AND(LEN($A1307)=4,VALUE(RIGHT($A1307,2))&lt;60),GUS_tabl_2!$A$8:$B$464,GUS_tabl_21!$A$5:$B$4886),2,FALSE)))),TRIM(VLOOKUP(IF(AND(LEN($A1307)=4,VALUE(RIGHT($A1307,2))&gt;60),$A1307&amp;"01 1",$A1307),IF(AND(LEN($A1307)=4,VALUE(RIGHT($A1307,2))&lt;60),GUS_tabl_2!$A$8:$B$464,GUS_tabl_21!$A$5:$B$4886),2,FALSE)),LEFT(TRIM(VLOOKUP(IF(AND(LEN($A1307)=4,VALUE(RIGHT($A1307,2))&gt;60),$A1307&amp;"01 1",$A1307),IF(AND(LEN($A1307)=4,VALUE(RIGHT($A1307,2))&lt;60),GUS_tabl_2!$A$8:$B$464,GUS_tabl_21!$A$5:$B$4886),2,FALSE)),SUM(FIND("..",TRIM(VLOOKUP(IF(AND(LEN($A1307)=4,VALUE(RIGHT($A1307,2))&gt;60),$A1307&amp;"01 1",$A1307),IF(AND(LEN($A1307)=4,VALUE(RIGHT($A1307,2))&lt;60),GUS_tabl_2!$A$8:$B$464,GUS_tabl_21!$A$5:$B$4886),2,FALSE))),-1)))))</f>
        <v>gm. w. Sobienie-Jeziory</v>
      </c>
      <c r="D1307" s="141">
        <f>IF(OR($A1307="",ISERROR(VALUE(LEFT($A1307,6)))),"",IF(LEN($A1307)=2,SUMIF($A1308:$A$2965,$A1307&amp;"??",$D1308:$D$2965),IF(AND(LEN($A1307)=4,VALUE(RIGHT($A1307,2))&lt;=60),SUMIF($A1308:$A$2965,$A1307&amp;"????",$D1308:$D$2965),VLOOKUP(IF(LEN($A1307)=4,$A1307&amp;"01 1",$A1307),GUS_tabl_21!$A$5:$F$4886,6,FALSE))))</f>
        <v>6388</v>
      </c>
      <c r="E1307" s="29"/>
    </row>
    <row r="1308" spans="1:5" ht="12" customHeight="1">
      <c r="A1308" s="155" t="str">
        <f>"141708 2"</f>
        <v>141708 2</v>
      </c>
      <c r="B1308" s="153" t="s">
        <v>45</v>
      </c>
      <c r="C1308" s="156" t="str">
        <f>IF(OR($A1308="",ISERROR(VALUE(LEFT($A1308,6)))),"",IF(LEN($A1308)=2,"WOJ. ",IF(LEN($A1308)=4,IF(VALUE(RIGHT($A1308,2))&gt;60,"","Powiat "),IF(VALUE(RIGHT($A1308,1))=1,"m. ",IF(VALUE(RIGHT($A1308,1))=2,"gm. w. ",IF(VALUE(RIGHT($A1308,1))=8,"dz. ","gm. m.-w. ")))))&amp;IF(LEN($A1308)=2,TRIM(UPPER(VLOOKUP($A1308,GUS_tabl_1!$A$7:$B$22,2,FALSE))),IF(ISERROR(FIND("..",TRIM(VLOOKUP(IF(AND(LEN($A1308)=4,VALUE(RIGHT($A1308,2))&gt;60),$A1308&amp;"01 1",$A1308),IF(AND(LEN($A1308)=4,VALUE(RIGHT($A1308,2))&lt;60),GUS_tabl_2!$A$8:$B$464,GUS_tabl_21!$A$5:$B$4886),2,FALSE)))),TRIM(VLOOKUP(IF(AND(LEN($A1308)=4,VALUE(RIGHT($A1308,2))&gt;60),$A1308&amp;"01 1",$A1308),IF(AND(LEN($A1308)=4,VALUE(RIGHT($A1308,2))&lt;60),GUS_tabl_2!$A$8:$B$464,GUS_tabl_21!$A$5:$B$4886),2,FALSE)),LEFT(TRIM(VLOOKUP(IF(AND(LEN($A1308)=4,VALUE(RIGHT($A1308,2))&gt;60),$A1308&amp;"01 1",$A1308),IF(AND(LEN($A1308)=4,VALUE(RIGHT($A1308,2))&lt;60),GUS_tabl_2!$A$8:$B$464,GUS_tabl_21!$A$5:$B$4886),2,FALSE)),SUM(FIND("..",TRIM(VLOOKUP(IF(AND(LEN($A1308)=4,VALUE(RIGHT($A1308,2))&gt;60),$A1308&amp;"01 1",$A1308),IF(AND(LEN($A1308)=4,VALUE(RIGHT($A1308,2))&lt;60),GUS_tabl_2!$A$8:$B$464,GUS_tabl_21!$A$5:$B$4886),2,FALSE))),-1)))))</f>
        <v>gm. w. Wiązowna</v>
      </c>
      <c r="D1308" s="141">
        <f>IF(OR($A1308="",ISERROR(VALUE(LEFT($A1308,6)))),"",IF(LEN($A1308)=2,SUMIF($A1309:$A$2965,$A1308&amp;"??",$D1309:$D$2965),IF(AND(LEN($A1308)=4,VALUE(RIGHT($A1308,2))&lt;=60),SUMIF($A1309:$A$2965,$A1308&amp;"????",$D1309:$D$2965),VLOOKUP(IF(LEN($A1308)=4,$A1308&amp;"01 1",$A1308),GUS_tabl_21!$A$5:$F$4886,6,FALSE))))</f>
        <v>13108</v>
      </c>
      <c r="E1308" s="29"/>
    </row>
    <row r="1309" spans="1:5" ht="12" customHeight="1">
      <c r="A1309" s="152" t="str">
        <f>"1418"</f>
        <v>1418</v>
      </c>
      <c r="B1309" s="153" t="s">
        <v>45</v>
      </c>
      <c r="C1309" s="154" t="str">
        <f>IF(OR($A1309="",ISERROR(VALUE(LEFT($A1309,6)))),"",IF(LEN($A1309)=2,"WOJ. ",IF(LEN($A1309)=4,IF(VALUE(RIGHT($A1309,2))&gt;60,"","Powiat "),IF(VALUE(RIGHT($A1309,1))=1,"m. ",IF(VALUE(RIGHT($A1309,1))=2,"gm. w. ",IF(VALUE(RIGHT($A1309,1))=8,"dz. ","gm. m.-w. ")))))&amp;IF(LEN($A1309)=2,TRIM(UPPER(VLOOKUP($A1309,GUS_tabl_1!$A$7:$B$22,2,FALSE))),IF(ISERROR(FIND("..",TRIM(VLOOKUP(IF(AND(LEN($A1309)=4,VALUE(RIGHT($A1309,2))&gt;60),$A1309&amp;"01 1",$A1309),IF(AND(LEN($A1309)=4,VALUE(RIGHT($A1309,2))&lt;60),GUS_tabl_2!$A$8:$B$464,GUS_tabl_21!$A$5:$B$4886),2,FALSE)))),TRIM(VLOOKUP(IF(AND(LEN($A1309)=4,VALUE(RIGHT($A1309,2))&gt;60),$A1309&amp;"01 1",$A1309),IF(AND(LEN($A1309)=4,VALUE(RIGHT($A1309,2))&lt;60),GUS_tabl_2!$A$8:$B$464,GUS_tabl_21!$A$5:$B$4886),2,FALSE)),LEFT(TRIM(VLOOKUP(IF(AND(LEN($A1309)=4,VALUE(RIGHT($A1309,2))&gt;60),$A1309&amp;"01 1",$A1309),IF(AND(LEN($A1309)=4,VALUE(RIGHT($A1309,2))&lt;60),GUS_tabl_2!$A$8:$B$464,GUS_tabl_21!$A$5:$B$4886),2,FALSE)),SUM(FIND("..",TRIM(VLOOKUP(IF(AND(LEN($A1309)=4,VALUE(RIGHT($A1309,2))&gt;60),$A1309&amp;"01 1",$A1309),IF(AND(LEN($A1309)=4,VALUE(RIGHT($A1309,2))&lt;60),GUS_tabl_2!$A$8:$B$464,GUS_tabl_21!$A$5:$B$4886),2,FALSE))),-1)))))</f>
        <v>Powiat piaseczyński</v>
      </c>
      <c r="D1309" s="140">
        <f>IF(OR($A1309="",ISERROR(VALUE(LEFT($A1309,6)))),"",IF(LEN($A1309)=2,SUMIF($A1310:$A$2965,$A1309&amp;"??",$D1310:$D$2965),IF(AND(LEN($A1309)=4,VALUE(RIGHT($A1309,2))&lt;=60),SUMIF($A1310:$A$2965,$A1309&amp;"????",$D1310:$D$2965),VLOOKUP(IF(LEN($A1309)=4,$A1309&amp;"01 1",$A1309),GUS_tabl_21!$A$5:$F$4886,6,FALSE))))</f>
        <v>188281</v>
      </c>
      <c r="E1309" s="29"/>
    </row>
    <row r="1310" spans="1:5" ht="12" customHeight="1">
      <c r="A1310" s="155" t="str">
        <f>"141801 3"</f>
        <v>141801 3</v>
      </c>
      <c r="B1310" s="153" t="s">
        <v>45</v>
      </c>
      <c r="C1310" s="156" t="str">
        <f>IF(OR($A1310="",ISERROR(VALUE(LEFT($A1310,6)))),"",IF(LEN($A1310)=2,"WOJ. ",IF(LEN($A1310)=4,IF(VALUE(RIGHT($A1310,2))&gt;60,"","Powiat "),IF(VALUE(RIGHT($A1310,1))=1,"m. ",IF(VALUE(RIGHT($A1310,1))=2,"gm. w. ",IF(VALUE(RIGHT($A1310,1))=8,"dz. ","gm. m.-w. ")))))&amp;IF(LEN($A1310)=2,TRIM(UPPER(VLOOKUP($A1310,GUS_tabl_1!$A$7:$B$22,2,FALSE))),IF(ISERROR(FIND("..",TRIM(VLOOKUP(IF(AND(LEN($A1310)=4,VALUE(RIGHT($A1310,2))&gt;60),$A1310&amp;"01 1",$A1310),IF(AND(LEN($A1310)=4,VALUE(RIGHT($A1310,2))&lt;60),GUS_tabl_2!$A$8:$B$464,GUS_tabl_21!$A$5:$B$4886),2,FALSE)))),TRIM(VLOOKUP(IF(AND(LEN($A1310)=4,VALUE(RIGHT($A1310,2))&gt;60),$A1310&amp;"01 1",$A1310),IF(AND(LEN($A1310)=4,VALUE(RIGHT($A1310,2))&lt;60),GUS_tabl_2!$A$8:$B$464,GUS_tabl_21!$A$5:$B$4886),2,FALSE)),LEFT(TRIM(VLOOKUP(IF(AND(LEN($A1310)=4,VALUE(RIGHT($A1310,2))&gt;60),$A1310&amp;"01 1",$A1310),IF(AND(LEN($A1310)=4,VALUE(RIGHT($A1310,2))&lt;60),GUS_tabl_2!$A$8:$B$464,GUS_tabl_21!$A$5:$B$4886),2,FALSE)),SUM(FIND("..",TRIM(VLOOKUP(IF(AND(LEN($A1310)=4,VALUE(RIGHT($A1310,2))&gt;60),$A1310&amp;"01 1",$A1310),IF(AND(LEN($A1310)=4,VALUE(RIGHT($A1310,2))&lt;60),GUS_tabl_2!$A$8:$B$464,GUS_tabl_21!$A$5:$B$4886),2,FALSE))),-1)))))</f>
        <v>gm. m.-w. Góra Kalwaria</v>
      </c>
      <c r="D1310" s="141">
        <f>IF(OR($A1310="",ISERROR(VALUE(LEFT($A1310,6)))),"",IF(LEN($A1310)=2,SUMIF($A1311:$A$2965,$A1310&amp;"??",$D1311:$D$2965),IF(AND(LEN($A1310)=4,VALUE(RIGHT($A1310,2))&lt;=60),SUMIF($A1311:$A$2965,$A1310&amp;"????",$D1311:$D$2965),VLOOKUP(IF(LEN($A1310)=4,$A1310&amp;"01 1",$A1310),GUS_tabl_21!$A$5:$F$4886,6,FALSE))))</f>
        <v>27063</v>
      </c>
      <c r="E1310" s="29"/>
    </row>
    <row r="1311" spans="1:5" ht="12" customHeight="1">
      <c r="A1311" s="155" t="str">
        <f>"141802 3"</f>
        <v>141802 3</v>
      </c>
      <c r="B1311" s="153" t="s">
        <v>45</v>
      </c>
      <c r="C1311" s="156" t="str">
        <f>IF(OR($A1311="",ISERROR(VALUE(LEFT($A1311,6)))),"",IF(LEN($A1311)=2,"WOJ. ",IF(LEN($A1311)=4,IF(VALUE(RIGHT($A1311,2))&gt;60,"","Powiat "),IF(VALUE(RIGHT($A1311,1))=1,"m. ",IF(VALUE(RIGHT($A1311,1))=2,"gm. w. ",IF(VALUE(RIGHT($A1311,1))=8,"dz. ","gm. m.-w. ")))))&amp;IF(LEN($A1311)=2,TRIM(UPPER(VLOOKUP($A1311,GUS_tabl_1!$A$7:$B$22,2,FALSE))),IF(ISERROR(FIND("..",TRIM(VLOOKUP(IF(AND(LEN($A1311)=4,VALUE(RIGHT($A1311,2))&gt;60),$A1311&amp;"01 1",$A1311),IF(AND(LEN($A1311)=4,VALUE(RIGHT($A1311,2))&lt;60),GUS_tabl_2!$A$8:$B$464,GUS_tabl_21!$A$5:$B$4886),2,FALSE)))),TRIM(VLOOKUP(IF(AND(LEN($A1311)=4,VALUE(RIGHT($A1311,2))&gt;60),$A1311&amp;"01 1",$A1311),IF(AND(LEN($A1311)=4,VALUE(RIGHT($A1311,2))&lt;60),GUS_tabl_2!$A$8:$B$464,GUS_tabl_21!$A$5:$B$4886),2,FALSE)),LEFT(TRIM(VLOOKUP(IF(AND(LEN($A1311)=4,VALUE(RIGHT($A1311,2))&gt;60),$A1311&amp;"01 1",$A1311),IF(AND(LEN($A1311)=4,VALUE(RIGHT($A1311,2))&lt;60),GUS_tabl_2!$A$8:$B$464,GUS_tabl_21!$A$5:$B$4886),2,FALSE)),SUM(FIND("..",TRIM(VLOOKUP(IF(AND(LEN($A1311)=4,VALUE(RIGHT($A1311,2))&gt;60),$A1311&amp;"01 1",$A1311),IF(AND(LEN($A1311)=4,VALUE(RIGHT($A1311,2))&lt;60),GUS_tabl_2!$A$8:$B$464,GUS_tabl_21!$A$5:$B$4886),2,FALSE))),-1)))))</f>
        <v>gm. m.-w. Konstancin-Jeziorna</v>
      </c>
      <c r="D1311" s="141">
        <f>IF(OR($A1311="",ISERROR(VALUE(LEFT($A1311,6)))),"",IF(LEN($A1311)=2,SUMIF($A1312:$A$2965,$A1311&amp;"??",$D1312:$D$2965),IF(AND(LEN($A1311)=4,VALUE(RIGHT($A1311,2))&lt;=60),SUMIF($A1312:$A$2965,$A1311&amp;"????",$D1312:$D$2965),VLOOKUP(IF(LEN($A1311)=4,$A1311&amp;"01 1",$A1311),GUS_tabl_21!$A$5:$F$4886,6,FALSE))))</f>
        <v>24726</v>
      </c>
      <c r="E1311" s="29"/>
    </row>
    <row r="1312" spans="1:5" ht="12" customHeight="1">
      <c r="A1312" s="155" t="str">
        <f>"141803 2"</f>
        <v>141803 2</v>
      </c>
      <c r="B1312" s="153" t="s">
        <v>45</v>
      </c>
      <c r="C1312" s="156" t="str">
        <f>IF(OR($A1312="",ISERROR(VALUE(LEFT($A1312,6)))),"",IF(LEN($A1312)=2,"WOJ. ",IF(LEN($A1312)=4,IF(VALUE(RIGHT($A1312,2))&gt;60,"","Powiat "),IF(VALUE(RIGHT($A1312,1))=1,"m. ",IF(VALUE(RIGHT($A1312,1))=2,"gm. w. ",IF(VALUE(RIGHT($A1312,1))=8,"dz. ","gm. m.-w. ")))))&amp;IF(LEN($A1312)=2,TRIM(UPPER(VLOOKUP($A1312,GUS_tabl_1!$A$7:$B$22,2,FALSE))),IF(ISERROR(FIND("..",TRIM(VLOOKUP(IF(AND(LEN($A1312)=4,VALUE(RIGHT($A1312,2))&gt;60),$A1312&amp;"01 1",$A1312),IF(AND(LEN($A1312)=4,VALUE(RIGHT($A1312,2))&lt;60),GUS_tabl_2!$A$8:$B$464,GUS_tabl_21!$A$5:$B$4886),2,FALSE)))),TRIM(VLOOKUP(IF(AND(LEN($A1312)=4,VALUE(RIGHT($A1312,2))&gt;60),$A1312&amp;"01 1",$A1312),IF(AND(LEN($A1312)=4,VALUE(RIGHT($A1312,2))&lt;60),GUS_tabl_2!$A$8:$B$464,GUS_tabl_21!$A$5:$B$4886),2,FALSE)),LEFT(TRIM(VLOOKUP(IF(AND(LEN($A1312)=4,VALUE(RIGHT($A1312,2))&gt;60),$A1312&amp;"01 1",$A1312),IF(AND(LEN($A1312)=4,VALUE(RIGHT($A1312,2))&lt;60),GUS_tabl_2!$A$8:$B$464,GUS_tabl_21!$A$5:$B$4886),2,FALSE)),SUM(FIND("..",TRIM(VLOOKUP(IF(AND(LEN($A1312)=4,VALUE(RIGHT($A1312,2))&gt;60),$A1312&amp;"01 1",$A1312),IF(AND(LEN($A1312)=4,VALUE(RIGHT($A1312,2))&lt;60),GUS_tabl_2!$A$8:$B$464,GUS_tabl_21!$A$5:$B$4886),2,FALSE))),-1)))))</f>
        <v>gm. w. Lesznowola</v>
      </c>
      <c r="D1312" s="141">
        <f>IF(OR($A1312="",ISERROR(VALUE(LEFT($A1312,6)))),"",IF(LEN($A1312)=2,SUMIF($A1313:$A$2965,$A1312&amp;"??",$D1313:$D$2965),IF(AND(LEN($A1312)=4,VALUE(RIGHT($A1312,2))&lt;=60),SUMIF($A1313:$A$2965,$A1312&amp;"????",$D1313:$D$2965),VLOOKUP(IF(LEN($A1312)=4,$A1312&amp;"01 1",$A1312),GUS_tabl_21!$A$5:$F$4886,6,FALSE))))</f>
        <v>28500</v>
      </c>
      <c r="E1312" s="29"/>
    </row>
    <row r="1313" spans="1:5" ht="12" customHeight="1">
      <c r="A1313" s="155" t="str">
        <f>"141804 3"</f>
        <v>141804 3</v>
      </c>
      <c r="B1313" s="153" t="s">
        <v>45</v>
      </c>
      <c r="C1313" s="156" t="str">
        <f>IF(OR($A1313="",ISERROR(VALUE(LEFT($A1313,6)))),"",IF(LEN($A1313)=2,"WOJ. ",IF(LEN($A1313)=4,IF(VALUE(RIGHT($A1313,2))&gt;60,"","Powiat "),IF(VALUE(RIGHT($A1313,1))=1,"m. ",IF(VALUE(RIGHT($A1313,1))=2,"gm. w. ",IF(VALUE(RIGHT($A1313,1))=8,"dz. ","gm. m.-w. ")))))&amp;IF(LEN($A1313)=2,TRIM(UPPER(VLOOKUP($A1313,GUS_tabl_1!$A$7:$B$22,2,FALSE))),IF(ISERROR(FIND("..",TRIM(VLOOKUP(IF(AND(LEN($A1313)=4,VALUE(RIGHT($A1313,2))&gt;60),$A1313&amp;"01 1",$A1313),IF(AND(LEN($A1313)=4,VALUE(RIGHT($A1313,2))&lt;60),GUS_tabl_2!$A$8:$B$464,GUS_tabl_21!$A$5:$B$4886),2,FALSE)))),TRIM(VLOOKUP(IF(AND(LEN($A1313)=4,VALUE(RIGHT($A1313,2))&gt;60),$A1313&amp;"01 1",$A1313),IF(AND(LEN($A1313)=4,VALUE(RIGHT($A1313,2))&lt;60),GUS_tabl_2!$A$8:$B$464,GUS_tabl_21!$A$5:$B$4886),2,FALSE)),LEFT(TRIM(VLOOKUP(IF(AND(LEN($A1313)=4,VALUE(RIGHT($A1313,2))&gt;60),$A1313&amp;"01 1",$A1313),IF(AND(LEN($A1313)=4,VALUE(RIGHT($A1313,2))&lt;60),GUS_tabl_2!$A$8:$B$464,GUS_tabl_21!$A$5:$B$4886),2,FALSE)),SUM(FIND("..",TRIM(VLOOKUP(IF(AND(LEN($A1313)=4,VALUE(RIGHT($A1313,2))&gt;60),$A1313&amp;"01 1",$A1313),IF(AND(LEN($A1313)=4,VALUE(RIGHT($A1313,2))&lt;60),GUS_tabl_2!$A$8:$B$464,GUS_tabl_21!$A$5:$B$4886),2,FALSE))),-1)))))</f>
        <v>gm. m.-w. Piaseczno</v>
      </c>
      <c r="D1313" s="141">
        <f>IF(OR($A1313="",ISERROR(VALUE(LEFT($A1313,6)))),"",IF(LEN($A1313)=2,SUMIF($A1314:$A$2965,$A1313&amp;"??",$D1314:$D$2965),IF(AND(LEN($A1313)=4,VALUE(RIGHT($A1313,2))&lt;=60),SUMIF($A1314:$A$2965,$A1313&amp;"????",$D1314:$D$2965),VLOOKUP(IF(LEN($A1313)=4,$A1313&amp;"01 1",$A1313),GUS_tabl_21!$A$5:$F$4886,6,FALSE))))</f>
        <v>85226</v>
      </c>
      <c r="E1313" s="29"/>
    </row>
    <row r="1314" spans="1:5" ht="12" customHeight="1">
      <c r="A1314" s="155" t="str">
        <f>"141805 2"</f>
        <v>141805 2</v>
      </c>
      <c r="B1314" s="153" t="s">
        <v>45</v>
      </c>
      <c r="C1314" s="156" t="str">
        <f>IF(OR($A1314="",ISERROR(VALUE(LEFT($A1314,6)))),"",IF(LEN($A1314)=2,"WOJ. ",IF(LEN($A1314)=4,IF(VALUE(RIGHT($A1314,2))&gt;60,"","Powiat "),IF(VALUE(RIGHT($A1314,1))=1,"m. ",IF(VALUE(RIGHT($A1314,1))=2,"gm. w. ",IF(VALUE(RIGHT($A1314,1))=8,"dz. ","gm. m.-w. ")))))&amp;IF(LEN($A1314)=2,TRIM(UPPER(VLOOKUP($A1314,GUS_tabl_1!$A$7:$B$22,2,FALSE))),IF(ISERROR(FIND("..",TRIM(VLOOKUP(IF(AND(LEN($A1314)=4,VALUE(RIGHT($A1314,2))&gt;60),$A1314&amp;"01 1",$A1314),IF(AND(LEN($A1314)=4,VALUE(RIGHT($A1314,2))&lt;60),GUS_tabl_2!$A$8:$B$464,GUS_tabl_21!$A$5:$B$4886),2,FALSE)))),TRIM(VLOOKUP(IF(AND(LEN($A1314)=4,VALUE(RIGHT($A1314,2))&gt;60),$A1314&amp;"01 1",$A1314),IF(AND(LEN($A1314)=4,VALUE(RIGHT($A1314,2))&lt;60),GUS_tabl_2!$A$8:$B$464,GUS_tabl_21!$A$5:$B$4886),2,FALSE)),LEFT(TRIM(VLOOKUP(IF(AND(LEN($A1314)=4,VALUE(RIGHT($A1314,2))&gt;60),$A1314&amp;"01 1",$A1314),IF(AND(LEN($A1314)=4,VALUE(RIGHT($A1314,2))&lt;60),GUS_tabl_2!$A$8:$B$464,GUS_tabl_21!$A$5:$B$4886),2,FALSE)),SUM(FIND("..",TRIM(VLOOKUP(IF(AND(LEN($A1314)=4,VALUE(RIGHT($A1314,2))&gt;60),$A1314&amp;"01 1",$A1314),IF(AND(LEN($A1314)=4,VALUE(RIGHT($A1314,2))&lt;60),GUS_tabl_2!$A$8:$B$464,GUS_tabl_21!$A$5:$B$4886),2,FALSE))),-1)))))</f>
        <v>gm. w. Prażmów</v>
      </c>
      <c r="D1314" s="141">
        <f>IF(OR($A1314="",ISERROR(VALUE(LEFT($A1314,6)))),"",IF(LEN($A1314)=2,SUMIF($A1315:$A$2965,$A1314&amp;"??",$D1315:$D$2965),IF(AND(LEN($A1314)=4,VALUE(RIGHT($A1314,2))&lt;=60),SUMIF($A1315:$A$2965,$A1314&amp;"????",$D1315:$D$2965),VLOOKUP(IF(LEN($A1314)=4,$A1314&amp;"01 1",$A1314),GUS_tabl_21!$A$5:$F$4886,6,FALSE))))</f>
        <v>11199</v>
      </c>
      <c r="E1314" s="29"/>
    </row>
    <row r="1315" spans="1:5" ht="12" customHeight="1">
      <c r="A1315" s="155" t="str">
        <f>"141806 3"</f>
        <v>141806 3</v>
      </c>
      <c r="B1315" s="153" t="s">
        <v>45</v>
      </c>
      <c r="C1315" s="156" t="str">
        <f>IF(OR($A1315="",ISERROR(VALUE(LEFT($A1315,6)))),"",IF(LEN($A1315)=2,"WOJ. ",IF(LEN($A1315)=4,IF(VALUE(RIGHT($A1315,2))&gt;60,"","Powiat "),IF(VALUE(RIGHT($A1315,1))=1,"m. ",IF(VALUE(RIGHT($A1315,1))=2,"gm. w. ",IF(VALUE(RIGHT($A1315,1))=8,"dz. ","gm. m.-w. ")))))&amp;IF(LEN($A1315)=2,TRIM(UPPER(VLOOKUP($A1315,GUS_tabl_1!$A$7:$B$22,2,FALSE))),IF(ISERROR(FIND("..",TRIM(VLOOKUP(IF(AND(LEN($A1315)=4,VALUE(RIGHT($A1315,2))&gt;60),$A1315&amp;"01 1",$A1315),IF(AND(LEN($A1315)=4,VALUE(RIGHT($A1315,2))&lt;60),GUS_tabl_2!$A$8:$B$464,GUS_tabl_21!$A$5:$B$4886),2,FALSE)))),TRIM(VLOOKUP(IF(AND(LEN($A1315)=4,VALUE(RIGHT($A1315,2))&gt;60),$A1315&amp;"01 1",$A1315),IF(AND(LEN($A1315)=4,VALUE(RIGHT($A1315,2))&lt;60),GUS_tabl_2!$A$8:$B$464,GUS_tabl_21!$A$5:$B$4886),2,FALSE)),LEFT(TRIM(VLOOKUP(IF(AND(LEN($A1315)=4,VALUE(RIGHT($A1315,2))&gt;60),$A1315&amp;"01 1",$A1315),IF(AND(LEN($A1315)=4,VALUE(RIGHT($A1315,2))&lt;60),GUS_tabl_2!$A$8:$B$464,GUS_tabl_21!$A$5:$B$4886),2,FALSE)),SUM(FIND("..",TRIM(VLOOKUP(IF(AND(LEN($A1315)=4,VALUE(RIGHT($A1315,2))&gt;60),$A1315&amp;"01 1",$A1315),IF(AND(LEN($A1315)=4,VALUE(RIGHT($A1315,2))&lt;60),GUS_tabl_2!$A$8:$B$464,GUS_tabl_21!$A$5:$B$4886),2,FALSE))),-1)))))</f>
        <v>gm. m.-w. Tarczyn</v>
      </c>
      <c r="D1315" s="141">
        <f>IF(OR($A1315="",ISERROR(VALUE(LEFT($A1315,6)))),"",IF(LEN($A1315)=2,SUMIF($A1316:$A$2965,$A1315&amp;"??",$D1316:$D$2965),IF(AND(LEN($A1315)=4,VALUE(RIGHT($A1315,2))&lt;=60),SUMIF($A1316:$A$2965,$A1315&amp;"????",$D1316:$D$2965),VLOOKUP(IF(LEN($A1315)=4,$A1315&amp;"01 1",$A1315),GUS_tabl_21!$A$5:$F$4886,6,FALSE))))</f>
        <v>11567</v>
      </c>
      <c r="E1315" s="29"/>
    </row>
    <row r="1316" spans="1:5" ht="12" customHeight="1">
      <c r="A1316" s="152" t="str">
        <f>"1419"</f>
        <v>1419</v>
      </c>
      <c r="B1316" s="153" t="s">
        <v>45</v>
      </c>
      <c r="C1316" s="154" t="str">
        <f>IF(OR($A1316="",ISERROR(VALUE(LEFT($A1316,6)))),"",IF(LEN($A1316)=2,"WOJ. ",IF(LEN($A1316)=4,IF(VALUE(RIGHT($A1316,2))&gt;60,"","Powiat "),IF(VALUE(RIGHT($A1316,1))=1,"m. ",IF(VALUE(RIGHT($A1316,1))=2,"gm. w. ",IF(VALUE(RIGHT($A1316,1))=8,"dz. ","gm. m.-w. ")))))&amp;IF(LEN($A1316)=2,TRIM(UPPER(VLOOKUP($A1316,GUS_tabl_1!$A$7:$B$22,2,FALSE))),IF(ISERROR(FIND("..",TRIM(VLOOKUP(IF(AND(LEN($A1316)=4,VALUE(RIGHT($A1316,2))&gt;60),$A1316&amp;"01 1",$A1316),IF(AND(LEN($A1316)=4,VALUE(RIGHT($A1316,2))&lt;60),GUS_tabl_2!$A$8:$B$464,GUS_tabl_21!$A$5:$B$4886),2,FALSE)))),TRIM(VLOOKUP(IF(AND(LEN($A1316)=4,VALUE(RIGHT($A1316,2))&gt;60),$A1316&amp;"01 1",$A1316),IF(AND(LEN($A1316)=4,VALUE(RIGHT($A1316,2))&lt;60),GUS_tabl_2!$A$8:$B$464,GUS_tabl_21!$A$5:$B$4886),2,FALSE)),LEFT(TRIM(VLOOKUP(IF(AND(LEN($A1316)=4,VALUE(RIGHT($A1316,2))&gt;60),$A1316&amp;"01 1",$A1316),IF(AND(LEN($A1316)=4,VALUE(RIGHT($A1316,2))&lt;60),GUS_tabl_2!$A$8:$B$464,GUS_tabl_21!$A$5:$B$4886),2,FALSE)),SUM(FIND("..",TRIM(VLOOKUP(IF(AND(LEN($A1316)=4,VALUE(RIGHT($A1316,2))&gt;60),$A1316&amp;"01 1",$A1316),IF(AND(LEN($A1316)=4,VALUE(RIGHT($A1316,2))&lt;60),GUS_tabl_2!$A$8:$B$464,GUS_tabl_21!$A$5:$B$4886),2,FALSE))),-1)))))</f>
        <v>Powiat płocki</v>
      </c>
      <c r="D1316" s="140">
        <f>IF(OR($A1316="",ISERROR(VALUE(LEFT($A1316,6)))),"",IF(LEN($A1316)=2,SUMIF($A1317:$A$2965,$A1316&amp;"??",$D1317:$D$2965),IF(AND(LEN($A1316)=4,VALUE(RIGHT($A1316,2))&lt;=60),SUMIF($A1317:$A$2965,$A1316&amp;"????",$D1317:$D$2965),VLOOKUP(IF(LEN($A1316)=4,$A1316&amp;"01 1",$A1316),GUS_tabl_21!$A$5:$F$4886,6,FALSE))))</f>
        <v>110952</v>
      </c>
      <c r="E1316" s="29"/>
    </row>
    <row r="1317" spans="1:5" ht="12" customHeight="1">
      <c r="A1317" s="155" t="str">
        <f>"141901 2"</f>
        <v>141901 2</v>
      </c>
      <c r="B1317" s="153" t="s">
        <v>45</v>
      </c>
      <c r="C1317" s="156" t="str">
        <f>IF(OR($A1317="",ISERROR(VALUE(LEFT($A1317,6)))),"",IF(LEN($A1317)=2,"WOJ. ",IF(LEN($A1317)=4,IF(VALUE(RIGHT($A1317,2))&gt;60,"","Powiat "),IF(VALUE(RIGHT($A1317,1))=1,"m. ",IF(VALUE(RIGHT($A1317,1))=2,"gm. w. ",IF(VALUE(RIGHT($A1317,1))=8,"dz. ","gm. m.-w. ")))))&amp;IF(LEN($A1317)=2,TRIM(UPPER(VLOOKUP($A1317,GUS_tabl_1!$A$7:$B$22,2,FALSE))),IF(ISERROR(FIND("..",TRIM(VLOOKUP(IF(AND(LEN($A1317)=4,VALUE(RIGHT($A1317,2))&gt;60),$A1317&amp;"01 1",$A1317),IF(AND(LEN($A1317)=4,VALUE(RIGHT($A1317,2))&lt;60),GUS_tabl_2!$A$8:$B$464,GUS_tabl_21!$A$5:$B$4886),2,FALSE)))),TRIM(VLOOKUP(IF(AND(LEN($A1317)=4,VALUE(RIGHT($A1317,2))&gt;60),$A1317&amp;"01 1",$A1317),IF(AND(LEN($A1317)=4,VALUE(RIGHT($A1317,2))&lt;60),GUS_tabl_2!$A$8:$B$464,GUS_tabl_21!$A$5:$B$4886),2,FALSE)),LEFT(TRIM(VLOOKUP(IF(AND(LEN($A1317)=4,VALUE(RIGHT($A1317,2))&gt;60),$A1317&amp;"01 1",$A1317),IF(AND(LEN($A1317)=4,VALUE(RIGHT($A1317,2))&lt;60),GUS_tabl_2!$A$8:$B$464,GUS_tabl_21!$A$5:$B$4886),2,FALSE)),SUM(FIND("..",TRIM(VLOOKUP(IF(AND(LEN($A1317)=4,VALUE(RIGHT($A1317,2))&gt;60),$A1317&amp;"01 1",$A1317),IF(AND(LEN($A1317)=4,VALUE(RIGHT($A1317,2))&lt;60),GUS_tabl_2!$A$8:$B$464,GUS_tabl_21!$A$5:$B$4886),2,FALSE))),-1)))))</f>
        <v>gm. w. Bielsk</v>
      </c>
      <c r="D1317" s="141">
        <f>IF(OR($A1317="",ISERROR(VALUE(LEFT($A1317,6)))),"",IF(LEN($A1317)=2,SUMIF($A1318:$A$2965,$A1317&amp;"??",$D1318:$D$2965),IF(AND(LEN($A1317)=4,VALUE(RIGHT($A1317,2))&lt;=60),SUMIF($A1318:$A$2965,$A1317&amp;"????",$D1318:$D$2965),VLOOKUP(IF(LEN($A1317)=4,$A1317&amp;"01 1",$A1317),GUS_tabl_21!$A$5:$F$4886,6,FALSE))))</f>
        <v>9071</v>
      </c>
      <c r="E1317" s="29"/>
    </row>
    <row r="1318" spans="1:5" ht="12" customHeight="1">
      <c r="A1318" s="155" t="str">
        <f>"141902 2"</f>
        <v>141902 2</v>
      </c>
      <c r="B1318" s="153" t="s">
        <v>45</v>
      </c>
      <c r="C1318" s="156" t="str">
        <f>IF(OR($A1318="",ISERROR(VALUE(LEFT($A1318,6)))),"",IF(LEN($A1318)=2,"WOJ. ",IF(LEN($A1318)=4,IF(VALUE(RIGHT($A1318,2))&gt;60,"","Powiat "),IF(VALUE(RIGHT($A1318,1))=1,"m. ",IF(VALUE(RIGHT($A1318,1))=2,"gm. w. ",IF(VALUE(RIGHT($A1318,1))=8,"dz. ","gm. m.-w. ")))))&amp;IF(LEN($A1318)=2,TRIM(UPPER(VLOOKUP($A1318,GUS_tabl_1!$A$7:$B$22,2,FALSE))),IF(ISERROR(FIND("..",TRIM(VLOOKUP(IF(AND(LEN($A1318)=4,VALUE(RIGHT($A1318,2))&gt;60),$A1318&amp;"01 1",$A1318),IF(AND(LEN($A1318)=4,VALUE(RIGHT($A1318,2))&lt;60),GUS_tabl_2!$A$8:$B$464,GUS_tabl_21!$A$5:$B$4886),2,FALSE)))),TRIM(VLOOKUP(IF(AND(LEN($A1318)=4,VALUE(RIGHT($A1318,2))&gt;60),$A1318&amp;"01 1",$A1318),IF(AND(LEN($A1318)=4,VALUE(RIGHT($A1318,2))&lt;60),GUS_tabl_2!$A$8:$B$464,GUS_tabl_21!$A$5:$B$4886),2,FALSE)),LEFT(TRIM(VLOOKUP(IF(AND(LEN($A1318)=4,VALUE(RIGHT($A1318,2))&gt;60),$A1318&amp;"01 1",$A1318),IF(AND(LEN($A1318)=4,VALUE(RIGHT($A1318,2))&lt;60),GUS_tabl_2!$A$8:$B$464,GUS_tabl_21!$A$5:$B$4886),2,FALSE)),SUM(FIND("..",TRIM(VLOOKUP(IF(AND(LEN($A1318)=4,VALUE(RIGHT($A1318,2))&gt;60),$A1318&amp;"01 1",$A1318),IF(AND(LEN($A1318)=4,VALUE(RIGHT($A1318,2))&lt;60),GUS_tabl_2!$A$8:$B$464,GUS_tabl_21!$A$5:$B$4886),2,FALSE))),-1)))))</f>
        <v>gm. w. Bodzanów</v>
      </c>
      <c r="D1318" s="141">
        <f>IF(OR($A1318="",ISERROR(VALUE(LEFT($A1318,6)))),"",IF(LEN($A1318)=2,SUMIF($A1319:$A$2965,$A1318&amp;"??",$D1319:$D$2965),IF(AND(LEN($A1318)=4,VALUE(RIGHT($A1318,2))&lt;=60),SUMIF($A1319:$A$2965,$A1318&amp;"????",$D1319:$D$2965),VLOOKUP(IF(LEN($A1318)=4,$A1318&amp;"01 1",$A1318),GUS_tabl_21!$A$5:$F$4886,6,FALSE))))</f>
        <v>8187</v>
      </c>
      <c r="E1318" s="29"/>
    </row>
    <row r="1319" spans="1:5" ht="12" customHeight="1">
      <c r="A1319" s="155" t="str">
        <f>"141903 2"</f>
        <v>141903 2</v>
      </c>
      <c r="B1319" s="153" t="s">
        <v>45</v>
      </c>
      <c r="C1319" s="156" t="str">
        <f>IF(OR($A1319="",ISERROR(VALUE(LEFT($A1319,6)))),"",IF(LEN($A1319)=2,"WOJ. ",IF(LEN($A1319)=4,IF(VALUE(RIGHT($A1319,2))&gt;60,"","Powiat "),IF(VALUE(RIGHT($A1319,1))=1,"m. ",IF(VALUE(RIGHT($A1319,1))=2,"gm. w. ",IF(VALUE(RIGHT($A1319,1))=8,"dz. ","gm. m.-w. ")))))&amp;IF(LEN($A1319)=2,TRIM(UPPER(VLOOKUP($A1319,GUS_tabl_1!$A$7:$B$22,2,FALSE))),IF(ISERROR(FIND("..",TRIM(VLOOKUP(IF(AND(LEN($A1319)=4,VALUE(RIGHT($A1319,2))&gt;60),$A1319&amp;"01 1",$A1319),IF(AND(LEN($A1319)=4,VALUE(RIGHT($A1319,2))&lt;60),GUS_tabl_2!$A$8:$B$464,GUS_tabl_21!$A$5:$B$4886),2,FALSE)))),TRIM(VLOOKUP(IF(AND(LEN($A1319)=4,VALUE(RIGHT($A1319,2))&gt;60),$A1319&amp;"01 1",$A1319),IF(AND(LEN($A1319)=4,VALUE(RIGHT($A1319,2))&lt;60),GUS_tabl_2!$A$8:$B$464,GUS_tabl_21!$A$5:$B$4886),2,FALSE)),LEFT(TRIM(VLOOKUP(IF(AND(LEN($A1319)=4,VALUE(RIGHT($A1319,2))&gt;60),$A1319&amp;"01 1",$A1319),IF(AND(LEN($A1319)=4,VALUE(RIGHT($A1319,2))&lt;60),GUS_tabl_2!$A$8:$B$464,GUS_tabl_21!$A$5:$B$4886),2,FALSE)),SUM(FIND("..",TRIM(VLOOKUP(IF(AND(LEN($A1319)=4,VALUE(RIGHT($A1319,2))&gt;60),$A1319&amp;"01 1",$A1319),IF(AND(LEN($A1319)=4,VALUE(RIGHT($A1319,2))&lt;60),GUS_tabl_2!$A$8:$B$464,GUS_tabl_21!$A$5:$B$4886),2,FALSE))),-1)))))</f>
        <v>gm. w. Brudzeń Duży</v>
      </c>
      <c r="D1319" s="141">
        <f>IF(OR($A1319="",ISERROR(VALUE(LEFT($A1319,6)))),"",IF(LEN($A1319)=2,SUMIF($A1320:$A$2965,$A1319&amp;"??",$D1320:$D$2965),IF(AND(LEN($A1319)=4,VALUE(RIGHT($A1319,2))&lt;=60),SUMIF($A1320:$A$2965,$A1319&amp;"????",$D1320:$D$2965),VLOOKUP(IF(LEN($A1319)=4,$A1319&amp;"01 1",$A1319),GUS_tabl_21!$A$5:$F$4886,6,FALSE))))</f>
        <v>8267</v>
      </c>
      <c r="E1319" s="29"/>
    </row>
    <row r="1320" spans="1:5" ht="12" customHeight="1">
      <c r="A1320" s="155" t="str">
        <f>"141904 2"</f>
        <v>141904 2</v>
      </c>
      <c r="B1320" s="153" t="s">
        <v>45</v>
      </c>
      <c r="C1320" s="156" t="str">
        <f>IF(OR($A1320="",ISERROR(VALUE(LEFT($A1320,6)))),"",IF(LEN($A1320)=2,"WOJ. ",IF(LEN($A1320)=4,IF(VALUE(RIGHT($A1320,2))&gt;60,"","Powiat "),IF(VALUE(RIGHT($A1320,1))=1,"m. ",IF(VALUE(RIGHT($A1320,1))=2,"gm. w. ",IF(VALUE(RIGHT($A1320,1))=8,"dz. ","gm. m.-w. ")))))&amp;IF(LEN($A1320)=2,TRIM(UPPER(VLOOKUP($A1320,GUS_tabl_1!$A$7:$B$22,2,FALSE))),IF(ISERROR(FIND("..",TRIM(VLOOKUP(IF(AND(LEN($A1320)=4,VALUE(RIGHT($A1320,2))&gt;60),$A1320&amp;"01 1",$A1320),IF(AND(LEN($A1320)=4,VALUE(RIGHT($A1320,2))&lt;60),GUS_tabl_2!$A$8:$B$464,GUS_tabl_21!$A$5:$B$4886),2,FALSE)))),TRIM(VLOOKUP(IF(AND(LEN($A1320)=4,VALUE(RIGHT($A1320,2))&gt;60),$A1320&amp;"01 1",$A1320),IF(AND(LEN($A1320)=4,VALUE(RIGHT($A1320,2))&lt;60),GUS_tabl_2!$A$8:$B$464,GUS_tabl_21!$A$5:$B$4886),2,FALSE)),LEFT(TRIM(VLOOKUP(IF(AND(LEN($A1320)=4,VALUE(RIGHT($A1320,2))&gt;60),$A1320&amp;"01 1",$A1320),IF(AND(LEN($A1320)=4,VALUE(RIGHT($A1320,2))&lt;60),GUS_tabl_2!$A$8:$B$464,GUS_tabl_21!$A$5:$B$4886),2,FALSE)),SUM(FIND("..",TRIM(VLOOKUP(IF(AND(LEN($A1320)=4,VALUE(RIGHT($A1320,2))&gt;60),$A1320&amp;"01 1",$A1320),IF(AND(LEN($A1320)=4,VALUE(RIGHT($A1320,2))&lt;60),GUS_tabl_2!$A$8:$B$464,GUS_tabl_21!$A$5:$B$4886),2,FALSE))),-1)))))</f>
        <v>gm. w. Bulkowo</v>
      </c>
      <c r="D1320" s="141">
        <f>IF(OR($A1320="",ISERROR(VALUE(LEFT($A1320,6)))),"",IF(LEN($A1320)=2,SUMIF($A1321:$A$2965,$A1320&amp;"??",$D1321:$D$2965),IF(AND(LEN($A1320)=4,VALUE(RIGHT($A1320,2))&lt;=60),SUMIF($A1321:$A$2965,$A1320&amp;"????",$D1321:$D$2965),VLOOKUP(IF(LEN($A1320)=4,$A1320&amp;"01 1",$A1320),GUS_tabl_21!$A$5:$F$4886,6,FALSE))))</f>
        <v>5512</v>
      </c>
      <c r="E1320" s="29"/>
    </row>
    <row r="1321" spans="1:5" ht="12" customHeight="1">
      <c r="A1321" s="155" t="str">
        <f>"141905 3"</f>
        <v>141905 3</v>
      </c>
      <c r="B1321" s="153" t="s">
        <v>45</v>
      </c>
      <c r="C1321" s="156" t="str">
        <f>IF(OR($A1321="",ISERROR(VALUE(LEFT($A1321,6)))),"",IF(LEN($A1321)=2,"WOJ. ",IF(LEN($A1321)=4,IF(VALUE(RIGHT($A1321,2))&gt;60,"","Powiat "),IF(VALUE(RIGHT($A1321,1))=1,"m. ",IF(VALUE(RIGHT($A1321,1))=2,"gm. w. ",IF(VALUE(RIGHT($A1321,1))=8,"dz. ","gm. m.-w. ")))))&amp;IF(LEN($A1321)=2,TRIM(UPPER(VLOOKUP($A1321,GUS_tabl_1!$A$7:$B$22,2,FALSE))),IF(ISERROR(FIND("..",TRIM(VLOOKUP(IF(AND(LEN($A1321)=4,VALUE(RIGHT($A1321,2))&gt;60),$A1321&amp;"01 1",$A1321),IF(AND(LEN($A1321)=4,VALUE(RIGHT($A1321,2))&lt;60),GUS_tabl_2!$A$8:$B$464,GUS_tabl_21!$A$5:$B$4886),2,FALSE)))),TRIM(VLOOKUP(IF(AND(LEN($A1321)=4,VALUE(RIGHT($A1321,2))&gt;60),$A1321&amp;"01 1",$A1321),IF(AND(LEN($A1321)=4,VALUE(RIGHT($A1321,2))&lt;60),GUS_tabl_2!$A$8:$B$464,GUS_tabl_21!$A$5:$B$4886),2,FALSE)),LEFT(TRIM(VLOOKUP(IF(AND(LEN($A1321)=4,VALUE(RIGHT($A1321,2))&gt;60),$A1321&amp;"01 1",$A1321),IF(AND(LEN($A1321)=4,VALUE(RIGHT($A1321,2))&lt;60),GUS_tabl_2!$A$8:$B$464,GUS_tabl_21!$A$5:$B$4886),2,FALSE)),SUM(FIND("..",TRIM(VLOOKUP(IF(AND(LEN($A1321)=4,VALUE(RIGHT($A1321,2))&gt;60),$A1321&amp;"01 1",$A1321),IF(AND(LEN($A1321)=4,VALUE(RIGHT($A1321,2))&lt;60),GUS_tabl_2!$A$8:$B$464,GUS_tabl_21!$A$5:$B$4886),2,FALSE))),-1)))))</f>
        <v>gm. m.-w. Drobin</v>
      </c>
      <c r="D1321" s="141">
        <f>IF(OR($A1321="",ISERROR(VALUE(LEFT($A1321,6)))),"",IF(LEN($A1321)=2,SUMIF($A1322:$A$2965,$A1321&amp;"??",$D1322:$D$2965),IF(AND(LEN($A1321)=4,VALUE(RIGHT($A1321,2))&lt;=60),SUMIF($A1322:$A$2965,$A1321&amp;"????",$D1322:$D$2965),VLOOKUP(IF(LEN($A1321)=4,$A1321&amp;"01 1",$A1321),GUS_tabl_21!$A$5:$F$4886,6,FALSE))))</f>
        <v>7891</v>
      </c>
      <c r="E1321" s="29"/>
    </row>
    <row r="1322" spans="1:5" ht="12" customHeight="1">
      <c r="A1322" s="155" t="str">
        <f>"141906 3"</f>
        <v>141906 3</v>
      </c>
      <c r="B1322" s="153" t="s">
        <v>45</v>
      </c>
      <c r="C1322" s="156" t="str">
        <f>IF(OR($A1322="",ISERROR(VALUE(LEFT($A1322,6)))),"",IF(LEN($A1322)=2,"WOJ. ",IF(LEN($A1322)=4,IF(VALUE(RIGHT($A1322,2))&gt;60,"","Powiat "),IF(VALUE(RIGHT($A1322,1))=1,"m. ",IF(VALUE(RIGHT($A1322,1))=2,"gm. w. ",IF(VALUE(RIGHT($A1322,1))=8,"dz. ","gm. m.-w. ")))))&amp;IF(LEN($A1322)=2,TRIM(UPPER(VLOOKUP($A1322,GUS_tabl_1!$A$7:$B$22,2,FALSE))),IF(ISERROR(FIND("..",TRIM(VLOOKUP(IF(AND(LEN($A1322)=4,VALUE(RIGHT($A1322,2))&gt;60),$A1322&amp;"01 1",$A1322),IF(AND(LEN($A1322)=4,VALUE(RIGHT($A1322,2))&lt;60),GUS_tabl_2!$A$8:$B$464,GUS_tabl_21!$A$5:$B$4886),2,FALSE)))),TRIM(VLOOKUP(IF(AND(LEN($A1322)=4,VALUE(RIGHT($A1322,2))&gt;60),$A1322&amp;"01 1",$A1322),IF(AND(LEN($A1322)=4,VALUE(RIGHT($A1322,2))&lt;60),GUS_tabl_2!$A$8:$B$464,GUS_tabl_21!$A$5:$B$4886),2,FALSE)),LEFT(TRIM(VLOOKUP(IF(AND(LEN($A1322)=4,VALUE(RIGHT($A1322,2))&gt;60),$A1322&amp;"01 1",$A1322),IF(AND(LEN($A1322)=4,VALUE(RIGHT($A1322,2))&lt;60),GUS_tabl_2!$A$8:$B$464,GUS_tabl_21!$A$5:$B$4886),2,FALSE)),SUM(FIND("..",TRIM(VLOOKUP(IF(AND(LEN($A1322)=4,VALUE(RIGHT($A1322,2))&gt;60),$A1322&amp;"01 1",$A1322),IF(AND(LEN($A1322)=4,VALUE(RIGHT($A1322,2))&lt;60),GUS_tabl_2!$A$8:$B$464,GUS_tabl_21!$A$5:$B$4886),2,FALSE))),-1)))))</f>
        <v>gm. m.-w. Gąbin</v>
      </c>
      <c r="D1322" s="141">
        <f>IF(OR($A1322="",ISERROR(VALUE(LEFT($A1322,6)))),"",IF(LEN($A1322)=2,SUMIF($A1323:$A$2965,$A1322&amp;"??",$D1323:$D$2965),IF(AND(LEN($A1322)=4,VALUE(RIGHT($A1322,2))&lt;=60),SUMIF($A1323:$A$2965,$A1322&amp;"????",$D1323:$D$2965),VLOOKUP(IF(LEN($A1322)=4,$A1322&amp;"01 1",$A1322),GUS_tabl_21!$A$5:$F$4886,6,FALSE))))</f>
        <v>11025</v>
      </c>
      <c r="E1322" s="29"/>
    </row>
    <row r="1323" spans="1:5" ht="12" customHeight="1">
      <c r="A1323" s="155" t="str">
        <f>"141907 2"</f>
        <v>141907 2</v>
      </c>
      <c r="B1323" s="153" t="s">
        <v>45</v>
      </c>
      <c r="C1323" s="156" t="str">
        <f>IF(OR($A1323="",ISERROR(VALUE(LEFT($A1323,6)))),"",IF(LEN($A1323)=2,"WOJ. ",IF(LEN($A1323)=4,IF(VALUE(RIGHT($A1323,2))&gt;60,"","Powiat "),IF(VALUE(RIGHT($A1323,1))=1,"m. ",IF(VALUE(RIGHT($A1323,1))=2,"gm. w. ",IF(VALUE(RIGHT($A1323,1))=8,"dz. ","gm. m.-w. ")))))&amp;IF(LEN($A1323)=2,TRIM(UPPER(VLOOKUP($A1323,GUS_tabl_1!$A$7:$B$22,2,FALSE))),IF(ISERROR(FIND("..",TRIM(VLOOKUP(IF(AND(LEN($A1323)=4,VALUE(RIGHT($A1323,2))&gt;60),$A1323&amp;"01 1",$A1323),IF(AND(LEN($A1323)=4,VALUE(RIGHT($A1323,2))&lt;60),GUS_tabl_2!$A$8:$B$464,GUS_tabl_21!$A$5:$B$4886),2,FALSE)))),TRIM(VLOOKUP(IF(AND(LEN($A1323)=4,VALUE(RIGHT($A1323,2))&gt;60),$A1323&amp;"01 1",$A1323),IF(AND(LEN($A1323)=4,VALUE(RIGHT($A1323,2))&lt;60),GUS_tabl_2!$A$8:$B$464,GUS_tabl_21!$A$5:$B$4886),2,FALSE)),LEFT(TRIM(VLOOKUP(IF(AND(LEN($A1323)=4,VALUE(RIGHT($A1323,2))&gt;60),$A1323&amp;"01 1",$A1323),IF(AND(LEN($A1323)=4,VALUE(RIGHT($A1323,2))&lt;60),GUS_tabl_2!$A$8:$B$464,GUS_tabl_21!$A$5:$B$4886),2,FALSE)),SUM(FIND("..",TRIM(VLOOKUP(IF(AND(LEN($A1323)=4,VALUE(RIGHT($A1323,2))&gt;60),$A1323&amp;"01 1",$A1323),IF(AND(LEN($A1323)=4,VALUE(RIGHT($A1323,2))&lt;60),GUS_tabl_2!$A$8:$B$464,GUS_tabl_21!$A$5:$B$4886),2,FALSE))),-1)))))</f>
        <v>gm. w. Łąck</v>
      </c>
      <c r="D1323" s="141">
        <f>IF(OR($A1323="",ISERROR(VALUE(LEFT($A1323,6)))),"",IF(LEN($A1323)=2,SUMIF($A1324:$A$2965,$A1323&amp;"??",$D1324:$D$2965),IF(AND(LEN($A1323)=4,VALUE(RIGHT($A1323,2))&lt;=60),SUMIF($A1324:$A$2965,$A1323&amp;"????",$D1324:$D$2965),VLOOKUP(IF(LEN($A1323)=4,$A1323&amp;"01 1",$A1323),GUS_tabl_21!$A$5:$F$4886,6,FALSE))))</f>
        <v>5408</v>
      </c>
      <c r="E1323" s="29"/>
    </row>
    <row r="1324" spans="1:5" ht="12" customHeight="1">
      <c r="A1324" s="155" t="str">
        <f>"141908 2"</f>
        <v>141908 2</v>
      </c>
      <c r="B1324" s="153" t="s">
        <v>45</v>
      </c>
      <c r="C1324" s="156" t="str">
        <f>IF(OR($A1324="",ISERROR(VALUE(LEFT($A1324,6)))),"",IF(LEN($A1324)=2,"WOJ. ",IF(LEN($A1324)=4,IF(VALUE(RIGHT($A1324,2))&gt;60,"","Powiat "),IF(VALUE(RIGHT($A1324,1))=1,"m. ",IF(VALUE(RIGHT($A1324,1))=2,"gm. w. ",IF(VALUE(RIGHT($A1324,1))=8,"dz. ","gm. m.-w. ")))))&amp;IF(LEN($A1324)=2,TRIM(UPPER(VLOOKUP($A1324,GUS_tabl_1!$A$7:$B$22,2,FALSE))),IF(ISERROR(FIND("..",TRIM(VLOOKUP(IF(AND(LEN($A1324)=4,VALUE(RIGHT($A1324,2))&gt;60),$A1324&amp;"01 1",$A1324),IF(AND(LEN($A1324)=4,VALUE(RIGHT($A1324,2))&lt;60),GUS_tabl_2!$A$8:$B$464,GUS_tabl_21!$A$5:$B$4886),2,FALSE)))),TRIM(VLOOKUP(IF(AND(LEN($A1324)=4,VALUE(RIGHT($A1324,2))&gt;60),$A1324&amp;"01 1",$A1324),IF(AND(LEN($A1324)=4,VALUE(RIGHT($A1324,2))&lt;60),GUS_tabl_2!$A$8:$B$464,GUS_tabl_21!$A$5:$B$4886),2,FALSE)),LEFT(TRIM(VLOOKUP(IF(AND(LEN($A1324)=4,VALUE(RIGHT($A1324,2))&gt;60),$A1324&amp;"01 1",$A1324),IF(AND(LEN($A1324)=4,VALUE(RIGHT($A1324,2))&lt;60),GUS_tabl_2!$A$8:$B$464,GUS_tabl_21!$A$5:$B$4886),2,FALSE)),SUM(FIND("..",TRIM(VLOOKUP(IF(AND(LEN($A1324)=4,VALUE(RIGHT($A1324,2))&gt;60),$A1324&amp;"01 1",$A1324),IF(AND(LEN($A1324)=4,VALUE(RIGHT($A1324,2))&lt;60),GUS_tabl_2!$A$8:$B$464,GUS_tabl_21!$A$5:$B$4886),2,FALSE))),-1)))))</f>
        <v>gm. w. Mała Wieś</v>
      </c>
      <c r="D1324" s="141">
        <f>IF(OR($A1324="",ISERROR(VALUE(LEFT($A1324,6)))),"",IF(LEN($A1324)=2,SUMIF($A1325:$A$2965,$A1324&amp;"??",$D1325:$D$2965),IF(AND(LEN($A1324)=4,VALUE(RIGHT($A1324,2))&lt;=60),SUMIF($A1325:$A$2965,$A1324&amp;"????",$D1325:$D$2965),VLOOKUP(IF(LEN($A1324)=4,$A1324&amp;"01 1",$A1324),GUS_tabl_21!$A$5:$F$4886,6,FALSE))))</f>
        <v>5968</v>
      </c>
      <c r="E1324" s="29"/>
    </row>
    <row r="1325" spans="1:5" ht="12" customHeight="1">
      <c r="A1325" s="155" t="str">
        <f>"141909 2"</f>
        <v>141909 2</v>
      </c>
      <c r="B1325" s="153" t="s">
        <v>45</v>
      </c>
      <c r="C1325" s="156" t="str">
        <f>IF(OR($A1325="",ISERROR(VALUE(LEFT($A1325,6)))),"",IF(LEN($A1325)=2,"WOJ. ",IF(LEN($A1325)=4,IF(VALUE(RIGHT($A1325,2))&gt;60,"","Powiat "),IF(VALUE(RIGHT($A1325,1))=1,"m. ",IF(VALUE(RIGHT($A1325,1))=2,"gm. w. ",IF(VALUE(RIGHT($A1325,1))=8,"dz. ","gm. m.-w. ")))))&amp;IF(LEN($A1325)=2,TRIM(UPPER(VLOOKUP($A1325,GUS_tabl_1!$A$7:$B$22,2,FALSE))),IF(ISERROR(FIND("..",TRIM(VLOOKUP(IF(AND(LEN($A1325)=4,VALUE(RIGHT($A1325,2))&gt;60),$A1325&amp;"01 1",$A1325),IF(AND(LEN($A1325)=4,VALUE(RIGHT($A1325,2))&lt;60),GUS_tabl_2!$A$8:$B$464,GUS_tabl_21!$A$5:$B$4886),2,FALSE)))),TRIM(VLOOKUP(IF(AND(LEN($A1325)=4,VALUE(RIGHT($A1325,2))&gt;60),$A1325&amp;"01 1",$A1325),IF(AND(LEN($A1325)=4,VALUE(RIGHT($A1325,2))&lt;60),GUS_tabl_2!$A$8:$B$464,GUS_tabl_21!$A$5:$B$4886),2,FALSE)),LEFT(TRIM(VLOOKUP(IF(AND(LEN($A1325)=4,VALUE(RIGHT($A1325,2))&gt;60),$A1325&amp;"01 1",$A1325),IF(AND(LEN($A1325)=4,VALUE(RIGHT($A1325,2))&lt;60),GUS_tabl_2!$A$8:$B$464,GUS_tabl_21!$A$5:$B$4886),2,FALSE)),SUM(FIND("..",TRIM(VLOOKUP(IF(AND(LEN($A1325)=4,VALUE(RIGHT($A1325,2))&gt;60),$A1325&amp;"01 1",$A1325),IF(AND(LEN($A1325)=4,VALUE(RIGHT($A1325,2))&lt;60),GUS_tabl_2!$A$8:$B$464,GUS_tabl_21!$A$5:$B$4886),2,FALSE))),-1)))))</f>
        <v>gm. w. Nowy Duninów</v>
      </c>
      <c r="D1325" s="141">
        <f>IF(OR($A1325="",ISERROR(VALUE(LEFT($A1325,6)))),"",IF(LEN($A1325)=2,SUMIF($A1326:$A$2965,$A1325&amp;"??",$D1326:$D$2965),IF(AND(LEN($A1325)=4,VALUE(RIGHT($A1325,2))&lt;=60),SUMIF($A1326:$A$2965,$A1325&amp;"????",$D1326:$D$2965),VLOOKUP(IF(LEN($A1325)=4,$A1325&amp;"01 1",$A1325),GUS_tabl_21!$A$5:$F$4886,6,FALSE))))</f>
        <v>3977</v>
      </c>
      <c r="E1325" s="29"/>
    </row>
    <row r="1326" spans="1:5" ht="12" customHeight="1">
      <c r="A1326" s="155" t="str">
        <f>"141910 2"</f>
        <v>141910 2</v>
      </c>
      <c r="B1326" s="153" t="s">
        <v>45</v>
      </c>
      <c r="C1326" s="156" t="str">
        <f>IF(OR($A1326="",ISERROR(VALUE(LEFT($A1326,6)))),"",IF(LEN($A1326)=2,"WOJ. ",IF(LEN($A1326)=4,IF(VALUE(RIGHT($A1326,2))&gt;60,"","Powiat "),IF(VALUE(RIGHT($A1326,1))=1,"m. ",IF(VALUE(RIGHT($A1326,1))=2,"gm. w. ",IF(VALUE(RIGHT($A1326,1))=8,"dz. ","gm. m.-w. ")))))&amp;IF(LEN($A1326)=2,TRIM(UPPER(VLOOKUP($A1326,GUS_tabl_1!$A$7:$B$22,2,FALSE))),IF(ISERROR(FIND("..",TRIM(VLOOKUP(IF(AND(LEN($A1326)=4,VALUE(RIGHT($A1326,2))&gt;60),$A1326&amp;"01 1",$A1326),IF(AND(LEN($A1326)=4,VALUE(RIGHT($A1326,2))&lt;60),GUS_tabl_2!$A$8:$B$464,GUS_tabl_21!$A$5:$B$4886),2,FALSE)))),TRIM(VLOOKUP(IF(AND(LEN($A1326)=4,VALUE(RIGHT($A1326,2))&gt;60),$A1326&amp;"01 1",$A1326),IF(AND(LEN($A1326)=4,VALUE(RIGHT($A1326,2))&lt;60),GUS_tabl_2!$A$8:$B$464,GUS_tabl_21!$A$5:$B$4886),2,FALSE)),LEFT(TRIM(VLOOKUP(IF(AND(LEN($A1326)=4,VALUE(RIGHT($A1326,2))&gt;60),$A1326&amp;"01 1",$A1326),IF(AND(LEN($A1326)=4,VALUE(RIGHT($A1326,2))&lt;60),GUS_tabl_2!$A$8:$B$464,GUS_tabl_21!$A$5:$B$4886),2,FALSE)),SUM(FIND("..",TRIM(VLOOKUP(IF(AND(LEN($A1326)=4,VALUE(RIGHT($A1326,2))&gt;60),$A1326&amp;"01 1",$A1326),IF(AND(LEN($A1326)=4,VALUE(RIGHT($A1326,2))&lt;60),GUS_tabl_2!$A$8:$B$464,GUS_tabl_21!$A$5:$B$4886),2,FALSE))),-1)))))</f>
        <v>gm. w. Radzanowo</v>
      </c>
      <c r="D1326" s="141">
        <f>IF(OR($A1326="",ISERROR(VALUE(LEFT($A1326,6)))),"",IF(LEN($A1326)=2,SUMIF($A1327:$A$2965,$A1326&amp;"??",$D1327:$D$2965),IF(AND(LEN($A1326)=4,VALUE(RIGHT($A1326,2))&lt;=60),SUMIF($A1327:$A$2965,$A1326&amp;"????",$D1327:$D$2965),VLOOKUP(IF(LEN($A1326)=4,$A1326&amp;"01 1",$A1326),GUS_tabl_21!$A$5:$F$4886,6,FALSE))))</f>
        <v>8500</v>
      </c>
      <c r="E1326" s="29"/>
    </row>
    <row r="1327" spans="1:5" ht="12" customHeight="1">
      <c r="A1327" s="155" t="str">
        <f>"141911 2"</f>
        <v>141911 2</v>
      </c>
      <c r="B1327" s="153" t="s">
        <v>45</v>
      </c>
      <c r="C1327" s="156" t="str">
        <f>IF(OR($A1327="",ISERROR(VALUE(LEFT($A1327,6)))),"",IF(LEN($A1327)=2,"WOJ. ",IF(LEN($A1327)=4,IF(VALUE(RIGHT($A1327,2))&gt;60,"","Powiat "),IF(VALUE(RIGHT($A1327,1))=1,"m. ",IF(VALUE(RIGHT($A1327,1))=2,"gm. w. ",IF(VALUE(RIGHT($A1327,1))=8,"dz. ","gm. m.-w. ")))))&amp;IF(LEN($A1327)=2,TRIM(UPPER(VLOOKUP($A1327,GUS_tabl_1!$A$7:$B$22,2,FALSE))),IF(ISERROR(FIND("..",TRIM(VLOOKUP(IF(AND(LEN($A1327)=4,VALUE(RIGHT($A1327,2))&gt;60),$A1327&amp;"01 1",$A1327),IF(AND(LEN($A1327)=4,VALUE(RIGHT($A1327,2))&lt;60),GUS_tabl_2!$A$8:$B$464,GUS_tabl_21!$A$5:$B$4886),2,FALSE)))),TRIM(VLOOKUP(IF(AND(LEN($A1327)=4,VALUE(RIGHT($A1327,2))&gt;60),$A1327&amp;"01 1",$A1327),IF(AND(LEN($A1327)=4,VALUE(RIGHT($A1327,2))&lt;60),GUS_tabl_2!$A$8:$B$464,GUS_tabl_21!$A$5:$B$4886),2,FALSE)),LEFT(TRIM(VLOOKUP(IF(AND(LEN($A1327)=4,VALUE(RIGHT($A1327,2))&gt;60),$A1327&amp;"01 1",$A1327),IF(AND(LEN($A1327)=4,VALUE(RIGHT($A1327,2))&lt;60),GUS_tabl_2!$A$8:$B$464,GUS_tabl_21!$A$5:$B$4886),2,FALSE)),SUM(FIND("..",TRIM(VLOOKUP(IF(AND(LEN($A1327)=4,VALUE(RIGHT($A1327,2))&gt;60),$A1327&amp;"01 1",$A1327),IF(AND(LEN($A1327)=4,VALUE(RIGHT($A1327,2))&lt;60),GUS_tabl_2!$A$8:$B$464,GUS_tabl_21!$A$5:$B$4886),2,FALSE))),-1)))))</f>
        <v>gm. w. Słubice</v>
      </c>
      <c r="D1327" s="141">
        <f>IF(OR($A1327="",ISERROR(VALUE(LEFT($A1327,6)))),"",IF(LEN($A1327)=2,SUMIF($A1328:$A$2965,$A1327&amp;"??",$D1328:$D$2965),IF(AND(LEN($A1327)=4,VALUE(RIGHT($A1327,2))&lt;=60),SUMIF($A1328:$A$2965,$A1327&amp;"????",$D1328:$D$2965),VLOOKUP(IF(LEN($A1327)=4,$A1327&amp;"01 1",$A1327),GUS_tabl_21!$A$5:$F$4886,6,FALSE))))</f>
        <v>4429</v>
      </c>
      <c r="E1327" s="29"/>
    </row>
    <row r="1328" spans="1:5" ht="12" customHeight="1">
      <c r="A1328" s="155" t="str">
        <f>"141912 2"</f>
        <v>141912 2</v>
      </c>
      <c r="B1328" s="153" t="s">
        <v>45</v>
      </c>
      <c r="C1328" s="156" t="str">
        <f>IF(OR($A1328="",ISERROR(VALUE(LEFT($A1328,6)))),"",IF(LEN($A1328)=2,"WOJ. ",IF(LEN($A1328)=4,IF(VALUE(RIGHT($A1328,2))&gt;60,"","Powiat "),IF(VALUE(RIGHT($A1328,1))=1,"m. ",IF(VALUE(RIGHT($A1328,1))=2,"gm. w. ",IF(VALUE(RIGHT($A1328,1))=8,"dz. ","gm. m.-w. ")))))&amp;IF(LEN($A1328)=2,TRIM(UPPER(VLOOKUP($A1328,GUS_tabl_1!$A$7:$B$22,2,FALSE))),IF(ISERROR(FIND("..",TRIM(VLOOKUP(IF(AND(LEN($A1328)=4,VALUE(RIGHT($A1328,2))&gt;60),$A1328&amp;"01 1",$A1328),IF(AND(LEN($A1328)=4,VALUE(RIGHT($A1328,2))&lt;60),GUS_tabl_2!$A$8:$B$464,GUS_tabl_21!$A$5:$B$4886),2,FALSE)))),TRIM(VLOOKUP(IF(AND(LEN($A1328)=4,VALUE(RIGHT($A1328,2))&gt;60),$A1328&amp;"01 1",$A1328),IF(AND(LEN($A1328)=4,VALUE(RIGHT($A1328,2))&lt;60),GUS_tabl_2!$A$8:$B$464,GUS_tabl_21!$A$5:$B$4886),2,FALSE)),LEFT(TRIM(VLOOKUP(IF(AND(LEN($A1328)=4,VALUE(RIGHT($A1328,2))&gt;60),$A1328&amp;"01 1",$A1328),IF(AND(LEN($A1328)=4,VALUE(RIGHT($A1328,2))&lt;60),GUS_tabl_2!$A$8:$B$464,GUS_tabl_21!$A$5:$B$4886),2,FALSE)),SUM(FIND("..",TRIM(VLOOKUP(IF(AND(LEN($A1328)=4,VALUE(RIGHT($A1328,2))&gt;60),$A1328&amp;"01 1",$A1328),IF(AND(LEN($A1328)=4,VALUE(RIGHT($A1328,2))&lt;60),GUS_tabl_2!$A$8:$B$464,GUS_tabl_21!$A$5:$B$4886),2,FALSE))),-1)))))</f>
        <v>gm. w. Słupno</v>
      </c>
      <c r="D1328" s="141">
        <f>IF(OR($A1328="",ISERROR(VALUE(LEFT($A1328,6)))),"",IF(LEN($A1328)=2,SUMIF($A1329:$A$2965,$A1328&amp;"??",$D1329:$D$2965),IF(AND(LEN($A1328)=4,VALUE(RIGHT($A1328,2))&lt;=60),SUMIF($A1329:$A$2965,$A1328&amp;"????",$D1329:$D$2965),VLOOKUP(IF(LEN($A1328)=4,$A1328&amp;"01 1",$A1328),GUS_tabl_21!$A$5:$F$4886,6,FALSE))))</f>
        <v>7958</v>
      </c>
      <c r="E1328" s="29"/>
    </row>
    <row r="1329" spans="1:5" ht="12" customHeight="1">
      <c r="A1329" s="155" t="str">
        <f>"141913 2"</f>
        <v>141913 2</v>
      </c>
      <c r="B1329" s="153" t="s">
        <v>45</v>
      </c>
      <c r="C1329" s="156" t="str">
        <f>IF(OR($A1329="",ISERROR(VALUE(LEFT($A1329,6)))),"",IF(LEN($A1329)=2,"WOJ. ",IF(LEN($A1329)=4,IF(VALUE(RIGHT($A1329,2))&gt;60,"","Powiat "),IF(VALUE(RIGHT($A1329,1))=1,"m. ",IF(VALUE(RIGHT($A1329,1))=2,"gm. w. ",IF(VALUE(RIGHT($A1329,1))=8,"dz. ","gm. m.-w. ")))))&amp;IF(LEN($A1329)=2,TRIM(UPPER(VLOOKUP($A1329,GUS_tabl_1!$A$7:$B$22,2,FALSE))),IF(ISERROR(FIND("..",TRIM(VLOOKUP(IF(AND(LEN($A1329)=4,VALUE(RIGHT($A1329,2))&gt;60),$A1329&amp;"01 1",$A1329),IF(AND(LEN($A1329)=4,VALUE(RIGHT($A1329,2))&lt;60),GUS_tabl_2!$A$8:$B$464,GUS_tabl_21!$A$5:$B$4886),2,FALSE)))),TRIM(VLOOKUP(IF(AND(LEN($A1329)=4,VALUE(RIGHT($A1329,2))&gt;60),$A1329&amp;"01 1",$A1329),IF(AND(LEN($A1329)=4,VALUE(RIGHT($A1329,2))&lt;60),GUS_tabl_2!$A$8:$B$464,GUS_tabl_21!$A$5:$B$4886),2,FALSE)),LEFT(TRIM(VLOOKUP(IF(AND(LEN($A1329)=4,VALUE(RIGHT($A1329,2))&gt;60),$A1329&amp;"01 1",$A1329),IF(AND(LEN($A1329)=4,VALUE(RIGHT($A1329,2))&lt;60),GUS_tabl_2!$A$8:$B$464,GUS_tabl_21!$A$5:$B$4886),2,FALSE)),SUM(FIND("..",TRIM(VLOOKUP(IF(AND(LEN($A1329)=4,VALUE(RIGHT($A1329,2))&gt;60),$A1329&amp;"01 1",$A1329),IF(AND(LEN($A1329)=4,VALUE(RIGHT($A1329,2))&lt;60),GUS_tabl_2!$A$8:$B$464,GUS_tabl_21!$A$5:$B$4886),2,FALSE))),-1)))))</f>
        <v>gm. w. Stara Biała</v>
      </c>
      <c r="D1329" s="141">
        <f>IF(OR($A1329="",ISERROR(VALUE(LEFT($A1329,6)))),"",IF(LEN($A1329)=2,SUMIF($A1330:$A$2965,$A1329&amp;"??",$D1330:$D$2965),IF(AND(LEN($A1329)=4,VALUE(RIGHT($A1329,2))&lt;=60),SUMIF($A1330:$A$2965,$A1329&amp;"????",$D1330:$D$2965),VLOOKUP(IF(LEN($A1329)=4,$A1329&amp;"01 1",$A1329),GUS_tabl_21!$A$5:$F$4886,6,FALSE))))</f>
        <v>11968</v>
      </c>
      <c r="E1329" s="29"/>
    </row>
    <row r="1330" spans="1:5" ht="12" customHeight="1">
      <c r="A1330" s="155" t="str">
        <f>"141914 2"</f>
        <v>141914 2</v>
      </c>
      <c r="B1330" s="153" t="s">
        <v>45</v>
      </c>
      <c r="C1330" s="156" t="str">
        <f>IF(OR($A1330="",ISERROR(VALUE(LEFT($A1330,6)))),"",IF(LEN($A1330)=2,"WOJ. ",IF(LEN($A1330)=4,IF(VALUE(RIGHT($A1330,2))&gt;60,"","Powiat "),IF(VALUE(RIGHT($A1330,1))=1,"m. ",IF(VALUE(RIGHT($A1330,1))=2,"gm. w. ",IF(VALUE(RIGHT($A1330,1))=8,"dz. ","gm. m.-w. ")))))&amp;IF(LEN($A1330)=2,TRIM(UPPER(VLOOKUP($A1330,GUS_tabl_1!$A$7:$B$22,2,FALSE))),IF(ISERROR(FIND("..",TRIM(VLOOKUP(IF(AND(LEN($A1330)=4,VALUE(RIGHT($A1330,2))&gt;60),$A1330&amp;"01 1",$A1330),IF(AND(LEN($A1330)=4,VALUE(RIGHT($A1330,2))&lt;60),GUS_tabl_2!$A$8:$B$464,GUS_tabl_21!$A$5:$B$4886),2,FALSE)))),TRIM(VLOOKUP(IF(AND(LEN($A1330)=4,VALUE(RIGHT($A1330,2))&gt;60),$A1330&amp;"01 1",$A1330),IF(AND(LEN($A1330)=4,VALUE(RIGHT($A1330,2))&lt;60),GUS_tabl_2!$A$8:$B$464,GUS_tabl_21!$A$5:$B$4886),2,FALSE)),LEFT(TRIM(VLOOKUP(IF(AND(LEN($A1330)=4,VALUE(RIGHT($A1330,2))&gt;60),$A1330&amp;"01 1",$A1330),IF(AND(LEN($A1330)=4,VALUE(RIGHT($A1330,2))&lt;60),GUS_tabl_2!$A$8:$B$464,GUS_tabl_21!$A$5:$B$4886),2,FALSE)),SUM(FIND("..",TRIM(VLOOKUP(IF(AND(LEN($A1330)=4,VALUE(RIGHT($A1330,2))&gt;60),$A1330&amp;"01 1",$A1330),IF(AND(LEN($A1330)=4,VALUE(RIGHT($A1330,2))&lt;60),GUS_tabl_2!$A$8:$B$464,GUS_tabl_21!$A$5:$B$4886),2,FALSE))),-1)))))</f>
        <v>gm. w. Staroźreby</v>
      </c>
      <c r="D1330" s="141">
        <f>IF(OR($A1330="",ISERROR(VALUE(LEFT($A1330,6)))),"",IF(LEN($A1330)=2,SUMIF($A1331:$A$2965,$A1330&amp;"??",$D1331:$D$2965),IF(AND(LEN($A1330)=4,VALUE(RIGHT($A1330,2))&lt;=60),SUMIF($A1331:$A$2965,$A1330&amp;"????",$D1331:$D$2965),VLOOKUP(IF(LEN($A1330)=4,$A1330&amp;"01 1",$A1330),GUS_tabl_21!$A$5:$F$4886,6,FALSE))))</f>
        <v>7216</v>
      </c>
      <c r="E1330" s="29"/>
    </row>
    <row r="1331" spans="1:5" ht="12" customHeight="1">
      <c r="A1331" s="155" t="str">
        <f>"141915 3"</f>
        <v>141915 3</v>
      </c>
      <c r="B1331" s="153" t="s">
        <v>45</v>
      </c>
      <c r="C1331" s="156" t="str">
        <f>IF(OR($A1331="",ISERROR(VALUE(LEFT($A1331,6)))),"",IF(LEN($A1331)=2,"WOJ. ",IF(LEN($A1331)=4,IF(VALUE(RIGHT($A1331,2))&gt;60,"","Powiat "),IF(VALUE(RIGHT($A1331,1))=1,"m. ",IF(VALUE(RIGHT($A1331,1))=2,"gm. w. ",IF(VALUE(RIGHT($A1331,1))=8,"dz. ","gm. m.-w. ")))))&amp;IF(LEN($A1331)=2,TRIM(UPPER(VLOOKUP($A1331,GUS_tabl_1!$A$7:$B$22,2,FALSE))),IF(ISERROR(FIND("..",TRIM(VLOOKUP(IF(AND(LEN($A1331)=4,VALUE(RIGHT($A1331,2))&gt;60),$A1331&amp;"01 1",$A1331),IF(AND(LEN($A1331)=4,VALUE(RIGHT($A1331,2))&lt;60),GUS_tabl_2!$A$8:$B$464,GUS_tabl_21!$A$5:$B$4886),2,FALSE)))),TRIM(VLOOKUP(IF(AND(LEN($A1331)=4,VALUE(RIGHT($A1331,2))&gt;60),$A1331&amp;"01 1",$A1331),IF(AND(LEN($A1331)=4,VALUE(RIGHT($A1331,2))&lt;60),GUS_tabl_2!$A$8:$B$464,GUS_tabl_21!$A$5:$B$4886),2,FALSE)),LEFT(TRIM(VLOOKUP(IF(AND(LEN($A1331)=4,VALUE(RIGHT($A1331,2))&gt;60),$A1331&amp;"01 1",$A1331),IF(AND(LEN($A1331)=4,VALUE(RIGHT($A1331,2))&lt;60),GUS_tabl_2!$A$8:$B$464,GUS_tabl_21!$A$5:$B$4886),2,FALSE)),SUM(FIND("..",TRIM(VLOOKUP(IF(AND(LEN($A1331)=4,VALUE(RIGHT($A1331,2))&gt;60),$A1331&amp;"01 1",$A1331),IF(AND(LEN($A1331)=4,VALUE(RIGHT($A1331,2))&lt;60),GUS_tabl_2!$A$8:$B$464,GUS_tabl_21!$A$5:$B$4886),2,FALSE))),-1)))))</f>
        <v>gm. m.-w. Wyszogród</v>
      </c>
      <c r="D1331" s="141">
        <f>IF(OR($A1331="",ISERROR(VALUE(LEFT($A1331,6)))),"",IF(LEN($A1331)=2,SUMIF($A1332:$A$2965,$A1331&amp;"??",$D1332:$D$2965),IF(AND(LEN($A1331)=4,VALUE(RIGHT($A1331,2))&lt;=60),SUMIF($A1332:$A$2965,$A1331&amp;"????",$D1332:$D$2965),VLOOKUP(IF(LEN($A1331)=4,$A1331&amp;"01 1",$A1331),GUS_tabl_21!$A$5:$F$4886,6,FALSE))))</f>
        <v>5575</v>
      </c>
      <c r="E1331" s="29"/>
    </row>
    <row r="1332" spans="1:5" ht="12" customHeight="1">
      <c r="A1332" s="152" t="str">
        <f>"1420"</f>
        <v>1420</v>
      </c>
      <c r="B1332" s="153" t="s">
        <v>45</v>
      </c>
      <c r="C1332" s="154" t="str">
        <f>IF(OR($A1332="",ISERROR(VALUE(LEFT($A1332,6)))),"",IF(LEN($A1332)=2,"WOJ. ",IF(LEN($A1332)=4,IF(VALUE(RIGHT($A1332,2))&gt;60,"","Powiat "),IF(VALUE(RIGHT($A1332,1))=1,"m. ",IF(VALUE(RIGHT($A1332,1))=2,"gm. w. ",IF(VALUE(RIGHT($A1332,1))=8,"dz. ","gm. m.-w. ")))))&amp;IF(LEN($A1332)=2,TRIM(UPPER(VLOOKUP($A1332,GUS_tabl_1!$A$7:$B$22,2,FALSE))),IF(ISERROR(FIND("..",TRIM(VLOOKUP(IF(AND(LEN($A1332)=4,VALUE(RIGHT($A1332,2))&gt;60),$A1332&amp;"01 1",$A1332),IF(AND(LEN($A1332)=4,VALUE(RIGHT($A1332,2))&lt;60),GUS_tabl_2!$A$8:$B$464,GUS_tabl_21!$A$5:$B$4886),2,FALSE)))),TRIM(VLOOKUP(IF(AND(LEN($A1332)=4,VALUE(RIGHT($A1332,2))&gt;60),$A1332&amp;"01 1",$A1332),IF(AND(LEN($A1332)=4,VALUE(RIGHT($A1332,2))&lt;60),GUS_tabl_2!$A$8:$B$464,GUS_tabl_21!$A$5:$B$4886),2,FALSE)),LEFT(TRIM(VLOOKUP(IF(AND(LEN($A1332)=4,VALUE(RIGHT($A1332,2))&gt;60),$A1332&amp;"01 1",$A1332),IF(AND(LEN($A1332)=4,VALUE(RIGHT($A1332,2))&lt;60),GUS_tabl_2!$A$8:$B$464,GUS_tabl_21!$A$5:$B$4886),2,FALSE)),SUM(FIND("..",TRIM(VLOOKUP(IF(AND(LEN($A1332)=4,VALUE(RIGHT($A1332,2))&gt;60),$A1332&amp;"01 1",$A1332),IF(AND(LEN($A1332)=4,VALUE(RIGHT($A1332,2))&lt;60),GUS_tabl_2!$A$8:$B$464,GUS_tabl_21!$A$5:$B$4886),2,FALSE))),-1)))))</f>
        <v>Powiat płoński</v>
      </c>
      <c r="D1332" s="140">
        <f>IF(OR($A1332="",ISERROR(VALUE(LEFT($A1332,6)))),"",IF(LEN($A1332)=2,SUMIF($A1333:$A$2965,$A1332&amp;"??",$D1333:$D$2965),IF(AND(LEN($A1332)=4,VALUE(RIGHT($A1332,2))&lt;=60),SUMIF($A1333:$A$2965,$A1332&amp;"????",$D1333:$D$2965),VLOOKUP(IF(LEN($A1332)=4,$A1332&amp;"01 1",$A1332),GUS_tabl_21!$A$5:$F$4886,6,FALSE))))</f>
        <v>87054</v>
      </c>
      <c r="E1332" s="29"/>
    </row>
    <row r="1333" spans="1:5" ht="12" customHeight="1">
      <c r="A1333" s="155" t="str">
        <f>"142001 1"</f>
        <v>142001 1</v>
      </c>
      <c r="B1333" s="153" t="s">
        <v>45</v>
      </c>
      <c r="C1333" s="156" t="str">
        <f>IF(OR($A1333="",ISERROR(VALUE(LEFT($A1333,6)))),"",IF(LEN($A1333)=2,"WOJ. ",IF(LEN($A1333)=4,IF(VALUE(RIGHT($A1333,2))&gt;60,"","Powiat "),IF(VALUE(RIGHT($A1333,1))=1,"m. ",IF(VALUE(RIGHT($A1333,1))=2,"gm. w. ",IF(VALUE(RIGHT($A1333,1))=8,"dz. ","gm. m.-w. ")))))&amp;IF(LEN($A1333)=2,TRIM(UPPER(VLOOKUP($A1333,GUS_tabl_1!$A$7:$B$22,2,FALSE))),IF(ISERROR(FIND("..",TRIM(VLOOKUP(IF(AND(LEN($A1333)=4,VALUE(RIGHT($A1333,2))&gt;60),$A1333&amp;"01 1",$A1333),IF(AND(LEN($A1333)=4,VALUE(RIGHT($A1333,2))&lt;60),GUS_tabl_2!$A$8:$B$464,GUS_tabl_21!$A$5:$B$4886),2,FALSE)))),TRIM(VLOOKUP(IF(AND(LEN($A1333)=4,VALUE(RIGHT($A1333,2))&gt;60),$A1333&amp;"01 1",$A1333),IF(AND(LEN($A1333)=4,VALUE(RIGHT($A1333,2))&lt;60),GUS_tabl_2!$A$8:$B$464,GUS_tabl_21!$A$5:$B$4886),2,FALSE)),LEFT(TRIM(VLOOKUP(IF(AND(LEN($A1333)=4,VALUE(RIGHT($A1333,2))&gt;60),$A1333&amp;"01 1",$A1333),IF(AND(LEN($A1333)=4,VALUE(RIGHT($A1333,2))&lt;60),GUS_tabl_2!$A$8:$B$464,GUS_tabl_21!$A$5:$B$4886),2,FALSE)),SUM(FIND("..",TRIM(VLOOKUP(IF(AND(LEN($A1333)=4,VALUE(RIGHT($A1333,2))&gt;60),$A1333&amp;"01 1",$A1333),IF(AND(LEN($A1333)=4,VALUE(RIGHT($A1333,2))&lt;60),GUS_tabl_2!$A$8:$B$464,GUS_tabl_21!$A$5:$B$4886),2,FALSE))),-1)))))</f>
        <v>m. Płońsk</v>
      </c>
      <c r="D1333" s="141">
        <f>IF(OR($A1333="",ISERROR(VALUE(LEFT($A1333,6)))),"",IF(LEN($A1333)=2,SUMIF($A1334:$A$2965,$A1333&amp;"??",$D1334:$D$2965),IF(AND(LEN($A1333)=4,VALUE(RIGHT($A1333,2))&lt;=60),SUMIF($A1334:$A$2965,$A1333&amp;"????",$D1334:$D$2965),VLOOKUP(IF(LEN($A1333)=4,$A1333&amp;"01 1",$A1333),GUS_tabl_21!$A$5:$F$4886,6,FALSE))))</f>
        <v>22107</v>
      </c>
      <c r="E1333" s="29"/>
    </row>
    <row r="1334" spans="1:5" ht="12" customHeight="1">
      <c r="A1334" s="155" t="str">
        <f>"142002 1"</f>
        <v>142002 1</v>
      </c>
      <c r="B1334" s="153" t="s">
        <v>45</v>
      </c>
      <c r="C1334" s="156" t="str">
        <f>IF(OR($A1334="",ISERROR(VALUE(LEFT($A1334,6)))),"",IF(LEN($A1334)=2,"WOJ. ",IF(LEN($A1334)=4,IF(VALUE(RIGHT($A1334,2))&gt;60,"","Powiat "),IF(VALUE(RIGHT($A1334,1))=1,"m. ",IF(VALUE(RIGHT($A1334,1))=2,"gm. w. ",IF(VALUE(RIGHT($A1334,1))=8,"dz. ","gm. m.-w. ")))))&amp;IF(LEN($A1334)=2,TRIM(UPPER(VLOOKUP($A1334,GUS_tabl_1!$A$7:$B$22,2,FALSE))),IF(ISERROR(FIND("..",TRIM(VLOOKUP(IF(AND(LEN($A1334)=4,VALUE(RIGHT($A1334,2))&gt;60),$A1334&amp;"01 1",$A1334),IF(AND(LEN($A1334)=4,VALUE(RIGHT($A1334,2))&lt;60),GUS_tabl_2!$A$8:$B$464,GUS_tabl_21!$A$5:$B$4886),2,FALSE)))),TRIM(VLOOKUP(IF(AND(LEN($A1334)=4,VALUE(RIGHT($A1334,2))&gt;60),$A1334&amp;"01 1",$A1334),IF(AND(LEN($A1334)=4,VALUE(RIGHT($A1334,2))&lt;60),GUS_tabl_2!$A$8:$B$464,GUS_tabl_21!$A$5:$B$4886),2,FALSE)),LEFT(TRIM(VLOOKUP(IF(AND(LEN($A1334)=4,VALUE(RIGHT($A1334,2))&gt;60),$A1334&amp;"01 1",$A1334),IF(AND(LEN($A1334)=4,VALUE(RIGHT($A1334,2))&lt;60),GUS_tabl_2!$A$8:$B$464,GUS_tabl_21!$A$5:$B$4886),2,FALSE)),SUM(FIND("..",TRIM(VLOOKUP(IF(AND(LEN($A1334)=4,VALUE(RIGHT($A1334,2))&gt;60),$A1334&amp;"01 1",$A1334),IF(AND(LEN($A1334)=4,VALUE(RIGHT($A1334,2))&lt;60),GUS_tabl_2!$A$8:$B$464,GUS_tabl_21!$A$5:$B$4886),2,FALSE))),-1)))))</f>
        <v>m. Raciąż</v>
      </c>
      <c r="D1334" s="141">
        <f>IF(OR($A1334="",ISERROR(VALUE(LEFT($A1334,6)))),"",IF(LEN($A1334)=2,SUMIF($A1335:$A$2965,$A1334&amp;"??",$D1335:$D$2965),IF(AND(LEN($A1334)=4,VALUE(RIGHT($A1334,2))&lt;=60),SUMIF($A1335:$A$2965,$A1334&amp;"????",$D1335:$D$2965),VLOOKUP(IF(LEN($A1334)=4,$A1334&amp;"01 1",$A1334),GUS_tabl_21!$A$5:$F$4886,6,FALSE))))</f>
        <v>4394</v>
      </c>
      <c r="E1334" s="29"/>
    </row>
    <row r="1335" spans="1:5" ht="12" customHeight="1">
      <c r="A1335" s="155" t="str">
        <f>"142003 2"</f>
        <v>142003 2</v>
      </c>
      <c r="B1335" s="153" t="s">
        <v>45</v>
      </c>
      <c r="C1335" s="156" t="str">
        <f>IF(OR($A1335="",ISERROR(VALUE(LEFT($A1335,6)))),"",IF(LEN($A1335)=2,"WOJ. ",IF(LEN($A1335)=4,IF(VALUE(RIGHT($A1335,2))&gt;60,"","Powiat "),IF(VALUE(RIGHT($A1335,1))=1,"m. ",IF(VALUE(RIGHT($A1335,1))=2,"gm. w. ",IF(VALUE(RIGHT($A1335,1))=8,"dz. ","gm. m.-w. ")))))&amp;IF(LEN($A1335)=2,TRIM(UPPER(VLOOKUP($A1335,GUS_tabl_1!$A$7:$B$22,2,FALSE))),IF(ISERROR(FIND("..",TRIM(VLOOKUP(IF(AND(LEN($A1335)=4,VALUE(RIGHT($A1335,2))&gt;60),$A1335&amp;"01 1",$A1335),IF(AND(LEN($A1335)=4,VALUE(RIGHT($A1335,2))&lt;60),GUS_tabl_2!$A$8:$B$464,GUS_tabl_21!$A$5:$B$4886),2,FALSE)))),TRIM(VLOOKUP(IF(AND(LEN($A1335)=4,VALUE(RIGHT($A1335,2))&gt;60),$A1335&amp;"01 1",$A1335),IF(AND(LEN($A1335)=4,VALUE(RIGHT($A1335,2))&lt;60),GUS_tabl_2!$A$8:$B$464,GUS_tabl_21!$A$5:$B$4886),2,FALSE)),LEFT(TRIM(VLOOKUP(IF(AND(LEN($A1335)=4,VALUE(RIGHT($A1335,2))&gt;60),$A1335&amp;"01 1",$A1335),IF(AND(LEN($A1335)=4,VALUE(RIGHT($A1335,2))&lt;60),GUS_tabl_2!$A$8:$B$464,GUS_tabl_21!$A$5:$B$4886),2,FALSE)),SUM(FIND("..",TRIM(VLOOKUP(IF(AND(LEN($A1335)=4,VALUE(RIGHT($A1335,2))&gt;60),$A1335&amp;"01 1",$A1335),IF(AND(LEN($A1335)=4,VALUE(RIGHT($A1335,2))&lt;60),GUS_tabl_2!$A$8:$B$464,GUS_tabl_21!$A$5:$B$4886),2,FALSE))),-1)))))</f>
        <v>gm. w. Baboszewo</v>
      </c>
      <c r="D1335" s="141">
        <f>IF(OR($A1335="",ISERROR(VALUE(LEFT($A1335,6)))),"",IF(LEN($A1335)=2,SUMIF($A1336:$A$2965,$A1335&amp;"??",$D1336:$D$2965),IF(AND(LEN($A1335)=4,VALUE(RIGHT($A1335,2))&lt;=60),SUMIF($A1336:$A$2965,$A1335&amp;"????",$D1336:$D$2965),VLOOKUP(IF(LEN($A1335)=4,$A1335&amp;"01 1",$A1335),GUS_tabl_21!$A$5:$F$4886,6,FALSE))))</f>
        <v>7955</v>
      </c>
      <c r="E1335" s="29"/>
    </row>
    <row r="1336" spans="1:5" ht="12" customHeight="1">
      <c r="A1336" s="155" t="str">
        <f>"142004 3"</f>
        <v>142004 3</v>
      </c>
      <c r="B1336" s="153" t="s">
        <v>45</v>
      </c>
      <c r="C1336" s="156" t="str">
        <f>IF(OR($A1336="",ISERROR(VALUE(LEFT($A1336,6)))),"",IF(LEN($A1336)=2,"WOJ. ",IF(LEN($A1336)=4,IF(VALUE(RIGHT($A1336,2))&gt;60,"","Powiat "),IF(VALUE(RIGHT($A1336,1))=1,"m. ",IF(VALUE(RIGHT($A1336,1))=2,"gm. w. ",IF(VALUE(RIGHT($A1336,1))=8,"dz. ","gm. m.-w. ")))))&amp;IF(LEN($A1336)=2,TRIM(UPPER(VLOOKUP($A1336,GUS_tabl_1!$A$7:$B$22,2,FALSE))),IF(ISERROR(FIND("..",TRIM(VLOOKUP(IF(AND(LEN($A1336)=4,VALUE(RIGHT($A1336,2))&gt;60),$A1336&amp;"01 1",$A1336),IF(AND(LEN($A1336)=4,VALUE(RIGHT($A1336,2))&lt;60),GUS_tabl_2!$A$8:$B$464,GUS_tabl_21!$A$5:$B$4886),2,FALSE)))),TRIM(VLOOKUP(IF(AND(LEN($A1336)=4,VALUE(RIGHT($A1336,2))&gt;60),$A1336&amp;"01 1",$A1336),IF(AND(LEN($A1336)=4,VALUE(RIGHT($A1336,2))&lt;60),GUS_tabl_2!$A$8:$B$464,GUS_tabl_21!$A$5:$B$4886),2,FALSE)),LEFT(TRIM(VLOOKUP(IF(AND(LEN($A1336)=4,VALUE(RIGHT($A1336,2))&gt;60),$A1336&amp;"01 1",$A1336),IF(AND(LEN($A1336)=4,VALUE(RIGHT($A1336,2))&lt;60),GUS_tabl_2!$A$8:$B$464,GUS_tabl_21!$A$5:$B$4886),2,FALSE)),SUM(FIND("..",TRIM(VLOOKUP(IF(AND(LEN($A1336)=4,VALUE(RIGHT($A1336,2))&gt;60),$A1336&amp;"01 1",$A1336),IF(AND(LEN($A1336)=4,VALUE(RIGHT($A1336,2))&lt;60),GUS_tabl_2!$A$8:$B$464,GUS_tabl_21!$A$5:$B$4886),2,FALSE))),-1)))))</f>
        <v>gm. m.-w. Czerwińsk nad Wisłą</v>
      </c>
      <c r="D1336" s="141">
        <f>IF(OR($A1336="",ISERROR(VALUE(LEFT($A1336,6)))),"",IF(LEN($A1336)=2,SUMIF($A1337:$A$2965,$A1336&amp;"??",$D1337:$D$2965),IF(AND(LEN($A1336)=4,VALUE(RIGHT($A1336,2))&lt;=60),SUMIF($A1337:$A$2965,$A1336&amp;"????",$D1337:$D$2965),VLOOKUP(IF(LEN($A1336)=4,$A1336&amp;"01 1",$A1336),GUS_tabl_21!$A$5:$F$4886,6,FALSE))))</f>
        <v>7640</v>
      </c>
      <c r="E1336" s="29"/>
    </row>
    <row r="1337" spans="1:5" ht="12" customHeight="1">
      <c r="A1337" s="155" t="str">
        <f>"142005 2"</f>
        <v>142005 2</v>
      </c>
      <c r="B1337" s="153" t="s">
        <v>45</v>
      </c>
      <c r="C1337" s="156" t="str">
        <f>IF(OR($A1337="",ISERROR(VALUE(LEFT($A1337,6)))),"",IF(LEN($A1337)=2,"WOJ. ",IF(LEN($A1337)=4,IF(VALUE(RIGHT($A1337,2))&gt;60,"","Powiat "),IF(VALUE(RIGHT($A1337,1))=1,"m. ",IF(VALUE(RIGHT($A1337,1))=2,"gm. w. ",IF(VALUE(RIGHT($A1337,1))=8,"dz. ","gm. m.-w. ")))))&amp;IF(LEN($A1337)=2,TRIM(UPPER(VLOOKUP($A1337,GUS_tabl_1!$A$7:$B$22,2,FALSE))),IF(ISERROR(FIND("..",TRIM(VLOOKUP(IF(AND(LEN($A1337)=4,VALUE(RIGHT($A1337,2))&gt;60),$A1337&amp;"01 1",$A1337),IF(AND(LEN($A1337)=4,VALUE(RIGHT($A1337,2))&lt;60),GUS_tabl_2!$A$8:$B$464,GUS_tabl_21!$A$5:$B$4886),2,FALSE)))),TRIM(VLOOKUP(IF(AND(LEN($A1337)=4,VALUE(RIGHT($A1337,2))&gt;60),$A1337&amp;"01 1",$A1337),IF(AND(LEN($A1337)=4,VALUE(RIGHT($A1337,2))&lt;60),GUS_tabl_2!$A$8:$B$464,GUS_tabl_21!$A$5:$B$4886),2,FALSE)),LEFT(TRIM(VLOOKUP(IF(AND(LEN($A1337)=4,VALUE(RIGHT($A1337,2))&gt;60),$A1337&amp;"01 1",$A1337),IF(AND(LEN($A1337)=4,VALUE(RIGHT($A1337,2))&lt;60),GUS_tabl_2!$A$8:$B$464,GUS_tabl_21!$A$5:$B$4886),2,FALSE)),SUM(FIND("..",TRIM(VLOOKUP(IF(AND(LEN($A1337)=4,VALUE(RIGHT($A1337,2))&gt;60),$A1337&amp;"01 1",$A1337),IF(AND(LEN($A1337)=4,VALUE(RIGHT($A1337,2))&lt;60),GUS_tabl_2!$A$8:$B$464,GUS_tabl_21!$A$5:$B$4886),2,FALSE))),-1)))))</f>
        <v>gm. w. Dzierzążnia</v>
      </c>
      <c r="D1337" s="141">
        <f>IF(OR($A1337="",ISERROR(VALUE(LEFT($A1337,6)))),"",IF(LEN($A1337)=2,SUMIF($A1338:$A$2965,$A1337&amp;"??",$D1338:$D$2965),IF(AND(LEN($A1337)=4,VALUE(RIGHT($A1337,2))&lt;=60),SUMIF($A1338:$A$2965,$A1337&amp;"????",$D1338:$D$2965),VLOOKUP(IF(LEN($A1337)=4,$A1337&amp;"01 1",$A1337),GUS_tabl_21!$A$5:$F$4886,6,FALSE))))</f>
        <v>3632</v>
      </c>
      <c r="E1337" s="29"/>
    </row>
    <row r="1338" spans="1:5" ht="12" customHeight="1">
      <c r="A1338" s="155" t="str">
        <f>"142006 2"</f>
        <v>142006 2</v>
      </c>
      <c r="B1338" s="153" t="s">
        <v>45</v>
      </c>
      <c r="C1338" s="156" t="str">
        <f>IF(OR($A1338="",ISERROR(VALUE(LEFT($A1338,6)))),"",IF(LEN($A1338)=2,"WOJ. ",IF(LEN($A1338)=4,IF(VALUE(RIGHT($A1338,2))&gt;60,"","Powiat "),IF(VALUE(RIGHT($A1338,1))=1,"m. ",IF(VALUE(RIGHT($A1338,1))=2,"gm. w. ",IF(VALUE(RIGHT($A1338,1))=8,"dz. ","gm. m.-w. ")))))&amp;IF(LEN($A1338)=2,TRIM(UPPER(VLOOKUP($A1338,GUS_tabl_1!$A$7:$B$22,2,FALSE))),IF(ISERROR(FIND("..",TRIM(VLOOKUP(IF(AND(LEN($A1338)=4,VALUE(RIGHT($A1338,2))&gt;60),$A1338&amp;"01 1",$A1338),IF(AND(LEN($A1338)=4,VALUE(RIGHT($A1338,2))&lt;60),GUS_tabl_2!$A$8:$B$464,GUS_tabl_21!$A$5:$B$4886),2,FALSE)))),TRIM(VLOOKUP(IF(AND(LEN($A1338)=4,VALUE(RIGHT($A1338,2))&gt;60),$A1338&amp;"01 1",$A1338),IF(AND(LEN($A1338)=4,VALUE(RIGHT($A1338,2))&lt;60),GUS_tabl_2!$A$8:$B$464,GUS_tabl_21!$A$5:$B$4886),2,FALSE)),LEFT(TRIM(VLOOKUP(IF(AND(LEN($A1338)=4,VALUE(RIGHT($A1338,2))&gt;60),$A1338&amp;"01 1",$A1338),IF(AND(LEN($A1338)=4,VALUE(RIGHT($A1338,2))&lt;60),GUS_tabl_2!$A$8:$B$464,GUS_tabl_21!$A$5:$B$4886),2,FALSE)),SUM(FIND("..",TRIM(VLOOKUP(IF(AND(LEN($A1338)=4,VALUE(RIGHT($A1338,2))&gt;60),$A1338&amp;"01 1",$A1338),IF(AND(LEN($A1338)=4,VALUE(RIGHT($A1338,2))&lt;60),GUS_tabl_2!$A$8:$B$464,GUS_tabl_21!$A$5:$B$4886),2,FALSE))),-1)))))</f>
        <v>gm. w. Joniec</v>
      </c>
      <c r="D1338" s="141">
        <f>IF(OR($A1338="",ISERROR(VALUE(LEFT($A1338,6)))),"",IF(LEN($A1338)=2,SUMIF($A1339:$A$2965,$A1338&amp;"??",$D1339:$D$2965),IF(AND(LEN($A1338)=4,VALUE(RIGHT($A1338,2))&lt;=60),SUMIF($A1339:$A$2965,$A1338&amp;"????",$D1339:$D$2965),VLOOKUP(IF(LEN($A1338)=4,$A1338&amp;"01 1",$A1338),GUS_tabl_21!$A$5:$F$4886,6,FALSE))))</f>
        <v>2655</v>
      </c>
      <c r="E1338" s="29"/>
    </row>
    <row r="1339" spans="1:5" ht="12" customHeight="1">
      <c r="A1339" s="155" t="str">
        <f>"142007 2"</f>
        <v>142007 2</v>
      </c>
      <c r="B1339" s="153" t="s">
        <v>45</v>
      </c>
      <c r="C1339" s="156" t="str">
        <f>IF(OR($A1339="",ISERROR(VALUE(LEFT($A1339,6)))),"",IF(LEN($A1339)=2,"WOJ. ",IF(LEN($A1339)=4,IF(VALUE(RIGHT($A1339,2))&gt;60,"","Powiat "),IF(VALUE(RIGHT($A1339,1))=1,"m. ",IF(VALUE(RIGHT($A1339,1))=2,"gm. w. ",IF(VALUE(RIGHT($A1339,1))=8,"dz. ","gm. m.-w. ")))))&amp;IF(LEN($A1339)=2,TRIM(UPPER(VLOOKUP($A1339,GUS_tabl_1!$A$7:$B$22,2,FALSE))),IF(ISERROR(FIND("..",TRIM(VLOOKUP(IF(AND(LEN($A1339)=4,VALUE(RIGHT($A1339,2))&gt;60),$A1339&amp;"01 1",$A1339),IF(AND(LEN($A1339)=4,VALUE(RIGHT($A1339,2))&lt;60),GUS_tabl_2!$A$8:$B$464,GUS_tabl_21!$A$5:$B$4886),2,FALSE)))),TRIM(VLOOKUP(IF(AND(LEN($A1339)=4,VALUE(RIGHT($A1339,2))&gt;60),$A1339&amp;"01 1",$A1339),IF(AND(LEN($A1339)=4,VALUE(RIGHT($A1339,2))&lt;60),GUS_tabl_2!$A$8:$B$464,GUS_tabl_21!$A$5:$B$4886),2,FALSE)),LEFT(TRIM(VLOOKUP(IF(AND(LEN($A1339)=4,VALUE(RIGHT($A1339,2))&gt;60),$A1339&amp;"01 1",$A1339),IF(AND(LEN($A1339)=4,VALUE(RIGHT($A1339,2))&lt;60),GUS_tabl_2!$A$8:$B$464,GUS_tabl_21!$A$5:$B$4886),2,FALSE)),SUM(FIND("..",TRIM(VLOOKUP(IF(AND(LEN($A1339)=4,VALUE(RIGHT($A1339,2))&gt;60),$A1339&amp;"01 1",$A1339),IF(AND(LEN($A1339)=4,VALUE(RIGHT($A1339,2))&lt;60),GUS_tabl_2!$A$8:$B$464,GUS_tabl_21!$A$5:$B$4886),2,FALSE))),-1)))))</f>
        <v>gm. w. Naruszewo</v>
      </c>
      <c r="D1339" s="141">
        <f>IF(OR($A1339="",ISERROR(VALUE(LEFT($A1339,6)))),"",IF(LEN($A1339)=2,SUMIF($A1340:$A$2965,$A1339&amp;"??",$D1340:$D$2965),IF(AND(LEN($A1339)=4,VALUE(RIGHT($A1339,2))&lt;=60),SUMIF($A1340:$A$2965,$A1339&amp;"????",$D1340:$D$2965),VLOOKUP(IF(LEN($A1339)=4,$A1339&amp;"01 1",$A1339),GUS_tabl_21!$A$5:$F$4886,6,FALSE))))</f>
        <v>6312</v>
      </c>
      <c r="E1339" s="29"/>
    </row>
    <row r="1340" spans="1:5" ht="12" customHeight="1">
      <c r="A1340" s="155" t="str">
        <f>"142008 2"</f>
        <v>142008 2</v>
      </c>
      <c r="B1340" s="153" t="s">
        <v>45</v>
      </c>
      <c r="C1340" s="156" t="str">
        <f>IF(OR($A1340="",ISERROR(VALUE(LEFT($A1340,6)))),"",IF(LEN($A1340)=2,"WOJ. ",IF(LEN($A1340)=4,IF(VALUE(RIGHT($A1340,2))&gt;60,"","Powiat "),IF(VALUE(RIGHT($A1340,1))=1,"m. ",IF(VALUE(RIGHT($A1340,1))=2,"gm. w. ",IF(VALUE(RIGHT($A1340,1))=8,"dz. ","gm. m.-w. ")))))&amp;IF(LEN($A1340)=2,TRIM(UPPER(VLOOKUP($A1340,GUS_tabl_1!$A$7:$B$22,2,FALSE))),IF(ISERROR(FIND("..",TRIM(VLOOKUP(IF(AND(LEN($A1340)=4,VALUE(RIGHT($A1340,2))&gt;60),$A1340&amp;"01 1",$A1340),IF(AND(LEN($A1340)=4,VALUE(RIGHT($A1340,2))&lt;60),GUS_tabl_2!$A$8:$B$464,GUS_tabl_21!$A$5:$B$4886),2,FALSE)))),TRIM(VLOOKUP(IF(AND(LEN($A1340)=4,VALUE(RIGHT($A1340,2))&gt;60),$A1340&amp;"01 1",$A1340),IF(AND(LEN($A1340)=4,VALUE(RIGHT($A1340,2))&lt;60),GUS_tabl_2!$A$8:$B$464,GUS_tabl_21!$A$5:$B$4886),2,FALSE)),LEFT(TRIM(VLOOKUP(IF(AND(LEN($A1340)=4,VALUE(RIGHT($A1340,2))&gt;60),$A1340&amp;"01 1",$A1340),IF(AND(LEN($A1340)=4,VALUE(RIGHT($A1340,2))&lt;60),GUS_tabl_2!$A$8:$B$464,GUS_tabl_21!$A$5:$B$4886),2,FALSE)),SUM(FIND("..",TRIM(VLOOKUP(IF(AND(LEN($A1340)=4,VALUE(RIGHT($A1340,2))&gt;60),$A1340&amp;"01 1",$A1340),IF(AND(LEN($A1340)=4,VALUE(RIGHT($A1340,2))&lt;60),GUS_tabl_2!$A$8:$B$464,GUS_tabl_21!$A$5:$B$4886),2,FALSE))),-1)))))</f>
        <v>gm. w. Nowe Miasto</v>
      </c>
      <c r="D1340" s="141">
        <f>IF(OR($A1340="",ISERROR(VALUE(LEFT($A1340,6)))),"",IF(LEN($A1340)=2,SUMIF($A1341:$A$2965,$A1340&amp;"??",$D1341:$D$2965),IF(AND(LEN($A1340)=4,VALUE(RIGHT($A1340,2))&lt;=60),SUMIF($A1341:$A$2965,$A1340&amp;"????",$D1341:$D$2965),VLOOKUP(IF(LEN($A1340)=4,$A1340&amp;"01 1",$A1340),GUS_tabl_21!$A$5:$F$4886,6,FALSE))))</f>
        <v>4655</v>
      </c>
      <c r="E1340" s="29"/>
    </row>
    <row r="1341" spans="1:5" ht="12" customHeight="1">
      <c r="A1341" s="155" t="str">
        <f>"142009 2"</f>
        <v>142009 2</v>
      </c>
      <c r="B1341" s="153" t="s">
        <v>45</v>
      </c>
      <c r="C1341" s="156" t="str">
        <f>IF(OR($A1341="",ISERROR(VALUE(LEFT($A1341,6)))),"",IF(LEN($A1341)=2,"WOJ. ",IF(LEN($A1341)=4,IF(VALUE(RIGHT($A1341,2))&gt;60,"","Powiat "),IF(VALUE(RIGHT($A1341,1))=1,"m. ",IF(VALUE(RIGHT($A1341,1))=2,"gm. w. ",IF(VALUE(RIGHT($A1341,1))=8,"dz. ","gm. m.-w. ")))))&amp;IF(LEN($A1341)=2,TRIM(UPPER(VLOOKUP($A1341,GUS_tabl_1!$A$7:$B$22,2,FALSE))),IF(ISERROR(FIND("..",TRIM(VLOOKUP(IF(AND(LEN($A1341)=4,VALUE(RIGHT($A1341,2))&gt;60),$A1341&amp;"01 1",$A1341),IF(AND(LEN($A1341)=4,VALUE(RIGHT($A1341,2))&lt;60),GUS_tabl_2!$A$8:$B$464,GUS_tabl_21!$A$5:$B$4886),2,FALSE)))),TRIM(VLOOKUP(IF(AND(LEN($A1341)=4,VALUE(RIGHT($A1341,2))&gt;60),$A1341&amp;"01 1",$A1341),IF(AND(LEN($A1341)=4,VALUE(RIGHT($A1341,2))&lt;60),GUS_tabl_2!$A$8:$B$464,GUS_tabl_21!$A$5:$B$4886),2,FALSE)),LEFT(TRIM(VLOOKUP(IF(AND(LEN($A1341)=4,VALUE(RIGHT($A1341,2))&gt;60),$A1341&amp;"01 1",$A1341),IF(AND(LEN($A1341)=4,VALUE(RIGHT($A1341,2))&lt;60),GUS_tabl_2!$A$8:$B$464,GUS_tabl_21!$A$5:$B$4886),2,FALSE)),SUM(FIND("..",TRIM(VLOOKUP(IF(AND(LEN($A1341)=4,VALUE(RIGHT($A1341,2))&gt;60),$A1341&amp;"01 1",$A1341),IF(AND(LEN($A1341)=4,VALUE(RIGHT($A1341,2))&lt;60),GUS_tabl_2!$A$8:$B$464,GUS_tabl_21!$A$5:$B$4886),2,FALSE))),-1)))))</f>
        <v>gm. w. Płońsk</v>
      </c>
      <c r="D1341" s="141">
        <f>IF(OR($A1341="",ISERROR(VALUE(LEFT($A1341,6)))),"",IF(LEN($A1341)=2,SUMIF($A1342:$A$2965,$A1341&amp;"??",$D1342:$D$2965),IF(AND(LEN($A1341)=4,VALUE(RIGHT($A1341,2))&lt;=60),SUMIF($A1342:$A$2965,$A1341&amp;"????",$D1342:$D$2965),VLOOKUP(IF(LEN($A1341)=4,$A1341&amp;"01 1",$A1341),GUS_tabl_21!$A$5:$F$4886,6,FALSE))))</f>
        <v>7943</v>
      </c>
      <c r="E1341" s="29"/>
    </row>
    <row r="1342" spans="1:5" ht="12" customHeight="1">
      <c r="A1342" s="155" t="str">
        <f>"142010 2"</f>
        <v>142010 2</v>
      </c>
      <c r="B1342" s="153" t="s">
        <v>45</v>
      </c>
      <c r="C1342" s="156" t="str">
        <f>IF(OR($A1342="",ISERROR(VALUE(LEFT($A1342,6)))),"",IF(LEN($A1342)=2,"WOJ. ",IF(LEN($A1342)=4,IF(VALUE(RIGHT($A1342,2))&gt;60,"","Powiat "),IF(VALUE(RIGHT($A1342,1))=1,"m. ",IF(VALUE(RIGHT($A1342,1))=2,"gm. w. ",IF(VALUE(RIGHT($A1342,1))=8,"dz. ","gm. m.-w. ")))))&amp;IF(LEN($A1342)=2,TRIM(UPPER(VLOOKUP($A1342,GUS_tabl_1!$A$7:$B$22,2,FALSE))),IF(ISERROR(FIND("..",TRIM(VLOOKUP(IF(AND(LEN($A1342)=4,VALUE(RIGHT($A1342,2))&gt;60),$A1342&amp;"01 1",$A1342),IF(AND(LEN($A1342)=4,VALUE(RIGHT($A1342,2))&lt;60),GUS_tabl_2!$A$8:$B$464,GUS_tabl_21!$A$5:$B$4886),2,FALSE)))),TRIM(VLOOKUP(IF(AND(LEN($A1342)=4,VALUE(RIGHT($A1342,2))&gt;60),$A1342&amp;"01 1",$A1342),IF(AND(LEN($A1342)=4,VALUE(RIGHT($A1342,2))&lt;60),GUS_tabl_2!$A$8:$B$464,GUS_tabl_21!$A$5:$B$4886),2,FALSE)),LEFT(TRIM(VLOOKUP(IF(AND(LEN($A1342)=4,VALUE(RIGHT($A1342,2))&gt;60),$A1342&amp;"01 1",$A1342),IF(AND(LEN($A1342)=4,VALUE(RIGHT($A1342,2))&lt;60),GUS_tabl_2!$A$8:$B$464,GUS_tabl_21!$A$5:$B$4886),2,FALSE)),SUM(FIND("..",TRIM(VLOOKUP(IF(AND(LEN($A1342)=4,VALUE(RIGHT($A1342,2))&gt;60),$A1342&amp;"01 1",$A1342),IF(AND(LEN($A1342)=4,VALUE(RIGHT($A1342,2))&lt;60),GUS_tabl_2!$A$8:$B$464,GUS_tabl_21!$A$5:$B$4886),2,FALSE))),-1)))))</f>
        <v>gm. w. Raciąż</v>
      </c>
      <c r="D1342" s="141">
        <f>IF(OR($A1342="",ISERROR(VALUE(LEFT($A1342,6)))),"",IF(LEN($A1342)=2,SUMIF($A1343:$A$2965,$A1342&amp;"??",$D1343:$D$2965),IF(AND(LEN($A1342)=4,VALUE(RIGHT($A1342,2))&lt;=60),SUMIF($A1343:$A$2965,$A1342&amp;"????",$D1343:$D$2965),VLOOKUP(IF(LEN($A1342)=4,$A1342&amp;"01 1",$A1342),GUS_tabl_21!$A$5:$F$4886,6,FALSE))))</f>
        <v>8283</v>
      </c>
      <c r="E1342" s="29"/>
    </row>
    <row r="1343" spans="1:5" ht="12" customHeight="1">
      <c r="A1343" s="155" t="str">
        <f>"142011 2"</f>
        <v>142011 2</v>
      </c>
      <c r="B1343" s="153" t="s">
        <v>45</v>
      </c>
      <c r="C1343" s="156" t="str">
        <f>IF(OR($A1343="",ISERROR(VALUE(LEFT($A1343,6)))),"",IF(LEN($A1343)=2,"WOJ. ",IF(LEN($A1343)=4,IF(VALUE(RIGHT($A1343,2))&gt;60,"","Powiat "),IF(VALUE(RIGHT($A1343,1))=1,"m. ",IF(VALUE(RIGHT($A1343,1))=2,"gm. w. ",IF(VALUE(RIGHT($A1343,1))=8,"dz. ","gm. m.-w. ")))))&amp;IF(LEN($A1343)=2,TRIM(UPPER(VLOOKUP($A1343,GUS_tabl_1!$A$7:$B$22,2,FALSE))),IF(ISERROR(FIND("..",TRIM(VLOOKUP(IF(AND(LEN($A1343)=4,VALUE(RIGHT($A1343,2))&gt;60),$A1343&amp;"01 1",$A1343),IF(AND(LEN($A1343)=4,VALUE(RIGHT($A1343,2))&lt;60),GUS_tabl_2!$A$8:$B$464,GUS_tabl_21!$A$5:$B$4886),2,FALSE)))),TRIM(VLOOKUP(IF(AND(LEN($A1343)=4,VALUE(RIGHT($A1343,2))&gt;60),$A1343&amp;"01 1",$A1343),IF(AND(LEN($A1343)=4,VALUE(RIGHT($A1343,2))&lt;60),GUS_tabl_2!$A$8:$B$464,GUS_tabl_21!$A$5:$B$4886),2,FALSE)),LEFT(TRIM(VLOOKUP(IF(AND(LEN($A1343)=4,VALUE(RIGHT($A1343,2))&gt;60),$A1343&amp;"01 1",$A1343),IF(AND(LEN($A1343)=4,VALUE(RIGHT($A1343,2))&lt;60),GUS_tabl_2!$A$8:$B$464,GUS_tabl_21!$A$5:$B$4886),2,FALSE)),SUM(FIND("..",TRIM(VLOOKUP(IF(AND(LEN($A1343)=4,VALUE(RIGHT($A1343,2))&gt;60),$A1343&amp;"01 1",$A1343),IF(AND(LEN($A1343)=4,VALUE(RIGHT($A1343,2))&lt;60),GUS_tabl_2!$A$8:$B$464,GUS_tabl_21!$A$5:$B$4886),2,FALSE))),-1)))))</f>
        <v>gm. w. Sochocin</v>
      </c>
      <c r="D1343" s="141">
        <f>IF(OR($A1343="",ISERROR(VALUE(LEFT($A1343,6)))),"",IF(LEN($A1343)=2,SUMIF($A1344:$A$2965,$A1343&amp;"??",$D1344:$D$2965),IF(AND(LEN($A1343)=4,VALUE(RIGHT($A1343,2))&lt;=60),SUMIF($A1344:$A$2965,$A1343&amp;"????",$D1344:$D$2965),VLOOKUP(IF(LEN($A1343)=4,$A1343&amp;"01 1",$A1343),GUS_tabl_21!$A$5:$F$4886,6,FALSE))))</f>
        <v>5809</v>
      </c>
      <c r="E1343" s="29"/>
    </row>
    <row r="1344" spans="1:5" ht="12" customHeight="1">
      <c r="A1344" s="155" t="str">
        <f>"142012 2"</f>
        <v>142012 2</v>
      </c>
      <c r="B1344" s="153" t="s">
        <v>45</v>
      </c>
      <c r="C1344" s="156" t="str">
        <f>IF(OR($A1344="",ISERROR(VALUE(LEFT($A1344,6)))),"",IF(LEN($A1344)=2,"WOJ. ",IF(LEN($A1344)=4,IF(VALUE(RIGHT($A1344,2))&gt;60,"","Powiat "),IF(VALUE(RIGHT($A1344,1))=1,"m. ",IF(VALUE(RIGHT($A1344,1))=2,"gm. w. ",IF(VALUE(RIGHT($A1344,1))=8,"dz. ","gm. m.-w. ")))))&amp;IF(LEN($A1344)=2,TRIM(UPPER(VLOOKUP($A1344,GUS_tabl_1!$A$7:$B$22,2,FALSE))),IF(ISERROR(FIND("..",TRIM(VLOOKUP(IF(AND(LEN($A1344)=4,VALUE(RIGHT($A1344,2))&gt;60),$A1344&amp;"01 1",$A1344),IF(AND(LEN($A1344)=4,VALUE(RIGHT($A1344,2))&lt;60),GUS_tabl_2!$A$8:$B$464,GUS_tabl_21!$A$5:$B$4886),2,FALSE)))),TRIM(VLOOKUP(IF(AND(LEN($A1344)=4,VALUE(RIGHT($A1344,2))&gt;60),$A1344&amp;"01 1",$A1344),IF(AND(LEN($A1344)=4,VALUE(RIGHT($A1344,2))&lt;60),GUS_tabl_2!$A$8:$B$464,GUS_tabl_21!$A$5:$B$4886),2,FALSE)),LEFT(TRIM(VLOOKUP(IF(AND(LEN($A1344)=4,VALUE(RIGHT($A1344,2))&gt;60),$A1344&amp;"01 1",$A1344),IF(AND(LEN($A1344)=4,VALUE(RIGHT($A1344,2))&lt;60),GUS_tabl_2!$A$8:$B$464,GUS_tabl_21!$A$5:$B$4886),2,FALSE)),SUM(FIND("..",TRIM(VLOOKUP(IF(AND(LEN($A1344)=4,VALUE(RIGHT($A1344,2))&gt;60),$A1344&amp;"01 1",$A1344),IF(AND(LEN($A1344)=4,VALUE(RIGHT($A1344,2))&lt;60),GUS_tabl_2!$A$8:$B$464,GUS_tabl_21!$A$5:$B$4886),2,FALSE))),-1)))))</f>
        <v>gm. w. Załuski</v>
      </c>
      <c r="D1344" s="141">
        <f>IF(OR($A1344="",ISERROR(VALUE(LEFT($A1344,6)))),"",IF(LEN($A1344)=2,SUMIF($A1345:$A$2965,$A1344&amp;"??",$D1345:$D$2965),IF(AND(LEN($A1344)=4,VALUE(RIGHT($A1344,2))&lt;=60),SUMIF($A1345:$A$2965,$A1344&amp;"????",$D1345:$D$2965),VLOOKUP(IF(LEN($A1344)=4,$A1344&amp;"01 1",$A1344),GUS_tabl_21!$A$5:$F$4886,6,FALSE))))</f>
        <v>5669</v>
      </c>
      <c r="E1344" s="29"/>
    </row>
    <row r="1345" spans="1:5" ht="12" customHeight="1">
      <c r="A1345" s="152" t="str">
        <f>"1421"</f>
        <v>1421</v>
      </c>
      <c r="B1345" s="153" t="s">
        <v>45</v>
      </c>
      <c r="C1345" s="154" t="str">
        <f>IF(OR($A1345="",ISERROR(VALUE(LEFT($A1345,6)))),"",IF(LEN($A1345)=2,"WOJ. ",IF(LEN($A1345)=4,IF(VALUE(RIGHT($A1345,2))&gt;60,"","Powiat "),IF(VALUE(RIGHT($A1345,1))=1,"m. ",IF(VALUE(RIGHT($A1345,1))=2,"gm. w. ",IF(VALUE(RIGHT($A1345,1))=8,"dz. ","gm. m.-w. ")))))&amp;IF(LEN($A1345)=2,TRIM(UPPER(VLOOKUP($A1345,GUS_tabl_1!$A$7:$B$22,2,FALSE))),IF(ISERROR(FIND("..",TRIM(VLOOKUP(IF(AND(LEN($A1345)=4,VALUE(RIGHT($A1345,2))&gt;60),$A1345&amp;"01 1",$A1345),IF(AND(LEN($A1345)=4,VALUE(RIGHT($A1345,2))&lt;60),GUS_tabl_2!$A$8:$B$464,GUS_tabl_21!$A$5:$B$4886),2,FALSE)))),TRIM(VLOOKUP(IF(AND(LEN($A1345)=4,VALUE(RIGHT($A1345,2))&gt;60),$A1345&amp;"01 1",$A1345),IF(AND(LEN($A1345)=4,VALUE(RIGHT($A1345,2))&lt;60),GUS_tabl_2!$A$8:$B$464,GUS_tabl_21!$A$5:$B$4886),2,FALSE)),LEFT(TRIM(VLOOKUP(IF(AND(LEN($A1345)=4,VALUE(RIGHT($A1345,2))&gt;60),$A1345&amp;"01 1",$A1345),IF(AND(LEN($A1345)=4,VALUE(RIGHT($A1345,2))&lt;60),GUS_tabl_2!$A$8:$B$464,GUS_tabl_21!$A$5:$B$4886),2,FALSE)),SUM(FIND("..",TRIM(VLOOKUP(IF(AND(LEN($A1345)=4,VALUE(RIGHT($A1345,2))&gt;60),$A1345&amp;"01 1",$A1345),IF(AND(LEN($A1345)=4,VALUE(RIGHT($A1345,2))&lt;60),GUS_tabl_2!$A$8:$B$464,GUS_tabl_21!$A$5:$B$4886),2,FALSE))),-1)))))</f>
        <v>Powiat pruszkowski</v>
      </c>
      <c r="D1345" s="140">
        <f>IF(OR($A1345="",ISERROR(VALUE(LEFT($A1345,6)))),"",IF(LEN($A1345)=2,SUMIF($A1346:$A$2965,$A1345&amp;"??",$D1346:$D$2965),IF(AND(LEN($A1345)=4,VALUE(RIGHT($A1345,2))&lt;=60),SUMIF($A1346:$A$2965,$A1345&amp;"????",$D1346:$D$2965),VLOOKUP(IF(LEN($A1345)=4,$A1345&amp;"01 1",$A1345),GUS_tabl_21!$A$5:$F$4886,6,FALSE))))</f>
        <v>165912</v>
      </c>
      <c r="E1345" s="29"/>
    </row>
    <row r="1346" spans="1:5" ht="12" customHeight="1">
      <c r="A1346" s="155" t="str">
        <f>"142101 1"</f>
        <v>142101 1</v>
      </c>
      <c r="B1346" s="153" t="s">
        <v>45</v>
      </c>
      <c r="C1346" s="156" t="str">
        <f>IF(OR($A1346="",ISERROR(VALUE(LEFT($A1346,6)))),"",IF(LEN($A1346)=2,"WOJ. ",IF(LEN($A1346)=4,IF(VALUE(RIGHT($A1346,2))&gt;60,"","Powiat "),IF(VALUE(RIGHT($A1346,1))=1,"m. ",IF(VALUE(RIGHT($A1346,1))=2,"gm. w. ",IF(VALUE(RIGHT($A1346,1))=8,"dz. ","gm. m.-w. ")))))&amp;IF(LEN($A1346)=2,TRIM(UPPER(VLOOKUP($A1346,GUS_tabl_1!$A$7:$B$22,2,FALSE))),IF(ISERROR(FIND("..",TRIM(VLOOKUP(IF(AND(LEN($A1346)=4,VALUE(RIGHT($A1346,2))&gt;60),$A1346&amp;"01 1",$A1346),IF(AND(LEN($A1346)=4,VALUE(RIGHT($A1346,2))&lt;60),GUS_tabl_2!$A$8:$B$464,GUS_tabl_21!$A$5:$B$4886),2,FALSE)))),TRIM(VLOOKUP(IF(AND(LEN($A1346)=4,VALUE(RIGHT($A1346,2))&gt;60),$A1346&amp;"01 1",$A1346),IF(AND(LEN($A1346)=4,VALUE(RIGHT($A1346,2))&lt;60),GUS_tabl_2!$A$8:$B$464,GUS_tabl_21!$A$5:$B$4886),2,FALSE)),LEFT(TRIM(VLOOKUP(IF(AND(LEN($A1346)=4,VALUE(RIGHT($A1346,2))&gt;60),$A1346&amp;"01 1",$A1346),IF(AND(LEN($A1346)=4,VALUE(RIGHT($A1346,2))&lt;60),GUS_tabl_2!$A$8:$B$464,GUS_tabl_21!$A$5:$B$4886),2,FALSE)),SUM(FIND("..",TRIM(VLOOKUP(IF(AND(LEN($A1346)=4,VALUE(RIGHT($A1346,2))&gt;60),$A1346&amp;"01 1",$A1346),IF(AND(LEN($A1346)=4,VALUE(RIGHT($A1346,2))&lt;60),GUS_tabl_2!$A$8:$B$464,GUS_tabl_21!$A$5:$B$4886),2,FALSE))),-1)))))</f>
        <v>m. Piastów</v>
      </c>
      <c r="D1346" s="141">
        <f>IF(OR($A1346="",ISERROR(VALUE(LEFT($A1346,6)))),"",IF(LEN($A1346)=2,SUMIF($A1347:$A$2965,$A1346&amp;"??",$D1347:$D$2965),IF(AND(LEN($A1346)=4,VALUE(RIGHT($A1346,2))&lt;=60),SUMIF($A1347:$A$2965,$A1346&amp;"????",$D1347:$D$2965),VLOOKUP(IF(LEN($A1346)=4,$A1346&amp;"01 1",$A1346),GUS_tabl_21!$A$5:$F$4886,6,FALSE))))</f>
        <v>22679</v>
      </c>
      <c r="E1346" s="29"/>
    </row>
    <row r="1347" spans="1:5" ht="12" customHeight="1">
      <c r="A1347" s="155" t="str">
        <f>"142102 1"</f>
        <v>142102 1</v>
      </c>
      <c r="B1347" s="153" t="s">
        <v>45</v>
      </c>
      <c r="C1347" s="156" t="str">
        <f>IF(OR($A1347="",ISERROR(VALUE(LEFT($A1347,6)))),"",IF(LEN($A1347)=2,"WOJ. ",IF(LEN($A1347)=4,IF(VALUE(RIGHT($A1347,2))&gt;60,"","Powiat "),IF(VALUE(RIGHT($A1347,1))=1,"m. ",IF(VALUE(RIGHT($A1347,1))=2,"gm. w. ",IF(VALUE(RIGHT($A1347,1))=8,"dz. ","gm. m.-w. ")))))&amp;IF(LEN($A1347)=2,TRIM(UPPER(VLOOKUP($A1347,GUS_tabl_1!$A$7:$B$22,2,FALSE))),IF(ISERROR(FIND("..",TRIM(VLOOKUP(IF(AND(LEN($A1347)=4,VALUE(RIGHT($A1347,2))&gt;60),$A1347&amp;"01 1",$A1347),IF(AND(LEN($A1347)=4,VALUE(RIGHT($A1347,2))&lt;60),GUS_tabl_2!$A$8:$B$464,GUS_tabl_21!$A$5:$B$4886),2,FALSE)))),TRIM(VLOOKUP(IF(AND(LEN($A1347)=4,VALUE(RIGHT($A1347,2))&gt;60),$A1347&amp;"01 1",$A1347),IF(AND(LEN($A1347)=4,VALUE(RIGHT($A1347,2))&lt;60),GUS_tabl_2!$A$8:$B$464,GUS_tabl_21!$A$5:$B$4886),2,FALSE)),LEFT(TRIM(VLOOKUP(IF(AND(LEN($A1347)=4,VALUE(RIGHT($A1347,2))&gt;60),$A1347&amp;"01 1",$A1347),IF(AND(LEN($A1347)=4,VALUE(RIGHT($A1347,2))&lt;60),GUS_tabl_2!$A$8:$B$464,GUS_tabl_21!$A$5:$B$4886),2,FALSE)),SUM(FIND("..",TRIM(VLOOKUP(IF(AND(LEN($A1347)=4,VALUE(RIGHT($A1347,2))&gt;60),$A1347&amp;"01 1",$A1347),IF(AND(LEN($A1347)=4,VALUE(RIGHT($A1347,2))&lt;60),GUS_tabl_2!$A$8:$B$464,GUS_tabl_21!$A$5:$B$4886),2,FALSE))),-1)))))</f>
        <v>m. Pruszków</v>
      </c>
      <c r="D1347" s="141">
        <f>IF(OR($A1347="",ISERROR(VALUE(LEFT($A1347,6)))),"",IF(LEN($A1347)=2,SUMIF($A1348:$A$2965,$A1347&amp;"??",$D1348:$D$2965),IF(AND(LEN($A1347)=4,VALUE(RIGHT($A1347,2))&lt;=60),SUMIF($A1348:$A$2965,$A1347&amp;"????",$D1348:$D$2965),VLOOKUP(IF(LEN($A1347)=4,$A1347&amp;"01 1",$A1347),GUS_tabl_21!$A$5:$F$4886,6,FALSE))))</f>
        <v>62317</v>
      </c>
      <c r="E1347" s="29"/>
    </row>
    <row r="1348" spans="1:5" ht="12" customHeight="1">
      <c r="A1348" s="155" t="str">
        <f>"142103 3"</f>
        <v>142103 3</v>
      </c>
      <c r="B1348" s="153" t="s">
        <v>45</v>
      </c>
      <c r="C1348" s="156" t="str">
        <f>IF(OR($A1348="",ISERROR(VALUE(LEFT($A1348,6)))),"",IF(LEN($A1348)=2,"WOJ. ",IF(LEN($A1348)=4,IF(VALUE(RIGHT($A1348,2))&gt;60,"","Powiat "),IF(VALUE(RIGHT($A1348,1))=1,"m. ",IF(VALUE(RIGHT($A1348,1))=2,"gm. w. ",IF(VALUE(RIGHT($A1348,1))=8,"dz. ","gm. m.-w. ")))))&amp;IF(LEN($A1348)=2,TRIM(UPPER(VLOOKUP($A1348,GUS_tabl_1!$A$7:$B$22,2,FALSE))),IF(ISERROR(FIND("..",TRIM(VLOOKUP(IF(AND(LEN($A1348)=4,VALUE(RIGHT($A1348,2))&gt;60),$A1348&amp;"01 1",$A1348),IF(AND(LEN($A1348)=4,VALUE(RIGHT($A1348,2))&lt;60),GUS_tabl_2!$A$8:$B$464,GUS_tabl_21!$A$5:$B$4886),2,FALSE)))),TRIM(VLOOKUP(IF(AND(LEN($A1348)=4,VALUE(RIGHT($A1348,2))&gt;60),$A1348&amp;"01 1",$A1348),IF(AND(LEN($A1348)=4,VALUE(RIGHT($A1348,2))&lt;60),GUS_tabl_2!$A$8:$B$464,GUS_tabl_21!$A$5:$B$4886),2,FALSE)),LEFT(TRIM(VLOOKUP(IF(AND(LEN($A1348)=4,VALUE(RIGHT($A1348,2))&gt;60),$A1348&amp;"01 1",$A1348),IF(AND(LEN($A1348)=4,VALUE(RIGHT($A1348,2))&lt;60),GUS_tabl_2!$A$8:$B$464,GUS_tabl_21!$A$5:$B$4886),2,FALSE)),SUM(FIND("..",TRIM(VLOOKUP(IF(AND(LEN($A1348)=4,VALUE(RIGHT($A1348,2))&gt;60),$A1348&amp;"01 1",$A1348),IF(AND(LEN($A1348)=4,VALUE(RIGHT($A1348,2))&lt;60),GUS_tabl_2!$A$8:$B$464,GUS_tabl_21!$A$5:$B$4886),2,FALSE))),-1)))))</f>
        <v>gm. m.-w. Brwinów</v>
      </c>
      <c r="D1348" s="141">
        <f>IF(OR($A1348="",ISERROR(VALUE(LEFT($A1348,6)))),"",IF(LEN($A1348)=2,SUMIF($A1349:$A$2965,$A1348&amp;"??",$D1349:$D$2965),IF(AND(LEN($A1348)=4,VALUE(RIGHT($A1348,2))&lt;=60),SUMIF($A1349:$A$2965,$A1348&amp;"????",$D1349:$D$2965),VLOOKUP(IF(LEN($A1348)=4,$A1348&amp;"01 1",$A1348),GUS_tabl_21!$A$5:$F$4886,6,FALSE))))</f>
        <v>26718</v>
      </c>
      <c r="E1348" s="29"/>
    </row>
    <row r="1349" spans="1:5" ht="12" customHeight="1">
      <c r="A1349" s="155" t="str">
        <f>"142104 2"</f>
        <v>142104 2</v>
      </c>
      <c r="B1349" s="153" t="s">
        <v>45</v>
      </c>
      <c r="C1349" s="156" t="str">
        <f>IF(OR($A1349="",ISERROR(VALUE(LEFT($A1349,6)))),"",IF(LEN($A1349)=2,"WOJ. ",IF(LEN($A1349)=4,IF(VALUE(RIGHT($A1349,2))&gt;60,"","Powiat "),IF(VALUE(RIGHT($A1349,1))=1,"m. ",IF(VALUE(RIGHT($A1349,1))=2,"gm. w. ",IF(VALUE(RIGHT($A1349,1))=8,"dz. ","gm. m.-w. ")))))&amp;IF(LEN($A1349)=2,TRIM(UPPER(VLOOKUP($A1349,GUS_tabl_1!$A$7:$B$22,2,FALSE))),IF(ISERROR(FIND("..",TRIM(VLOOKUP(IF(AND(LEN($A1349)=4,VALUE(RIGHT($A1349,2))&gt;60),$A1349&amp;"01 1",$A1349),IF(AND(LEN($A1349)=4,VALUE(RIGHT($A1349,2))&lt;60),GUS_tabl_2!$A$8:$B$464,GUS_tabl_21!$A$5:$B$4886),2,FALSE)))),TRIM(VLOOKUP(IF(AND(LEN($A1349)=4,VALUE(RIGHT($A1349,2))&gt;60),$A1349&amp;"01 1",$A1349),IF(AND(LEN($A1349)=4,VALUE(RIGHT($A1349,2))&lt;60),GUS_tabl_2!$A$8:$B$464,GUS_tabl_21!$A$5:$B$4886),2,FALSE)),LEFT(TRIM(VLOOKUP(IF(AND(LEN($A1349)=4,VALUE(RIGHT($A1349,2))&gt;60),$A1349&amp;"01 1",$A1349),IF(AND(LEN($A1349)=4,VALUE(RIGHT($A1349,2))&lt;60),GUS_tabl_2!$A$8:$B$464,GUS_tabl_21!$A$5:$B$4886),2,FALSE)),SUM(FIND("..",TRIM(VLOOKUP(IF(AND(LEN($A1349)=4,VALUE(RIGHT($A1349,2))&gt;60),$A1349&amp;"01 1",$A1349),IF(AND(LEN($A1349)=4,VALUE(RIGHT($A1349,2))&lt;60),GUS_tabl_2!$A$8:$B$464,GUS_tabl_21!$A$5:$B$4886),2,FALSE))),-1)))))</f>
        <v>gm. w. Michałowice</v>
      </c>
      <c r="D1349" s="141">
        <f>IF(OR($A1349="",ISERROR(VALUE(LEFT($A1349,6)))),"",IF(LEN($A1349)=2,SUMIF($A1350:$A$2965,$A1349&amp;"??",$D1350:$D$2965),IF(AND(LEN($A1349)=4,VALUE(RIGHT($A1349,2))&lt;=60),SUMIF($A1350:$A$2965,$A1349&amp;"????",$D1350:$D$2965),VLOOKUP(IF(LEN($A1349)=4,$A1349&amp;"01 1",$A1349),GUS_tabl_21!$A$5:$F$4886,6,FALSE))))</f>
        <v>18321</v>
      </c>
      <c r="E1349" s="29"/>
    </row>
    <row r="1350" spans="1:5" ht="12" customHeight="1">
      <c r="A1350" s="155" t="str">
        <f>"142105 2"</f>
        <v>142105 2</v>
      </c>
      <c r="B1350" s="153" t="s">
        <v>45</v>
      </c>
      <c r="C1350" s="156" t="str">
        <f>IF(OR($A1350="",ISERROR(VALUE(LEFT($A1350,6)))),"",IF(LEN($A1350)=2,"WOJ. ",IF(LEN($A1350)=4,IF(VALUE(RIGHT($A1350,2))&gt;60,"","Powiat "),IF(VALUE(RIGHT($A1350,1))=1,"m. ",IF(VALUE(RIGHT($A1350,1))=2,"gm. w. ",IF(VALUE(RIGHT($A1350,1))=8,"dz. ","gm. m.-w. ")))))&amp;IF(LEN($A1350)=2,TRIM(UPPER(VLOOKUP($A1350,GUS_tabl_1!$A$7:$B$22,2,FALSE))),IF(ISERROR(FIND("..",TRIM(VLOOKUP(IF(AND(LEN($A1350)=4,VALUE(RIGHT($A1350,2))&gt;60),$A1350&amp;"01 1",$A1350),IF(AND(LEN($A1350)=4,VALUE(RIGHT($A1350,2))&lt;60),GUS_tabl_2!$A$8:$B$464,GUS_tabl_21!$A$5:$B$4886),2,FALSE)))),TRIM(VLOOKUP(IF(AND(LEN($A1350)=4,VALUE(RIGHT($A1350,2))&gt;60),$A1350&amp;"01 1",$A1350),IF(AND(LEN($A1350)=4,VALUE(RIGHT($A1350,2))&lt;60),GUS_tabl_2!$A$8:$B$464,GUS_tabl_21!$A$5:$B$4886),2,FALSE)),LEFT(TRIM(VLOOKUP(IF(AND(LEN($A1350)=4,VALUE(RIGHT($A1350,2))&gt;60),$A1350&amp;"01 1",$A1350),IF(AND(LEN($A1350)=4,VALUE(RIGHT($A1350,2))&lt;60),GUS_tabl_2!$A$8:$B$464,GUS_tabl_21!$A$5:$B$4886),2,FALSE)),SUM(FIND("..",TRIM(VLOOKUP(IF(AND(LEN($A1350)=4,VALUE(RIGHT($A1350,2))&gt;60),$A1350&amp;"01 1",$A1350),IF(AND(LEN($A1350)=4,VALUE(RIGHT($A1350,2))&lt;60),GUS_tabl_2!$A$8:$B$464,GUS_tabl_21!$A$5:$B$4886),2,FALSE))),-1)))))</f>
        <v>gm. w. Nadarzyn</v>
      </c>
      <c r="D1350" s="141">
        <f>IF(OR($A1350="",ISERROR(VALUE(LEFT($A1350,6)))),"",IF(LEN($A1350)=2,SUMIF($A1351:$A$2965,$A1350&amp;"??",$D1351:$D$2965),IF(AND(LEN($A1350)=4,VALUE(RIGHT($A1350,2))&lt;=60),SUMIF($A1351:$A$2965,$A1350&amp;"????",$D1351:$D$2965),VLOOKUP(IF(LEN($A1350)=4,$A1350&amp;"01 1",$A1350),GUS_tabl_21!$A$5:$F$4886,6,FALSE))))</f>
        <v>14032</v>
      </c>
      <c r="E1350" s="29"/>
    </row>
    <row r="1351" spans="1:5" ht="12" customHeight="1">
      <c r="A1351" s="155" t="str">
        <f>"142106 2"</f>
        <v>142106 2</v>
      </c>
      <c r="B1351" s="153" t="s">
        <v>45</v>
      </c>
      <c r="C1351" s="156" t="str">
        <f>IF(OR($A1351="",ISERROR(VALUE(LEFT($A1351,6)))),"",IF(LEN($A1351)=2,"WOJ. ",IF(LEN($A1351)=4,IF(VALUE(RIGHT($A1351,2))&gt;60,"","Powiat "),IF(VALUE(RIGHT($A1351,1))=1,"m. ",IF(VALUE(RIGHT($A1351,1))=2,"gm. w. ",IF(VALUE(RIGHT($A1351,1))=8,"dz. ","gm. m.-w. ")))))&amp;IF(LEN($A1351)=2,TRIM(UPPER(VLOOKUP($A1351,GUS_tabl_1!$A$7:$B$22,2,FALSE))),IF(ISERROR(FIND("..",TRIM(VLOOKUP(IF(AND(LEN($A1351)=4,VALUE(RIGHT($A1351,2))&gt;60),$A1351&amp;"01 1",$A1351),IF(AND(LEN($A1351)=4,VALUE(RIGHT($A1351,2))&lt;60),GUS_tabl_2!$A$8:$B$464,GUS_tabl_21!$A$5:$B$4886),2,FALSE)))),TRIM(VLOOKUP(IF(AND(LEN($A1351)=4,VALUE(RIGHT($A1351,2))&gt;60),$A1351&amp;"01 1",$A1351),IF(AND(LEN($A1351)=4,VALUE(RIGHT($A1351,2))&lt;60),GUS_tabl_2!$A$8:$B$464,GUS_tabl_21!$A$5:$B$4886),2,FALSE)),LEFT(TRIM(VLOOKUP(IF(AND(LEN($A1351)=4,VALUE(RIGHT($A1351,2))&gt;60),$A1351&amp;"01 1",$A1351),IF(AND(LEN($A1351)=4,VALUE(RIGHT($A1351,2))&lt;60),GUS_tabl_2!$A$8:$B$464,GUS_tabl_21!$A$5:$B$4886),2,FALSE)),SUM(FIND("..",TRIM(VLOOKUP(IF(AND(LEN($A1351)=4,VALUE(RIGHT($A1351,2))&gt;60),$A1351&amp;"01 1",$A1351),IF(AND(LEN($A1351)=4,VALUE(RIGHT($A1351,2))&lt;60),GUS_tabl_2!$A$8:$B$464,GUS_tabl_21!$A$5:$B$4886),2,FALSE))),-1)))))</f>
        <v>gm. w. Raszyn</v>
      </c>
      <c r="D1351" s="141">
        <f>IF(OR($A1351="",ISERROR(VALUE(LEFT($A1351,6)))),"",IF(LEN($A1351)=2,SUMIF($A1352:$A$2965,$A1351&amp;"??",$D1352:$D$2965),IF(AND(LEN($A1351)=4,VALUE(RIGHT($A1351,2))&lt;=60),SUMIF($A1352:$A$2965,$A1351&amp;"????",$D1352:$D$2965),VLOOKUP(IF(LEN($A1351)=4,$A1351&amp;"01 1",$A1351),GUS_tabl_21!$A$5:$F$4886,6,FALSE))))</f>
        <v>21845</v>
      </c>
      <c r="E1351" s="29"/>
    </row>
    <row r="1352" spans="1:5" ht="12" customHeight="1">
      <c r="A1352" s="152" t="str">
        <f>"1422"</f>
        <v>1422</v>
      </c>
      <c r="B1352" s="153" t="s">
        <v>45</v>
      </c>
      <c r="C1352" s="154" t="str">
        <f>IF(OR($A1352="",ISERROR(VALUE(LEFT($A1352,6)))),"",IF(LEN($A1352)=2,"WOJ. ",IF(LEN($A1352)=4,IF(VALUE(RIGHT($A1352,2))&gt;60,"","Powiat "),IF(VALUE(RIGHT($A1352,1))=1,"m. ",IF(VALUE(RIGHT($A1352,1))=2,"gm. w. ",IF(VALUE(RIGHT($A1352,1))=8,"dz. ","gm. m.-w. ")))))&amp;IF(LEN($A1352)=2,TRIM(UPPER(VLOOKUP($A1352,GUS_tabl_1!$A$7:$B$22,2,FALSE))),IF(ISERROR(FIND("..",TRIM(VLOOKUP(IF(AND(LEN($A1352)=4,VALUE(RIGHT($A1352,2))&gt;60),$A1352&amp;"01 1",$A1352),IF(AND(LEN($A1352)=4,VALUE(RIGHT($A1352,2))&lt;60),GUS_tabl_2!$A$8:$B$464,GUS_tabl_21!$A$5:$B$4886),2,FALSE)))),TRIM(VLOOKUP(IF(AND(LEN($A1352)=4,VALUE(RIGHT($A1352,2))&gt;60),$A1352&amp;"01 1",$A1352),IF(AND(LEN($A1352)=4,VALUE(RIGHT($A1352,2))&lt;60),GUS_tabl_2!$A$8:$B$464,GUS_tabl_21!$A$5:$B$4886),2,FALSE)),LEFT(TRIM(VLOOKUP(IF(AND(LEN($A1352)=4,VALUE(RIGHT($A1352,2))&gt;60),$A1352&amp;"01 1",$A1352),IF(AND(LEN($A1352)=4,VALUE(RIGHT($A1352,2))&lt;60),GUS_tabl_2!$A$8:$B$464,GUS_tabl_21!$A$5:$B$4886),2,FALSE)),SUM(FIND("..",TRIM(VLOOKUP(IF(AND(LEN($A1352)=4,VALUE(RIGHT($A1352,2))&gt;60),$A1352&amp;"01 1",$A1352),IF(AND(LEN($A1352)=4,VALUE(RIGHT($A1352,2))&lt;60),GUS_tabl_2!$A$8:$B$464,GUS_tabl_21!$A$5:$B$4886),2,FALSE))),-1)))))</f>
        <v>Powiat przasnyski</v>
      </c>
      <c r="D1352" s="140">
        <f>IF(OR($A1352="",ISERROR(VALUE(LEFT($A1352,6)))),"",IF(LEN($A1352)=2,SUMIF($A1353:$A$2965,$A1352&amp;"??",$D1353:$D$2965),IF(AND(LEN($A1352)=4,VALUE(RIGHT($A1352,2))&lt;=60),SUMIF($A1353:$A$2965,$A1352&amp;"????",$D1353:$D$2965),VLOOKUP(IF(LEN($A1352)=4,$A1352&amp;"01 1",$A1352),GUS_tabl_21!$A$5:$F$4886,6,FALSE))))</f>
        <v>52511</v>
      </c>
      <c r="E1352" s="29"/>
    </row>
    <row r="1353" spans="1:5" ht="12" customHeight="1">
      <c r="A1353" s="155" t="str">
        <f>"142201 1"</f>
        <v>142201 1</v>
      </c>
      <c r="B1353" s="153" t="s">
        <v>45</v>
      </c>
      <c r="C1353" s="156" t="str">
        <f>IF(OR($A1353="",ISERROR(VALUE(LEFT($A1353,6)))),"",IF(LEN($A1353)=2,"WOJ. ",IF(LEN($A1353)=4,IF(VALUE(RIGHT($A1353,2))&gt;60,"","Powiat "),IF(VALUE(RIGHT($A1353,1))=1,"m. ",IF(VALUE(RIGHT($A1353,1))=2,"gm. w. ",IF(VALUE(RIGHT($A1353,1))=8,"dz. ","gm. m.-w. ")))))&amp;IF(LEN($A1353)=2,TRIM(UPPER(VLOOKUP($A1353,GUS_tabl_1!$A$7:$B$22,2,FALSE))),IF(ISERROR(FIND("..",TRIM(VLOOKUP(IF(AND(LEN($A1353)=4,VALUE(RIGHT($A1353,2))&gt;60),$A1353&amp;"01 1",$A1353),IF(AND(LEN($A1353)=4,VALUE(RIGHT($A1353,2))&lt;60),GUS_tabl_2!$A$8:$B$464,GUS_tabl_21!$A$5:$B$4886),2,FALSE)))),TRIM(VLOOKUP(IF(AND(LEN($A1353)=4,VALUE(RIGHT($A1353,2))&gt;60),$A1353&amp;"01 1",$A1353),IF(AND(LEN($A1353)=4,VALUE(RIGHT($A1353,2))&lt;60),GUS_tabl_2!$A$8:$B$464,GUS_tabl_21!$A$5:$B$4886),2,FALSE)),LEFT(TRIM(VLOOKUP(IF(AND(LEN($A1353)=4,VALUE(RIGHT($A1353,2))&gt;60),$A1353&amp;"01 1",$A1353),IF(AND(LEN($A1353)=4,VALUE(RIGHT($A1353,2))&lt;60),GUS_tabl_2!$A$8:$B$464,GUS_tabl_21!$A$5:$B$4886),2,FALSE)),SUM(FIND("..",TRIM(VLOOKUP(IF(AND(LEN($A1353)=4,VALUE(RIGHT($A1353,2))&gt;60),$A1353&amp;"01 1",$A1353),IF(AND(LEN($A1353)=4,VALUE(RIGHT($A1353,2))&lt;60),GUS_tabl_2!$A$8:$B$464,GUS_tabl_21!$A$5:$B$4886),2,FALSE))),-1)))))</f>
        <v>m. Przasnysz</v>
      </c>
      <c r="D1353" s="141">
        <f>IF(OR($A1353="",ISERROR(VALUE(LEFT($A1353,6)))),"",IF(LEN($A1353)=2,SUMIF($A1354:$A$2965,$A1353&amp;"??",$D1354:$D$2965),IF(AND(LEN($A1353)=4,VALUE(RIGHT($A1353,2))&lt;=60),SUMIF($A1354:$A$2965,$A1353&amp;"????",$D1354:$D$2965),VLOOKUP(IF(LEN($A1353)=4,$A1353&amp;"01 1",$A1353),GUS_tabl_21!$A$5:$F$4886,6,FALSE))))</f>
        <v>17177</v>
      </c>
      <c r="E1353" s="29"/>
    </row>
    <row r="1354" spans="1:5" ht="12" customHeight="1">
      <c r="A1354" s="155" t="str">
        <f>"142202 3"</f>
        <v>142202 3</v>
      </c>
      <c r="B1354" s="153" t="s">
        <v>45</v>
      </c>
      <c r="C1354" s="156" t="str">
        <f>IF(OR($A1354="",ISERROR(VALUE(LEFT($A1354,6)))),"",IF(LEN($A1354)=2,"WOJ. ",IF(LEN($A1354)=4,IF(VALUE(RIGHT($A1354,2))&gt;60,"","Powiat "),IF(VALUE(RIGHT($A1354,1))=1,"m. ",IF(VALUE(RIGHT($A1354,1))=2,"gm. w. ",IF(VALUE(RIGHT($A1354,1))=8,"dz. ","gm. m.-w. ")))))&amp;IF(LEN($A1354)=2,TRIM(UPPER(VLOOKUP($A1354,GUS_tabl_1!$A$7:$B$22,2,FALSE))),IF(ISERROR(FIND("..",TRIM(VLOOKUP(IF(AND(LEN($A1354)=4,VALUE(RIGHT($A1354,2))&gt;60),$A1354&amp;"01 1",$A1354),IF(AND(LEN($A1354)=4,VALUE(RIGHT($A1354,2))&lt;60),GUS_tabl_2!$A$8:$B$464,GUS_tabl_21!$A$5:$B$4886),2,FALSE)))),TRIM(VLOOKUP(IF(AND(LEN($A1354)=4,VALUE(RIGHT($A1354,2))&gt;60),$A1354&amp;"01 1",$A1354),IF(AND(LEN($A1354)=4,VALUE(RIGHT($A1354,2))&lt;60),GUS_tabl_2!$A$8:$B$464,GUS_tabl_21!$A$5:$B$4886),2,FALSE)),LEFT(TRIM(VLOOKUP(IF(AND(LEN($A1354)=4,VALUE(RIGHT($A1354,2))&gt;60),$A1354&amp;"01 1",$A1354),IF(AND(LEN($A1354)=4,VALUE(RIGHT($A1354,2))&lt;60),GUS_tabl_2!$A$8:$B$464,GUS_tabl_21!$A$5:$B$4886),2,FALSE)),SUM(FIND("..",TRIM(VLOOKUP(IF(AND(LEN($A1354)=4,VALUE(RIGHT($A1354,2))&gt;60),$A1354&amp;"01 1",$A1354),IF(AND(LEN($A1354)=4,VALUE(RIGHT($A1354,2))&lt;60),GUS_tabl_2!$A$8:$B$464,GUS_tabl_21!$A$5:$B$4886),2,FALSE))),-1)))))</f>
        <v>gm. m.-w. Chorzele</v>
      </c>
      <c r="D1354" s="141">
        <f>IF(OR($A1354="",ISERROR(VALUE(LEFT($A1354,6)))),"",IF(LEN($A1354)=2,SUMIF($A1355:$A$2965,$A1354&amp;"??",$D1355:$D$2965),IF(AND(LEN($A1354)=4,VALUE(RIGHT($A1354,2))&lt;=60),SUMIF($A1355:$A$2965,$A1354&amp;"????",$D1355:$D$2965),VLOOKUP(IF(LEN($A1354)=4,$A1354&amp;"01 1",$A1354),GUS_tabl_21!$A$5:$F$4886,6,FALSE))))</f>
        <v>10175</v>
      </c>
      <c r="E1354" s="29"/>
    </row>
    <row r="1355" spans="1:5" ht="12" customHeight="1">
      <c r="A1355" s="155" t="str">
        <f>"142203 2"</f>
        <v>142203 2</v>
      </c>
      <c r="B1355" s="153" t="s">
        <v>45</v>
      </c>
      <c r="C1355" s="156" t="str">
        <f>IF(OR($A1355="",ISERROR(VALUE(LEFT($A1355,6)))),"",IF(LEN($A1355)=2,"WOJ. ",IF(LEN($A1355)=4,IF(VALUE(RIGHT($A1355,2))&gt;60,"","Powiat "),IF(VALUE(RIGHT($A1355,1))=1,"m. ",IF(VALUE(RIGHT($A1355,1))=2,"gm. w. ",IF(VALUE(RIGHT($A1355,1))=8,"dz. ","gm. m.-w. ")))))&amp;IF(LEN($A1355)=2,TRIM(UPPER(VLOOKUP($A1355,GUS_tabl_1!$A$7:$B$22,2,FALSE))),IF(ISERROR(FIND("..",TRIM(VLOOKUP(IF(AND(LEN($A1355)=4,VALUE(RIGHT($A1355,2))&gt;60),$A1355&amp;"01 1",$A1355),IF(AND(LEN($A1355)=4,VALUE(RIGHT($A1355,2))&lt;60),GUS_tabl_2!$A$8:$B$464,GUS_tabl_21!$A$5:$B$4886),2,FALSE)))),TRIM(VLOOKUP(IF(AND(LEN($A1355)=4,VALUE(RIGHT($A1355,2))&gt;60),$A1355&amp;"01 1",$A1355),IF(AND(LEN($A1355)=4,VALUE(RIGHT($A1355,2))&lt;60),GUS_tabl_2!$A$8:$B$464,GUS_tabl_21!$A$5:$B$4886),2,FALSE)),LEFT(TRIM(VLOOKUP(IF(AND(LEN($A1355)=4,VALUE(RIGHT($A1355,2))&gt;60),$A1355&amp;"01 1",$A1355),IF(AND(LEN($A1355)=4,VALUE(RIGHT($A1355,2))&lt;60),GUS_tabl_2!$A$8:$B$464,GUS_tabl_21!$A$5:$B$4886),2,FALSE)),SUM(FIND("..",TRIM(VLOOKUP(IF(AND(LEN($A1355)=4,VALUE(RIGHT($A1355,2))&gt;60),$A1355&amp;"01 1",$A1355),IF(AND(LEN($A1355)=4,VALUE(RIGHT($A1355,2))&lt;60),GUS_tabl_2!$A$8:$B$464,GUS_tabl_21!$A$5:$B$4886),2,FALSE))),-1)))))</f>
        <v>gm. w. Czernice Borowe</v>
      </c>
      <c r="D1355" s="141">
        <f>IF(OR($A1355="",ISERROR(VALUE(LEFT($A1355,6)))),"",IF(LEN($A1355)=2,SUMIF($A1356:$A$2965,$A1355&amp;"??",$D1356:$D$2965),IF(AND(LEN($A1355)=4,VALUE(RIGHT($A1355,2))&lt;=60),SUMIF($A1356:$A$2965,$A1355&amp;"????",$D1356:$D$2965),VLOOKUP(IF(LEN($A1355)=4,$A1355&amp;"01 1",$A1355),GUS_tabl_21!$A$5:$F$4886,6,FALSE))))</f>
        <v>3801</v>
      </c>
      <c r="E1355" s="29"/>
    </row>
    <row r="1356" spans="1:5" ht="12" customHeight="1">
      <c r="A1356" s="155" t="str">
        <f>"142204 2"</f>
        <v>142204 2</v>
      </c>
      <c r="B1356" s="153" t="s">
        <v>45</v>
      </c>
      <c r="C1356" s="156" t="str">
        <f>IF(OR($A1356="",ISERROR(VALUE(LEFT($A1356,6)))),"",IF(LEN($A1356)=2,"WOJ. ",IF(LEN($A1356)=4,IF(VALUE(RIGHT($A1356,2))&gt;60,"","Powiat "),IF(VALUE(RIGHT($A1356,1))=1,"m. ",IF(VALUE(RIGHT($A1356,1))=2,"gm. w. ",IF(VALUE(RIGHT($A1356,1))=8,"dz. ","gm. m.-w. ")))))&amp;IF(LEN($A1356)=2,TRIM(UPPER(VLOOKUP($A1356,GUS_tabl_1!$A$7:$B$22,2,FALSE))),IF(ISERROR(FIND("..",TRIM(VLOOKUP(IF(AND(LEN($A1356)=4,VALUE(RIGHT($A1356,2))&gt;60),$A1356&amp;"01 1",$A1356),IF(AND(LEN($A1356)=4,VALUE(RIGHT($A1356,2))&lt;60),GUS_tabl_2!$A$8:$B$464,GUS_tabl_21!$A$5:$B$4886),2,FALSE)))),TRIM(VLOOKUP(IF(AND(LEN($A1356)=4,VALUE(RIGHT($A1356,2))&gt;60),$A1356&amp;"01 1",$A1356),IF(AND(LEN($A1356)=4,VALUE(RIGHT($A1356,2))&lt;60),GUS_tabl_2!$A$8:$B$464,GUS_tabl_21!$A$5:$B$4886),2,FALSE)),LEFT(TRIM(VLOOKUP(IF(AND(LEN($A1356)=4,VALUE(RIGHT($A1356,2))&gt;60),$A1356&amp;"01 1",$A1356),IF(AND(LEN($A1356)=4,VALUE(RIGHT($A1356,2))&lt;60),GUS_tabl_2!$A$8:$B$464,GUS_tabl_21!$A$5:$B$4886),2,FALSE)),SUM(FIND("..",TRIM(VLOOKUP(IF(AND(LEN($A1356)=4,VALUE(RIGHT($A1356,2))&gt;60),$A1356&amp;"01 1",$A1356),IF(AND(LEN($A1356)=4,VALUE(RIGHT($A1356,2))&lt;60),GUS_tabl_2!$A$8:$B$464,GUS_tabl_21!$A$5:$B$4886),2,FALSE))),-1)))))</f>
        <v>gm. w. Jednorożec</v>
      </c>
      <c r="D1356" s="141">
        <f>IF(OR($A1356="",ISERROR(VALUE(LEFT($A1356,6)))),"",IF(LEN($A1356)=2,SUMIF($A1357:$A$2965,$A1356&amp;"??",$D1357:$D$2965),IF(AND(LEN($A1356)=4,VALUE(RIGHT($A1356,2))&lt;=60),SUMIF($A1357:$A$2965,$A1356&amp;"????",$D1357:$D$2965),VLOOKUP(IF(LEN($A1356)=4,$A1356&amp;"01 1",$A1356),GUS_tabl_21!$A$5:$F$4886,6,FALSE))))</f>
        <v>7081</v>
      </c>
      <c r="E1356" s="29"/>
    </row>
    <row r="1357" spans="1:5" ht="12" customHeight="1">
      <c r="A1357" s="155" t="str">
        <f>"142205 2"</f>
        <v>142205 2</v>
      </c>
      <c r="B1357" s="153" t="s">
        <v>45</v>
      </c>
      <c r="C1357" s="156" t="str">
        <f>IF(OR($A1357="",ISERROR(VALUE(LEFT($A1357,6)))),"",IF(LEN($A1357)=2,"WOJ. ",IF(LEN($A1357)=4,IF(VALUE(RIGHT($A1357,2))&gt;60,"","Powiat "),IF(VALUE(RIGHT($A1357,1))=1,"m. ",IF(VALUE(RIGHT($A1357,1))=2,"gm. w. ",IF(VALUE(RIGHT($A1357,1))=8,"dz. ","gm. m.-w. ")))))&amp;IF(LEN($A1357)=2,TRIM(UPPER(VLOOKUP($A1357,GUS_tabl_1!$A$7:$B$22,2,FALSE))),IF(ISERROR(FIND("..",TRIM(VLOOKUP(IF(AND(LEN($A1357)=4,VALUE(RIGHT($A1357,2))&gt;60),$A1357&amp;"01 1",$A1357),IF(AND(LEN($A1357)=4,VALUE(RIGHT($A1357,2))&lt;60),GUS_tabl_2!$A$8:$B$464,GUS_tabl_21!$A$5:$B$4886),2,FALSE)))),TRIM(VLOOKUP(IF(AND(LEN($A1357)=4,VALUE(RIGHT($A1357,2))&gt;60),$A1357&amp;"01 1",$A1357),IF(AND(LEN($A1357)=4,VALUE(RIGHT($A1357,2))&lt;60),GUS_tabl_2!$A$8:$B$464,GUS_tabl_21!$A$5:$B$4886),2,FALSE)),LEFT(TRIM(VLOOKUP(IF(AND(LEN($A1357)=4,VALUE(RIGHT($A1357,2))&gt;60),$A1357&amp;"01 1",$A1357),IF(AND(LEN($A1357)=4,VALUE(RIGHT($A1357,2))&lt;60),GUS_tabl_2!$A$8:$B$464,GUS_tabl_21!$A$5:$B$4886),2,FALSE)),SUM(FIND("..",TRIM(VLOOKUP(IF(AND(LEN($A1357)=4,VALUE(RIGHT($A1357,2))&gt;60),$A1357&amp;"01 1",$A1357),IF(AND(LEN($A1357)=4,VALUE(RIGHT($A1357,2))&lt;60),GUS_tabl_2!$A$8:$B$464,GUS_tabl_21!$A$5:$B$4886),2,FALSE))),-1)))))</f>
        <v>gm. w. Krasne</v>
      </c>
      <c r="D1357" s="141">
        <f>IF(OR($A1357="",ISERROR(VALUE(LEFT($A1357,6)))),"",IF(LEN($A1357)=2,SUMIF($A1358:$A$2965,$A1357&amp;"??",$D1358:$D$2965),IF(AND(LEN($A1357)=4,VALUE(RIGHT($A1357,2))&lt;=60),SUMIF($A1358:$A$2965,$A1357&amp;"????",$D1358:$D$2965),VLOOKUP(IF(LEN($A1357)=4,$A1357&amp;"01 1",$A1357),GUS_tabl_21!$A$5:$F$4886,6,FALSE))))</f>
        <v>3610</v>
      </c>
      <c r="E1357" s="29"/>
    </row>
    <row r="1358" spans="1:5" ht="12" customHeight="1">
      <c r="A1358" s="155" t="str">
        <f>"142206 2"</f>
        <v>142206 2</v>
      </c>
      <c r="B1358" s="153" t="s">
        <v>45</v>
      </c>
      <c r="C1358" s="156" t="str">
        <f>IF(OR($A1358="",ISERROR(VALUE(LEFT($A1358,6)))),"",IF(LEN($A1358)=2,"WOJ. ",IF(LEN($A1358)=4,IF(VALUE(RIGHT($A1358,2))&gt;60,"","Powiat "),IF(VALUE(RIGHT($A1358,1))=1,"m. ",IF(VALUE(RIGHT($A1358,1))=2,"gm. w. ",IF(VALUE(RIGHT($A1358,1))=8,"dz. ","gm. m.-w. ")))))&amp;IF(LEN($A1358)=2,TRIM(UPPER(VLOOKUP($A1358,GUS_tabl_1!$A$7:$B$22,2,FALSE))),IF(ISERROR(FIND("..",TRIM(VLOOKUP(IF(AND(LEN($A1358)=4,VALUE(RIGHT($A1358,2))&gt;60),$A1358&amp;"01 1",$A1358),IF(AND(LEN($A1358)=4,VALUE(RIGHT($A1358,2))&lt;60),GUS_tabl_2!$A$8:$B$464,GUS_tabl_21!$A$5:$B$4886),2,FALSE)))),TRIM(VLOOKUP(IF(AND(LEN($A1358)=4,VALUE(RIGHT($A1358,2))&gt;60),$A1358&amp;"01 1",$A1358),IF(AND(LEN($A1358)=4,VALUE(RIGHT($A1358,2))&lt;60),GUS_tabl_2!$A$8:$B$464,GUS_tabl_21!$A$5:$B$4886),2,FALSE)),LEFT(TRIM(VLOOKUP(IF(AND(LEN($A1358)=4,VALUE(RIGHT($A1358,2))&gt;60),$A1358&amp;"01 1",$A1358),IF(AND(LEN($A1358)=4,VALUE(RIGHT($A1358,2))&lt;60),GUS_tabl_2!$A$8:$B$464,GUS_tabl_21!$A$5:$B$4886),2,FALSE)),SUM(FIND("..",TRIM(VLOOKUP(IF(AND(LEN($A1358)=4,VALUE(RIGHT($A1358,2))&gt;60),$A1358&amp;"01 1",$A1358),IF(AND(LEN($A1358)=4,VALUE(RIGHT($A1358,2))&lt;60),GUS_tabl_2!$A$8:$B$464,GUS_tabl_21!$A$5:$B$4886),2,FALSE))),-1)))))</f>
        <v>gm. w. Krzynowłoga Mała</v>
      </c>
      <c r="D1358" s="141">
        <f>IF(OR($A1358="",ISERROR(VALUE(LEFT($A1358,6)))),"",IF(LEN($A1358)=2,SUMIF($A1359:$A$2965,$A1358&amp;"??",$D1359:$D$2965),IF(AND(LEN($A1358)=4,VALUE(RIGHT($A1358,2))&lt;=60),SUMIF($A1359:$A$2965,$A1358&amp;"????",$D1359:$D$2965),VLOOKUP(IF(LEN($A1358)=4,$A1358&amp;"01 1",$A1358),GUS_tabl_21!$A$5:$F$4886,6,FALSE))))</f>
        <v>3439</v>
      </c>
      <c r="E1358" s="29"/>
    </row>
    <row r="1359" spans="1:5" ht="12" customHeight="1">
      <c r="A1359" s="155" t="str">
        <f>"142207 2"</f>
        <v>142207 2</v>
      </c>
      <c r="B1359" s="153" t="s">
        <v>45</v>
      </c>
      <c r="C1359" s="156" t="str">
        <f>IF(OR($A1359="",ISERROR(VALUE(LEFT($A1359,6)))),"",IF(LEN($A1359)=2,"WOJ. ",IF(LEN($A1359)=4,IF(VALUE(RIGHT($A1359,2))&gt;60,"","Powiat "),IF(VALUE(RIGHT($A1359,1))=1,"m. ",IF(VALUE(RIGHT($A1359,1))=2,"gm. w. ",IF(VALUE(RIGHT($A1359,1))=8,"dz. ","gm. m.-w. ")))))&amp;IF(LEN($A1359)=2,TRIM(UPPER(VLOOKUP($A1359,GUS_tabl_1!$A$7:$B$22,2,FALSE))),IF(ISERROR(FIND("..",TRIM(VLOOKUP(IF(AND(LEN($A1359)=4,VALUE(RIGHT($A1359,2))&gt;60),$A1359&amp;"01 1",$A1359),IF(AND(LEN($A1359)=4,VALUE(RIGHT($A1359,2))&lt;60),GUS_tabl_2!$A$8:$B$464,GUS_tabl_21!$A$5:$B$4886),2,FALSE)))),TRIM(VLOOKUP(IF(AND(LEN($A1359)=4,VALUE(RIGHT($A1359,2))&gt;60),$A1359&amp;"01 1",$A1359),IF(AND(LEN($A1359)=4,VALUE(RIGHT($A1359,2))&lt;60),GUS_tabl_2!$A$8:$B$464,GUS_tabl_21!$A$5:$B$4886),2,FALSE)),LEFT(TRIM(VLOOKUP(IF(AND(LEN($A1359)=4,VALUE(RIGHT($A1359,2))&gt;60),$A1359&amp;"01 1",$A1359),IF(AND(LEN($A1359)=4,VALUE(RIGHT($A1359,2))&lt;60),GUS_tabl_2!$A$8:$B$464,GUS_tabl_21!$A$5:$B$4886),2,FALSE)),SUM(FIND("..",TRIM(VLOOKUP(IF(AND(LEN($A1359)=4,VALUE(RIGHT($A1359,2))&gt;60),$A1359&amp;"01 1",$A1359),IF(AND(LEN($A1359)=4,VALUE(RIGHT($A1359,2))&lt;60),GUS_tabl_2!$A$8:$B$464,GUS_tabl_21!$A$5:$B$4886),2,FALSE))),-1)))))</f>
        <v>gm. w. Przasnysz</v>
      </c>
      <c r="D1359" s="141">
        <f>IF(OR($A1359="",ISERROR(VALUE(LEFT($A1359,6)))),"",IF(LEN($A1359)=2,SUMIF($A1360:$A$2965,$A1359&amp;"??",$D1360:$D$2965),IF(AND(LEN($A1359)=4,VALUE(RIGHT($A1359,2))&lt;=60),SUMIF($A1360:$A$2965,$A1359&amp;"????",$D1360:$D$2965),VLOOKUP(IF(LEN($A1359)=4,$A1359&amp;"01 1",$A1359),GUS_tabl_21!$A$5:$F$4886,6,FALSE))))</f>
        <v>7228</v>
      </c>
      <c r="E1359" s="29"/>
    </row>
    <row r="1360" spans="1:5" ht="12" customHeight="1">
      <c r="A1360" s="152" t="str">
        <f>"1423"</f>
        <v>1423</v>
      </c>
      <c r="B1360" s="153" t="s">
        <v>45</v>
      </c>
      <c r="C1360" s="154" t="str">
        <f>IF(OR($A1360="",ISERROR(VALUE(LEFT($A1360,6)))),"",IF(LEN($A1360)=2,"WOJ. ",IF(LEN($A1360)=4,IF(VALUE(RIGHT($A1360,2))&gt;60,"","Powiat "),IF(VALUE(RIGHT($A1360,1))=1,"m. ",IF(VALUE(RIGHT($A1360,1))=2,"gm. w. ",IF(VALUE(RIGHT($A1360,1))=8,"dz. ","gm. m.-w. ")))))&amp;IF(LEN($A1360)=2,TRIM(UPPER(VLOOKUP($A1360,GUS_tabl_1!$A$7:$B$22,2,FALSE))),IF(ISERROR(FIND("..",TRIM(VLOOKUP(IF(AND(LEN($A1360)=4,VALUE(RIGHT($A1360,2))&gt;60),$A1360&amp;"01 1",$A1360),IF(AND(LEN($A1360)=4,VALUE(RIGHT($A1360,2))&lt;60),GUS_tabl_2!$A$8:$B$464,GUS_tabl_21!$A$5:$B$4886),2,FALSE)))),TRIM(VLOOKUP(IF(AND(LEN($A1360)=4,VALUE(RIGHT($A1360,2))&gt;60),$A1360&amp;"01 1",$A1360),IF(AND(LEN($A1360)=4,VALUE(RIGHT($A1360,2))&lt;60),GUS_tabl_2!$A$8:$B$464,GUS_tabl_21!$A$5:$B$4886),2,FALSE)),LEFT(TRIM(VLOOKUP(IF(AND(LEN($A1360)=4,VALUE(RIGHT($A1360,2))&gt;60),$A1360&amp;"01 1",$A1360),IF(AND(LEN($A1360)=4,VALUE(RIGHT($A1360,2))&lt;60),GUS_tabl_2!$A$8:$B$464,GUS_tabl_21!$A$5:$B$4886),2,FALSE)),SUM(FIND("..",TRIM(VLOOKUP(IF(AND(LEN($A1360)=4,VALUE(RIGHT($A1360,2))&gt;60),$A1360&amp;"01 1",$A1360),IF(AND(LEN($A1360)=4,VALUE(RIGHT($A1360,2))&lt;60),GUS_tabl_2!$A$8:$B$464,GUS_tabl_21!$A$5:$B$4886),2,FALSE))),-1)))))</f>
        <v>Powiat przysuski</v>
      </c>
      <c r="D1360" s="140">
        <f>IF(OR($A1360="",ISERROR(VALUE(LEFT($A1360,6)))),"",IF(LEN($A1360)=2,SUMIF($A1361:$A$2965,$A1360&amp;"??",$D1361:$D$2965),IF(AND(LEN($A1360)=4,VALUE(RIGHT($A1360,2))&lt;=60),SUMIF($A1361:$A$2965,$A1360&amp;"????",$D1361:$D$2965),VLOOKUP(IF(LEN($A1360)=4,$A1360&amp;"01 1",$A1360),GUS_tabl_21!$A$5:$F$4886,6,FALSE))))</f>
        <v>41455</v>
      </c>
      <c r="E1360" s="29"/>
    </row>
    <row r="1361" spans="1:5" ht="12" customHeight="1">
      <c r="A1361" s="155" t="str">
        <f>"142301 2"</f>
        <v>142301 2</v>
      </c>
      <c r="B1361" s="153" t="s">
        <v>45</v>
      </c>
      <c r="C1361" s="156" t="str">
        <f>IF(OR($A1361="",ISERROR(VALUE(LEFT($A1361,6)))),"",IF(LEN($A1361)=2,"WOJ. ",IF(LEN($A1361)=4,IF(VALUE(RIGHT($A1361,2))&gt;60,"","Powiat "),IF(VALUE(RIGHT($A1361,1))=1,"m. ",IF(VALUE(RIGHT($A1361,1))=2,"gm. w. ",IF(VALUE(RIGHT($A1361,1))=8,"dz. ","gm. m.-w. ")))))&amp;IF(LEN($A1361)=2,TRIM(UPPER(VLOOKUP($A1361,GUS_tabl_1!$A$7:$B$22,2,FALSE))),IF(ISERROR(FIND("..",TRIM(VLOOKUP(IF(AND(LEN($A1361)=4,VALUE(RIGHT($A1361,2))&gt;60),$A1361&amp;"01 1",$A1361),IF(AND(LEN($A1361)=4,VALUE(RIGHT($A1361,2))&lt;60),GUS_tabl_2!$A$8:$B$464,GUS_tabl_21!$A$5:$B$4886),2,FALSE)))),TRIM(VLOOKUP(IF(AND(LEN($A1361)=4,VALUE(RIGHT($A1361,2))&gt;60),$A1361&amp;"01 1",$A1361),IF(AND(LEN($A1361)=4,VALUE(RIGHT($A1361,2))&lt;60),GUS_tabl_2!$A$8:$B$464,GUS_tabl_21!$A$5:$B$4886),2,FALSE)),LEFT(TRIM(VLOOKUP(IF(AND(LEN($A1361)=4,VALUE(RIGHT($A1361,2))&gt;60),$A1361&amp;"01 1",$A1361),IF(AND(LEN($A1361)=4,VALUE(RIGHT($A1361,2))&lt;60),GUS_tabl_2!$A$8:$B$464,GUS_tabl_21!$A$5:$B$4886),2,FALSE)),SUM(FIND("..",TRIM(VLOOKUP(IF(AND(LEN($A1361)=4,VALUE(RIGHT($A1361,2))&gt;60),$A1361&amp;"01 1",$A1361),IF(AND(LEN($A1361)=4,VALUE(RIGHT($A1361,2))&lt;60),GUS_tabl_2!$A$8:$B$464,GUS_tabl_21!$A$5:$B$4886),2,FALSE))),-1)))))</f>
        <v>gm. w. Borkowice</v>
      </c>
      <c r="D1361" s="141">
        <f>IF(OR($A1361="",ISERROR(VALUE(LEFT($A1361,6)))),"",IF(LEN($A1361)=2,SUMIF($A1362:$A$2965,$A1361&amp;"??",$D1362:$D$2965),IF(AND(LEN($A1361)=4,VALUE(RIGHT($A1361,2))&lt;=60),SUMIF($A1362:$A$2965,$A1361&amp;"????",$D1362:$D$2965),VLOOKUP(IF(LEN($A1361)=4,$A1361&amp;"01 1",$A1361),GUS_tabl_21!$A$5:$F$4886,6,FALSE))))</f>
        <v>4261</v>
      </c>
      <c r="E1361" s="29"/>
    </row>
    <row r="1362" spans="1:5" ht="12" customHeight="1">
      <c r="A1362" s="155" t="str">
        <f>"142302 2"</f>
        <v>142302 2</v>
      </c>
      <c r="B1362" s="153" t="s">
        <v>45</v>
      </c>
      <c r="C1362" s="156" t="str">
        <f>IF(OR($A1362="",ISERROR(VALUE(LEFT($A1362,6)))),"",IF(LEN($A1362)=2,"WOJ. ",IF(LEN($A1362)=4,IF(VALUE(RIGHT($A1362,2))&gt;60,"","Powiat "),IF(VALUE(RIGHT($A1362,1))=1,"m. ",IF(VALUE(RIGHT($A1362,1))=2,"gm. w. ",IF(VALUE(RIGHT($A1362,1))=8,"dz. ","gm. m.-w. ")))))&amp;IF(LEN($A1362)=2,TRIM(UPPER(VLOOKUP($A1362,GUS_tabl_1!$A$7:$B$22,2,FALSE))),IF(ISERROR(FIND("..",TRIM(VLOOKUP(IF(AND(LEN($A1362)=4,VALUE(RIGHT($A1362,2))&gt;60),$A1362&amp;"01 1",$A1362),IF(AND(LEN($A1362)=4,VALUE(RIGHT($A1362,2))&lt;60),GUS_tabl_2!$A$8:$B$464,GUS_tabl_21!$A$5:$B$4886),2,FALSE)))),TRIM(VLOOKUP(IF(AND(LEN($A1362)=4,VALUE(RIGHT($A1362,2))&gt;60),$A1362&amp;"01 1",$A1362),IF(AND(LEN($A1362)=4,VALUE(RIGHT($A1362,2))&lt;60),GUS_tabl_2!$A$8:$B$464,GUS_tabl_21!$A$5:$B$4886),2,FALSE)),LEFT(TRIM(VLOOKUP(IF(AND(LEN($A1362)=4,VALUE(RIGHT($A1362,2))&gt;60),$A1362&amp;"01 1",$A1362),IF(AND(LEN($A1362)=4,VALUE(RIGHT($A1362,2))&lt;60),GUS_tabl_2!$A$8:$B$464,GUS_tabl_21!$A$5:$B$4886),2,FALSE)),SUM(FIND("..",TRIM(VLOOKUP(IF(AND(LEN($A1362)=4,VALUE(RIGHT($A1362,2))&gt;60),$A1362&amp;"01 1",$A1362),IF(AND(LEN($A1362)=4,VALUE(RIGHT($A1362,2))&lt;60),GUS_tabl_2!$A$8:$B$464,GUS_tabl_21!$A$5:$B$4886),2,FALSE))),-1)))))</f>
        <v>gm. w. Gielniów</v>
      </c>
      <c r="D1362" s="141">
        <f>IF(OR($A1362="",ISERROR(VALUE(LEFT($A1362,6)))),"",IF(LEN($A1362)=2,SUMIF($A1363:$A$2965,$A1362&amp;"??",$D1363:$D$2965),IF(AND(LEN($A1362)=4,VALUE(RIGHT($A1362,2))&lt;=60),SUMIF($A1363:$A$2965,$A1362&amp;"????",$D1363:$D$2965),VLOOKUP(IF(LEN($A1362)=4,$A1362&amp;"01 1",$A1362),GUS_tabl_21!$A$5:$F$4886,6,FALSE))))</f>
        <v>4542</v>
      </c>
      <c r="E1362" s="29"/>
    </row>
    <row r="1363" spans="1:5" ht="12" customHeight="1">
      <c r="A1363" s="155" t="str">
        <f>"142303 2"</f>
        <v>142303 2</v>
      </c>
      <c r="B1363" s="153" t="s">
        <v>45</v>
      </c>
      <c r="C1363" s="156" t="str">
        <f>IF(OR($A1363="",ISERROR(VALUE(LEFT($A1363,6)))),"",IF(LEN($A1363)=2,"WOJ. ",IF(LEN($A1363)=4,IF(VALUE(RIGHT($A1363,2))&gt;60,"","Powiat "),IF(VALUE(RIGHT($A1363,1))=1,"m. ",IF(VALUE(RIGHT($A1363,1))=2,"gm. w. ",IF(VALUE(RIGHT($A1363,1))=8,"dz. ","gm. m.-w. ")))))&amp;IF(LEN($A1363)=2,TRIM(UPPER(VLOOKUP($A1363,GUS_tabl_1!$A$7:$B$22,2,FALSE))),IF(ISERROR(FIND("..",TRIM(VLOOKUP(IF(AND(LEN($A1363)=4,VALUE(RIGHT($A1363,2))&gt;60),$A1363&amp;"01 1",$A1363),IF(AND(LEN($A1363)=4,VALUE(RIGHT($A1363,2))&lt;60),GUS_tabl_2!$A$8:$B$464,GUS_tabl_21!$A$5:$B$4886),2,FALSE)))),TRIM(VLOOKUP(IF(AND(LEN($A1363)=4,VALUE(RIGHT($A1363,2))&gt;60),$A1363&amp;"01 1",$A1363),IF(AND(LEN($A1363)=4,VALUE(RIGHT($A1363,2))&lt;60),GUS_tabl_2!$A$8:$B$464,GUS_tabl_21!$A$5:$B$4886),2,FALSE)),LEFT(TRIM(VLOOKUP(IF(AND(LEN($A1363)=4,VALUE(RIGHT($A1363,2))&gt;60),$A1363&amp;"01 1",$A1363),IF(AND(LEN($A1363)=4,VALUE(RIGHT($A1363,2))&lt;60),GUS_tabl_2!$A$8:$B$464,GUS_tabl_21!$A$5:$B$4886),2,FALSE)),SUM(FIND("..",TRIM(VLOOKUP(IF(AND(LEN($A1363)=4,VALUE(RIGHT($A1363,2))&gt;60),$A1363&amp;"01 1",$A1363),IF(AND(LEN($A1363)=4,VALUE(RIGHT($A1363,2))&lt;60),GUS_tabl_2!$A$8:$B$464,GUS_tabl_21!$A$5:$B$4886),2,FALSE))),-1)))))</f>
        <v>gm. w. Klwów</v>
      </c>
      <c r="D1363" s="141">
        <f>IF(OR($A1363="",ISERROR(VALUE(LEFT($A1363,6)))),"",IF(LEN($A1363)=2,SUMIF($A1364:$A$2965,$A1363&amp;"??",$D1364:$D$2965),IF(AND(LEN($A1363)=4,VALUE(RIGHT($A1363,2))&lt;=60),SUMIF($A1364:$A$2965,$A1363&amp;"????",$D1364:$D$2965),VLOOKUP(IF(LEN($A1363)=4,$A1363&amp;"01 1",$A1363),GUS_tabl_21!$A$5:$F$4886,6,FALSE))))</f>
        <v>3380</v>
      </c>
      <c r="E1363" s="29"/>
    </row>
    <row r="1364" spans="1:5" ht="12" customHeight="1">
      <c r="A1364" s="155" t="str">
        <f>"142304 2"</f>
        <v>142304 2</v>
      </c>
      <c r="B1364" s="153" t="s">
        <v>45</v>
      </c>
      <c r="C1364" s="156" t="str">
        <f>IF(OR($A1364="",ISERROR(VALUE(LEFT($A1364,6)))),"",IF(LEN($A1364)=2,"WOJ. ",IF(LEN($A1364)=4,IF(VALUE(RIGHT($A1364,2))&gt;60,"","Powiat "),IF(VALUE(RIGHT($A1364,1))=1,"m. ",IF(VALUE(RIGHT($A1364,1))=2,"gm. w. ",IF(VALUE(RIGHT($A1364,1))=8,"dz. ","gm. m.-w. ")))))&amp;IF(LEN($A1364)=2,TRIM(UPPER(VLOOKUP($A1364,GUS_tabl_1!$A$7:$B$22,2,FALSE))),IF(ISERROR(FIND("..",TRIM(VLOOKUP(IF(AND(LEN($A1364)=4,VALUE(RIGHT($A1364,2))&gt;60),$A1364&amp;"01 1",$A1364),IF(AND(LEN($A1364)=4,VALUE(RIGHT($A1364,2))&lt;60),GUS_tabl_2!$A$8:$B$464,GUS_tabl_21!$A$5:$B$4886),2,FALSE)))),TRIM(VLOOKUP(IF(AND(LEN($A1364)=4,VALUE(RIGHT($A1364,2))&gt;60),$A1364&amp;"01 1",$A1364),IF(AND(LEN($A1364)=4,VALUE(RIGHT($A1364,2))&lt;60),GUS_tabl_2!$A$8:$B$464,GUS_tabl_21!$A$5:$B$4886),2,FALSE)),LEFT(TRIM(VLOOKUP(IF(AND(LEN($A1364)=4,VALUE(RIGHT($A1364,2))&gt;60),$A1364&amp;"01 1",$A1364),IF(AND(LEN($A1364)=4,VALUE(RIGHT($A1364,2))&lt;60),GUS_tabl_2!$A$8:$B$464,GUS_tabl_21!$A$5:$B$4886),2,FALSE)),SUM(FIND("..",TRIM(VLOOKUP(IF(AND(LEN($A1364)=4,VALUE(RIGHT($A1364,2))&gt;60),$A1364&amp;"01 1",$A1364),IF(AND(LEN($A1364)=4,VALUE(RIGHT($A1364,2))&lt;60),GUS_tabl_2!$A$8:$B$464,GUS_tabl_21!$A$5:$B$4886),2,FALSE))),-1)))))</f>
        <v>gm. w. Odrzywół</v>
      </c>
      <c r="D1364" s="141">
        <f>IF(OR($A1364="",ISERROR(VALUE(LEFT($A1364,6)))),"",IF(LEN($A1364)=2,SUMIF($A1365:$A$2965,$A1364&amp;"??",$D1365:$D$2965),IF(AND(LEN($A1364)=4,VALUE(RIGHT($A1364,2))&lt;=60),SUMIF($A1365:$A$2965,$A1364&amp;"????",$D1365:$D$2965),VLOOKUP(IF(LEN($A1364)=4,$A1364&amp;"01 1",$A1364),GUS_tabl_21!$A$5:$F$4886,6,FALSE))))</f>
        <v>3752</v>
      </c>
      <c r="E1364" s="29"/>
    </row>
    <row r="1365" spans="1:5" ht="12" customHeight="1">
      <c r="A1365" s="155" t="str">
        <f>"142305 2"</f>
        <v>142305 2</v>
      </c>
      <c r="B1365" s="153" t="s">
        <v>45</v>
      </c>
      <c r="C1365" s="156" t="str">
        <f>IF(OR($A1365="",ISERROR(VALUE(LEFT($A1365,6)))),"",IF(LEN($A1365)=2,"WOJ. ",IF(LEN($A1365)=4,IF(VALUE(RIGHT($A1365,2))&gt;60,"","Powiat "),IF(VALUE(RIGHT($A1365,1))=1,"m. ",IF(VALUE(RIGHT($A1365,1))=2,"gm. w. ",IF(VALUE(RIGHT($A1365,1))=8,"dz. ","gm. m.-w. ")))))&amp;IF(LEN($A1365)=2,TRIM(UPPER(VLOOKUP($A1365,GUS_tabl_1!$A$7:$B$22,2,FALSE))),IF(ISERROR(FIND("..",TRIM(VLOOKUP(IF(AND(LEN($A1365)=4,VALUE(RIGHT($A1365,2))&gt;60),$A1365&amp;"01 1",$A1365),IF(AND(LEN($A1365)=4,VALUE(RIGHT($A1365,2))&lt;60),GUS_tabl_2!$A$8:$B$464,GUS_tabl_21!$A$5:$B$4886),2,FALSE)))),TRIM(VLOOKUP(IF(AND(LEN($A1365)=4,VALUE(RIGHT($A1365,2))&gt;60),$A1365&amp;"01 1",$A1365),IF(AND(LEN($A1365)=4,VALUE(RIGHT($A1365,2))&lt;60),GUS_tabl_2!$A$8:$B$464,GUS_tabl_21!$A$5:$B$4886),2,FALSE)),LEFT(TRIM(VLOOKUP(IF(AND(LEN($A1365)=4,VALUE(RIGHT($A1365,2))&gt;60),$A1365&amp;"01 1",$A1365),IF(AND(LEN($A1365)=4,VALUE(RIGHT($A1365,2))&lt;60),GUS_tabl_2!$A$8:$B$464,GUS_tabl_21!$A$5:$B$4886),2,FALSE)),SUM(FIND("..",TRIM(VLOOKUP(IF(AND(LEN($A1365)=4,VALUE(RIGHT($A1365,2))&gt;60),$A1365&amp;"01 1",$A1365),IF(AND(LEN($A1365)=4,VALUE(RIGHT($A1365,2))&lt;60),GUS_tabl_2!$A$8:$B$464,GUS_tabl_21!$A$5:$B$4886),2,FALSE))),-1)))))</f>
        <v>gm. w. Potworów</v>
      </c>
      <c r="D1365" s="141">
        <f>IF(OR($A1365="",ISERROR(VALUE(LEFT($A1365,6)))),"",IF(LEN($A1365)=2,SUMIF($A1366:$A$2965,$A1365&amp;"??",$D1366:$D$2965),IF(AND(LEN($A1365)=4,VALUE(RIGHT($A1365,2))&lt;=60),SUMIF($A1366:$A$2965,$A1365&amp;"????",$D1366:$D$2965),VLOOKUP(IF(LEN($A1365)=4,$A1365&amp;"01 1",$A1365),GUS_tabl_21!$A$5:$F$4886,6,FALSE))))</f>
        <v>4187</v>
      </c>
      <c r="E1365" s="29"/>
    </row>
    <row r="1366" spans="1:5" ht="12" customHeight="1">
      <c r="A1366" s="155" t="str">
        <f>"142306 3"</f>
        <v>142306 3</v>
      </c>
      <c r="B1366" s="153" t="s">
        <v>45</v>
      </c>
      <c r="C1366" s="156" t="str">
        <f>IF(OR($A1366="",ISERROR(VALUE(LEFT($A1366,6)))),"",IF(LEN($A1366)=2,"WOJ. ",IF(LEN($A1366)=4,IF(VALUE(RIGHT($A1366,2))&gt;60,"","Powiat "),IF(VALUE(RIGHT($A1366,1))=1,"m. ",IF(VALUE(RIGHT($A1366,1))=2,"gm. w. ",IF(VALUE(RIGHT($A1366,1))=8,"dz. ","gm. m.-w. ")))))&amp;IF(LEN($A1366)=2,TRIM(UPPER(VLOOKUP($A1366,GUS_tabl_1!$A$7:$B$22,2,FALSE))),IF(ISERROR(FIND("..",TRIM(VLOOKUP(IF(AND(LEN($A1366)=4,VALUE(RIGHT($A1366,2))&gt;60),$A1366&amp;"01 1",$A1366),IF(AND(LEN($A1366)=4,VALUE(RIGHT($A1366,2))&lt;60),GUS_tabl_2!$A$8:$B$464,GUS_tabl_21!$A$5:$B$4886),2,FALSE)))),TRIM(VLOOKUP(IF(AND(LEN($A1366)=4,VALUE(RIGHT($A1366,2))&gt;60),$A1366&amp;"01 1",$A1366),IF(AND(LEN($A1366)=4,VALUE(RIGHT($A1366,2))&lt;60),GUS_tabl_2!$A$8:$B$464,GUS_tabl_21!$A$5:$B$4886),2,FALSE)),LEFT(TRIM(VLOOKUP(IF(AND(LEN($A1366)=4,VALUE(RIGHT($A1366,2))&gt;60),$A1366&amp;"01 1",$A1366),IF(AND(LEN($A1366)=4,VALUE(RIGHT($A1366,2))&lt;60),GUS_tabl_2!$A$8:$B$464,GUS_tabl_21!$A$5:$B$4886),2,FALSE)),SUM(FIND("..",TRIM(VLOOKUP(IF(AND(LEN($A1366)=4,VALUE(RIGHT($A1366,2))&gt;60),$A1366&amp;"01 1",$A1366),IF(AND(LEN($A1366)=4,VALUE(RIGHT($A1366,2))&lt;60),GUS_tabl_2!$A$8:$B$464,GUS_tabl_21!$A$5:$B$4886),2,FALSE))),-1)))))</f>
        <v>gm. m.-w. Przysucha</v>
      </c>
      <c r="D1366" s="141">
        <f>IF(OR($A1366="",ISERROR(VALUE(LEFT($A1366,6)))),"",IF(LEN($A1366)=2,SUMIF($A1367:$A$2965,$A1366&amp;"??",$D1367:$D$2965),IF(AND(LEN($A1366)=4,VALUE(RIGHT($A1366,2))&lt;=60),SUMIF($A1367:$A$2965,$A1366&amp;"????",$D1367:$D$2965),VLOOKUP(IF(LEN($A1366)=4,$A1366&amp;"01 1",$A1366),GUS_tabl_21!$A$5:$F$4886,6,FALSE))))</f>
        <v>11783</v>
      </c>
      <c r="E1366" s="29"/>
    </row>
    <row r="1367" spans="1:5" ht="12" customHeight="1">
      <c r="A1367" s="155" t="str">
        <f>"142307 2"</f>
        <v>142307 2</v>
      </c>
      <c r="B1367" s="153" t="s">
        <v>45</v>
      </c>
      <c r="C1367" s="156" t="str">
        <f>IF(OR($A1367="",ISERROR(VALUE(LEFT($A1367,6)))),"",IF(LEN($A1367)=2,"WOJ. ",IF(LEN($A1367)=4,IF(VALUE(RIGHT($A1367,2))&gt;60,"","Powiat "),IF(VALUE(RIGHT($A1367,1))=1,"m. ",IF(VALUE(RIGHT($A1367,1))=2,"gm. w. ",IF(VALUE(RIGHT($A1367,1))=8,"dz. ","gm. m.-w. ")))))&amp;IF(LEN($A1367)=2,TRIM(UPPER(VLOOKUP($A1367,GUS_tabl_1!$A$7:$B$22,2,FALSE))),IF(ISERROR(FIND("..",TRIM(VLOOKUP(IF(AND(LEN($A1367)=4,VALUE(RIGHT($A1367,2))&gt;60),$A1367&amp;"01 1",$A1367),IF(AND(LEN($A1367)=4,VALUE(RIGHT($A1367,2))&lt;60),GUS_tabl_2!$A$8:$B$464,GUS_tabl_21!$A$5:$B$4886),2,FALSE)))),TRIM(VLOOKUP(IF(AND(LEN($A1367)=4,VALUE(RIGHT($A1367,2))&gt;60),$A1367&amp;"01 1",$A1367),IF(AND(LEN($A1367)=4,VALUE(RIGHT($A1367,2))&lt;60),GUS_tabl_2!$A$8:$B$464,GUS_tabl_21!$A$5:$B$4886),2,FALSE)),LEFT(TRIM(VLOOKUP(IF(AND(LEN($A1367)=4,VALUE(RIGHT($A1367,2))&gt;60),$A1367&amp;"01 1",$A1367),IF(AND(LEN($A1367)=4,VALUE(RIGHT($A1367,2))&lt;60),GUS_tabl_2!$A$8:$B$464,GUS_tabl_21!$A$5:$B$4886),2,FALSE)),SUM(FIND("..",TRIM(VLOOKUP(IF(AND(LEN($A1367)=4,VALUE(RIGHT($A1367,2))&gt;60),$A1367&amp;"01 1",$A1367),IF(AND(LEN($A1367)=4,VALUE(RIGHT($A1367,2))&lt;60),GUS_tabl_2!$A$8:$B$464,GUS_tabl_21!$A$5:$B$4886),2,FALSE))),-1)))))</f>
        <v>gm. w. Rusinów</v>
      </c>
      <c r="D1367" s="141">
        <f>IF(OR($A1367="",ISERROR(VALUE(LEFT($A1367,6)))),"",IF(LEN($A1367)=2,SUMIF($A1368:$A$2965,$A1367&amp;"??",$D1368:$D$2965),IF(AND(LEN($A1367)=4,VALUE(RIGHT($A1367,2))&lt;=60),SUMIF($A1368:$A$2965,$A1367&amp;"????",$D1368:$D$2965),VLOOKUP(IF(LEN($A1367)=4,$A1367&amp;"01 1",$A1367),GUS_tabl_21!$A$5:$F$4886,6,FALSE))))</f>
        <v>4274</v>
      </c>
      <c r="E1367" s="29"/>
    </row>
    <row r="1368" spans="1:5" ht="12" customHeight="1">
      <c r="A1368" s="155" t="str">
        <f>"142308 2"</f>
        <v>142308 2</v>
      </c>
      <c r="B1368" s="153" t="s">
        <v>45</v>
      </c>
      <c r="C1368" s="156" t="str">
        <f>IF(OR($A1368="",ISERROR(VALUE(LEFT($A1368,6)))),"",IF(LEN($A1368)=2,"WOJ. ",IF(LEN($A1368)=4,IF(VALUE(RIGHT($A1368,2))&gt;60,"","Powiat "),IF(VALUE(RIGHT($A1368,1))=1,"m. ",IF(VALUE(RIGHT($A1368,1))=2,"gm. w. ",IF(VALUE(RIGHT($A1368,1))=8,"dz. ","gm. m.-w. ")))))&amp;IF(LEN($A1368)=2,TRIM(UPPER(VLOOKUP($A1368,GUS_tabl_1!$A$7:$B$22,2,FALSE))),IF(ISERROR(FIND("..",TRIM(VLOOKUP(IF(AND(LEN($A1368)=4,VALUE(RIGHT($A1368,2))&gt;60),$A1368&amp;"01 1",$A1368),IF(AND(LEN($A1368)=4,VALUE(RIGHT($A1368,2))&lt;60),GUS_tabl_2!$A$8:$B$464,GUS_tabl_21!$A$5:$B$4886),2,FALSE)))),TRIM(VLOOKUP(IF(AND(LEN($A1368)=4,VALUE(RIGHT($A1368,2))&gt;60),$A1368&amp;"01 1",$A1368),IF(AND(LEN($A1368)=4,VALUE(RIGHT($A1368,2))&lt;60),GUS_tabl_2!$A$8:$B$464,GUS_tabl_21!$A$5:$B$4886),2,FALSE)),LEFT(TRIM(VLOOKUP(IF(AND(LEN($A1368)=4,VALUE(RIGHT($A1368,2))&gt;60),$A1368&amp;"01 1",$A1368),IF(AND(LEN($A1368)=4,VALUE(RIGHT($A1368,2))&lt;60),GUS_tabl_2!$A$8:$B$464,GUS_tabl_21!$A$5:$B$4886),2,FALSE)),SUM(FIND("..",TRIM(VLOOKUP(IF(AND(LEN($A1368)=4,VALUE(RIGHT($A1368,2))&gt;60),$A1368&amp;"01 1",$A1368),IF(AND(LEN($A1368)=4,VALUE(RIGHT($A1368,2))&lt;60),GUS_tabl_2!$A$8:$B$464,GUS_tabl_21!$A$5:$B$4886),2,FALSE))),-1)))))</f>
        <v>gm. w. Wieniawa</v>
      </c>
      <c r="D1368" s="141">
        <f>IF(OR($A1368="",ISERROR(VALUE(LEFT($A1368,6)))),"",IF(LEN($A1368)=2,SUMIF($A1369:$A$2965,$A1368&amp;"??",$D1369:$D$2965),IF(AND(LEN($A1368)=4,VALUE(RIGHT($A1368,2))&lt;=60),SUMIF($A1369:$A$2965,$A1368&amp;"????",$D1369:$D$2965),VLOOKUP(IF(LEN($A1368)=4,$A1368&amp;"01 1",$A1368),GUS_tabl_21!$A$5:$F$4886,6,FALSE))))</f>
        <v>5276</v>
      </c>
      <c r="E1368" s="29"/>
    </row>
    <row r="1369" spans="1:5" ht="12" customHeight="1">
      <c r="A1369" s="152" t="str">
        <f>"1424"</f>
        <v>1424</v>
      </c>
      <c r="B1369" s="153" t="s">
        <v>45</v>
      </c>
      <c r="C1369" s="154" t="str">
        <f>IF(OR($A1369="",ISERROR(VALUE(LEFT($A1369,6)))),"",IF(LEN($A1369)=2,"WOJ. ",IF(LEN($A1369)=4,IF(VALUE(RIGHT($A1369,2))&gt;60,"","Powiat "),IF(VALUE(RIGHT($A1369,1))=1,"m. ",IF(VALUE(RIGHT($A1369,1))=2,"gm. w. ",IF(VALUE(RIGHT($A1369,1))=8,"dz. ","gm. m.-w. ")))))&amp;IF(LEN($A1369)=2,TRIM(UPPER(VLOOKUP($A1369,GUS_tabl_1!$A$7:$B$22,2,FALSE))),IF(ISERROR(FIND("..",TRIM(VLOOKUP(IF(AND(LEN($A1369)=4,VALUE(RIGHT($A1369,2))&gt;60),$A1369&amp;"01 1",$A1369),IF(AND(LEN($A1369)=4,VALUE(RIGHT($A1369,2))&lt;60),GUS_tabl_2!$A$8:$B$464,GUS_tabl_21!$A$5:$B$4886),2,FALSE)))),TRIM(VLOOKUP(IF(AND(LEN($A1369)=4,VALUE(RIGHT($A1369,2))&gt;60),$A1369&amp;"01 1",$A1369),IF(AND(LEN($A1369)=4,VALUE(RIGHT($A1369,2))&lt;60),GUS_tabl_2!$A$8:$B$464,GUS_tabl_21!$A$5:$B$4886),2,FALSE)),LEFT(TRIM(VLOOKUP(IF(AND(LEN($A1369)=4,VALUE(RIGHT($A1369,2))&gt;60),$A1369&amp;"01 1",$A1369),IF(AND(LEN($A1369)=4,VALUE(RIGHT($A1369,2))&lt;60),GUS_tabl_2!$A$8:$B$464,GUS_tabl_21!$A$5:$B$4886),2,FALSE)),SUM(FIND("..",TRIM(VLOOKUP(IF(AND(LEN($A1369)=4,VALUE(RIGHT($A1369,2))&gt;60),$A1369&amp;"01 1",$A1369),IF(AND(LEN($A1369)=4,VALUE(RIGHT($A1369,2))&lt;60),GUS_tabl_2!$A$8:$B$464,GUS_tabl_21!$A$5:$B$4886),2,FALSE))),-1)))))</f>
        <v>Powiat pułtuski</v>
      </c>
      <c r="D1369" s="140">
        <f>IF(OR($A1369="",ISERROR(VALUE(LEFT($A1369,6)))),"",IF(LEN($A1369)=2,SUMIF($A1370:$A$2965,$A1369&amp;"??",$D1370:$D$2965),IF(AND(LEN($A1369)=4,VALUE(RIGHT($A1369,2))&lt;=60),SUMIF($A1370:$A$2965,$A1369&amp;"????",$D1370:$D$2965),VLOOKUP(IF(LEN($A1369)=4,$A1369&amp;"01 1",$A1369),GUS_tabl_21!$A$5:$F$4886,6,FALSE))))</f>
        <v>51824</v>
      </c>
      <c r="E1369" s="29"/>
    </row>
    <row r="1370" spans="1:5" ht="12" customHeight="1">
      <c r="A1370" s="155" t="str">
        <f>"142401 2"</f>
        <v>142401 2</v>
      </c>
      <c r="B1370" s="153" t="s">
        <v>45</v>
      </c>
      <c r="C1370" s="156" t="str">
        <f>IF(OR($A1370="",ISERROR(VALUE(LEFT($A1370,6)))),"",IF(LEN($A1370)=2,"WOJ. ",IF(LEN($A1370)=4,IF(VALUE(RIGHT($A1370,2))&gt;60,"","Powiat "),IF(VALUE(RIGHT($A1370,1))=1,"m. ",IF(VALUE(RIGHT($A1370,1))=2,"gm. w. ",IF(VALUE(RIGHT($A1370,1))=8,"dz. ","gm. m.-w. ")))))&amp;IF(LEN($A1370)=2,TRIM(UPPER(VLOOKUP($A1370,GUS_tabl_1!$A$7:$B$22,2,FALSE))),IF(ISERROR(FIND("..",TRIM(VLOOKUP(IF(AND(LEN($A1370)=4,VALUE(RIGHT($A1370,2))&gt;60),$A1370&amp;"01 1",$A1370),IF(AND(LEN($A1370)=4,VALUE(RIGHT($A1370,2))&lt;60),GUS_tabl_2!$A$8:$B$464,GUS_tabl_21!$A$5:$B$4886),2,FALSE)))),TRIM(VLOOKUP(IF(AND(LEN($A1370)=4,VALUE(RIGHT($A1370,2))&gt;60),$A1370&amp;"01 1",$A1370),IF(AND(LEN($A1370)=4,VALUE(RIGHT($A1370,2))&lt;60),GUS_tabl_2!$A$8:$B$464,GUS_tabl_21!$A$5:$B$4886),2,FALSE)),LEFT(TRIM(VLOOKUP(IF(AND(LEN($A1370)=4,VALUE(RIGHT($A1370,2))&gt;60),$A1370&amp;"01 1",$A1370),IF(AND(LEN($A1370)=4,VALUE(RIGHT($A1370,2))&lt;60),GUS_tabl_2!$A$8:$B$464,GUS_tabl_21!$A$5:$B$4886),2,FALSE)),SUM(FIND("..",TRIM(VLOOKUP(IF(AND(LEN($A1370)=4,VALUE(RIGHT($A1370,2))&gt;60),$A1370&amp;"01 1",$A1370),IF(AND(LEN($A1370)=4,VALUE(RIGHT($A1370,2))&lt;60),GUS_tabl_2!$A$8:$B$464,GUS_tabl_21!$A$5:$B$4886),2,FALSE))),-1)))))</f>
        <v>gm. w. Gzy</v>
      </c>
      <c r="D1370" s="141">
        <f>IF(OR($A1370="",ISERROR(VALUE(LEFT($A1370,6)))),"",IF(LEN($A1370)=2,SUMIF($A1371:$A$2965,$A1370&amp;"??",$D1371:$D$2965),IF(AND(LEN($A1370)=4,VALUE(RIGHT($A1370,2))&lt;=60),SUMIF($A1371:$A$2965,$A1370&amp;"????",$D1371:$D$2965),VLOOKUP(IF(LEN($A1370)=4,$A1370&amp;"01 1",$A1370),GUS_tabl_21!$A$5:$F$4886,6,FALSE))))</f>
        <v>3754</v>
      </c>
      <c r="E1370" s="29"/>
    </row>
    <row r="1371" spans="1:5" ht="12" customHeight="1">
      <c r="A1371" s="155" t="str">
        <f>"142402 2"</f>
        <v>142402 2</v>
      </c>
      <c r="B1371" s="153" t="s">
        <v>45</v>
      </c>
      <c r="C1371" s="156" t="str">
        <f>IF(OR($A1371="",ISERROR(VALUE(LEFT($A1371,6)))),"",IF(LEN($A1371)=2,"WOJ. ",IF(LEN($A1371)=4,IF(VALUE(RIGHT($A1371,2))&gt;60,"","Powiat "),IF(VALUE(RIGHT($A1371,1))=1,"m. ",IF(VALUE(RIGHT($A1371,1))=2,"gm. w. ",IF(VALUE(RIGHT($A1371,1))=8,"dz. ","gm. m.-w. ")))))&amp;IF(LEN($A1371)=2,TRIM(UPPER(VLOOKUP($A1371,GUS_tabl_1!$A$7:$B$22,2,FALSE))),IF(ISERROR(FIND("..",TRIM(VLOOKUP(IF(AND(LEN($A1371)=4,VALUE(RIGHT($A1371,2))&gt;60),$A1371&amp;"01 1",$A1371),IF(AND(LEN($A1371)=4,VALUE(RIGHT($A1371,2))&lt;60),GUS_tabl_2!$A$8:$B$464,GUS_tabl_21!$A$5:$B$4886),2,FALSE)))),TRIM(VLOOKUP(IF(AND(LEN($A1371)=4,VALUE(RIGHT($A1371,2))&gt;60),$A1371&amp;"01 1",$A1371),IF(AND(LEN($A1371)=4,VALUE(RIGHT($A1371,2))&lt;60),GUS_tabl_2!$A$8:$B$464,GUS_tabl_21!$A$5:$B$4886),2,FALSE)),LEFT(TRIM(VLOOKUP(IF(AND(LEN($A1371)=4,VALUE(RIGHT($A1371,2))&gt;60),$A1371&amp;"01 1",$A1371),IF(AND(LEN($A1371)=4,VALUE(RIGHT($A1371,2))&lt;60),GUS_tabl_2!$A$8:$B$464,GUS_tabl_21!$A$5:$B$4886),2,FALSE)),SUM(FIND("..",TRIM(VLOOKUP(IF(AND(LEN($A1371)=4,VALUE(RIGHT($A1371,2))&gt;60),$A1371&amp;"01 1",$A1371),IF(AND(LEN($A1371)=4,VALUE(RIGHT($A1371,2))&lt;60),GUS_tabl_2!$A$8:$B$464,GUS_tabl_21!$A$5:$B$4886),2,FALSE))),-1)))))</f>
        <v>gm. w. Obryte</v>
      </c>
      <c r="D1371" s="141">
        <f>IF(OR($A1371="",ISERROR(VALUE(LEFT($A1371,6)))),"",IF(LEN($A1371)=2,SUMIF($A1372:$A$2965,$A1371&amp;"??",$D1372:$D$2965),IF(AND(LEN($A1371)=4,VALUE(RIGHT($A1371,2))&lt;=60),SUMIF($A1372:$A$2965,$A1371&amp;"????",$D1372:$D$2965),VLOOKUP(IF(LEN($A1371)=4,$A1371&amp;"01 1",$A1371),GUS_tabl_21!$A$5:$F$4886,6,FALSE))))</f>
        <v>4805</v>
      </c>
      <c r="E1371" s="29"/>
    </row>
    <row r="1372" spans="1:5" ht="12" customHeight="1">
      <c r="A1372" s="155" t="str">
        <f>"142403 2"</f>
        <v>142403 2</v>
      </c>
      <c r="B1372" s="153" t="s">
        <v>45</v>
      </c>
      <c r="C1372" s="156" t="str">
        <f>IF(OR($A1372="",ISERROR(VALUE(LEFT($A1372,6)))),"",IF(LEN($A1372)=2,"WOJ. ",IF(LEN($A1372)=4,IF(VALUE(RIGHT($A1372,2))&gt;60,"","Powiat "),IF(VALUE(RIGHT($A1372,1))=1,"m. ",IF(VALUE(RIGHT($A1372,1))=2,"gm. w. ",IF(VALUE(RIGHT($A1372,1))=8,"dz. ","gm. m.-w. ")))))&amp;IF(LEN($A1372)=2,TRIM(UPPER(VLOOKUP($A1372,GUS_tabl_1!$A$7:$B$22,2,FALSE))),IF(ISERROR(FIND("..",TRIM(VLOOKUP(IF(AND(LEN($A1372)=4,VALUE(RIGHT($A1372,2))&gt;60),$A1372&amp;"01 1",$A1372),IF(AND(LEN($A1372)=4,VALUE(RIGHT($A1372,2))&lt;60),GUS_tabl_2!$A$8:$B$464,GUS_tabl_21!$A$5:$B$4886),2,FALSE)))),TRIM(VLOOKUP(IF(AND(LEN($A1372)=4,VALUE(RIGHT($A1372,2))&gt;60),$A1372&amp;"01 1",$A1372),IF(AND(LEN($A1372)=4,VALUE(RIGHT($A1372,2))&lt;60),GUS_tabl_2!$A$8:$B$464,GUS_tabl_21!$A$5:$B$4886),2,FALSE)),LEFT(TRIM(VLOOKUP(IF(AND(LEN($A1372)=4,VALUE(RIGHT($A1372,2))&gt;60),$A1372&amp;"01 1",$A1372),IF(AND(LEN($A1372)=4,VALUE(RIGHT($A1372,2))&lt;60),GUS_tabl_2!$A$8:$B$464,GUS_tabl_21!$A$5:$B$4886),2,FALSE)),SUM(FIND("..",TRIM(VLOOKUP(IF(AND(LEN($A1372)=4,VALUE(RIGHT($A1372,2))&gt;60),$A1372&amp;"01 1",$A1372),IF(AND(LEN($A1372)=4,VALUE(RIGHT($A1372,2))&lt;60),GUS_tabl_2!$A$8:$B$464,GUS_tabl_21!$A$5:$B$4886),2,FALSE))),-1)))))</f>
        <v>gm. w. Pokrzywnica</v>
      </c>
      <c r="D1372" s="141">
        <f>IF(OR($A1372="",ISERROR(VALUE(LEFT($A1372,6)))),"",IF(LEN($A1372)=2,SUMIF($A1373:$A$2965,$A1372&amp;"??",$D1373:$D$2965),IF(AND(LEN($A1372)=4,VALUE(RIGHT($A1372,2))&lt;=60),SUMIF($A1373:$A$2965,$A1372&amp;"????",$D1373:$D$2965),VLOOKUP(IF(LEN($A1372)=4,$A1372&amp;"01 1",$A1372),GUS_tabl_21!$A$5:$F$4886,6,FALSE))))</f>
        <v>5029</v>
      </c>
      <c r="E1372" s="29"/>
    </row>
    <row r="1373" spans="1:5" ht="12" customHeight="1">
      <c r="A1373" s="155" t="str">
        <f>"142404 3"</f>
        <v>142404 3</v>
      </c>
      <c r="B1373" s="153" t="s">
        <v>45</v>
      </c>
      <c r="C1373" s="156" t="str">
        <f>IF(OR($A1373="",ISERROR(VALUE(LEFT($A1373,6)))),"",IF(LEN($A1373)=2,"WOJ. ",IF(LEN($A1373)=4,IF(VALUE(RIGHT($A1373,2))&gt;60,"","Powiat "),IF(VALUE(RIGHT($A1373,1))=1,"m. ",IF(VALUE(RIGHT($A1373,1))=2,"gm. w. ",IF(VALUE(RIGHT($A1373,1))=8,"dz. ","gm. m.-w. ")))))&amp;IF(LEN($A1373)=2,TRIM(UPPER(VLOOKUP($A1373,GUS_tabl_1!$A$7:$B$22,2,FALSE))),IF(ISERROR(FIND("..",TRIM(VLOOKUP(IF(AND(LEN($A1373)=4,VALUE(RIGHT($A1373,2))&gt;60),$A1373&amp;"01 1",$A1373),IF(AND(LEN($A1373)=4,VALUE(RIGHT($A1373,2))&lt;60),GUS_tabl_2!$A$8:$B$464,GUS_tabl_21!$A$5:$B$4886),2,FALSE)))),TRIM(VLOOKUP(IF(AND(LEN($A1373)=4,VALUE(RIGHT($A1373,2))&gt;60),$A1373&amp;"01 1",$A1373),IF(AND(LEN($A1373)=4,VALUE(RIGHT($A1373,2))&lt;60),GUS_tabl_2!$A$8:$B$464,GUS_tabl_21!$A$5:$B$4886),2,FALSE)),LEFT(TRIM(VLOOKUP(IF(AND(LEN($A1373)=4,VALUE(RIGHT($A1373,2))&gt;60),$A1373&amp;"01 1",$A1373),IF(AND(LEN($A1373)=4,VALUE(RIGHT($A1373,2))&lt;60),GUS_tabl_2!$A$8:$B$464,GUS_tabl_21!$A$5:$B$4886),2,FALSE)),SUM(FIND("..",TRIM(VLOOKUP(IF(AND(LEN($A1373)=4,VALUE(RIGHT($A1373,2))&gt;60),$A1373&amp;"01 1",$A1373),IF(AND(LEN($A1373)=4,VALUE(RIGHT($A1373,2))&lt;60),GUS_tabl_2!$A$8:$B$464,GUS_tabl_21!$A$5:$B$4886),2,FALSE))),-1)))))</f>
        <v>gm. m.-w. Pułtusk</v>
      </c>
      <c r="D1373" s="141">
        <f>IF(OR($A1373="",ISERROR(VALUE(LEFT($A1373,6)))),"",IF(LEN($A1373)=2,SUMIF($A1374:$A$2965,$A1373&amp;"??",$D1374:$D$2965),IF(AND(LEN($A1373)=4,VALUE(RIGHT($A1373,2))&lt;=60),SUMIF($A1374:$A$2965,$A1373&amp;"????",$D1374:$D$2965),VLOOKUP(IF(LEN($A1373)=4,$A1373&amp;"01 1",$A1373),GUS_tabl_21!$A$5:$F$4886,6,FALSE))))</f>
        <v>24683</v>
      </c>
      <c r="E1373" s="29"/>
    </row>
    <row r="1374" spans="1:5" ht="12" customHeight="1">
      <c r="A1374" s="155" t="str">
        <f>"142405 2"</f>
        <v>142405 2</v>
      </c>
      <c r="B1374" s="153" t="s">
        <v>45</v>
      </c>
      <c r="C1374" s="156" t="str">
        <f>IF(OR($A1374="",ISERROR(VALUE(LEFT($A1374,6)))),"",IF(LEN($A1374)=2,"WOJ. ",IF(LEN($A1374)=4,IF(VALUE(RIGHT($A1374,2))&gt;60,"","Powiat "),IF(VALUE(RIGHT($A1374,1))=1,"m. ",IF(VALUE(RIGHT($A1374,1))=2,"gm. w. ",IF(VALUE(RIGHT($A1374,1))=8,"dz. ","gm. m.-w. ")))))&amp;IF(LEN($A1374)=2,TRIM(UPPER(VLOOKUP($A1374,GUS_tabl_1!$A$7:$B$22,2,FALSE))),IF(ISERROR(FIND("..",TRIM(VLOOKUP(IF(AND(LEN($A1374)=4,VALUE(RIGHT($A1374,2))&gt;60),$A1374&amp;"01 1",$A1374),IF(AND(LEN($A1374)=4,VALUE(RIGHT($A1374,2))&lt;60),GUS_tabl_2!$A$8:$B$464,GUS_tabl_21!$A$5:$B$4886),2,FALSE)))),TRIM(VLOOKUP(IF(AND(LEN($A1374)=4,VALUE(RIGHT($A1374,2))&gt;60),$A1374&amp;"01 1",$A1374),IF(AND(LEN($A1374)=4,VALUE(RIGHT($A1374,2))&lt;60),GUS_tabl_2!$A$8:$B$464,GUS_tabl_21!$A$5:$B$4886),2,FALSE)),LEFT(TRIM(VLOOKUP(IF(AND(LEN($A1374)=4,VALUE(RIGHT($A1374,2))&gt;60),$A1374&amp;"01 1",$A1374),IF(AND(LEN($A1374)=4,VALUE(RIGHT($A1374,2))&lt;60),GUS_tabl_2!$A$8:$B$464,GUS_tabl_21!$A$5:$B$4886),2,FALSE)),SUM(FIND("..",TRIM(VLOOKUP(IF(AND(LEN($A1374)=4,VALUE(RIGHT($A1374,2))&gt;60),$A1374&amp;"01 1",$A1374),IF(AND(LEN($A1374)=4,VALUE(RIGHT($A1374,2))&lt;60),GUS_tabl_2!$A$8:$B$464,GUS_tabl_21!$A$5:$B$4886),2,FALSE))),-1)))))</f>
        <v>gm. w. Świercze</v>
      </c>
      <c r="D1374" s="141">
        <f>IF(OR($A1374="",ISERROR(VALUE(LEFT($A1374,6)))),"",IF(LEN($A1374)=2,SUMIF($A1375:$A$2965,$A1374&amp;"??",$D1375:$D$2965),IF(AND(LEN($A1374)=4,VALUE(RIGHT($A1374,2))&lt;=60),SUMIF($A1375:$A$2965,$A1374&amp;"????",$D1375:$D$2965),VLOOKUP(IF(LEN($A1374)=4,$A1374&amp;"01 1",$A1374),GUS_tabl_21!$A$5:$F$4886,6,FALSE))))</f>
        <v>4613</v>
      </c>
      <c r="E1374" s="29"/>
    </row>
    <row r="1375" spans="1:5" ht="12" customHeight="1">
      <c r="A1375" s="155" t="str">
        <f>"142406 2"</f>
        <v>142406 2</v>
      </c>
      <c r="B1375" s="153" t="s">
        <v>45</v>
      </c>
      <c r="C1375" s="156" t="str">
        <f>IF(OR($A1375="",ISERROR(VALUE(LEFT($A1375,6)))),"",IF(LEN($A1375)=2,"WOJ. ",IF(LEN($A1375)=4,IF(VALUE(RIGHT($A1375,2))&gt;60,"","Powiat "),IF(VALUE(RIGHT($A1375,1))=1,"m. ",IF(VALUE(RIGHT($A1375,1))=2,"gm. w. ",IF(VALUE(RIGHT($A1375,1))=8,"dz. ","gm. m.-w. ")))))&amp;IF(LEN($A1375)=2,TRIM(UPPER(VLOOKUP($A1375,GUS_tabl_1!$A$7:$B$22,2,FALSE))),IF(ISERROR(FIND("..",TRIM(VLOOKUP(IF(AND(LEN($A1375)=4,VALUE(RIGHT($A1375,2))&gt;60),$A1375&amp;"01 1",$A1375),IF(AND(LEN($A1375)=4,VALUE(RIGHT($A1375,2))&lt;60),GUS_tabl_2!$A$8:$B$464,GUS_tabl_21!$A$5:$B$4886),2,FALSE)))),TRIM(VLOOKUP(IF(AND(LEN($A1375)=4,VALUE(RIGHT($A1375,2))&gt;60),$A1375&amp;"01 1",$A1375),IF(AND(LEN($A1375)=4,VALUE(RIGHT($A1375,2))&lt;60),GUS_tabl_2!$A$8:$B$464,GUS_tabl_21!$A$5:$B$4886),2,FALSE)),LEFT(TRIM(VLOOKUP(IF(AND(LEN($A1375)=4,VALUE(RIGHT($A1375,2))&gt;60),$A1375&amp;"01 1",$A1375),IF(AND(LEN($A1375)=4,VALUE(RIGHT($A1375,2))&lt;60),GUS_tabl_2!$A$8:$B$464,GUS_tabl_21!$A$5:$B$4886),2,FALSE)),SUM(FIND("..",TRIM(VLOOKUP(IF(AND(LEN($A1375)=4,VALUE(RIGHT($A1375,2))&gt;60),$A1375&amp;"01 1",$A1375),IF(AND(LEN($A1375)=4,VALUE(RIGHT($A1375,2))&lt;60),GUS_tabl_2!$A$8:$B$464,GUS_tabl_21!$A$5:$B$4886),2,FALSE))),-1)))))</f>
        <v>gm. w. Winnica</v>
      </c>
      <c r="D1375" s="141">
        <f>IF(OR($A1375="",ISERROR(VALUE(LEFT($A1375,6)))),"",IF(LEN($A1375)=2,SUMIF($A1376:$A$2965,$A1375&amp;"??",$D1376:$D$2965),IF(AND(LEN($A1375)=4,VALUE(RIGHT($A1375,2))&lt;=60),SUMIF($A1376:$A$2965,$A1375&amp;"????",$D1376:$D$2965),VLOOKUP(IF(LEN($A1375)=4,$A1375&amp;"01 1",$A1375),GUS_tabl_21!$A$5:$F$4886,6,FALSE))))</f>
        <v>4091</v>
      </c>
      <c r="E1375" s="29"/>
    </row>
    <row r="1376" spans="1:5" ht="12" customHeight="1">
      <c r="A1376" s="155" t="str">
        <f>"142407 2"</f>
        <v>142407 2</v>
      </c>
      <c r="B1376" s="153" t="s">
        <v>45</v>
      </c>
      <c r="C1376" s="156" t="str">
        <f>IF(OR($A1376="",ISERROR(VALUE(LEFT($A1376,6)))),"",IF(LEN($A1376)=2,"WOJ. ",IF(LEN($A1376)=4,IF(VALUE(RIGHT($A1376,2))&gt;60,"","Powiat "),IF(VALUE(RIGHT($A1376,1))=1,"m. ",IF(VALUE(RIGHT($A1376,1))=2,"gm. w. ",IF(VALUE(RIGHT($A1376,1))=8,"dz. ","gm. m.-w. ")))))&amp;IF(LEN($A1376)=2,TRIM(UPPER(VLOOKUP($A1376,GUS_tabl_1!$A$7:$B$22,2,FALSE))),IF(ISERROR(FIND("..",TRIM(VLOOKUP(IF(AND(LEN($A1376)=4,VALUE(RIGHT($A1376,2))&gt;60),$A1376&amp;"01 1",$A1376),IF(AND(LEN($A1376)=4,VALUE(RIGHT($A1376,2))&lt;60),GUS_tabl_2!$A$8:$B$464,GUS_tabl_21!$A$5:$B$4886),2,FALSE)))),TRIM(VLOOKUP(IF(AND(LEN($A1376)=4,VALUE(RIGHT($A1376,2))&gt;60),$A1376&amp;"01 1",$A1376),IF(AND(LEN($A1376)=4,VALUE(RIGHT($A1376,2))&lt;60),GUS_tabl_2!$A$8:$B$464,GUS_tabl_21!$A$5:$B$4886),2,FALSE)),LEFT(TRIM(VLOOKUP(IF(AND(LEN($A1376)=4,VALUE(RIGHT($A1376,2))&gt;60),$A1376&amp;"01 1",$A1376),IF(AND(LEN($A1376)=4,VALUE(RIGHT($A1376,2))&lt;60),GUS_tabl_2!$A$8:$B$464,GUS_tabl_21!$A$5:$B$4886),2,FALSE)),SUM(FIND("..",TRIM(VLOOKUP(IF(AND(LEN($A1376)=4,VALUE(RIGHT($A1376,2))&gt;60),$A1376&amp;"01 1",$A1376),IF(AND(LEN($A1376)=4,VALUE(RIGHT($A1376,2))&lt;60),GUS_tabl_2!$A$8:$B$464,GUS_tabl_21!$A$5:$B$4886),2,FALSE))),-1)))))</f>
        <v>gm. w. Zatory</v>
      </c>
      <c r="D1376" s="141">
        <f>IF(OR($A1376="",ISERROR(VALUE(LEFT($A1376,6)))),"",IF(LEN($A1376)=2,SUMIF($A1377:$A$2965,$A1376&amp;"??",$D1377:$D$2965),IF(AND(LEN($A1376)=4,VALUE(RIGHT($A1376,2))&lt;=60),SUMIF($A1377:$A$2965,$A1376&amp;"????",$D1377:$D$2965),VLOOKUP(IF(LEN($A1376)=4,$A1376&amp;"01 1",$A1376),GUS_tabl_21!$A$5:$F$4886,6,FALSE))))</f>
        <v>4849</v>
      </c>
      <c r="E1376" s="29"/>
    </row>
    <row r="1377" spans="1:5" ht="12" customHeight="1">
      <c r="A1377" s="152" t="str">
        <f>"1425"</f>
        <v>1425</v>
      </c>
      <c r="B1377" s="153" t="s">
        <v>45</v>
      </c>
      <c r="C1377" s="154" t="str">
        <f>IF(OR($A1377="",ISERROR(VALUE(LEFT($A1377,6)))),"",IF(LEN($A1377)=2,"WOJ. ",IF(LEN($A1377)=4,IF(VALUE(RIGHT($A1377,2))&gt;60,"","Powiat "),IF(VALUE(RIGHT($A1377,1))=1,"m. ",IF(VALUE(RIGHT($A1377,1))=2,"gm. w. ",IF(VALUE(RIGHT($A1377,1))=8,"dz. ","gm. m.-w. ")))))&amp;IF(LEN($A1377)=2,TRIM(UPPER(VLOOKUP($A1377,GUS_tabl_1!$A$7:$B$22,2,FALSE))),IF(ISERROR(FIND("..",TRIM(VLOOKUP(IF(AND(LEN($A1377)=4,VALUE(RIGHT($A1377,2))&gt;60),$A1377&amp;"01 1",$A1377),IF(AND(LEN($A1377)=4,VALUE(RIGHT($A1377,2))&lt;60),GUS_tabl_2!$A$8:$B$464,GUS_tabl_21!$A$5:$B$4886),2,FALSE)))),TRIM(VLOOKUP(IF(AND(LEN($A1377)=4,VALUE(RIGHT($A1377,2))&gt;60),$A1377&amp;"01 1",$A1377),IF(AND(LEN($A1377)=4,VALUE(RIGHT($A1377,2))&lt;60),GUS_tabl_2!$A$8:$B$464,GUS_tabl_21!$A$5:$B$4886),2,FALSE)),LEFT(TRIM(VLOOKUP(IF(AND(LEN($A1377)=4,VALUE(RIGHT($A1377,2))&gt;60),$A1377&amp;"01 1",$A1377),IF(AND(LEN($A1377)=4,VALUE(RIGHT($A1377,2))&lt;60),GUS_tabl_2!$A$8:$B$464,GUS_tabl_21!$A$5:$B$4886),2,FALSE)),SUM(FIND("..",TRIM(VLOOKUP(IF(AND(LEN($A1377)=4,VALUE(RIGHT($A1377,2))&gt;60),$A1377&amp;"01 1",$A1377),IF(AND(LEN($A1377)=4,VALUE(RIGHT($A1377,2))&lt;60),GUS_tabl_2!$A$8:$B$464,GUS_tabl_21!$A$5:$B$4886),2,FALSE))),-1)))))</f>
        <v>Powiat radomski</v>
      </c>
      <c r="D1377" s="140">
        <f>IF(OR($A1377="",ISERROR(VALUE(LEFT($A1377,6)))),"",IF(LEN($A1377)=2,SUMIF($A1378:$A$2965,$A1377&amp;"??",$D1378:$D$2965),IF(AND(LEN($A1377)=4,VALUE(RIGHT($A1377,2))&lt;=60),SUMIF($A1378:$A$2965,$A1377&amp;"????",$D1378:$D$2965),VLOOKUP(IF(LEN($A1377)=4,$A1377&amp;"01 1",$A1377),GUS_tabl_21!$A$5:$F$4886,6,FALSE))))</f>
        <v>152291</v>
      </c>
      <c r="E1377" s="29"/>
    </row>
    <row r="1378" spans="1:5" ht="12" customHeight="1">
      <c r="A1378" s="155" t="str">
        <f>"142501 1"</f>
        <v>142501 1</v>
      </c>
      <c r="B1378" s="153" t="s">
        <v>45</v>
      </c>
      <c r="C1378" s="156" t="str">
        <f>IF(OR($A1378="",ISERROR(VALUE(LEFT($A1378,6)))),"",IF(LEN($A1378)=2,"WOJ. ",IF(LEN($A1378)=4,IF(VALUE(RIGHT($A1378,2))&gt;60,"","Powiat "),IF(VALUE(RIGHT($A1378,1))=1,"m. ",IF(VALUE(RIGHT($A1378,1))=2,"gm. w. ",IF(VALUE(RIGHT($A1378,1))=8,"dz. ","gm. m.-w. ")))))&amp;IF(LEN($A1378)=2,TRIM(UPPER(VLOOKUP($A1378,GUS_tabl_1!$A$7:$B$22,2,FALSE))),IF(ISERROR(FIND("..",TRIM(VLOOKUP(IF(AND(LEN($A1378)=4,VALUE(RIGHT($A1378,2))&gt;60),$A1378&amp;"01 1",$A1378),IF(AND(LEN($A1378)=4,VALUE(RIGHT($A1378,2))&lt;60),GUS_tabl_2!$A$8:$B$464,GUS_tabl_21!$A$5:$B$4886),2,FALSE)))),TRIM(VLOOKUP(IF(AND(LEN($A1378)=4,VALUE(RIGHT($A1378,2))&gt;60),$A1378&amp;"01 1",$A1378),IF(AND(LEN($A1378)=4,VALUE(RIGHT($A1378,2))&lt;60),GUS_tabl_2!$A$8:$B$464,GUS_tabl_21!$A$5:$B$4886),2,FALSE)),LEFT(TRIM(VLOOKUP(IF(AND(LEN($A1378)=4,VALUE(RIGHT($A1378,2))&gt;60),$A1378&amp;"01 1",$A1378),IF(AND(LEN($A1378)=4,VALUE(RIGHT($A1378,2))&lt;60),GUS_tabl_2!$A$8:$B$464,GUS_tabl_21!$A$5:$B$4886),2,FALSE)),SUM(FIND("..",TRIM(VLOOKUP(IF(AND(LEN($A1378)=4,VALUE(RIGHT($A1378,2))&gt;60),$A1378&amp;"01 1",$A1378),IF(AND(LEN($A1378)=4,VALUE(RIGHT($A1378,2))&lt;60),GUS_tabl_2!$A$8:$B$464,GUS_tabl_21!$A$5:$B$4886),2,FALSE))),-1)))))</f>
        <v>m. Pionki</v>
      </c>
      <c r="D1378" s="141">
        <f>IF(OR($A1378="",ISERROR(VALUE(LEFT($A1378,6)))),"",IF(LEN($A1378)=2,SUMIF($A1379:$A$2965,$A1378&amp;"??",$D1379:$D$2965),IF(AND(LEN($A1378)=4,VALUE(RIGHT($A1378,2))&lt;=60),SUMIF($A1379:$A$2965,$A1378&amp;"????",$D1379:$D$2965),VLOOKUP(IF(LEN($A1378)=4,$A1378&amp;"01 1",$A1378),GUS_tabl_21!$A$5:$F$4886,6,FALSE))))</f>
        <v>18159</v>
      </c>
      <c r="E1378" s="29"/>
    </row>
    <row r="1379" spans="1:5" ht="12" customHeight="1">
      <c r="A1379" s="155" t="str">
        <f>"142502 2"</f>
        <v>142502 2</v>
      </c>
      <c r="B1379" s="153" t="s">
        <v>45</v>
      </c>
      <c r="C1379" s="156" t="str">
        <f>IF(OR($A1379="",ISERROR(VALUE(LEFT($A1379,6)))),"",IF(LEN($A1379)=2,"WOJ. ",IF(LEN($A1379)=4,IF(VALUE(RIGHT($A1379,2))&gt;60,"","Powiat "),IF(VALUE(RIGHT($A1379,1))=1,"m. ",IF(VALUE(RIGHT($A1379,1))=2,"gm. w. ",IF(VALUE(RIGHT($A1379,1))=8,"dz. ","gm. m.-w. ")))))&amp;IF(LEN($A1379)=2,TRIM(UPPER(VLOOKUP($A1379,GUS_tabl_1!$A$7:$B$22,2,FALSE))),IF(ISERROR(FIND("..",TRIM(VLOOKUP(IF(AND(LEN($A1379)=4,VALUE(RIGHT($A1379,2))&gt;60),$A1379&amp;"01 1",$A1379),IF(AND(LEN($A1379)=4,VALUE(RIGHT($A1379,2))&lt;60),GUS_tabl_2!$A$8:$B$464,GUS_tabl_21!$A$5:$B$4886),2,FALSE)))),TRIM(VLOOKUP(IF(AND(LEN($A1379)=4,VALUE(RIGHT($A1379,2))&gt;60),$A1379&amp;"01 1",$A1379),IF(AND(LEN($A1379)=4,VALUE(RIGHT($A1379,2))&lt;60),GUS_tabl_2!$A$8:$B$464,GUS_tabl_21!$A$5:$B$4886),2,FALSE)),LEFT(TRIM(VLOOKUP(IF(AND(LEN($A1379)=4,VALUE(RIGHT($A1379,2))&gt;60),$A1379&amp;"01 1",$A1379),IF(AND(LEN($A1379)=4,VALUE(RIGHT($A1379,2))&lt;60),GUS_tabl_2!$A$8:$B$464,GUS_tabl_21!$A$5:$B$4886),2,FALSE)),SUM(FIND("..",TRIM(VLOOKUP(IF(AND(LEN($A1379)=4,VALUE(RIGHT($A1379,2))&gt;60),$A1379&amp;"01 1",$A1379),IF(AND(LEN($A1379)=4,VALUE(RIGHT($A1379,2))&lt;60),GUS_tabl_2!$A$8:$B$464,GUS_tabl_21!$A$5:$B$4886),2,FALSE))),-1)))))</f>
        <v>gm. w. Gózd</v>
      </c>
      <c r="D1379" s="141">
        <f>IF(OR($A1379="",ISERROR(VALUE(LEFT($A1379,6)))),"",IF(LEN($A1379)=2,SUMIF($A1380:$A$2965,$A1379&amp;"??",$D1380:$D$2965),IF(AND(LEN($A1379)=4,VALUE(RIGHT($A1379,2))&lt;=60),SUMIF($A1380:$A$2965,$A1379&amp;"????",$D1380:$D$2965),VLOOKUP(IF(LEN($A1379)=4,$A1379&amp;"01 1",$A1379),GUS_tabl_21!$A$5:$F$4886,6,FALSE))))</f>
        <v>8978</v>
      </c>
      <c r="E1379" s="29"/>
    </row>
    <row r="1380" spans="1:5" ht="12" customHeight="1">
      <c r="A1380" s="155" t="str">
        <f>"142503 3"</f>
        <v>142503 3</v>
      </c>
      <c r="B1380" s="153" t="s">
        <v>45</v>
      </c>
      <c r="C1380" s="156" t="str">
        <f>IF(OR($A1380="",ISERROR(VALUE(LEFT($A1380,6)))),"",IF(LEN($A1380)=2,"WOJ. ",IF(LEN($A1380)=4,IF(VALUE(RIGHT($A1380,2))&gt;60,"","Powiat "),IF(VALUE(RIGHT($A1380,1))=1,"m. ",IF(VALUE(RIGHT($A1380,1))=2,"gm. w. ",IF(VALUE(RIGHT($A1380,1))=8,"dz. ","gm. m.-w. ")))))&amp;IF(LEN($A1380)=2,TRIM(UPPER(VLOOKUP($A1380,GUS_tabl_1!$A$7:$B$22,2,FALSE))),IF(ISERROR(FIND("..",TRIM(VLOOKUP(IF(AND(LEN($A1380)=4,VALUE(RIGHT($A1380,2))&gt;60),$A1380&amp;"01 1",$A1380),IF(AND(LEN($A1380)=4,VALUE(RIGHT($A1380,2))&lt;60),GUS_tabl_2!$A$8:$B$464,GUS_tabl_21!$A$5:$B$4886),2,FALSE)))),TRIM(VLOOKUP(IF(AND(LEN($A1380)=4,VALUE(RIGHT($A1380,2))&gt;60),$A1380&amp;"01 1",$A1380),IF(AND(LEN($A1380)=4,VALUE(RIGHT($A1380,2))&lt;60),GUS_tabl_2!$A$8:$B$464,GUS_tabl_21!$A$5:$B$4886),2,FALSE)),LEFT(TRIM(VLOOKUP(IF(AND(LEN($A1380)=4,VALUE(RIGHT($A1380,2))&gt;60),$A1380&amp;"01 1",$A1380),IF(AND(LEN($A1380)=4,VALUE(RIGHT($A1380,2))&lt;60),GUS_tabl_2!$A$8:$B$464,GUS_tabl_21!$A$5:$B$4886),2,FALSE)),SUM(FIND("..",TRIM(VLOOKUP(IF(AND(LEN($A1380)=4,VALUE(RIGHT($A1380,2))&gt;60),$A1380&amp;"01 1",$A1380),IF(AND(LEN($A1380)=4,VALUE(RIGHT($A1380,2))&lt;60),GUS_tabl_2!$A$8:$B$464,GUS_tabl_21!$A$5:$B$4886),2,FALSE))),-1)))))</f>
        <v>gm. m.-w. Iłża</v>
      </c>
      <c r="D1380" s="141">
        <f>IF(OR($A1380="",ISERROR(VALUE(LEFT($A1380,6)))),"",IF(LEN($A1380)=2,SUMIF($A1381:$A$2965,$A1380&amp;"??",$D1381:$D$2965),IF(AND(LEN($A1380)=4,VALUE(RIGHT($A1380,2))&lt;=60),SUMIF($A1381:$A$2965,$A1380&amp;"????",$D1381:$D$2965),VLOOKUP(IF(LEN($A1380)=4,$A1380&amp;"01 1",$A1380),GUS_tabl_21!$A$5:$F$4886,6,FALSE))))</f>
        <v>14656</v>
      </c>
      <c r="E1380" s="29"/>
    </row>
    <row r="1381" spans="1:5" ht="12" customHeight="1">
      <c r="A1381" s="155" t="str">
        <f>"142504 2"</f>
        <v>142504 2</v>
      </c>
      <c r="B1381" s="153" t="s">
        <v>45</v>
      </c>
      <c r="C1381" s="156" t="str">
        <f>IF(OR($A1381="",ISERROR(VALUE(LEFT($A1381,6)))),"",IF(LEN($A1381)=2,"WOJ. ",IF(LEN($A1381)=4,IF(VALUE(RIGHT($A1381,2))&gt;60,"","Powiat "),IF(VALUE(RIGHT($A1381,1))=1,"m. ",IF(VALUE(RIGHT($A1381,1))=2,"gm. w. ",IF(VALUE(RIGHT($A1381,1))=8,"dz. ","gm. m.-w. ")))))&amp;IF(LEN($A1381)=2,TRIM(UPPER(VLOOKUP($A1381,GUS_tabl_1!$A$7:$B$22,2,FALSE))),IF(ISERROR(FIND("..",TRIM(VLOOKUP(IF(AND(LEN($A1381)=4,VALUE(RIGHT($A1381,2))&gt;60),$A1381&amp;"01 1",$A1381),IF(AND(LEN($A1381)=4,VALUE(RIGHT($A1381,2))&lt;60),GUS_tabl_2!$A$8:$B$464,GUS_tabl_21!$A$5:$B$4886),2,FALSE)))),TRIM(VLOOKUP(IF(AND(LEN($A1381)=4,VALUE(RIGHT($A1381,2))&gt;60),$A1381&amp;"01 1",$A1381),IF(AND(LEN($A1381)=4,VALUE(RIGHT($A1381,2))&lt;60),GUS_tabl_2!$A$8:$B$464,GUS_tabl_21!$A$5:$B$4886),2,FALSE)),LEFT(TRIM(VLOOKUP(IF(AND(LEN($A1381)=4,VALUE(RIGHT($A1381,2))&gt;60),$A1381&amp;"01 1",$A1381),IF(AND(LEN($A1381)=4,VALUE(RIGHT($A1381,2))&lt;60),GUS_tabl_2!$A$8:$B$464,GUS_tabl_21!$A$5:$B$4886),2,FALSE)),SUM(FIND("..",TRIM(VLOOKUP(IF(AND(LEN($A1381)=4,VALUE(RIGHT($A1381,2))&gt;60),$A1381&amp;"01 1",$A1381),IF(AND(LEN($A1381)=4,VALUE(RIGHT($A1381,2))&lt;60),GUS_tabl_2!$A$8:$B$464,GUS_tabl_21!$A$5:$B$4886),2,FALSE))),-1)))))</f>
        <v>gm. w. Jastrzębia</v>
      </c>
      <c r="D1381" s="141">
        <f>IF(OR($A1381="",ISERROR(VALUE(LEFT($A1381,6)))),"",IF(LEN($A1381)=2,SUMIF($A1382:$A$2965,$A1381&amp;"??",$D1382:$D$2965),IF(AND(LEN($A1381)=4,VALUE(RIGHT($A1381,2))&lt;=60),SUMIF($A1382:$A$2965,$A1381&amp;"????",$D1382:$D$2965),VLOOKUP(IF(LEN($A1381)=4,$A1381&amp;"01 1",$A1381),GUS_tabl_21!$A$5:$F$4886,6,FALSE))))</f>
        <v>6996</v>
      </c>
      <c r="E1381" s="29"/>
    </row>
    <row r="1382" spans="1:5" ht="12" customHeight="1">
      <c r="A1382" s="155" t="str">
        <f>"142505 2"</f>
        <v>142505 2</v>
      </c>
      <c r="B1382" s="153" t="s">
        <v>45</v>
      </c>
      <c r="C1382" s="156" t="str">
        <f>IF(OR($A1382="",ISERROR(VALUE(LEFT($A1382,6)))),"",IF(LEN($A1382)=2,"WOJ. ",IF(LEN($A1382)=4,IF(VALUE(RIGHT($A1382,2))&gt;60,"","Powiat "),IF(VALUE(RIGHT($A1382,1))=1,"m. ",IF(VALUE(RIGHT($A1382,1))=2,"gm. w. ",IF(VALUE(RIGHT($A1382,1))=8,"dz. ","gm. m.-w. ")))))&amp;IF(LEN($A1382)=2,TRIM(UPPER(VLOOKUP($A1382,GUS_tabl_1!$A$7:$B$22,2,FALSE))),IF(ISERROR(FIND("..",TRIM(VLOOKUP(IF(AND(LEN($A1382)=4,VALUE(RIGHT($A1382,2))&gt;60),$A1382&amp;"01 1",$A1382),IF(AND(LEN($A1382)=4,VALUE(RIGHT($A1382,2))&lt;60),GUS_tabl_2!$A$8:$B$464,GUS_tabl_21!$A$5:$B$4886),2,FALSE)))),TRIM(VLOOKUP(IF(AND(LEN($A1382)=4,VALUE(RIGHT($A1382,2))&gt;60),$A1382&amp;"01 1",$A1382),IF(AND(LEN($A1382)=4,VALUE(RIGHT($A1382,2))&lt;60),GUS_tabl_2!$A$8:$B$464,GUS_tabl_21!$A$5:$B$4886),2,FALSE)),LEFT(TRIM(VLOOKUP(IF(AND(LEN($A1382)=4,VALUE(RIGHT($A1382,2))&gt;60),$A1382&amp;"01 1",$A1382),IF(AND(LEN($A1382)=4,VALUE(RIGHT($A1382,2))&lt;60),GUS_tabl_2!$A$8:$B$464,GUS_tabl_21!$A$5:$B$4886),2,FALSE)),SUM(FIND("..",TRIM(VLOOKUP(IF(AND(LEN($A1382)=4,VALUE(RIGHT($A1382,2))&gt;60),$A1382&amp;"01 1",$A1382),IF(AND(LEN($A1382)=4,VALUE(RIGHT($A1382,2))&lt;60),GUS_tabl_2!$A$8:$B$464,GUS_tabl_21!$A$5:$B$4886),2,FALSE))),-1)))))</f>
        <v>gm. w. Jedlińsk</v>
      </c>
      <c r="D1382" s="141">
        <f>IF(OR($A1382="",ISERROR(VALUE(LEFT($A1382,6)))),"",IF(LEN($A1382)=2,SUMIF($A1383:$A$2965,$A1382&amp;"??",$D1383:$D$2965),IF(AND(LEN($A1382)=4,VALUE(RIGHT($A1382,2))&lt;=60),SUMIF($A1383:$A$2965,$A1382&amp;"????",$D1383:$D$2965),VLOOKUP(IF(LEN($A1382)=4,$A1382&amp;"01 1",$A1382),GUS_tabl_21!$A$5:$F$4886,6,FALSE))))</f>
        <v>14548</v>
      </c>
      <c r="E1382" s="29"/>
    </row>
    <row r="1383" spans="1:5" ht="12" customHeight="1">
      <c r="A1383" s="155" t="str">
        <f>"142506 2"</f>
        <v>142506 2</v>
      </c>
      <c r="B1383" s="153" t="s">
        <v>45</v>
      </c>
      <c r="C1383" s="156" t="str">
        <f>IF(OR($A1383="",ISERROR(VALUE(LEFT($A1383,6)))),"",IF(LEN($A1383)=2,"WOJ. ",IF(LEN($A1383)=4,IF(VALUE(RIGHT($A1383,2))&gt;60,"","Powiat "),IF(VALUE(RIGHT($A1383,1))=1,"m. ",IF(VALUE(RIGHT($A1383,1))=2,"gm. w. ",IF(VALUE(RIGHT($A1383,1))=8,"dz. ","gm. m.-w. ")))))&amp;IF(LEN($A1383)=2,TRIM(UPPER(VLOOKUP($A1383,GUS_tabl_1!$A$7:$B$22,2,FALSE))),IF(ISERROR(FIND("..",TRIM(VLOOKUP(IF(AND(LEN($A1383)=4,VALUE(RIGHT($A1383,2))&gt;60),$A1383&amp;"01 1",$A1383),IF(AND(LEN($A1383)=4,VALUE(RIGHT($A1383,2))&lt;60),GUS_tabl_2!$A$8:$B$464,GUS_tabl_21!$A$5:$B$4886),2,FALSE)))),TRIM(VLOOKUP(IF(AND(LEN($A1383)=4,VALUE(RIGHT($A1383,2))&gt;60),$A1383&amp;"01 1",$A1383),IF(AND(LEN($A1383)=4,VALUE(RIGHT($A1383,2))&lt;60),GUS_tabl_2!$A$8:$B$464,GUS_tabl_21!$A$5:$B$4886),2,FALSE)),LEFT(TRIM(VLOOKUP(IF(AND(LEN($A1383)=4,VALUE(RIGHT($A1383,2))&gt;60),$A1383&amp;"01 1",$A1383),IF(AND(LEN($A1383)=4,VALUE(RIGHT($A1383,2))&lt;60),GUS_tabl_2!$A$8:$B$464,GUS_tabl_21!$A$5:$B$4886),2,FALSE)),SUM(FIND("..",TRIM(VLOOKUP(IF(AND(LEN($A1383)=4,VALUE(RIGHT($A1383,2))&gt;60),$A1383&amp;"01 1",$A1383),IF(AND(LEN($A1383)=4,VALUE(RIGHT($A1383,2))&lt;60),GUS_tabl_2!$A$8:$B$464,GUS_tabl_21!$A$5:$B$4886),2,FALSE))),-1)))))</f>
        <v>gm. w. Jedlnia-Letnisko</v>
      </c>
      <c r="D1383" s="141">
        <f>IF(OR($A1383="",ISERROR(VALUE(LEFT($A1383,6)))),"",IF(LEN($A1383)=2,SUMIF($A1384:$A$2965,$A1383&amp;"??",$D1384:$D$2965),IF(AND(LEN($A1383)=4,VALUE(RIGHT($A1383,2))&lt;=60),SUMIF($A1384:$A$2965,$A1383&amp;"????",$D1384:$D$2965),VLOOKUP(IF(LEN($A1383)=4,$A1383&amp;"01 1",$A1383),GUS_tabl_21!$A$5:$F$4886,6,FALSE))))</f>
        <v>12838</v>
      </c>
      <c r="E1383" s="29"/>
    </row>
    <row r="1384" spans="1:5" ht="12" customHeight="1">
      <c r="A1384" s="155" t="str">
        <f>"142507 2"</f>
        <v>142507 2</v>
      </c>
      <c r="B1384" s="153" t="s">
        <v>45</v>
      </c>
      <c r="C1384" s="156" t="str">
        <f>IF(OR($A1384="",ISERROR(VALUE(LEFT($A1384,6)))),"",IF(LEN($A1384)=2,"WOJ. ",IF(LEN($A1384)=4,IF(VALUE(RIGHT($A1384,2))&gt;60,"","Powiat "),IF(VALUE(RIGHT($A1384,1))=1,"m. ",IF(VALUE(RIGHT($A1384,1))=2,"gm. w. ",IF(VALUE(RIGHT($A1384,1))=8,"dz. ","gm. m.-w. ")))))&amp;IF(LEN($A1384)=2,TRIM(UPPER(VLOOKUP($A1384,GUS_tabl_1!$A$7:$B$22,2,FALSE))),IF(ISERROR(FIND("..",TRIM(VLOOKUP(IF(AND(LEN($A1384)=4,VALUE(RIGHT($A1384,2))&gt;60),$A1384&amp;"01 1",$A1384),IF(AND(LEN($A1384)=4,VALUE(RIGHT($A1384,2))&lt;60),GUS_tabl_2!$A$8:$B$464,GUS_tabl_21!$A$5:$B$4886),2,FALSE)))),TRIM(VLOOKUP(IF(AND(LEN($A1384)=4,VALUE(RIGHT($A1384,2))&gt;60),$A1384&amp;"01 1",$A1384),IF(AND(LEN($A1384)=4,VALUE(RIGHT($A1384,2))&lt;60),GUS_tabl_2!$A$8:$B$464,GUS_tabl_21!$A$5:$B$4886),2,FALSE)),LEFT(TRIM(VLOOKUP(IF(AND(LEN($A1384)=4,VALUE(RIGHT($A1384,2))&gt;60),$A1384&amp;"01 1",$A1384),IF(AND(LEN($A1384)=4,VALUE(RIGHT($A1384,2))&lt;60),GUS_tabl_2!$A$8:$B$464,GUS_tabl_21!$A$5:$B$4886),2,FALSE)),SUM(FIND("..",TRIM(VLOOKUP(IF(AND(LEN($A1384)=4,VALUE(RIGHT($A1384,2))&gt;60),$A1384&amp;"01 1",$A1384),IF(AND(LEN($A1384)=4,VALUE(RIGHT($A1384,2))&lt;60),GUS_tabl_2!$A$8:$B$464,GUS_tabl_21!$A$5:$B$4886),2,FALSE))),-1)))))</f>
        <v>gm. w. Kowala</v>
      </c>
      <c r="D1384" s="141">
        <f>IF(OR($A1384="",ISERROR(VALUE(LEFT($A1384,6)))),"",IF(LEN($A1384)=2,SUMIF($A1385:$A$2965,$A1384&amp;"??",$D1385:$D$2965),IF(AND(LEN($A1384)=4,VALUE(RIGHT($A1384,2))&lt;=60),SUMIF($A1385:$A$2965,$A1384&amp;"????",$D1385:$D$2965),VLOOKUP(IF(LEN($A1384)=4,$A1384&amp;"01 1",$A1384),GUS_tabl_21!$A$5:$F$4886,6,FALSE))))</f>
        <v>12247</v>
      </c>
      <c r="E1384" s="29"/>
    </row>
    <row r="1385" spans="1:5" ht="12" customHeight="1">
      <c r="A1385" s="155" t="str">
        <f>"142508 2"</f>
        <v>142508 2</v>
      </c>
      <c r="B1385" s="153" t="s">
        <v>45</v>
      </c>
      <c r="C1385" s="156" t="str">
        <f>IF(OR($A1385="",ISERROR(VALUE(LEFT($A1385,6)))),"",IF(LEN($A1385)=2,"WOJ. ",IF(LEN($A1385)=4,IF(VALUE(RIGHT($A1385,2))&gt;60,"","Powiat "),IF(VALUE(RIGHT($A1385,1))=1,"m. ",IF(VALUE(RIGHT($A1385,1))=2,"gm. w. ",IF(VALUE(RIGHT($A1385,1))=8,"dz. ","gm. m.-w. ")))))&amp;IF(LEN($A1385)=2,TRIM(UPPER(VLOOKUP($A1385,GUS_tabl_1!$A$7:$B$22,2,FALSE))),IF(ISERROR(FIND("..",TRIM(VLOOKUP(IF(AND(LEN($A1385)=4,VALUE(RIGHT($A1385,2))&gt;60),$A1385&amp;"01 1",$A1385),IF(AND(LEN($A1385)=4,VALUE(RIGHT($A1385,2))&lt;60),GUS_tabl_2!$A$8:$B$464,GUS_tabl_21!$A$5:$B$4886),2,FALSE)))),TRIM(VLOOKUP(IF(AND(LEN($A1385)=4,VALUE(RIGHT($A1385,2))&gt;60),$A1385&amp;"01 1",$A1385),IF(AND(LEN($A1385)=4,VALUE(RIGHT($A1385,2))&lt;60),GUS_tabl_2!$A$8:$B$464,GUS_tabl_21!$A$5:$B$4886),2,FALSE)),LEFT(TRIM(VLOOKUP(IF(AND(LEN($A1385)=4,VALUE(RIGHT($A1385,2))&gt;60),$A1385&amp;"01 1",$A1385),IF(AND(LEN($A1385)=4,VALUE(RIGHT($A1385,2))&lt;60),GUS_tabl_2!$A$8:$B$464,GUS_tabl_21!$A$5:$B$4886),2,FALSE)),SUM(FIND("..",TRIM(VLOOKUP(IF(AND(LEN($A1385)=4,VALUE(RIGHT($A1385,2))&gt;60),$A1385&amp;"01 1",$A1385),IF(AND(LEN($A1385)=4,VALUE(RIGHT($A1385,2))&lt;60),GUS_tabl_2!$A$8:$B$464,GUS_tabl_21!$A$5:$B$4886),2,FALSE))),-1)))))</f>
        <v>gm. w. Pionki</v>
      </c>
      <c r="D1385" s="141">
        <f>IF(OR($A1385="",ISERROR(VALUE(LEFT($A1385,6)))),"",IF(LEN($A1385)=2,SUMIF($A1386:$A$2965,$A1385&amp;"??",$D1386:$D$2965),IF(AND(LEN($A1385)=4,VALUE(RIGHT($A1385,2))&lt;=60),SUMIF($A1386:$A$2965,$A1385&amp;"????",$D1386:$D$2965),VLOOKUP(IF(LEN($A1385)=4,$A1385&amp;"01 1",$A1385),GUS_tabl_21!$A$5:$F$4886,6,FALSE))))</f>
        <v>9979</v>
      </c>
      <c r="E1385" s="29"/>
    </row>
    <row r="1386" spans="1:5" ht="12" customHeight="1">
      <c r="A1386" s="155" t="str">
        <f>"142509 2"</f>
        <v>142509 2</v>
      </c>
      <c r="B1386" s="153" t="s">
        <v>45</v>
      </c>
      <c r="C1386" s="156" t="str">
        <f>IF(OR($A1386="",ISERROR(VALUE(LEFT($A1386,6)))),"",IF(LEN($A1386)=2,"WOJ. ",IF(LEN($A1386)=4,IF(VALUE(RIGHT($A1386,2))&gt;60,"","Powiat "),IF(VALUE(RIGHT($A1386,1))=1,"m. ",IF(VALUE(RIGHT($A1386,1))=2,"gm. w. ",IF(VALUE(RIGHT($A1386,1))=8,"dz. ","gm. m.-w. ")))))&amp;IF(LEN($A1386)=2,TRIM(UPPER(VLOOKUP($A1386,GUS_tabl_1!$A$7:$B$22,2,FALSE))),IF(ISERROR(FIND("..",TRIM(VLOOKUP(IF(AND(LEN($A1386)=4,VALUE(RIGHT($A1386,2))&gt;60),$A1386&amp;"01 1",$A1386),IF(AND(LEN($A1386)=4,VALUE(RIGHT($A1386,2))&lt;60),GUS_tabl_2!$A$8:$B$464,GUS_tabl_21!$A$5:$B$4886),2,FALSE)))),TRIM(VLOOKUP(IF(AND(LEN($A1386)=4,VALUE(RIGHT($A1386,2))&gt;60),$A1386&amp;"01 1",$A1386),IF(AND(LEN($A1386)=4,VALUE(RIGHT($A1386,2))&lt;60),GUS_tabl_2!$A$8:$B$464,GUS_tabl_21!$A$5:$B$4886),2,FALSE)),LEFT(TRIM(VLOOKUP(IF(AND(LEN($A1386)=4,VALUE(RIGHT($A1386,2))&gt;60),$A1386&amp;"01 1",$A1386),IF(AND(LEN($A1386)=4,VALUE(RIGHT($A1386,2))&lt;60),GUS_tabl_2!$A$8:$B$464,GUS_tabl_21!$A$5:$B$4886),2,FALSE)),SUM(FIND("..",TRIM(VLOOKUP(IF(AND(LEN($A1386)=4,VALUE(RIGHT($A1386,2))&gt;60),$A1386&amp;"01 1",$A1386),IF(AND(LEN($A1386)=4,VALUE(RIGHT($A1386,2))&lt;60),GUS_tabl_2!$A$8:$B$464,GUS_tabl_21!$A$5:$B$4886),2,FALSE))),-1)))))</f>
        <v>gm. w. Przytyk</v>
      </c>
      <c r="D1386" s="141">
        <f>IF(OR($A1386="",ISERROR(VALUE(LEFT($A1386,6)))),"",IF(LEN($A1386)=2,SUMIF($A1387:$A$2965,$A1386&amp;"??",$D1387:$D$2965),IF(AND(LEN($A1386)=4,VALUE(RIGHT($A1386,2))&lt;=60),SUMIF($A1387:$A$2965,$A1386&amp;"????",$D1387:$D$2965),VLOOKUP(IF(LEN($A1386)=4,$A1386&amp;"01 1",$A1386),GUS_tabl_21!$A$5:$F$4886,6,FALSE))))</f>
        <v>7308</v>
      </c>
      <c r="E1386" s="29"/>
    </row>
    <row r="1387" spans="1:5" ht="12" customHeight="1">
      <c r="A1387" s="155" t="str">
        <f>"142510 3"</f>
        <v>142510 3</v>
      </c>
      <c r="B1387" s="153" t="s">
        <v>45</v>
      </c>
      <c r="C1387" s="156" t="str">
        <f>IF(OR($A1387="",ISERROR(VALUE(LEFT($A1387,6)))),"",IF(LEN($A1387)=2,"WOJ. ",IF(LEN($A1387)=4,IF(VALUE(RIGHT($A1387,2))&gt;60,"","Powiat "),IF(VALUE(RIGHT($A1387,1))=1,"m. ",IF(VALUE(RIGHT($A1387,1))=2,"gm. w. ",IF(VALUE(RIGHT($A1387,1))=8,"dz. ","gm. m.-w. ")))))&amp;IF(LEN($A1387)=2,TRIM(UPPER(VLOOKUP($A1387,GUS_tabl_1!$A$7:$B$22,2,FALSE))),IF(ISERROR(FIND("..",TRIM(VLOOKUP(IF(AND(LEN($A1387)=4,VALUE(RIGHT($A1387,2))&gt;60),$A1387&amp;"01 1",$A1387),IF(AND(LEN($A1387)=4,VALUE(RIGHT($A1387,2))&lt;60),GUS_tabl_2!$A$8:$B$464,GUS_tabl_21!$A$5:$B$4886),2,FALSE)))),TRIM(VLOOKUP(IF(AND(LEN($A1387)=4,VALUE(RIGHT($A1387,2))&gt;60),$A1387&amp;"01 1",$A1387),IF(AND(LEN($A1387)=4,VALUE(RIGHT($A1387,2))&lt;60),GUS_tabl_2!$A$8:$B$464,GUS_tabl_21!$A$5:$B$4886),2,FALSE)),LEFT(TRIM(VLOOKUP(IF(AND(LEN($A1387)=4,VALUE(RIGHT($A1387,2))&gt;60),$A1387&amp;"01 1",$A1387),IF(AND(LEN($A1387)=4,VALUE(RIGHT($A1387,2))&lt;60),GUS_tabl_2!$A$8:$B$464,GUS_tabl_21!$A$5:$B$4886),2,FALSE)),SUM(FIND("..",TRIM(VLOOKUP(IF(AND(LEN($A1387)=4,VALUE(RIGHT($A1387,2))&gt;60),$A1387&amp;"01 1",$A1387),IF(AND(LEN($A1387)=4,VALUE(RIGHT($A1387,2))&lt;60),GUS_tabl_2!$A$8:$B$464,GUS_tabl_21!$A$5:$B$4886),2,FALSE))),-1)))))</f>
        <v>gm. m.-w. Skaryszew</v>
      </c>
      <c r="D1387" s="141">
        <f>IF(OR($A1387="",ISERROR(VALUE(LEFT($A1387,6)))),"",IF(LEN($A1387)=2,SUMIF($A1388:$A$2965,$A1387&amp;"??",$D1388:$D$2965),IF(AND(LEN($A1387)=4,VALUE(RIGHT($A1387,2))&lt;=60),SUMIF($A1388:$A$2965,$A1387&amp;"????",$D1388:$D$2965),VLOOKUP(IF(LEN($A1387)=4,$A1387&amp;"01 1",$A1387),GUS_tabl_21!$A$5:$F$4886,6,FALSE))))</f>
        <v>14782</v>
      </c>
      <c r="E1387" s="29"/>
    </row>
    <row r="1388" spans="1:5" ht="12" customHeight="1">
      <c r="A1388" s="155" t="str">
        <f>"142511 2"</f>
        <v>142511 2</v>
      </c>
      <c r="B1388" s="153" t="s">
        <v>45</v>
      </c>
      <c r="C1388" s="156" t="str">
        <f>IF(OR($A1388="",ISERROR(VALUE(LEFT($A1388,6)))),"",IF(LEN($A1388)=2,"WOJ. ",IF(LEN($A1388)=4,IF(VALUE(RIGHT($A1388,2))&gt;60,"","Powiat "),IF(VALUE(RIGHT($A1388,1))=1,"m. ",IF(VALUE(RIGHT($A1388,1))=2,"gm. w. ",IF(VALUE(RIGHT($A1388,1))=8,"dz. ","gm. m.-w. ")))))&amp;IF(LEN($A1388)=2,TRIM(UPPER(VLOOKUP($A1388,GUS_tabl_1!$A$7:$B$22,2,FALSE))),IF(ISERROR(FIND("..",TRIM(VLOOKUP(IF(AND(LEN($A1388)=4,VALUE(RIGHT($A1388,2))&gt;60),$A1388&amp;"01 1",$A1388),IF(AND(LEN($A1388)=4,VALUE(RIGHT($A1388,2))&lt;60),GUS_tabl_2!$A$8:$B$464,GUS_tabl_21!$A$5:$B$4886),2,FALSE)))),TRIM(VLOOKUP(IF(AND(LEN($A1388)=4,VALUE(RIGHT($A1388,2))&gt;60),$A1388&amp;"01 1",$A1388),IF(AND(LEN($A1388)=4,VALUE(RIGHT($A1388,2))&lt;60),GUS_tabl_2!$A$8:$B$464,GUS_tabl_21!$A$5:$B$4886),2,FALSE)),LEFT(TRIM(VLOOKUP(IF(AND(LEN($A1388)=4,VALUE(RIGHT($A1388,2))&gt;60),$A1388&amp;"01 1",$A1388),IF(AND(LEN($A1388)=4,VALUE(RIGHT($A1388,2))&lt;60),GUS_tabl_2!$A$8:$B$464,GUS_tabl_21!$A$5:$B$4886),2,FALSE)),SUM(FIND("..",TRIM(VLOOKUP(IF(AND(LEN($A1388)=4,VALUE(RIGHT($A1388,2))&gt;60),$A1388&amp;"01 1",$A1388),IF(AND(LEN($A1388)=4,VALUE(RIGHT($A1388,2))&lt;60),GUS_tabl_2!$A$8:$B$464,GUS_tabl_21!$A$5:$B$4886),2,FALSE))),-1)))))</f>
        <v>gm. w. Wierzbica</v>
      </c>
      <c r="D1388" s="141">
        <f>IF(OR($A1388="",ISERROR(VALUE(LEFT($A1388,6)))),"",IF(LEN($A1388)=2,SUMIF($A1389:$A$2965,$A1388&amp;"??",$D1389:$D$2965),IF(AND(LEN($A1388)=4,VALUE(RIGHT($A1388,2))&lt;=60),SUMIF($A1389:$A$2965,$A1388&amp;"????",$D1389:$D$2965),VLOOKUP(IF(LEN($A1388)=4,$A1388&amp;"01 1",$A1388),GUS_tabl_21!$A$5:$F$4886,6,FALSE))))</f>
        <v>9672</v>
      </c>
      <c r="E1388" s="29"/>
    </row>
    <row r="1389" spans="1:5" ht="12" customHeight="1">
      <c r="A1389" s="155" t="str">
        <f>"142512 2"</f>
        <v>142512 2</v>
      </c>
      <c r="B1389" s="153" t="s">
        <v>45</v>
      </c>
      <c r="C1389" s="156" t="str">
        <f>IF(OR($A1389="",ISERROR(VALUE(LEFT($A1389,6)))),"",IF(LEN($A1389)=2,"WOJ. ",IF(LEN($A1389)=4,IF(VALUE(RIGHT($A1389,2))&gt;60,"","Powiat "),IF(VALUE(RIGHT($A1389,1))=1,"m. ",IF(VALUE(RIGHT($A1389,1))=2,"gm. w. ",IF(VALUE(RIGHT($A1389,1))=8,"dz. ","gm. m.-w. ")))))&amp;IF(LEN($A1389)=2,TRIM(UPPER(VLOOKUP($A1389,GUS_tabl_1!$A$7:$B$22,2,FALSE))),IF(ISERROR(FIND("..",TRIM(VLOOKUP(IF(AND(LEN($A1389)=4,VALUE(RIGHT($A1389,2))&gt;60),$A1389&amp;"01 1",$A1389),IF(AND(LEN($A1389)=4,VALUE(RIGHT($A1389,2))&lt;60),GUS_tabl_2!$A$8:$B$464,GUS_tabl_21!$A$5:$B$4886),2,FALSE)))),TRIM(VLOOKUP(IF(AND(LEN($A1389)=4,VALUE(RIGHT($A1389,2))&gt;60),$A1389&amp;"01 1",$A1389),IF(AND(LEN($A1389)=4,VALUE(RIGHT($A1389,2))&lt;60),GUS_tabl_2!$A$8:$B$464,GUS_tabl_21!$A$5:$B$4886),2,FALSE)),LEFT(TRIM(VLOOKUP(IF(AND(LEN($A1389)=4,VALUE(RIGHT($A1389,2))&gt;60),$A1389&amp;"01 1",$A1389),IF(AND(LEN($A1389)=4,VALUE(RIGHT($A1389,2))&lt;60),GUS_tabl_2!$A$8:$B$464,GUS_tabl_21!$A$5:$B$4886),2,FALSE)),SUM(FIND("..",TRIM(VLOOKUP(IF(AND(LEN($A1389)=4,VALUE(RIGHT($A1389,2))&gt;60),$A1389&amp;"01 1",$A1389),IF(AND(LEN($A1389)=4,VALUE(RIGHT($A1389,2))&lt;60),GUS_tabl_2!$A$8:$B$464,GUS_tabl_21!$A$5:$B$4886),2,FALSE))),-1)))))</f>
        <v>gm. w. Wolanów</v>
      </c>
      <c r="D1389" s="141">
        <f>IF(OR($A1389="",ISERROR(VALUE(LEFT($A1389,6)))),"",IF(LEN($A1389)=2,SUMIF($A1390:$A$2965,$A1389&amp;"??",$D1390:$D$2965),IF(AND(LEN($A1389)=4,VALUE(RIGHT($A1389,2))&lt;=60),SUMIF($A1390:$A$2965,$A1389&amp;"????",$D1390:$D$2965),VLOOKUP(IF(LEN($A1389)=4,$A1389&amp;"01 1",$A1389),GUS_tabl_21!$A$5:$F$4886,6,FALSE))))</f>
        <v>8906</v>
      </c>
      <c r="E1389" s="29"/>
    </row>
    <row r="1390" spans="1:5" ht="12" customHeight="1">
      <c r="A1390" s="155" t="str">
        <f>"142513 2"</f>
        <v>142513 2</v>
      </c>
      <c r="B1390" s="153" t="s">
        <v>45</v>
      </c>
      <c r="C1390" s="156" t="str">
        <f>IF(OR($A1390="",ISERROR(VALUE(LEFT($A1390,6)))),"",IF(LEN($A1390)=2,"WOJ. ",IF(LEN($A1390)=4,IF(VALUE(RIGHT($A1390,2))&gt;60,"","Powiat "),IF(VALUE(RIGHT($A1390,1))=1,"m. ",IF(VALUE(RIGHT($A1390,1))=2,"gm. w. ",IF(VALUE(RIGHT($A1390,1))=8,"dz. ","gm. m.-w. ")))))&amp;IF(LEN($A1390)=2,TRIM(UPPER(VLOOKUP($A1390,GUS_tabl_1!$A$7:$B$22,2,FALSE))),IF(ISERROR(FIND("..",TRIM(VLOOKUP(IF(AND(LEN($A1390)=4,VALUE(RIGHT($A1390,2))&gt;60),$A1390&amp;"01 1",$A1390),IF(AND(LEN($A1390)=4,VALUE(RIGHT($A1390,2))&lt;60),GUS_tabl_2!$A$8:$B$464,GUS_tabl_21!$A$5:$B$4886),2,FALSE)))),TRIM(VLOOKUP(IF(AND(LEN($A1390)=4,VALUE(RIGHT($A1390,2))&gt;60),$A1390&amp;"01 1",$A1390),IF(AND(LEN($A1390)=4,VALUE(RIGHT($A1390,2))&lt;60),GUS_tabl_2!$A$8:$B$464,GUS_tabl_21!$A$5:$B$4886),2,FALSE)),LEFT(TRIM(VLOOKUP(IF(AND(LEN($A1390)=4,VALUE(RIGHT($A1390,2))&gt;60),$A1390&amp;"01 1",$A1390),IF(AND(LEN($A1390)=4,VALUE(RIGHT($A1390,2))&lt;60),GUS_tabl_2!$A$8:$B$464,GUS_tabl_21!$A$5:$B$4886),2,FALSE)),SUM(FIND("..",TRIM(VLOOKUP(IF(AND(LEN($A1390)=4,VALUE(RIGHT($A1390,2))&gt;60),$A1390&amp;"01 1",$A1390),IF(AND(LEN($A1390)=4,VALUE(RIGHT($A1390,2))&lt;60),GUS_tabl_2!$A$8:$B$464,GUS_tabl_21!$A$5:$B$4886),2,FALSE))),-1)))))</f>
        <v>gm. w. Zakrzew</v>
      </c>
      <c r="D1390" s="141">
        <f>IF(OR($A1390="",ISERROR(VALUE(LEFT($A1390,6)))),"",IF(LEN($A1390)=2,SUMIF($A1391:$A$2965,$A1390&amp;"??",$D1391:$D$2965),IF(AND(LEN($A1390)=4,VALUE(RIGHT($A1390,2))&lt;=60),SUMIF($A1391:$A$2965,$A1390&amp;"????",$D1391:$D$2965),VLOOKUP(IF(LEN($A1390)=4,$A1390&amp;"01 1",$A1390),GUS_tabl_21!$A$5:$F$4886,6,FALSE))))</f>
        <v>13222</v>
      </c>
      <c r="E1390" s="29"/>
    </row>
    <row r="1391" spans="1:5" ht="12" customHeight="1">
      <c r="A1391" s="152" t="str">
        <f>"1426"</f>
        <v>1426</v>
      </c>
      <c r="B1391" s="153" t="s">
        <v>45</v>
      </c>
      <c r="C1391" s="154" t="str">
        <f>IF(OR($A1391="",ISERROR(VALUE(LEFT($A1391,6)))),"",IF(LEN($A1391)=2,"WOJ. ",IF(LEN($A1391)=4,IF(VALUE(RIGHT($A1391,2))&gt;60,"","Powiat "),IF(VALUE(RIGHT($A1391,1))=1,"m. ",IF(VALUE(RIGHT($A1391,1))=2,"gm. w. ",IF(VALUE(RIGHT($A1391,1))=8,"dz. ","gm. m.-w. ")))))&amp;IF(LEN($A1391)=2,TRIM(UPPER(VLOOKUP($A1391,GUS_tabl_1!$A$7:$B$22,2,FALSE))),IF(ISERROR(FIND("..",TRIM(VLOOKUP(IF(AND(LEN($A1391)=4,VALUE(RIGHT($A1391,2))&gt;60),$A1391&amp;"01 1",$A1391),IF(AND(LEN($A1391)=4,VALUE(RIGHT($A1391,2))&lt;60),GUS_tabl_2!$A$8:$B$464,GUS_tabl_21!$A$5:$B$4886),2,FALSE)))),TRIM(VLOOKUP(IF(AND(LEN($A1391)=4,VALUE(RIGHT($A1391,2))&gt;60),$A1391&amp;"01 1",$A1391),IF(AND(LEN($A1391)=4,VALUE(RIGHT($A1391,2))&lt;60),GUS_tabl_2!$A$8:$B$464,GUS_tabl_21!$A$5:$B$4886),2,FALSE)),LEFT(TRIM(VLOOKUP(IF(AND(LEN($A1391)=4,VALUE(RIGHT($A1391,2))&gt;60),$A1391&amp;"01 1",$A1391),IF(AND(LEN($A1391)=4,VALUE(RIGHT($A1391,2))&lt;60),GUS_tabl_2!$A$8:$B$464,GUS_tabl_21!$A$5:$B$4886),2,FALSE)),SUM(FIND("..",TRIM(VLOOKUP(IF(AND(LEN($A1391)=4,VALUE(RIGHT($A1391,2))&gt;60),$A1391&amp;"01 1",$A1391),IF(AND(LEN($A1391)=4,VALUE(RIGHT($A1391,2))&lt;60),GUS_tabl_2!$A$8:$B$464,GUS_tabl_21!$A$5:$B$4886),2,FALSE))),-1)))))</f>
        <v>Powiat siedlecki</v>
      </c>
      <c r="D1391" s="140">
        <f>IF(OR($A1391="",ISERROR(VALUE(LEFT($A1391,6)))),"",IF(LEN($A1391)=2,SUMIF($A1392:$A$2965,$A1391&amp;"??",$D1392:$D$2965),IF(AND(LEN($A1391)=4,VALUE(RIGHT($A1391,2))&lt;=60),SUMIF($A1392:$A$2965,$A1391&amp;"????",$D1392:$D$2965),VLOOKUP(IF(LEN($A1391)=4,$A1391&amp;"01 1",$A1391),GUS_tabl_21!$A$5:$F$4886,6,FALSE))))</f>
        <v>81362</v>
      </c>
      <c r="E1391" s="29"/>
    </row>
    <row r="1392" spans="1:5" ht="12" customHeight="1">
      <c r="A1392" s="155" t="str">
        <f>"142601 2"</f>
        <v>142601 2</v>
      </c>
      <c r="B1392" s="153" t="s">
        <v>45</v>
      </c>
      <c r="C1392" s="156" t="str">
        <f>IF(OR($A1392="",ISERROR(VALUE(LEFT($A1392,6)))),"",IF(LEN($A1392)=2,"WOJ. ",IF(LEN($A1392)=4,IF(VALUE(RIGHT($A1392,2))&gt;60,"","Powiat "),IF(VALUE(RIGHT($A1392,1))=1,"m. ",IF(VALUE(RIGHT($A1392,1))=2,"gm. w. ",IF(VALUE(RIGHT($A1392,1))=8,"dz. ","gm. m.-w. ")))))&amp;IF(LEN($A1392)=2,TRIM(UPPER(VLOOKUP($A1392,GUS_tabl_1!$A$7:$B$22,2,FALSE))),IF(ISERROR(FIND("..",TRIM(VLOOKUP(IF(AND(LEN($A1392)=4,VALUE(RIGHT($A1392,2))&gt;60),$A1392&amp;"01 1",$A1392),IF(AND(LEN($A1392)=4,VALUE(RIGHT($A1392,2))&lt;60),GUS_tabl_2!$A$8:$B$464,GUS_tabl_21!$A$5:$B$4886),2,FALSE)))),TRIM(VLOOKUP(IF(AND(LEN($A1392)=4,VALUE(RIGHT($A1392,2))&gt;60),$A1392&amp;"01 1",$A1392),IF(AND(LEN($A1392)=4,VALUE(RIGHT($A1392,2))&lt;60),GUS_tabl_2!$A$8:$B$464,GUS_tabl_21!$A$5:$B$4886),2,FALSE)),LEFT(TRIM(VLOOKUP(IF(AND(LEN($A1392)=4,VALUE(RIGHT($A1392,2))&gt;60),$A1392&amp;"01 1",$A1392),IF(AND(LEN($A1392)=4,VALUE(RIGHT($A1392,2))&lt;60),GUS_tabl_2!$A$8:$B$464,GUS_tabl_21!$A$5:$B$4886),2,FALSE)),SUM(FIND("..",TRIM(VLOOKUP(IF(AND(LEN($A1392)=4,VALUE(RIGHT($A1392,2))&gt;60),$A1392&amp;"01 1",$A1392),IF(AND(LEN($A1392)=4,VALUE(RIGHT($A1392,2))&lt;60),GUS_tabl_2!$A$8:$B$464,GUS_tabl_21!$A$5:$B$4886),2,FALSE))),-1)))))</f>
        <v>gm. w. Domanice</v>
      </c>
      <c r="D1392" s="141">
        <f>IF(OR($A1392="",ISERROR(VALUE(LEFT($A1392,6)))),"",IF(LEN($A1392)=2,SUMIF($A1393:$A$2965,$A1392&amp;"??",$D1393:$D$2965),IF(AND(LEN($A1392)=4,VALUE(RIGHT($A1392,2))&lt;=60),SUMIF($A1393:$A$2965,$A1392&amp;"????",$D1393:$D$2965),VLOOKUP(IF(LEN($A1392)=4,$A1392&amp;"01 1",$A1392),GUS_tabl_21!$A$5:$F$4886,6,FALSE))))</f>
        <v>2610</v>
      </c>
      <c r="E1392" s="29"/>
    </row>
    <row r="1393" spans="1:5" ht="12" customHeight="1">
      <c r="A1393" s="155" t="str">
        <f>"142602 2"</f>
        <v>142602 2</v>
      </c>
      <c r="B1393" s="153" t="s">
        <v>45</v>
      </c>
      <c r="C1393" s="156" t="str">
        <f>IF(OR($A1393="",ISERROR(VALUE(LEFT($A1393,6)))),"",IF(LEN($A1393)=2,"WOJ. ",IF(LEN($A1393)=4,IF(VALUE(RIGHT($A1393,2))&gt;60,"","Powiat "),IF(VALUE(RIGHT($A1393,1))=1,"m. ",IF(VALUE(RIGHT($A1393,1))=2,"gm. w. ",IF(VALUE(RIGHT($A1393,1))=8,"dz. ","gm. m.-w. ")))))&amp;IF(LEN($A1393)=2,TRIM(UPPER(VLOOKUP($A1393,GUS_tabl_1!$A$7:$B$22,2,FALSE))),IF(ISERROR(FIND("..",TRIM(VLOOKUP(IF(AND(LEN($A1393)=4,VALUE(RIGHT($A1393,2))&gt;60),$A1393&amp;"01 1",$A1393),IF(AND(LEN($A1393)=4,VALUE(RIGHT($A1393,2))&lt;60),GUS_tabl_2!$A$8:$B$464,GUS_tabl_21!$A$5:$B$4886),2,FALSE)))),TRIM(VLOOKUP(IF(AND(LEN($A1393)=4,VALUE(RIGHT($A1393,2))&gt;60),$A1393&amp;"01 1",$A1393),IF(AND(LEN($A1393)=4,VALUE(RIGHT($A1393,2))&lt;60),GUS_tabl_2!$A$8:$B$464,GUS_tabl_21!$A$5:$B$4886),2,FALSE)),LEFT(TRIM(VLOOKUP(IF(AND(LEN($A1393)=4,VALUE(RIGHT($A1393,2))&gt;60),$A1393&amp;"01 1",$A1393),IF(AND(LEN($A1393)=4,VALUE(RIGHT($A1393,2))&lt;60),GUS_tabl_2!$A$8:$B$464,GUS_tabl_21!$A$5:$B$4886),2,FALSE)),SUM(FIND("..",TRIM(VLOOKUP(IF(AND(LEN($A1393)=4,VALUE(RIGHT($A1393,2))&gt;60),$A1393&amp;"01 1",$A1393),IF(AND(LEN($A1393)=4,VALUE(RIGHT($A1393,2))&lt;60),GUS_tabl_2!$A$8:$B$464,GUS_tabl_21!$A$5:$B$4886),2,FALSE))),-1)))))</f>
        <v>gm. w. Korczew</v>
      </c>
      <c r="D1393" s="141">
        <f>IF(OR($A1393="",ISERROR(VALUE(LEFT($A1393,6)))),"",IF(LEN($A1393)=2,SUMIF($A1394:$A$2965,$A1393&amp;"??",$D1394:$D$2965),IF(AND(LEN($A1393)=4,VALUE(RIGHT($A1393,2))&lt;=60),SUMIF($A1394:$A$2965,$A1393&amp;"????",$D1394:$D$2965),VLOOKUP(IF(LEN($A1393)=4,$A1393&amp;"01 1",$A1393),GUS_tabl_21!$A$5:$F$4886,6,FALSE))))</f>
        <v>2599</v>
      </c>
      <c r="E1393" s="29"/>
    </row>
    <row r="1394" spans="1:5" ht="12" customHeight="1">
      <c r="A1394" s="155" t="str">
        <f>"142603 2"</f>
        <v>142603 2</v>
      </c>
      <c r="B1394" s="153" t="s">
        <v>45</v>
      </c>
      <c r="C1394" s="156" t="str">
        <f>IF(OR($A1394="",ISERROR(VALUE(LEFT($A1394,6)))),"",IF(LEN($A1394)=2,"WOJ. ",IF(LEN($A1394)=4,IF(VALUE(RIGHT($A1394,2))&gt;60,"","Powiat "),IF(VALUE(RIGHT($A1394,1))=1,"m. ",IF(VALUE(RIGHT($A1394,1))=2,"gm. w. ",IF(VALUE(RIGHT($A1394,1))=8,"dz. ","gm. m.-w. ")))))&amp;IF(LEN($A1394)=2,TRIM(UPPER(VLOOKUP($A1394,GUS_tabl_1!$A$7:$B$22,2,FALSE))),IF(ISERROR(FIND("..",TRIM(VLOOKUP(IF(AND(LEN($A1394)=4,VALUE(RIGHT($A1394,2))&gt;60),$A1394&amp;"01 1",$A1394),IF(AND(LEN($A1394)=4,VALUE(RIGHT($A1394,2))&lt;60),GUS_tabl_2!$A$8:$B$464,GUS_tabl_21!$A$5:$B$4886),2,FALSE)))),TRIM(VLOOKUP(IF(AND(LEN($A1394)=4,VALUE(RIGHT($A1394,2))&gt;60),$A1394&amp;"01 1",$A1394),IF(AND(LEN($A1394)=4,VALUE(RIGHT($A1394,2))&lt;60),GUS_tabl_2!$A$8:$B$464,GUS_tabl_21!$A$5:$B$4886),2,FALSE)),LEFT(TRIM(VLOOKUP(IF(AND(LEN($A1394)=4,VALUE(RIGHT($A1394,2))&gt;60),$A1394&amp;"01 1",$A1394),IF(AND(LEN($A1394)=4,VALUE(RIGHT($A1394,2))&lt;60),GUS_tabl_2!$A$8:$B$464,GUS_tabl_21!$A$5:$B$4886),2,FALSE)),SUM(FIND("..",TRIM(VLOOKUP(IF(AND(LEN($A1394)=4,VALUE(RIGHT($A1394,2))&gt;60),$A1394&amp;"01 1",$A1394),IF(AND(LEN($A1394)=4,VALUE(RIGHT($A1394,2))&lt;60),GUS_tabl_2!$A$8:$B$464,GUS_tabl_21!$A$5:$B$4886),2,FALSE))),-1)))))</f>
        <v>gm. w. Kotuń</v>
      </c>
      <c r="D1394" s="141">
        <f>IF(OR($A1394="",ISERROR(VALUE(LEFT($A1394,6)))),"",IF(LEN($A1394)=2,SUMIF($A1395:$A$2965,$A1394&amp;"??",$D1395:$D$2965),IF(AND(LEN($A1394)=4,VALUE(RIGHT($A1394,2))&lt;=60),SUMIF($A1395:$A$2965,$A1394&amp;"????",$D1395:$D$2965),VLOOKUP(IF(LEN($A1394)=4,$A1394&amp;"01 1",$A1394),GUS_tabl_21!$A$5:$F$4886,6,FALSE))))</f>
        <v>8501</v>
      </c>
      <c r="E1394" s="29"/>
    </row>
    <row r="1395" spans="1:5" ht="12" customHeight="1">
      <c r="A1395" s="155" t="str">
        <f>"142604 2"</f>
        <v>142604 2</v>
      </c>
      <c r="B1395" s="153" t="s">
        <v>45</v>
      </c>
      <c r="C1395" s="156" t="str">
        <f>IF(OR($A1395="",ISERROR(VALUE(LEFT($A1395,6)))),"",IF(LEN($A1395)=2,"WOJ. ",IF(LEN($A1395)=4,IF(VALUE(RIGHT($A1395,2))&gt;60,"","Powiat "),IF(VALUE(RIGHT($A1395,1))=1,"m. ",IF(VALUE(RIGHT($A1395,1))=2,"gm. w. ",IF(VALUE(RIGHT($A1395,1))=8,"dz. ","gm. m.-w. ")))))&amp;IF(LEN($A1395)=2,TRIM(UPPER(VLOOKUP($A1395,GUS_tabl_1!$A$7:$B$22,2,FALSE))),IF(ISERROR(FIND("..",TRIM(VLOOKUP(IF(AND(LEN($A1395)=4,VALUE(RIGHT($A1395,2))&gt;60),$A1395&amp;"01 1",$A1395),IF(AND(LEN($A1395)=4,VALUE(RIGHT($A1395,2))&lt;60),GUS_tabl_2!$A$8:$B$464,GUS_tabl_21!$A$5:$B$4886),2,FALSE)))),TRIM(VLOOKUP(IF(AND(LEN($A1395)=4,VALUE(RIGHT($A1395,2))&gt;60),$A1395&amp;"01 1",$A1395),IF(AND(LEN($A1395)=4,VALUE(RIGHT($A1395,2))&lt;60),GUS_tabl_2!$A$8:$B$464,GUS_tabl_21!$A$5:$B$4886),2,FALSE)),LEFT(TRIM(VLOOKUP(IF(AND(LEN($A1395)=4,VALUE(RIGHT($A1395,2))&gt;60),$A1395&amp;"01 1",$A1395),IF(AND(LEN($A1395)=4,VALUE(RIGHT($A1395,2))&lt;60),GUS_tabl_2!$A$8:$B$464,GUS_tabl_21!$A$5:$B$4886),2,FALSE)),SUM(FIND("..",TRIM(VLOOKUP(IF(AND(LEN($A1395)=4,VALUE(RIGHT($A1395,2))&gt;60),$A1395&amp;"01 1",$A1395),IF(AND(LEN($A1395)=4,VALUE(RIGHT($A1395,2))&lt;60),GUS_tabl_2!$A$8:$B$464,GUS_tabl_21!$A$5:$B$4886),2,FALSE))),-1)))))</f>
        <v>gm. w. Mokobody</v>
      </c>
      <c r="D1395" s="141">
        <f>IF(OR($A1395="",ISERROR(VALUE(LEFT($A1395,6)))),"",IF(LEN($A1395)=2,SUMIF($A1396:$A$2965,$A1395&amp;"??",$D1396:$D$2965),IF(AND(LEN($A1395)=4,VALUE(RIGHT($A1395,2))&lt;=60),SUMIF($A1396:$A$2965,$A1395&amp;"????",$D1396:$D$2965),VLOOKUP(IF(LEN($A1395)=4,$A1395&amp;"01 1",$A1395),GUS_tabl_21!$A$5:$F$4886,6,FALSE))))</f>
        <v>4939</v>
      </c>
      <c r="E1395" s="29"/>
    </row>
    <row r="1396" spans="1:5" ht="12" customHeight="1">
      <c r="A1396" s="155" t="str">
        <f>"142605 3"</f>
        <v>142605 3</v>
      </c>
      <c r="B1396" s="153" t="s">
        <v>45</v>
      </c>
      <c r="C1396" s="156" t="str">
        <f>IF(OR($A1396="",ISERROR(VALUE(LEFT($A1396,6)))),"",IF(LEN($A1396)=2,"WOJ. ",IF(LEN($A1396)=4,IF(VALUE(RIGHT($A1396,2))&gt;60,"","Powiat "),IF(VALUE(RIGHT($A1396,1))=1,"m. ",IF(VALUE(RIGHT($A1396,1))=2,"gm. w. ",IF(VALUE(RIGHT($A1396,1))=8,"dz. ","gm. m.-w. ")))))&amp;IF(LEN($A1396)=2,TRIM(UPPER(VLOOKUP($A1396,GUS_tabl_1!$A$7:$B$22,2,FALSE))),IF(ISERROR(FIND("..",TRIM(VLOOKUP(IF(AND(LEN($A1396)=4,VALUE(RIGHT($A1396,2))&gt;60),$A1396&amp;"01 1",$A1396),IF(AND(LEN($A1396)=4,VALUE(RIGHT($A1396,2))&lt;60),GUS_tabl_2!$A$8:$B$464,GUS_tabl_21!$A$5:$B$4886),2,FALSE)))),TRIM(VLOOKUP(IF(AND(LEN($A1396)=4,VALUE(RIGHT($A1396,2))&gt;60),$A1396&amp;"01 1",$A1396),IF(AND(LEN($A1396)=4,VALUE(RIGHT($A1396,2))&lt;60),GUS_tabl_2!$A$8:$B$464,GUS_tabl_21!$A$5:$B$4886),2,FALSE)),LEFT(TRIM(VLOOKUP(IF(AND(LEN($A1396)=4,VALUE(RIGHT($A1396,2))&gt;60),$A1396&amp;"01 1",$A1396),IF(AND(LEN($A1396)=4,VALUE(RIGHT($A1396,2))&lt;60),GUS_tabl_2!$A$8:$B$464,GUS_tabl_21!$A$5:$B$4886),2,FALSE)),SUM(FIND("..",TRIM(VLOOKUP(IF(AND(LEN($A1396)=4,VALUE(RIGHT($A1396,2))&gt;60),$A1396&amp;"01 1",$A1396),IF(AND(LEN($A1396)=4,VALUE(RIGHT($A1396,2))&lt;60),GUS_tabl_2!$A$8:$B$464,GUS_tabl_21!$A$5:$B$4886),2,FALSE))),-1)))))</f>
        <v>gm. m.-w. Mordy</v>
      </c>
      <c r="D1396" s="141">
        <f>IF(OR($A1396="",ISERROR(VALUE(LEFT($A1396,6)))),"",IF(LEN($A1396)=2,SUMIF($A1397:$A$2965,$A1396&amp;"??",$D1397:$D$2965),IF(AND(LEN($A1396)=4,VALUE(RIGHT($A1396,2))&lt;=60),SUMIF($A1397:$A$2965,$A1396&amp;"????",$D1397:$D$2965),VLOOKUP(IF(LEN($A1396)=4,$A1396&amp;"01 1",$A1396),GUS_tabl_21!$A$5:$F$4886,6,FALSE))))</f>
        <v>5780</v>
      </c>
      <c r="E1396" s="29"/>
    </row>
    <row r="1397" spans="1:5" ht="12" customHeight="1">
      <c r="A1397" s="155" t="str">
        <f>"142606 2"</f>
        <v>142606 2</v>
      </c>
      <c r="B1397" s="153" t="s">
        <v>45</v>
      </c>
      <c r="C1397" s="156" t="str">
        <f>IF(OR($A1397="",ISERROR(VALUE(LEFT($A1397,6)))),"",IF(LEN($A1397)=2,"WOJ. ",IF(LEN($A1397)=4,IF(VALUE(RIGHT($A1397,2))&gt;60,"","Powiat "),IF(VALUE(RIGHT($A1397,1))=1,"m. ",IF(VALUE(RIGHT($A1397,1))=2,"gm. w. ",IF(VALUE(RIGHT($A1397,1))=8,"dz. ","gm. m.-w. ")))))&amp;IF(LEN($A1397)=2,TRIM(UPPER(VLOOKUP($A1397,GUS_tabl_1!$A$7:$B$22,2,FALSE))),IF(ISERROR(FIND("..",TRIM(VLOOKUP(IF(AND(LEN($A1397)=4,VALUE(RIGHT($A1397,2))&gt;60),$A1397&amp;"01 1",$A1397),IF(AND(LEN($A1397)=4,VALUE(RIGHT($A1397,2))&lt;60),GUS_tabl_2!$A$8:$B$464,GUS_tabl_21!$A$5:$B$4886),2,FALSE)))),TRIM(VLOOKUP(IF(AND(LEN($A1397)=4,VALUE(RIGHT($A1397,2))&gt;60),$A1397&amp;"01 1",$A1397),IF(AND(LEN($A1397)=4,VALUE(RIGHT($A1397,2))&lt;60),GUS_tabl_2!$A$8:$B$464,GUS_tabl_21!$A$5:$B$4886),2,FALSE)),LEFT(TRIM(VLOOKUP(IF(AND(LEN($A1397)=4,VALUE(RIGHT($A1397,2))&gt;60),$A1397&amp;"01 1",$A1397),IF(AND(LEN($A1397)=4,VALUE(RIGHT($A1397,2))&lt;60),GUS_tabl_2!$A$8:$B$464,GUS_tabl_21!$A$5:$B$4886),2,FALSE)),SUM(FIND("..",TRIM(VLOOKUP(IF(AND(LEN($A1397)=4,VALUE(RIGHT($A1397,2))&gt;60),$A1397&amp;"01 1",$A1397),IF(AND(LEN($A1397)=4,VALUE(RIGHT($A1397,2))&lt;60),GUS_tabl_2!$A$8:$B$464,GUS_tabl_21!$A$5:$B$4886),2,FALSE))),-1)))))</f>
        <v>gm. w. Paprotnia</v>
      </c>
      <c r="D1397" s="141">
        <f>IF(OR($A1397="",ISERROR(VALUE(LEFT($A1397,6)))),"",IF(LEN($A1397)=2,SUMIF($A1398:$A$2965,$A1397&amp;"??",$D1398:$D$2965),IF(AND(LEN($A1397)=4,VALUE(RIGHT($A1397,2))&lt;=60),SUMIF($A1398:$A$2965,$A1397&amp;"????",$D1398:$D$2965),VLOOKUP(IF(LEN($A1397)=4,$A1397&amp;"01 1",$A1397),GUS_tabl_21!$A$5:$F$4886,6,FALSE))))</f>
        <v>2549</v>
      </c>
      <c r="E1397" s="29"/>
    </row>
    <row r="1398" spans="1:5" ht="12" customHeight="1">
      <c r="A1398" s="155" t="str">
        <f>"142607 2"</f>
        <v>142607 2</v>
      </c>
      <c r="B1398" s="153" t="s">
        <v>45</v>
      </c>
      <c r="C1398" s="156" t="str">
        <f>IF(OR($A1398="",ISERROR(VALUE(LEFT($A1398,6)))),"",IF(LEN($A1398)=2,"WOJ. ",IF(LEN($A1398)=4,IF(VALUE(RIGHT($A1398,2))&gt;60,"","Powiat "),IF(VALUE(RIGHT($A1398,1))=1,"m. ",IF(VALUE(RIGHT($A1398,1))=2,"gm. w. ",IF(VALUE(RIGHT($A1398,1))=8,"dz. ","gm. m.-w. ")))))&amp;IF(LEN($A1398)=2,TRIM(UPPER(VLOOKUP($A1398,GUS_tabl_1!$A$7:$B$22,2,FALSE))),IF(ISERROR(FIND("..",TRIM(VLOOKUP(IF(AND(LEN($A1398)=4,VALUE(RIGHT($A1398,2))&gt;60),$A1398&amp;"01 1",$A1398),IF(AND(LEN($A1398)=4,VALUE(RIGHT($A1398,2))&lt;60),GUS_tabl_2!$A$8:$B$464,GUS_tabl_21!$A$5:$B$4886),2,FALSE)))),TRIM(VLOOKUP(IF(AND(LEN($A1398)=4,VALUE(RIGHT($A1398,2))&gt;60),$A1398&amp;"01 1",$A1398),IF(AND(LEN($A1398)=4,VALUE(RIGHT($A1398,2))&lt;60),GUS_tabl_2!$A$8:$B$464,GUS_tabl_21!$A$5:$B$4886),2,FALSE)),LEFT(TRIM(VLOOKUP(IF(AND(LEN($A1398)=4,VALUE(RIGHT($A1398,2))&gt;60),$A1398&amp;"01 1",$A1398),IF(AND(LEN($A1398)=4,VALUE(RIGHT($A1398,2))&lt;60),GUS_tabl_2!$A$8:$B$464,GUS_tabl_21!$A$5:$B$4886),2,FALSE)),SUM(FIND("..",TRIM(VLOOKUP(IF(AND(LEN($A1398)=4,VALUE(RIGHT($A1398,2))&gt;60),$A1398&amp;"01 1",$A1398),IF(AND(LEN($A1398)=4,VALUE(RIGHT($A1398,2))&lt;60),GUS_tabl_2!$A$8:$B$464,GUS_tabl_21!$A$5:$B$4886),2,FALSE))),-1)))))</f>
        <v>gm. w. Przesmyki</v>
      </c>
      <c r="D1398" s="141">
        <f>IF(OR($A1398="",ISERROR(VALUE(LEFT($A1398,6)))),"",IF(LEN($A1398)=2,SUMIF($A1399:$A$2965,$A1398&amp;"??",$D1399:$D$2965),IF(AND(LEN($A1398)=4,VALUE(RIGHT($A1398,2))&lt;=60),SUMIF($A1399:$A$2965,$A1398&amp;"????",$D1399:$D$2965),VLOOKUP(IF(LEN($A1398)=4,$A1398&amp;"01 1",$A1398),GUS_tabl_21!$A$5:$F$4886,6,FALSE))))</f>
        <v>3169</v>
      </c>
      <c r="E1398" s="29"/>
    </row>
    <row r="1399" spans="1:5" ht="12" customHeight="1">
      <c r="A1399" s="155" t="str">
        <f>"142608 2"</f>
        <v>142608 2</v>
      </c>
      <c r="B1399" s="153" t="s">
        <v>45</v>
      </c>
      <c r="C1399" s="156" t="str">
        <f>IF(OR($A1399="",ISERROR(VALUE(LEFT($A1399,6)))),"",IF(LEN($A1399)=2,"WOJ. ",IF(LEN($A1399)=4,IF(VALUE(RIGHT($A1399,2))&gt;60,"","Powiat "),IF(VALUE(RIGHT($A1399,1))=1,"m. ",IF(VALUE(RIGHT($A1399,1))=2,"gm. w. ",IF(VALUE(RIGHT($A1399,1))=8,"dz. ","gm. m.-w. ")))))&amp;IF(LEN($A1399)=2,TRIM(UPPER(VLOOKUP($A1399,GUS_tabl_1!$A$7:$B$22,2,FALSE))),IF(ISERROR(FIND("..",TRIM(VLOOKUP(IF(AND(LEN($A1399)=4,VALUE(RIGHT($A1399,2))&gt;60),$A1399&amp;"01 1",$A1399),IF(AND(LEN($A1399)=4,VALUE(RIGHT($A1399,2))&lt;60),GUS_tabl_2!$A$8:$B$464,GUS_tabl_21!$A$5:$B$4886),2,FALSE)))),TRIM(VLOOKUP(IF(AND(LEN($A1399)=4,VALUE(RIGHT($A1399,2))&gt;60),$A1399&amp;"01 1",$A1399),IF(AND(LEN($A1399)=4,VALUE(RIGHT($A1399,2))&lt;60),GUS_tabl_2!$A$8:$B$464,GUS_tabl_21!$A$5:$B$4886),2,FALSE)),LEFT(TRIM(VLOOKUP(IF(AND(LEN($A1399)=4,VALUE(RIGHT($A1399,2))&gt;60),$A1399&amp;"01 1",$A1399),IF(AND(LEN($A1399)=4,VALUE(RIGHT($A1399,2))&lt;60),GUS_tabl_2!$A$8:$B$464,GUS_tabl_21!$A$5:$B$4886),2,FALSE)),SUM(FIND("..",TRIM(VLOOKUP(IF(AND(LEN($A1399)=4,VALUE(RIGHT($A1399,2))&gt;60),$A1399&amp;"01 1",$A1399),IF(AND(LEN($A1399)=4,VALUE(RIGHT($A1399,2))&lt;60),GUS_tabl_2!$A$8:$B$464,GUS_tabl_21!$A$5:$B$4886),2,FALSE))),-1)))))</f>
        <v>gm. w. Siedlce</v>
      </c>
      <c r="D1399" s="141">
        <f>IF(OR($A1399="",ISERROR(VALUE(LEFT($A1399,6)))),"",IF(LEN($A1399)=2,SUMIF($A1400:$A$2965,$A1399&amp;"??",$D1400:$D$2965),IF(AND(LEN($A1399)=4,VALUE(RIGHT($A1399,2))&lt;=60),SUMIF($A1400:$A$2965,$A1399&amp;"????",$D1400:$D$2965),VLOOKUP(IF(LEN($A1399)=4,$A1399&amp;"01 1",$A1399),GUS_tabl_21!$A$5:$F$4886,6,FALSE))))</f>
        <v>18406</v>
      </c>
      <c r="E1399" s="29"/>
    </row>
    <row r="1400" spans="1:5" ht="12" customHeight="1">
      <c r="A1400" s="155" t="str">
        <f>"142609 2"</f>
        <v>142609 2</v>
      </c>
      <c r="B1400" s="153" t="s">
        <v>45</v>
      </c>
      <c r="C1400" s="156" t="str">
        <f>IF(OR($A1400="",ISERROR(VALUE(LEFT($A1400,6)))),"",IF(LEN($A1400)=2,"WOJ. ",IF(LEN($A1400)=4,IF(VALUE(RIGHT($A1400,2))&gt;60,"","Powiat "),IF(VALUE(RIGHT($A1400,1))=1,"m. ",IF(VALUE(RIGHT($A1400,1))=2,"gm. w. ",IF(VALUE(RIGHT($A1400,1))=8,"dz. ","gm. m.-w. ")))))&amp;IF(LEN($A1400)=2,TRIM(UPPER(VLOOKUP($A1400,GUS_tabl_1!$A$7:$B$22,2,FALSE))),IF(ISERROR(FIND("..",TRIM(VLOOKUP(IF(AND(LEN($A1400)=4,VALUE(RIGHT($A1400,2))&gt;60),$A1400&amp;"01 1",$A1400),IF(AND(LEN($A1400)=4,VALUE(RIGHT($A1400,2))&lt;60),GUS_tabl_2!$A$8:$B$464,GUS_tabl_21!$A$5:$B$4886),2,FALSE)))),TRIM(VLOOKUP(IF(AND(LEN($A1400)=4,VALUE(RIGHT($A1400,2))&gt;60),$A1400&amp;"01 1",$A1400),IF(AND(LEN($A1400)=4,VALUE(RIGHT($A1400,2))&lt;60),GUS_tabl_2!$A$8:$B$464,GUS_tabl_21!$A$5:$B$4886),2,FALSE)),LEFT(TRIM(VLOOKUP(IF(AND(LEN($A1400)=4,VALUE(RIGHT($A1400,2))&gt;60),$A1400&amp;"01 1",$A1400),IF(AND(LEN($A1400)=4,VALUE(RIGHT($A1400,2))&lt;60),GUS_tabl_2!$A$8:$B$464,GUS_tabl_21!$A$5:$B$4886),2,FALSE)),SUM(FIND("..",TRIM(VLOOKUP(IF(AND(LEN($A1400)=4,VALUE(RIGHT($A1400,2))&gt;60),$A1400&amp;"01 1",$A1400),IF(AND(LEN($A1400)=4,VALUE(RIGHT($A1400,2))&lt;60),GUS_tabl_2!$A$8:$B$464,GUS_tabl_21!$A$5:$B$4886),2,FALSE))),-1)))))</f>
        <v>gm. w. Skórzec</v>
      </c>
      <c r="D1400" s="141">
        <f>IF(OR($A1400="",ISERROR(VALUE(LEFT($A1400,6)))),"",IF(LEN($A1400)=2,SUMIF($A1401:$A$2965,$A1400&amp;"??",$D1401:$D$2965),IF(AND(LEN($A1400)=4,VALUE(RIGHT($A1400,2))&lt;=60),SUMIF($A1401:$A$2965,$A1400&amp;"????",$D1401:$D$2965),VLOOKUP(IF(LEN($A1400)=4,$A1400&amp;"01 1",$A1400),GUS_tabl_21!$A$5:$F$4886,6,FALSE))))</f>
        <v>7872</v>
      </c>
      <c r="E1400" s="29"/>
    </row>
    <row r="1401" spans="1:5" ht="12" customHeight="1">
      <c r="A1401" s="155" t="str">
        <f>"142610 2"</f>
        <v>142610 2</v>
      </c>
      <c r="B1401" s="153" t="s">
        <v>45</v>
      </c>
      <c r="C1401" s="156" t="str">
        <f>IF(OR($A1401="",ISERROR(VALUE(LEFT($A1401,6)))),"",IF(LEN($A1401)=2,"WOJ. ",IF(LEN($A1401)=4,IF(VALUE(RIGHT($A1401,2))&gt;60,"","Powiat "),IF(VALUE(RIGHT($A1401,1))=1,"m. ",IF(VALUE(RIGHT($A1401,1))=2,"gm. w. ",IF(VALUE(RIGHT($A1401,1))=8,"dz. ","gm. m.-w. ")))))&amp;IF(LEN($A1401)=2,TRIM(UPPER(VLOOKUP($A1401,GUS_tabl_1!$A$7:$B$22,2,FALSE))),IF(ISERROR(FIND("..",TRIM(VLOOKUP(IF(AND(LEN($A1401)=4,VALUE(RIGHT($A1401,2))&gt;60),$A1401&amp;"01 1",$A1401),IF(AND(LEN($A1401)=4,VALUE(RIGHT($A1401,2))&lt;60),GUS_tabl_2!$A$8:$B$464,GUS_tabl_21!$A$5:$B$4886),2,FALSE)))),TRIM(VLOOKUP(IF(AND(LEN($A1401)=4,VALUE(RIGHT($A1401,2))&gt;60),$A1401&amp;"01 1",$A1401),IF(AND(LEN($A1401)=4,VALUE(RIGHT($A1401,2))&lt;60),GUS_tabl_2!$A$8:$B$464,GUS_tabl_21!$A$5:$B$4886),2,FALSE)),LEFT(TRIM(VLOOKUP(IF(AND(LEN($A1401)=4,VALUE(RIGHT($A1401,2))&gt;60),$A1401&amp;"01 1",$A1401),IF(AND(LEN($A1401)=4,VALUE(RIGHT($A1401,2))&lt;60),GUS_tabl_2!$A$8:$B$464,GUS_tabl_21!$A$5:$B$4886),2,FALSE)),SUM(FIND("..",TRIM(VLOOKUP(IF(AND(LEN($A1401)=4,VALUE(RIGHT($A1401,2))&gt;60),$A1401&amp;"01 1",$A1401),IF(AND(LEN($A1401)=4,VALUE(RIGHT($A1401,2))&lt;60),GUS_tabl_2!$A$8:$B$464,GUS_tabl_21!$A$5:$B$4886),2,FALSE))),-1)))))</f>
        <v>gm. w. Suchożebry</v>
      </c>
      <c r="D1401" s="141">
        <f>IF(OR($A1401="",ISERROR(VALUE(LEFT($A1401,6)))),"",IF(LEN($A1401)=2,SUMIF($A1402:$A$2965,$A1401&amp;"??",$D1402:$D$2965),IF(AND(LEN($A1401)=4,VALUE(RIGHT($A1401,2))&lt;=60),SUMIF($A1402:$A$2965,$A1401&amp;"????",$D1402:$D$2965),VLOOKUP(IF(LEN($A1401)=4,$A1401&amp;"01 1",$A1401),GUS_tabl_21!$A$5:$F$4886,6,FALSE))))</f>
        <v>4693</v>
      </c>
      <c r="E1401" s="29"/>
    </row>
    <row r="1402" spans="1:5" ht="12" customHeight="1">
      <c r="A1402" s="155" t="str">
        <f>"142611 2"</f>
        <v>142611 2</v>
      </c>
      <c r="B1402" s="153" t="s">
        <v>45</v>
      </c>
      <c r="C1402" s="156" t="str">
        <f>IF(OR($A1402="",ISERROR(VALUE(LEFT($A1402,6)))),"",IF(LEN($A1402)=2,"WOJ. ",IF(LEN($A1402)=4,IF(VALUE(RIGHT($A1402,2))&gt;60,"","Powiat "),IF(VALUE(RIGHT($A1402,1))=1,"m. ",IF(VALUE(RIGHT($A1402,1))=2,"gm. w. ",IF(VALUE(RIGHT($A1402,1))=8,"dz. ","gm. m.-w. ")))))&amp;IF(LEN($A1402)=2,TRIM(UPPER(VLOOKUP($A1402,GUS_tabl_1!$A$7:$B$22,2,FALSE))),IF(ISERROR(FIND("..",TRIM(VLOOKUP(IF(AND(LEN($A1402)=4,VALUE(RIGHT($A1402,2))&gt;60),$A1402&amp;"01 1",$A1402),IF(AND(LEN($A1402)=4,VALUE(RIGHT($A1402,2))&lt;60),GUS_tabl_2!$A$8:$B$464,GUS_tabl_21!$A$5:$B$4886),2,FALSE)))),TRIM(VLOOKUP(IF(AND(LEN($A1402)=4,VALUE(RIGHT($A1402,2))&gt;60),$A1402&amp;"01 1",$A1402),IF(AND(LEN($A1402)=4,VALUE(RIGHT($A1402,2))&lt;60),GUS_tabl_2!$A$8:$B$464,GUS_tabl_21!$A$5:$B$4886),2,FALSE)),LEFT(TRIM(VLOOKUP(IF(AND(LEN($A1402)=4,VALUE(RIGHT($A1402,2))&gt;60),$A1402&amp;"01 1",$A1402),IF(AND(LEN($A1402)=4,VALUE(RIGHT($A1402,2))&lt;60),GUS_tabl_2!$A$8:$B$464,GUS_tabl_21!$A$5:$B$4886),2,FALSE)),SUM(FIND("..",TRIM(VLOOKUP(IF(AND(LEN($A1402)=4,VALUE(RIGHT($A1402,2))&gt;60),$A1402&amp;"01 1",$A1402),IF(AND(LEN($A1402)=4,VALUE(RIGHT($A1402,2))&lt;60),GUS_tabl_2!$A$8:$B$464,GUS_tabl_21!$A$5:$B$4886),2,FALSE))),-1)))))</f>
        <v>gm. w. Wiśniew</v>
      </c>
      <c r="D1402" s="141">
        <f>IF(OR($A1402="",ISERROR(VALUE(LEFT($A1402,6)))),"",IF(LEN($A1402)=2,SUMIF($A1403:$A$2965,$A1402&amp;"??",$D1403:$D$2965),IF(AND(LEN($A1402)=4,VALUE(RIGHT($A1402,2))&lt;=60),SUMIF($A1403:$A$2965,$A1402&amp;"????",$D1403:$D$2965),VLOOKUP(IF(LEN($A1402)=4,$A1402&amp;"01 1",$A1402),GUS_tabl_21!$A$5:$F$4886,6,FALSE))))</f>
        <v>5747</v>
      </c>
      <c r="E1402" s="29"/>
    </row>
    <row r="1403" spans="1:5" ht="12" customHeight="1">
      <c r="A1403" s="155" t="str">
        <f>"142612 2"</f>
        <v>142612 2</v>
      </c>
      <c r="B1403" s="153" t="s">
        <v>45</v>
      </c>
      <c r="C1403" s="156" t="str">
        <f>IF(OR($A1403="",ISERROR(VALUE(LEFT($A1403,6)))),"",IF(LEN($A1403)=2,"WOJ. ",IF(LEN($A1403)=4,IF(VALUE(RIGHT($A1403,2))&gt;60,"","Powiat "),IF(VALUE(RIGHT($A1403,1))=1,"m. ",IF(VALUE(RIGHT($A1403,1))=2,"gm. w. ",IF(VALUE(RIGHT($A1403,1))=8,"dz. ","gm. m.-w. ")))))&amp;IF(LEN($A1403)=2,TRIM(UPPER(VLOOKUP($A1403,GUS_tabl_1!$A$7:$B$22,2,FALSE))),IF(ISERROR(FIND("..",TRIM(VLOOKUP(IF(AND(LEN($A1403)=4,VALUE(RIGHT($A1403,2))&gt;60),$A1403&amp;"01 1",$A1403),IF(AND(LEN($A1403)=4,VALUE(RIGHT($A1403,2))&lt;60),GUS_tabl_2!$A$8:$B$464,GUS_tabl_21!$A$5:$B$4886),2,FALSE)))),TRIM(VLOOKUP(IF(AND(LEN($A1403)=4,VALUE(RIGHT($A1403,2))&gt;60),$A1403&amp;"01 1",$A1403),IF(AND(LEN($A1403)=4,VALUE(RIGHT($A1403,2))&lt;60),GUS_tabl_2!$A$8:$B$464,GUS_tabl_21!$A$5:$B$4886),2,FALSE)),LEFT(TRIM(VLOOKUP(IF(AND(LEN($A1403)=4,VALUE(RIGHT($A1403,2))&gt;60),$A1403&amp;"01 1",$A1403),IF(AND(LEN($A1403)=4,VALUE(RIGHT($A1403,2))&lt;60),GUS_tabl_2!$A$8:$B$464,GUS_tabl_21!$A$5:$B$4886),2,FALSE)),SUM(FIND("..",TRIM(VLOOKUP(IF(AND(LEN($A1403)=4,VALUE(RIGHT($A1403,2))&gt;60),$A1403&amp;"01 1",$A1403),IF(AND(LEN($A1403)=4,VALUE(RIGHT($A1403,2))&lt;60),GUS_tabl_2!$A$8:$B$464,GUS_tabl_21!$A$5:$B$4886),2,FALSE))),-1)))))</f>
        <v>gm. w. Wodynie</v>
      </c>
      <c r="D1403" s="141">
        <f>IF(OR($A1403="",ISERROR(VALUE(LEFT($A1403,6)))),"",IF(LEN($A1403)=2,SUMIF($A1404:$A$2965,$A1403&amp;"??",$D1404:$D$2965),IF(AND(LEN($A1403)=4,VALUE(RIGHT($A1403,2))&lt;=60),SUMIF($A1404:$A$2965,$A1403&amp;"????",$D1404:$D$2965),VLOOKUP(IF(LEN($A1403)=4,$A1403&amp;"01 1",$A1403),GUS_tabl_21!$A$5:$F$4886,6,FALSE))))</f>
        <v>4391</v>
      </c>
      <c r="E1403" s="29"/>
    </row>
    <row r="1404" spans="1:5" ht="12" customHeight="1">
      <c r="A1404" s="155" t="str">
        <f>"142613 2"</f>
        <v>142613 2</v>
      </c>
      <c r="B1404" s="153" t="s">
        <v>45</v>
      </c>
      <c r="C1404" s="156" t="str">
        <f>IF(OR($A1404="",ISERROR(VALUE(LEFT($A1404,6)))),"",IF(LEN($A1404)=2,"WOJ. ",IF(LEN($A1404)=4,IF(VALUE(RIGHT($A1404,2))&gt;60,"","Powiat "),IF(VALUE(RIGHT($A1404,1))=1,"m. ",IF(VALUE(RIGHT($A1404,1))=2,"gm. w. ",IF(VALUE(RIGHT($A1404,1))=8,"dz. ","gm. m.-w. ")))))&amp;IF(LEN($A1404)=2,TRIM(UPPER(VLOOKUP($A1404,GUS_tabl_1!$A$7:$B$22,2,FALSE))),IF(ISERROR(FIND("..",TRIM(VLOOKUP(IF(AND(LEN($A1404)=4,VALUE(RIGHT($A1404,2))&gt;60),$A1404&amp;"01 1",$A1404),IF(AND(LEN($A1404)=4,VALUE(RIGHT($A1404,2))&lt;60),GUS_tabl_2!$A$8:$B$464,GUS_tabl_21!$A$5:$B$4886),2,FALSE)))),TRIM(VLOOKUP(IF(AND(LEN($A1404)=4,VALUE(RIGHT($A1404,2))&gt;60),$A1404&amp;"01 1",$A1404),IF(AND(LEN($A1404)=4,VALUE(RIGHT($A1404,2))&lt;60),GUS_tabl_2!$A$8:$B$464,GUS_tabl_21!$A$5:$B$4886),2,FALSE)),LEFT(TRIM(VLOOKUP(IF(AND(LEN($A1404)=4,VALUE(RIGHT($A1404,2))&gt;60),$A1404&amp;"01 1",$A1404),IF(AND(LEN($A1404)=4,VALUE(RIGHT($A1404,2))&lt;60),GUS_tabl_2!$A$8:$B$464,GUS_tabl_21!$A$5:$B$4886),2,FALSE)),SUM(FIND("..",TRIM(VLOOKUP(IF(AND(LEN($A1404)=4,VALUE(RIGHT($A1404,2))&gt;60),$A1404&amp;"01 1",$A1404),IF(AND(LEN($A1404)=4,VALUE(RIGHT($A1404,2))&lt;60),GUS_tabl_2!$A$8:$B$464,GUS_tabl_21!$A$5:$B$4886),2,FALSE))),-1)))))</f>
        <v>gm. w. Zbuczyn</v>
      </c>
      <c r="D1404" s="141">
        <f>IF(OR($A1404="",ISERROR(VALUE(LEFT($A1404,6)))),"",IF(LEN($A1404)=2,SUMIF($A1405:$A$2965,$A1404&amp;"??",$D1405:$D$2965),IF(AND(LEN($A1404)=4,VALUE(RIGHT($A1404,2))&lt;=60),SUMIF($A1405:$A$2965,$A1404&amp;"????",$D1405:$D$2965),VLOOKUP(IF(LEN($A1404)=4,$A1404&amp;"01 1",$A1404),GUS_tabl_21!$A$5:$F$4886,6,FALSE))))</f>
        <v>10106</v>
      </c>
      <c r="E1404" s="29"/>
    </row>
    <row r="1405" spans="1:5" ht="12" customHeight="1">
      <c r="A1405" s="152" t="str">
        <f>"1427"</f>
        <v>1427</v>
      </c>
      <c r="B1405" s="153" t="s">
        <v>45</v>
      </c>
      <c r="C1405" s="154" t="str">
        <f>IF(OR($A1405="",ISERROR(VALUE(LEFT($A1405,6)))),"",IF(LEN($A1405)=2,"WOJ. ",IF(LEN($A1405)=4,IF(VALUE(RIGHT($A1405,2))&gt;60,"","Powiat "),IF(VALUE(RIGHT($A1405,1))=1,"m. ",IF(VALUE(RIGHT($A1405,1))=2,"gm. w. ",IF(VALUE(RIGHT($A1405,1))=8,"dz. ","gm. m.-w. ")))))&amp;IF(LEN($A1405)=2,TRIM(UPPER(VLOOKUP($A1405,GUS_tabl_1!$A$7:$B$22,2,FALSE))),IF(ISERROR(FIND("..",TRIM(VLOOKUP(IF(AND(LEN($A1405)=4,VALUE(RIGHT($A1405,2))&gt;60),$A1405&amp;"01 1",$A1405),IF(AND(LEN($A1405)=4,VALUE(RIGHT($A1405,2))&lt;60),GUS_tabl_2!$A$8:$B$464,GUS_tabl_21!$A$5:$B$4886),2,FALSE)))),TRIM(VLOOKUP(IF(AND(LEN($A1405)=4,VALUE(RIGHT($A1405,2))&gt;60),$A1405&amp;"01 1",$A1405),IF(AND(LEN($A1405)=4,VALUE(RIGHT($A1405,2))&lt;60),GUS_tabl_2!$A$8:$B$464,GUS_tabl_21!$A$5:$B$4886),2,FALSE)),LEFT(TRIM(VLOOKUP(IF(AND(LEN($A1405)=4,VALUE(RIGHT($A1405,2))&gt;60),$A1405&amp;"01 1",$A1405),IF(AND(LEN($A1405)=4,VALUE(RIGHT($A1405,2))&lt;60),GUS_tabl_2!$A$8:$B$464,GUS_tabl_21!$A$5:$B$4886),2,FALSE)),SUM(FIND("..",TRIM(VLOOKUP(IF(AND(LEN($A1405)=4,VALUE(RIGHT($A1405,2))&gt;60),$A1405&amp;"01 1",$A1405),IF(AND(LEN($A1405)=4,VALUE(RIGHT($A1405,2))&lt;60),GUS_tabl_2!$A$8:$B$464,GUS_tabl_21!$A$5:$B$4886),2,FALSE))),-1)))))</f>
        <v>Powiat sierpecki</v>
      </c>
      <c r="D1405" s="140">
        <f>IF(OR($A1405="",ISERROR(VALUE(LEFT($A1405,6)))),"",IF(LEN($A1405)=2,SUMIF($A1406:$A$2965,$A1405&amp;"??",$D1406:$D$2965),IF(AND(LEN($A1405)=4,VALUE(RIGHT($A1405,2))&lt;=60),SUMIF($A1406:$A$2965,$A1405&amp;"????",$D1406:$D$2965),VLOOKUP(IF(LEN($A1405)=4,$A1405&amp;"01 1",$A1405),GUS_tabl_21!$A$5:$F$4886,6,FALSE))))</f>
        <v>51954</v>
      </c>
      <c r="E1405" s="29"/>
    </row>
    <row r="1406" spans="1:5" ht="12" customHeight="1">
      <c r="A1406" s="155" t="str">
        <f>"142701 1"</f>
        <v>142701 1</v>
      </c>
      <c r="B1406" s="153" t="s">
        <v>45</v>
      </c>
      <c r="C1406" s="156" t="str">
        <f>IF(OR($A1406="",ISERROR(VALUE(LEFT($A1406,6)))),"",IF(LEN($A1406)=2,"WOJ. ",IF(LEN($A1406)=4,IF(VALUE(RIGHT($A1406,2))&gt;60,"","Powiat "),IF(VALUE(RIGHT($A1406,1))=1,"m. ",IF(VALUE(RIGHT($A1406,1))=2,"gm. w. ",IF(VALUE(RIGHT($A1406,1))=8,"dz. ","gm. m.-w. ")))))&amp;IF(LEN($A1406)=2,TRIM(UPPER(VLOOKUP($A1406,GUS_tabl_1!$A$7:$B$22,2,FALSE))),IF(ISERROR(FIND("..",TRIM(VLOOKUP(IF(AND(LEN($A1406)=4,VALUE(RIGHT($A1406,2))&gt;60),$A1406&amp;"01 1",$A1406),IF(AND(LEN($A1406)=4,VALUE(RIGHT($A1406,2))&lt;60),GUS_tabl_2!$A$8:$B$464,GUS_tabl_21!$A$5:$B$4886),2,FALSE)))),TRIM(VLOOKUP(IF(AND(LEN($A1406)=4,VALUE(RIGHT($A1406,2))&gt;60),$A1406&amp;"01 1",$A1406),IF(AND(LEN($A1406)=4,VALUE(RIGHT($A1406,2))&lt;60),GUS_tabl_2!$A$8:$B$464,GUS_tabl_21!$A$5:$B$4886),2,FALSE)),LEFT(TRIM(VLOOKUP(IF(AND(LEN($A1406)=4,VALUE(RIGHT($A1406,2))&gt;60),$A1406&amp;"01 1",$A1406),IF(AND(LEN($A1406)=4,VALUE(RIGHT($A1406,2))&lt;60),GUS_tabl_2!$A$8:$B$464,GUS_tabl_21!$A$5:$B$4886),2,FALSE)),SUM(FIND("..",TRIM(VLOOKUP(IF(AND(LEN($A1406)=4,VALUE(RIGHT($A1406,2))&gt;60),$A1406&amp;"01 1",$A1406),IF(AND(LEN($A1406)=4,VALUE(RIGHT($A1406,2))&lt;60),GUS_tabl_2!$A$8:$B$464,GUS_tabl_21!$A$5:$B$4886),2,FALSE))),-1)))))</f>
        <v>m. Sierpc</v>
      </c>
      <c r="D1406" s="141">
        <f>IF(OR($A1406="",ISERROR(VALUE(LEFT($A1406,6)))),"",IF(LEN($A1406)=2,SUMIF($A1407:$A$2965,$A1406&amp;"??",$D1407:$D$2965),IF(AND(LEN($A1406)=4,VALUE(RIGHT($A1406,2))&lt;=60),SUMIF($A1407:$A$2965,$A1406&amp;"????",$D1407:$D$2965),VLOOKUP(IF(LEN($A1406)=4,$A1406&amp;"01 1",$A1406),GUS_tabl_21!$A$5:$F$4886,6,FALSE))))</f>
        <v>17933</v>
      </c>
      <c r="E1406" s="29"/>
    </row>
    <row r="1407" spans="1:5" ht="12" customHeight="1">
      <c r="A1407" s="155" t="str">
        <f>"142702 2"</f>
        <v>142702 2</v>
      </c>
      <c r="B1407" s="153" t="s">
        <v>45</v>
      </c>
      <c r="C1407" s="156" t="str">
        <f>IF(OR($A1407="",ISERROR(VALUE(LEFT($A1407,6)))),"",IF(LEN($A1407)=2,"WOJ. ",IF(LEN($A1407)=4,IF(VALUE(RIGHT($A1407,2))&gt;60,"","Powiat "),IF(VALUE(RIGHT($A1407,1))=1,"m. ",IF(VALUE(RIGHT($A1407,1))=2,"gm. w. ",IF(VALUE(RIGHT($A1407,1))=8,"dz. ","gm. m.-w. ")))))&amp;IF(LEN($A1407)=2,TRIM(UPPER(VLOOKUP($A1407,GUS_tabl_1!$A$7:$B$22,2,FALSE))),IF(ISERROR(FIND("..",TRIM(VLOOKUP(IF(AND(LEN($A1407)=4,VALUE(RIGHT($A1407,2))&gt;60),$A1407&amp;"01 1",$A1407),IF(AND(LEN($A1407)=4,VALUE(RIGHT($A1407,2))&lt;60),GUS_tabl_2!$A$8:$B$464,GUS_tabl_21!$A$5:$B$4886),2,FALSE)))),TRIM(VLOOKUP(IF(AND(LEN($A1407)=4,VALUE(RIGHT($A1407,2))&gt;60),$A1407&amp;"01 1",$A1407),IF(AND(LEN($A1407)=4,VALUE(RIGHT($A1407,2))&lt;60),GUS_tabl_2!$A$8:$B$464,GUS_tabl_21!$A$5:$B$4886),2,FALSE)),LEFT(TRIM(VLOOKUP(IF(AND(LEN($A1407)=4,VALUE(RIGHT($A1407,2))&gt;60),$A1407&amp;"01 1",$A1407),IF(AND(LEN($A1407)=4,VALUE(RIGHT($A1407,2))&lt;60),GUS_tabl_2!$A$8:$B$464,GUS_tabl_21!$A$5:$B$4886),2,FALSE)),SUM(FIND("..",TRIM(VLOOKUP(IF(AND(LEN($A1407)=4,VALUE(RIGHT($A1407,2))&gt;60),$A1407&amp;"01 1",$A1407),IF(AND(LEN($A1407)=4,VALUE(RIGHT($A1407,2))&lt;60),GUS_tabl_2!$A$8:$B$464,GUS_tabl_21!$A$5:$B$4886),2,FALSE))),-1)))))</f>
        <v>gm. w. Gozdowo</v>
      </c>
      <c r="D1407" s="141">
        <f>IF(OR($A1407="",ISERROR(VALUE(LEFT($A1407,6)))),"",IF(LEN($A1407)=2,SUMIF($A1408:$A$2965,$A1407&amp;"??",$D1408:$D$2965),IF(AND(LEN($A1407)=4,VALUE(RIGHT($A1407,2))&lt;=60),SUMIF($A1408:$A$2965,$A1407&amp;"????",$D1408:$D$2965),VLOOKUP(IF(LEN($A1407)=4,$A1407&amp;"01 1",$A1407),GUS_tabl_21!$A$5:$F$4886,6,FALSE))))</f>
        <v>5943</v>
      </c>
      <c r="E1407" s="29"/>
    </row>
    <row r="1408" spans="1:5" ht="12" customHeight="1">
      <c r="A1408" s="155" t="str">
        <f>"142703 2"</f>
        <v>142703 2</v>
      </c>
      <c r="B1408" s="153" t="s">
        <v>45</v>
      </c>
      <c r="C1408" s="156" t="str">
        <f>IF(OR($A1408="",ISERROR(VALUE(LEFT($A1408,6)))),"",IF(LEN($A1408)=2,"WOJ. ",IF(LEN($A1408)=4,IF(VALUE(RIGHT($A1408,2))&gt;60,"","Powiat "),IF(VALUE(RIGHT($A1408,1))=1,"m. ",IF(VALUE(RIGHT($A1408,1))=2,"gm. w. ",IF(VALUE(RIGHT($A1408,1))=8,"dz. ","gm. m.-w. ")))))&amp;IF(LEN($A1408)=2,TRIM(UPPER(VLOOKUP($A1408,GUS_tabl_1!$A$7:$B$22,2,FALSE))),IF(ISERROR(FIND("..",TRIM(VLOOKUP(IF(AND(LEN($A1408)=4,VALUE(RIGHT($A1408,2))&gt;60),$A1408&amp;"01 1",$A1408),IF(AND(LEN($A1408)=4,VALUE(RIGHT($A1408,2))&lt;60),GUS_tabl_2!$A$8:$B$464,GUS_tabl_21!$A$5:$B$4886),2,FALSE)))),TRIM(VLOOKUP(IF(AND(LEN($A1408)=4,VALUE(RIGHT($A1408,2))&gt;60),$A1408&amp;"01 1",$A1408),IF(AND(LEN($A1408)=4,VALUE(RIGHT($A1408,2))&lt;60),GUS_tabl_2!$A$8:$B$464,GUS_tabl_21!$A$5:$B$4886),2,FALSE)),LEFT(TRIM(VLOOKUP(IF(AND(LEN($A1408)=4,VALUE(RIGHT($A1408,2))&gt;60),$A1408&amp;"01 1",$A1408),IF(AND(LEN($A1408)=4,VALUE(RIGHT($A1408,2))&lt;60),GUS_tabl_2!$A$8:$B$464,GUS_tabl_21!$A$5:$B$4886),2,FALSE)),SUM(FIND("..",TRIM(VLOOKUP(IF(AND(LEN($A1408)=4,VALUE(RIGHT($A1408,2))&gt;60),$A1408&amp;"01 1",$A1408),IF(AND(LEN($A1408)=4,VALUE(RIGHT($A1408,2))&lt;60),GUS_tabl_2!$A$8:$B$464,GUS_tabl_21!$A$5:$B$4886),2,FALSE))),-1)))))</f>
        <v>gm. w. Mochowo</v>
      </c>
      <c r="D1408" s="141">
        <f>IF(OR($A1408="",ISERROR(VALUE(LEFT($A1408,6)))),"",IF(LEN($A1408)=2,SUMIF($A1409:$A$2965,$A1408&amp;"??",$D1409:$D$2965),IF(AND(LEN($A1408)=4,VALUE(RIGHT($A1408,2))&lt;=60),SUMIF($A1409:$A$2965,$A1408&amp;"????",$D1409:$D$2965),VLOOKUP(IF(LEN($A1408)=4,$A1408&amp;"01 1",$A1408),GUS_tabl_21!$A$5:$F$4886,6,FALSE))))</f>
        <v>6009</v>
      </c>
      <c r="E1408" s="29"/>
    </row>
    <row r="1409" spans="1:5" ht="12" customHeight="1">
      <c r="A1409" s="155" t="str">
        <f>"142704 2"</f>
        <v>142704 2</v>
      </c>
      <c r="B1409" s="153" t="s">
        <v>45</v>
      </c>
      <c r="C1409" s="156" t="str">
        <f>IF(OR($A1409="",ISERROR(VALUE(LEFT($A1409,6)))),"",IF(LEN($A1409)=2,"WOJ. ",IF(LEN($A1409)=4,IF(VALUE(RIGHT($A1409,2))&gt;60,"","Powiat "),IF(VALUE(RIGHT($A1409,1))=1,"m. ",IF(VALUE(RIGHT($A1409,1))=2,"gm. w. ",IF(VALUE(RIGHT($A1409,1))=8,"dz. ","gm. m.-w. ")))))&amp;IF(LEN($A1409)=2,TRIM(UPPER(VLOOKUP($A1409,GUS_tabl_1!$A$7:$B$22,2,FALSE))),IF(ISERROR(FIND("..",TRIM(VLOOKUP(IF(AND(LEN($A1409)=4,VALUE(RIGHT($A1409,2))&gt;60),$A1409&amp;"01 1",$A1409),IF(AND(LEN($A1409)=4,VALUE(RIGHT($A1409,2))&lt;60),GUS_tabl_2!$A$8:$B$464,GUS_tabl_21!$A$5:$B$4886),2,FALSE)))),TRIM(VLOOKUP(IF(AND(LEN($A1409)=4,VALUE(RIGHT($A1409,2))&gt;60),$A1409&amp;"01 1",$A1409),IF(AND(LEN($A1409)=4,VALUE(RIGHT($A1409,2))&lt;60),GUS_tabl_2!$A$8:$B$464,GUS_tabl_21!$A$5:$B$4886),2,FALSE)),LEFT(TRIM(VLOOKUP(IF(AND(LEN($A1409)=4,VALUE(RIGHT($A1409,2))&gt;60),$A1409&amp;"01 1",$A1409),IF(AND(LEN($A1409)=4,VALUE(RIGHT($A1409,2))&lt;60),GUS_tabl_2!$A$8:$B$464,GUS_tabl_21!$A$5:$B$4886),2,FALSE)),SUM(FIND("..",TRIM(VLOOKUP(IF(AND(LEN($A1409)=4,VALUE(RIGHT($A1409,2))&gt;60),$A1409&amp;"01 1",$A1409),IF(AND(LEN($A1409)=4,VALUE(RIGHT($A1409,2))&lt;60),GUS_tabl_2!$A$8:$B$464,GUS_tabl_21!$A$5:$B$4886),2,FALSE))),-1)))))</f>
        <v>gm. w. Rościszewo</v>
      </c>
      <c r="D1409" s="141">
        <f>IF(OR($A1409="",ISERROR(VALUE(LEFT($A1409,6)))),"",IF(LEN($A1409)=2,SUMIF($A1410:$A$2965,$A1409&amp;"??",$D1410:$D$2965),IF(AND(LEN($A1409)=4,VALUE(RIGHT($A1409,2))&lt;=60),SUMIF($A1410:$A$2965,$A1409&amp;"????",$D1410:$D$2965),VLOOKUP(IF(LEN($A1409)=4,$A1409&amp;"01 1",$A1409),GUS_tabl_21!$A$5:$F$4886,6,FALSE))))</f>
        <v>4139</v>
      </c>
      <c r="E1409" s="29"/>
    </row>
    <row r="1410" spans="1:5" ht="12" customHeight="1">
      <c r="A1410" s="155" t="str">
        <f>"142705 2"</f>
        <v>142705 2</v>
      </c>
      <c r="B1410" s="153" t="s">
        <v>45</v>
      </c>
      <c r="C1410" s="156" t="str">
        <f>IF(OR($A1410="",ISERROR(VALUE(LEFT($A1410,6)))),"",IF(LEN($A1410)=2,"WOJ. ",IF(LEN($A1410)=4,IF(VALUE(RIGHT($A1410,2))&gt;60,"","Powiat "),IF(VALUE(RIGHT($A1410,1))=1,"m. ",IF(VALUE(RIGHT($A1410,1))=2,"gm. w. ",IF(VALUE(RIGHT($A1410,1))=8,"dz. ","gm. m.-w. ")))))&amp;IF(LEN($A1410)=2,TRIM(UPPER(VLOOKUP($A1410,GUS_tabl_1!$A$7:$B$22,2,FALSE))),IF(ISERROR(FIND("..",TRIM(VLOOKUP(IF(AND(LEN($A1410)=4,VALUE(RIGHT($A1410,2))&gt;60),$A1410&amp;"01 1",$A1410),IF(AND(LEN($A1410)=4,VALUE(RIGHT($A1410,2))&lt;60),GUS_tabl_2!$A$8:$B$464,GUS_tabl_21!$A$5:$B$4886),2,FALSE)))),TRIM(VLOOKUP(IF(AND(LEN($A1410)=4,VALUE(RIGHT($A1410,2))&gt;60),$A1410&amp;"01 1",$A1410),IF(AND(LEN($A1410)=4,VALUE(RIGHT($A1410,2))&lt;60),GUS_tabl_2!$A$8:$B$464,GUS_tabl_21!$A$5:$B$4886),2,FALSE)),LEFT(TRIM(VLOOKUP(IF(AND(LEN($A1410)=4,VALUE(RIGHT($A1410,2))&gt;60),$A1410&amp;"01 1",$A1410),IF(AND(LEN($A1410)=4,VALUE(RIGHT($A1410,2))&lt;60),GUS_tabl_2!$A$8:$B$464,GUS_tabl_21!$A$5:$B$4886),2,FALSE)),SUM(FIND("..",TRIM(VLOOKUP(IF(AND(LEN($A1410)=4,VALUE(RIGHT($A1410,2))&gt;60),$A1410&amp;"01 1",$A1410),IF(AND(LEN($A1410)=4,VALUE(RIGHT($A1410,2))&lt;60),GUS_tabl_2!$A$8:$B$464,GUS_tabl_21!$A$5:$B$4886),2,FALSE))),-1)))))</f>
        <v>gm. w. Sierpc</v>
      </c>
      <c r="D1410" s="141">
        <f>IF(OR($A1410="",ISERROR(VALUE(LEFT($A1410,6)))),"",IF(LEN($A1410)=2,SUMIF($A1411:$A$2965,$A1410&amp;"??",$D1411:$D$2965),IF(AND(LEN($A1410)=4,VALUE(RIGHT($A1410,2))&lt;=60),SUMIF($A1411:$A$2965,$A1410&amp;"????",$D1411:$D$2965),VLOOKUP(IF(LEN($A1410)=4,$A1410&amp;"01 1",$A1410),GUS_tabl_21!$A$5:$F$4886,6,FALSE))))</f>
        <v>7042</v>
      </c>
      <c r="E1410" s="29"/>
    </row>
    <row r="1411" spans="1:5" ht="12" customHeight="1">
      <c r="A1411" s="155" t="str">
        <f>"142706 2"</f>
        <v>142706 2</v>
      </c>
      <c r="B1411" s="153" t="s">
        <v>45</v>
      </c>
      <c r="C1411" s="156" t="str">
        <f>IF(OR($A1411="",ISERROR(VALUE(LEFT($A1411,6)))),"",IF(LEN($A1411)=2,"WOJ. ",IF(LEN($A1411)=4,IF(VALUE(RIGHT($A1411,2))&gt;60,"","Powiat "),IF(VALUE(RIGHT($A1411,1))=1,"m. ",IF(VALUE(RIGHT($A1411,1))=2,"gm. w. ",IF(VALUE(RIGHT($A1411,1))=8,"dz. ","gm. m.-w. ")))))&amp;IF(LEN($A1411)=2,TRIM(UPPER(VLOOKUP($A1411,GUS_tabl_1!$A$7:$B$22,2,FALSE))),IF(ISERROR(FIND("..",TRIM(VLOOKUP(IF(AND(LEN($A1411)=4,VALUE(RIGHT($A1411,2))&gt;60),$A1411&amp;"01 1",$A1411),IF(AND(LEN($A1411)=4,VALUE(RIGHT($A1411,2))&lt;60),GUS_tabl_2!$A$8:$B$464,GUS_tabl_21!$A$5:$B$4886),2,FALSE)))),TRIM(VLOOKUP(IF(AND(LEN($A1411)=4,VALUE(RIGHT($A1411,2))&gt;60),$A1411&amp;"01 1",$A1411),IF(AND(LEN($A1411)=4,VALUE(RIGHT($A1411,2))&lt;60),GUS_tabl_2!$A$8:$B$464,GUS_tabl_21!$A$5:$B$4886),2,FALSE)),LEFT(TRIM(VLOOKUP(IF(AND(LEN($A1411)=4,VALUE(RIGHT($A1411,2))&gt;60),$A1411&amp;"01 1",$A1411),IF(AND(LEN($A1411)=4,VALUE(RIGHT($A1411,2))&lt;60),GUS_tabl_2!$A$8:$B$464,GUS_tabl_21!$A$5:$B$4886),2,FALSE)),SUM(FIND("..",TRIM(VLOOKUP(IF(AND(LEN($A1411)=4,VALUE(RIGHT($A1411,2))&gt;60),$A1411&amp;"01 1",$A1411),IF(AND(LEN($A1411)=4,VALUE(RIGHT($A1411,2))&lt;60),GUS_tabl_2!$A$8:$B$464,GUS_tabl_21!$A$5:$B$4886),2,FALSE))),-1)))))</f>
        <v>gm. w. Szczutowo</v>
      </c>
      <c r="D1411" s="141">
        <f>IF(OR($A1411="",ISERROR(VALUE(LEFT($A1411,6)))),"",IF(LEN($A1411)=2,SUMIF($A1412:$A$2965,$A1411&amp;"??",$D1412:$D$2965),IF(AND(LEN($A1411)=4,VALUE(RIGHT($A1411,2))&lt;=60),SUMIF($A1412:$A$2965,$A1411&amp;"????",$D1412:$D$2965),VLOOKUP(IF(LEN($A1411)=4,$A1411&amp;"01 1",$A1411),GUS_tabl_21!$A$5:$F$4886,6,FALSE))))</f>
        <v>4310</v>
      </c>
      <c r="E1411" s="29"/>
    </row>
    <row r="1412" spans="1:5" ht="12" customHeight="1">
      <c r="A1412" s="155" t="str">
        <f>"142707 2"</f>
        <v>142707 2</v>
      </c>
      <c r="B1412" s="153" t="s">
        <v>45</v>
      </c>
      <c r="C1412" s="156" t="str">
        <f>IF(OR($A1412="",ISERROR(VALUE(LEFT($A1412,6)))),"",IF(LEN($A1412)=2,"WOJ. ",IF(LEN($A1412)=4,IF(VALUE(RIGHT($A1412,2))&gt;60,"","Powiat "),IF(VALUE(RIGHT($A1412,1))=1,"m. ",IF(VALUE(RIGHT($A1412,1))=2,"gm. w. ",IF(VALUE(RIGHT($A1412,1))=8,"dz. ","gm. m.-w. ")))))&amp;IF(LEN($A1412)=2,TRIM(UPPER(VLOOKUP($A1412,GUS_tabl_1!$A$7:$B$22,2,FALSE))),IF(ISERROR(FIND("..",TRIM(VLOOKUP(IF(AND(LEN($A1412)=4,VALUE(RIGHT($A1412,2))&gt;60),$A1412&amp;"01 1",$A1412),IF(AND(LEN($A1412)=4,VALUE(RIGHT($A1412,2))&lt;60),GUS_tabl_2!$A$8:$B$464,GUS_tabl_21!$A$5:$B$4886),2,FALSE)))),TRIM(VLOOKUP(IF(AND(LEN($A1412)=4,VALUE(RIGHT($A1412,2))&gt;60),$A1412&amp;"01 1",$A1412),IF(AND(LEN($A1412)=4,VALUE(RIGHT($A1412,2))&lt;60),GUS_tabl_2!$A$8:$B$464,GUS_tabl_21!$A$5:$B$4886),2,FALSE)),LEFT(TRIM(VLOOKUP(IF(AND(LEN($A1412)=4,VALUE(RIGHT($A1412,2))&gt;60),$A1412&amp;"01 1",$A1412),IF(AND(LEN($A1412)=4,VALUE(RIGHT($A1412,2))&lt;60),GUS_tabl_2!$A$8:$B$464,GUS_tabl_21!$A$5:$B$4886),2,FALSE)),SUM(FIND("..",TRIM(VLOOKUP(IF(AND(LEN($A1412)=4,VALUE(RIGHT($A1412,2))&gt;60),$A1412&amp;"01 1",$A1412),IF(AND(LEN($A1412)=4,VALUE(RIGHT($A1412,2))&lt;60),GUS_tabl_2!$A$8:$B$464,GUS_tabl_21!$A$5:$B$4886),2,FALSE))),-1)))))</f>
        <v>gm. w. Zawidz</v>
      </c>
      <c r="D1412" s="141">
        <f>IF(OR($A1412="",ISERROR(VALUE(LEFT($A1412,6)))),"",IF(LEN($A1412)=2,SUMIF($A1413:$A$2965,$A1412&amp;"??",$D1413:$D$2965),IF(AND(LEN($A1412)=4,VALUE(RIGHT($A1412,2))&lt;=60),SUMIF($A1413:$A$2965,$A1412&amp;"????",$D1413:$D$2965),VLOOKUP(IF(LEN($A1412)=4,$A1412&amp;"01 1",$A1412),GUS_tabl_21!$A$5:$F$4886,6,FALSE))))</f>
        <v>6578</v>
      </c>
      <c r="E1412" s="29"/>
    </row>
    <row r="1413" spans="1:5" ht="12" customHeight="1">
      <c r="A1413" s="152" t="str">
        <f>"1428"</f>
        <v>1428</v>
      </c>
      <c r="B1413" s="153" t="s">
        <v>45</v>
      </c>
      <c r="C1413" s="154" t="str">
        <f>IF(OR($A1413="",ISERROR(VALUE(LEFT($A1413,6)))),"",IF(LEN($A1413)=2,"WOJ. ",IF(LEN($A1413)=4,IF(VALUE(RIGHT($A1413,2))&gt;60,"","Powiat "),IF(VALUE(RIGHT($A1413,1))=1,"m. ",IF(VALUE(RIGHT($A1413,1))=2,"gm. w. ",IF(VALUE(RIGHT($A1413,1))=8,"dz. ","gm. m.-w. ")))))&amp;IF(LEN($A1413)=2,TRIM(UPPER(VLOOKUP($A1413,GUS_tabl_1!$A$7:$B$22,2,FALSE))),IF(ISERROR(FIND("..",TRIM(VLOOKUP(IF(AND(LEN($A1413)=4,VALUE(RIGHT($A1413,2))&gt;60),$A1413&amp;"01 1",$A1413),IF(AND(LEN($A1413)=4,VALUE(RIGHT($A1413,2))&lt;60),GUS_tabl_2!$A$8:$B$464,GUS_tabl_21!$A$5:$B$4886),2,FALSE)))),TRIM(VLOOKUP(IF(AND(LEN($A1413)=4,VALUE(RIGHT($A1413,2))&gt;60),$A1413&amp;"01 1",$A1413),IF(AND(LEN($A1413)=4,VALUE(RIGHT($A1413,2))&lt;60),GUS_tabl_2!$A$8:$B$464,GUS_tabl_21!$A$5:$B$4886),2,FALSE)),LEFT(TRIM(VLOOKUP(IF(AND(LEN($A1413)=4,VALUE(RIGHT($A1413,2))&gt;60),$A1413&amp;"01 1",$A1413),IF(AND(LEN($A1413)=4,VALUE(RIGHT($A1413,2))&lt;60),GUS_tabl_2!$A$8:$B$464,GUS_tabl_21!$A$5:$B$4886),2,FALSE)),SUM(FIND("..",TRIM(VLOOKUP(IF(AND(LEN($A1413)=4,VALUE(RIGHT($A1413,2))&gt;60),$A1413&amp;"01 1",$A1413),IF(AND(LEN($A1413)=4,VALUE(RIGHT($A1413,2))&lt;60),GUS_tabl_2!$A$8:$B$464,GUS_tabl_21!$A$5:$B$4886),2,FALSE))),-1)))))</f>
        <v>Powiat sochaczewski</v>
      </c>
      <c r="D1413" s="140">
        <f>IF(OR($A1413="",ISERROR(VALUE(LEFT($A1413,6)))),"",IF(LEN($A1413)=2,SUMIF($A1414:$A$2965,$A1413&amp;"??",$D1414:$D$2965),IF(AND(LEN($A1413)=4,VALUE(RIGHT($A1413,2))&lt;=60),SUMIF($A1414:$A$2965,$A1413&amp;"????",$D1414:$D$2965),VLOOKUP(IF(LEN($A1413)=4,$A1413&amp;"01 1",$A1413),GUS_tabl_21!$A$5:$F$4886,6,FALSE))))</f>
        <v>85045</v>
      </c>
      <c r="E1413" s="29"/>
    </row>
    <row r="1414" spans="1:5" ht="12" customHeight="1">
      <c r="A1414" s="155" t="str">
        <f>"142801 1"</f>
        <v>142801 1</v>
      </c>
      <c r="B1414" s="153" t="s">
        <v>45</v>
      </c>
      <c r="C1414" s="156" t="str">
        <f>IF(OR($A1414="",ISERROR(VALUE(LEFT($A1414,6)))),"",IF(LEN($A1414)=2,"WOJ. ",IF(LEN($A1414)=4,IF(VALUE(RIGHT($A1414,2))&gt;60,"","Powiat "),IF(VALUE(RIGHT($A1414,1))=1,"m. ",IF(VALUE(RIGHT($A1414,1))=2,"gm. w. ",IF(VALUE(RIGHT($A1414,1))=8,"dz. ","gm. m.-w. ")))))&amp;IF(LEN($A1414)=2,TRIM(UPPER(VLOOKUP($A1414,GUS_tabl_1!$A$7:$B$22,2,FALSE))),IF(ISERROR(FIND("..",TRIM(VLOOKUP(IF(AND(LEN($A1414)=4,VALUE(RIGHT($A1414,2))&gt;60),$A1414&amp;"01 1",$A1414),IF(AND(LEN($A1414)=4,VALUE(RIGHT($A1414,2))&lt;60),GUS_tabl_2!$A$8:$B$464,GUS_tabl_21!$A$5:$B$4886),2,FALSE)))),TRIM(VLOOKUP(IF(AND(LEN($A1414)=4,VALUE(RIGHT($A1414,2))&gt;60),$A1414&amp;"01 1",$A1414),IF(AND(LEN($A1414)=4,VALUE(RIGHT($A1414,2))&lt;60),GUS_tabl_2!$A$8:$B$464,GUS_tabl_21!$A$5:$B$4886),2,FALSE)),LEFT(TRIM(VLOOKUP(IF(AND(LEN($A1414)=4,VALUE(RIGHT($A1414,2))&gt;60),$A1414&amp;"01 1",$A1414),IF(AND(LEN($A1414)=4,VALUE(RIGHT($A1414,2))&lt;60),GUS_tabl_2!$A$8:$B$464,GUS_tabl_21!$A$5:$B$4886),2,FALSE)),SUM(FIND("..",TRIM(VLOOKUP(IF(AND(LEN($A1414)=4,VALUE(RIGHT($A1414,2))&gt;60),$A1414&amp;"01 1",$A1414),IF(AND(LEN($A1414)=4,VALUE(RIGHT($A1414,2))&lt;60),GUS_tabl_2!$A$8:$B$464,GUS_tabl_21!$A$5:$B$4886),2,FALSE))),-1)))))</f>
        <v>m. Sochaczew</v>
      </c>
      <c r="D1414" s="141">
        <f>IF(OR($A1414="",ISERROR(VALUE(LEFT($A1414,6)))),"",IF(LEN($A1414)=2,SUMIF($A1415:$A$2965,$A1414&amp;"??",$D1415:$D$2965),IF(AND(LEN($A1414)=4,VALUE(RIGHT($A1414,2))&lt;=60),SUMIF($A1415:$A$2965,$A1414&amp;"????",$D1415:$D$2965),VLOOKUP(IF(LEN($A1414)=4,$A1414&amp;"01 1",$A1414),GUS_tabl_21!$A$5:$F$4886,6,FALSE))))</f>
        <v>36282</v>
      </c>
      <c r="E1414" s="29"/>
    </row>
    <row r="1415" spans="1:5" ht="12" customHeight="1">
      <c r="A1415" s="155" t="str">
        <f>"142802 2"</f>
        <v>142802 2</v>
      </c>
      <c r="B1415" s="153" t="s">
        <v>45</v>
      </c>
      <c r="C1415" s="156" t="str">
        <f>IF(OR($A1415="",ISERROR(VALUE(LEFT($A1415,6)))),"",IF(LEN($A1415)=2,"WOJ. ",IF(LEN($A1415)=4,IF(VALUE(RIGHT($A1415,2))&gt;60,"","Powiat "),IF(VALUE(RIGHT($A1415,1))=1,"m. ",IF(VALUE(RIGHT($A1415,1))=2,"gm. w. ",IF(VALUE(RIGHT($A1415,1))=8,"dz. ","gm. m.-w. ")))))&amp;IF(LEN($A1415)=2,TRIM(UPPER(VLOOKUP($A1415,GUS_tabl_1!$A$7:$B$22,2,FALSE))),IF(ISERROR(FIND("..",TRIM(VLOOKUP(IF(AND(LEN($A1415)=4,VALUE(RIGHT($A1415,2))&gt;60),$A1415&amp;"01 1",$A1415),IF(AND(LEN($A1415)=4,VALUE(RIGHT($A1415,2))&lt;60),GUS_tabl_2!$A$8:$B$464,GUS_tabl_21!$A$5:$B$4886),2,FALSE)))),TRIM(VLOOKUP(IF(AND(LEN($A1415)=4,VALUE(RIGHT($A1415,2))&gt;60),$A1415&amp;"01 1",$A1415),IF(AND(LEN($A1415)=4,VALUE(RIGHT($A1415,2))&lt;60),GUS_tabl_2!$A$8:$B$464,GUS_tabl_21!$A$5:$B$4886),2,FALSE)),LEFT(TRIM(VLOOKUP(IF(AND(LEN($A1415)=4,VALUE(RIGHT($A1415,2))&gt;60),$A1415&amp;"01 1",$A1415),IF(AND(LEN($A1415)=4,VALUE(RIGHT($A1415,2))&lt;60),GUS_tabl_2!$A$8:$B$464,GUS_tabl_21!$A$5:$B$4886),2,FALSE)),SUM(FIND("..",TRIM(VLOOKUP(IF(AND(LEN($A1415)=4,VALUE(RIGHT($A1415,2))&gt;60),$A1415&amp;"01 1",$A1415),IF(AND(LEN($A1415)=4,VALUE(RIGHT($A1415,2))&lt;60),GUS_tabl_2!$A$8:$B$464,GUS_tabl_21!$A$5:$B$4886),2,FALSE))),-1)))))</f>
        <v>gm. w. Brochów</v>
      </c>
      <c r="D1415" s="141">
        <f>IF(OR($A1415="",ISERROR(VALUE(LEFT($A1415,6)))),"",IF(LEN($A1415)=2,SUMIF($A1416:$A$2965,$A1415&amp;"??",$D1416:$D$2965),IF(AND(LEN($A1415)=4,VALUE(RIGHT($A1415,2))&lt;=60),SUMIF($A1416:$A$2965,$A1415&amp;"????",$D1416:$D$2965),VLOOKUP(IF(LEN($A1415)=4,$A1415&amp;"01 1",$A1415),GUS_tabl_21!$A$5:$F$4886,6,FALSE))))</f>
        <v>4371</v>
      </c>
      <c r="E1415" s="29"/>
    </row>
    <row r="1416" spans="1:5" ht="12" customHeight="1">
      <c r="A1416" s="155" t="str">
        <f>"142803 2"</f>
        <v>142803 2</v>
      </c>
      <c r="B1416" s="153" t="s">
        <v>45</v>
      </c>
      <c r="C1416" s="156" t="str">
        <f>IF(OR($A1416="",ISERROR(VALUE(LEFT($A1416,6)))),"",IF(LEN($A1416)=2,"WOJ. ",IF(LEN($A1416)=4,IF(VALUE(RIGHT($A1416,2))&gt;60,"","Powiat "),IF(VALUE(RIGHT($A1416,1))=1,"m. ",IF(VALUE(RIGHT($A1416,1))=2,"gm. w. ",IF(VALUE(RIGHT($A1416,1))=8,"dz. ","gm. m.-w. ")))))&amp;IF(LEN($A1416)=2,TRIM(UPPER(VLOOKUP($A1416,GUS_tabl_1!$A$7:$B$22,2,FALSE))),IF(ISERROR(FIND("..",TRIM(VLOOKUP(IF(AND(LEN($A1416)=4,VALUE(RIGHT($A1416,2))&gt;60),$A1416&amp;"01 1",$A1416),IF(AND(LEN($A1416)=4,VALUE(RIGHT($A1416,2))&lt;60),GUS_tabl_2!$A$8:$B$464,GUS_tabl_21!$A$5:$B$4886),2,FALSE)))),TRIM(VLOOKUP(IF(AND(LEN($A1416)=4,VALUE(RIGHT($A1416,2))&gt;60),$A1416&amp;"01 1",$A1416),IF(AND(LEN($A1416)=4,VALUE(RIGHT($A1416,2))&lt;60),GUS_tabl_2!$A$8:$B$464,GUS_tabl_21!$A$5:$B$4886),2,FALSE)),LEFT(TRIM(VLOOKUP(IF(AND(LEN($A1416)=4,VALUE(RIGHT($A1416,2))&gt;60),$A1416&amp;"01 1",$A1416),IF(AND(LEN($A1416)=4,VALUE(RIGHT($A1416,2))&lt;60),GUS_tabl_2!$A$8:$B$464,GUS_tabl_21!$A$5:$B$4886),2,FALSE)),SUM(FIND("..",TRIM(VLOOKUP(IF(AND(LEN($A1416)=4,VALUE(RIGHT($A1416,2))&gt;60),$A1416&amp;"01 1",$A1416),IF(AND(LEN($A1416)=4,VALUE(RIGHT($A1416,2))&lt;60),GUS_tabl_2!$A$8:$B$464,GUS_tabl_21!$A$5:$B$4886),2,FALSE))),-1)))))</f>
        <v>gm. w. Iłów</v>
      </c>
      <c r="D1416" s="141">
        <f>IF(OR($A1416="",ISERROR(VALUE(LEFT($A1416,6)))),"",IF(LEN($A1416)=2,SUMIF($A1417:$A$2965,$A1416&amp;"??",$D1417:$D$2965),IF(AND(LEN($A1416)=4,VALUE(RIGHT($A1416,2))&lt;=60),SUMIF($A1417:$A$2965,$A1416&amp;"????",$D1417:$D$2965),VLOOKUP(IF(LEN($A1416)=4,$A1416&amp;"01 1",$A1416),GUS_tabl_21!$A$5:$F$4886,6,FALSE))))</f>
        <v>6132</v>
      </c>
      <c r="E1416" s="29"/>
    </row>
    <row r="1417" spans="1:5" ht="12" customHeight="1">
      <c r="A1417" s="155" t="str">
        <f>"142804 2"</f>
        <v>142804 2</v>
      </c>
      <c r="B1417" s="153" t="s">
        <v>45</v>
      </c>
      <c r="C1417" s="156" t="str">
        <f>IF(OR($A1417="",ISERROR(VALUE(LEFT($A1417,6)))),"",IF(LEN($A1417)=2,"WOJ. ",IF(LEN($A1417)=4,IF(VALUE(RIGHT($A1417,2))&gt;60,"","Powiat "),IF(VALUE(RIGHT($A1417,1))=1,"m. ",IF(VALUE(RIGHT($A1417,1))=2,"gm. w. ",IF(VALUE(RIGHT($A1417,1))=8,"dz. ","gm. m.-w. ")))))&amp;IF(LEN($A1417)=2,TRIM(UPPER(VLOOKUP($A1417,GUS_tabl_1!$A$7:$B$22,2,FALSE))),IF(ISERROR(FIND("..",TRIM(VLOOKUP(IF(AND(LEN($A1417)=4,VALUE(RIGHT($A1417,2))&gt;60),$A1417&amp;"01 1",$A1417),IF(AND(LEN($A1417)=4,VALUE(RIGHT($A1417,2))&lt;60),GUS_tabl_2!$A$8:$B$464,GUS_tabl_21!$A$5:$B$4886),2,FALSE)))),TRIM(VLOOKUP(IF(AND(LEN($A1417)=4,VALUE(RIGHT($A1417,2))&gt;60),$A1417&amp;"01 1",$A1417),IF(AND(LEN($A1417)=4,VALUE(RIGHT($A1417,2))&lt;60),GUS_tabl_2!$A$8:$B$464,GUS_tabl_21!$A$5:$B$4886),2,FALSE)),LEFT(TRIM(VLOOKUP(IF(AND(LEN($A1417)=4,VALUE(RIGHT($A1417,2))&gt;60),$A1417&amp;"01 1",$A1417),IF(AND(LEN($A1417)=4,VALUE(RIGHT($A1417,2))&lt;60),GUS_tabl_2!$A$8:$B$464,GUS_tabl_21!$A$5:$B$4886),2,FALSE)),SUM(FIND("..",TRIM(VLOOKUP(IF(AND(LEN($A1417)=4,VALUE(RIGHT($A1417,2))&gt;60),$A1417&amp;"01 1",$A1417),IF(AND(LEN($A1417)=4,VALUE(RIGHT($A1417,2))&lt;60),GUS_tabl_2!$A$8:$B$464,GUS_tabl_21!$A$5:$B$4886),2,FALSE))),-1)))))</f>
        <v>gm. w. Młodzieszyn</v>
      </c>
      <c r="D1417" s="141">
        <f>IF(OR($A1417="",ISERROR(VALUE(LEFT($A1417,6)))),"",IF(LEN($A1417)=2,SUMIF($A1418:$A$2965,$A1417&amp;"??",$D1418:$D$2965),IF(AND(LEN($A1417)=4,VALUE(RIGHT($A1417,2))&lt;=60),SUMIF($A1418:$A$2965,$A1417&amp;"????",$D1418:$D$2965),VLOOKUP(IF(LEN($A1417)=4,$A1417&amp;"01 1",$A1417),GUS_tabl_21!$A$5:$F$4886,6,FALSE))))</f>
        <v>5575</v>
      </c>
      <c r="E1417" s="29"/>
    </row>
    <row r="1418" spans="1:5" ht="12" customHeight="1">
      <c r="A1418" s="155" t="str">
        <f>"142805 2"</f>
        <v>142805 2</v>
      </c>
      <c r="B1418" s="153" t="s">
        <v>45</v>
      </c>
      <c r="C1418" s="156" t="str">
        <f>IF(OR($A1418="",ISERROR(VALUE(LEFT($A1418,6)))),"",IF(LEN($A1418)=2,"WOJ. ",IF(LEN($A1418)=4,IF(VALUE(RIGHT($A1418,2))&gt;60,"","Powiat "),IF(VALUE(RIGHT($A1418,1))=1,"m. ",IF(VALUE(RIGHT($A1418,1))=2,"gm. w. ",IF(VALUE(RIGHT($A1418,1))=8,"dz. ","gm. m.-w. ")))))&amp;IF(LEN($A1418)=2,TRIM(UPPER(VLOOKUP($A1418,GUS_tabl_1!$A$7:$B$22,2,FALSE))),IF(ISERROR(FIND("..",TRIM(VLOOKUP(IF(AND(LEN($A1418)=4,VALUE(RIGHT($A1418,2))&gt;60),$A1418&amp;"01 1",$A1418),IF(AND(LEN($A1418)=4,VALUE(RIGHT($A1418,2))&lt;60),GUS_tabl_2!$A$8:$B$464,GUS_tabl_21!$A$5:$B$4886),2,FALSE)))),TRIM(VLOOKUP(IF(AND(LEN($A1418)=4,VALUE(RIGHT($A1418,2))&gt;60),$A1418&amp;"01 1",$A1418),IF(AND(LEN($A1418)=4,VALUE(RIGHT($A1418,2))&lt;60),GUS_tabl_2!$A$8:$B$464,GUS_tabl_21!$A$5:$B$4886),2,FALSE)),LEFT(TRIM(VLOOKUP(IF(AND(LEN($A1418)=4,VALUE(RIGHT($A1418,2))&gt;60),$A1418&amp;"01 1",$A1418),IF(AND(LEN($A1418)=4,VALUE(RIGHT($A1418,2))&lt;60),GUS_tabl_2!$A$8:$B$464,GUS_tabl_21!$A$5:$B$4886),2,FALSE)),SUM(FIND("..",TRIM(VLOOKUP(IF(AND(LEN($A1418)=4,VALUE(RIGHT($A1418,2))&gt;60),$A1418&amp;"01 1",$A1418),IF(AND(LEN($A1418)=4,VALUE(RIGHT($A1418,2))&lt;60),GUS_tabl_2!$A$8:$B$464,GUS_tabl_21!$A$5:$B$4886),2,FALSE))),-1)))))</f>
        <v>gm. w. Nowa Sucha</v>
      </c>
      <c r="D1418" s="141">
        <f>IF(OR($A1418="",ISERROR(VALUE(LEFT($A1418,6)))),"",IF(LEN($A1418)=2,SUMIF($A1419:$A$2965,$A1418&amp;"??",$D1419:$D$2965),IF(AND(LEN($A1418)=4,VALUE(RIGHT($A1418,2))&lt;=60),SUMIF($A1419:$A$2965,$A1418&amp;"????",$D1419:$D$2965),VLOOKUP(IF(LEN($A1418)=4,$A1418&amp;"01 1",$A1418),GUS_tabl_21!$A$5:$F$4886,6,FALSE))))</f>
        <v>6686</v>
      </c>
      <c r="E1418" s="29"/>
    </row>
    <row r="1419" spans="1:5" ht="12" customHeight="1">
      <c r="A1419" s="155" t="str">
        <f>"142806 2"</f>
        <v>142806 2</v>
      </c>
      <c r="B1419" s="153" t="s">
        <v>45</v>
      </c>
      <c r="C1419" s="156" t="str">
        <f>IF(OR($A1419="",ISERROR(VALUE(LEFT($A1419,6)))),"",IF(LEN($A1419)=2,"WOJ. ",IF(LEN($A1419)=4,IF(VALUE(RIGHT($A1419,2))&gt;60,"","Powiat "),IF(VALUE(RIGHT($A1419,1))=1,"m. ",IF(VALUE(RIGHT($A1419,1))=2,"gm. w. ",IF(VALUE(RIGHT($A1419,1))=8,"dz. ","gm. m.-w. ")))))&amp;IF(LEN($A1419)=2,TRIM(UPPER(VLOOKUP($A1419,GUS_tabl_1!$A$7:$B$22,2,FALSE))),IF(ISERROR(FIND("..",TRIM(VLOOKUP(IF(AND(LEN($A1419)=4,VALUE(RIGHT($A1419,2))&gt;60),$A1419&amp;"01 1",$A1419),IF(AND(LEN($A1419)=4,VALUE(RIGHT($A1419,2))&lt;60),GUS_tabl_2!$A$8:$B$464,GUS_tabl_21!$A$5:$B$4886),2,FALSE)))),TRIM(VLOOKUP(IF(AND(LEN($A1419)=4,VALUE(RIGHT($A1419,2))&gt;60),$A1419&amp;"01 1",$A1419),IF(AND(LEN($A1419)=4,VALUE(RIGHT($A1419,2))&lt;60),GUS_tabl_2!$A$8:$B$464,GUS_tabl_21!$A$5:$B$4886),2,FALSE)),LEFT(TRIM(VLOOKUP(IF(AND(LEN($A1419)=4,VALUE(RIGHT($A1419,2))&gt;60),$A1419&amp;"01 1",$A1419),IF(AND(LEN($A1419)=4,VALUE(RIGHT($A1419,2))&lt;60),GUS_tabl_2!$A$8:$B$464,GUS_tabl_21!$A$5:$B$4886),2,FALSE)),SUM(FIND("..",TRIM(VLOOKUP(IF(AND(LEN($A1419)=4,VALUE(RIGHT($A1419,2))&gt;60),$A1419&amp;"01 1",$A1419),IF(AND(LEN($A1419)=4,VALUE(RIGHT($A1419,2))&lt;60),GUS_tabl_2!$A$8:$B$464,GUS_tabl_21!$A$5:$B$4886),2,FALSE))),-1)))))</f>
        <v>gm. w. Rybno</v>
      </c>
      <c r="D1419" s="141">
        <f>IF(OR($A1419="",ISERROR(VALUE(LEFT($A1419,6)))),"",IF(LEN($A1419)=2,SUMIF($A1420:$A$2965,$A1419&amp;"??",$D1420:$D$2965),IF(AND(LEN($A1419)=4,VALUE(RIGHT($A1419,2))&lt;=60),SUMIF($A1420:$A$2965,$A1419&amp;"????",$D1420:$D$2965),VLOOKUP(IF(LEN($A1419)=4,$A1419&amp;"01 1",$A1419),GUS_tabl_21!$A$5:$F$4886,6,FALSE))))</f>
        <v>3478</v>
      </c>
      <c r="E1419" s="29"/>
    </row>
    <row r="1420" spans="1:5" ht="12" customHeight="1">
      <c r="A1420" s="155" t="str">
        <f>"142807 2"</f>
        <v>142807 2</v>
      </c>
      <c r="B1420" s="153" t="s">
        <v>45</v>
      </c>
      <c r="C1420" s="156" t="str">
        <f>IF(OR($A1420="",ISERROR(VALUE(LEFT($A1420,6)))),"",IF(LEN($A1420)=2,"WOJ. ",IF(LEN($A1420)=4,IF(VALUE(RIGHT($A1420,2))&gt;60,"","Powiat "),IF(VALUE(RIGHT($A1420,1))=1,"m. ",IF(VALUE(RIGHT($A1420,1))=2,"gm. w. ",IF(VALUE(RIGHT($A1420,1))=8,"dz. ","gm. m.-w. ")))))&amp;IF(LEN($A1420)=2,TRIM(UPPER(VLOOKUP($A1420,GUS_tabl_1!$A$7:$B$22,2,FALSE))),IF(ISERROR(FIND("..",TRIM(VLOOKUP(IF(AND(LEN($A1420)=4,VALUE(RIGHT($A1420,2))&gt;60),$A1420&amp;"01 1",$A1420),IF(AND(LEN($A1420)=4,VALUE(RIGHT($A1420,2))&lt;60),GUS_tabl_2!$A$8:$B$464,GUS_tabl_21!$A$5:$B$4886),2,FALSE)))),TRIM(VLOOKUP(IF(AND(LEN($A1420)=4,VALUE(RIGHT($A1420,2))&gt;60),$A1420&amp;"01 1",$A1420),IF(AND(LEN($A1420)=4,VALUE(RIGHT($A1420,2))&lt;60),GUS_tabl_2!$A$8:$B$464,GUS_tabl_21!$A$5:$B$4886),2,FALSE)),LEFT(TRIM(VLOOKUP(IF(AND(LEN($A1420)=4,VALUE(RIGHT($A1420,2))&gt;60),$A1420&amp;"01 1",$A1420),IF(AND(LEN($A1420)=4,VALUE(RIGHT($A1420,2))&lt;60),GUS_tabl_2!$A$8:$B$464,GUS_tabl_21!$A$5:$B$4886),2,FALSE)),SUM(FIND("..",TRIM(VLOOKUP(IF(AND(LEN($A1420)=4,VALUE(RIGHT($A1420,2))&gt;60),$A1420&amp;"01 1",$A1420),IF(AND(LEN($A1420)=4,VALUE(RIGHT($A1420,2))&lt;60),GUS_tabl_2!$A$8:$B$464,GUS_tabl_21!$A$5:$B$4886),2,FALSE))),-1)))))</f>
        <v>gm. w. Sochaczew</v>
      </c>
      <c r="D1420" s="141">
        <f>IF(OR($A1420="",ISERROR(VALUE(LEFT($A1420,6)))),"",IF(LEN($A1420)=2,SUMIF($A1421:$A$2965,$A1420&amp;"??",$D1421:$D$2965),IF(AND(LEN($A1420)=4,VALUE(RIGHT($A1420,2))&lt;=60),SUMIF($A1421:$A$2965,$A1420&amp;"????",$D1421:$D$2965),VLOOKUP(IF(LEN($A1420)=4,$A1420&amp;"01 1",$A1420),GUS_tabl_21!$A$5:$F$4886,6,FALSE))))</f>
        <v>10976</v>
      </c>
      <c r="E1420" s="29"/>
    </row>
    <row r="1421" spans="1:5" ht="12" customHeight="1">
      <c r="A1421" s="155" t="str">
        <f>"142808 2"</f>
        <v>142808 2</v>
      </c>
      <c r="B1421" s="153" t="s">
        <v>45</v>
      </c>
      <c r="C1421" s="156" t="str">
        <f>IF(OR($A1421="",ISERROR(VALUE(LEFT($A1421,6)))),"",IF(LEN($A1421)=2,"WOJ. ",IF(LEN($A1421)=4,IF(VALUE(RIGHT($A1421,2))&gt;60,"","Powiat "),IF(VALUE(RIGHT($A1421,1))=1,"m. ",IF(VALUE(RIGHT($A1421,1))=2,"gm. w. ",IF(VALUE(RIGHT($A1421,1))=8,"dz. ","gm. m.-w. ")))))&amp;IF(LEN($A1421)=2,TRIM(UPPER(VLOOKUP($A1421,GUS_tabl_1!$A$7:$B$22,2,FALSE))),IF(ISERROR(FIND("..",TRIM(VLOOKUP(IF(AND(LEN($A1421)=4,VALUE(RIGHT($A1421,2))&gt;60),$A1421&amp;"01 1",$A1421),IF(AND(LEN($A1421)=4,VALUE(RIGHT($A1421,2))&lt;60),GUS_tabl_2!$A$8:$B$464,GUS_tabl_21!$A$5:$B$4886),2,FALSE)))),TRIM(VLOOKUP(IF(AND(LEN($A1421)=4,VALUE(RIGHT($A1421,2))&gt;60),$A1421&amp;"01 1",$A1421),IF(AND(LEN($A1421)=4,VALUE(RIGHT($A1421,2))&lt;60),GUS_tabl_2!$A$8:$B$464,GUS_tabl_21!$A$5:$B$4886),2,FALSE)),LEFT(TRIM(VLOOKUP(IF(AND(LEN($A1421)=4,VALUE(RIGHT($A1421,2))&gt;60),$A1421&amp;"01 1",$A1421),IF(AND(LEN($A1421)=4,VALUE(RIGHT($A1421,2))&lt;60),GUS_tabl_2!$A$8:$B$464,GUS_tabl_21!$A$5:$B$4886),2,FALSE)),SUM(FIND("..",TRIM(VLOOKUP(IF(AND(LEN($A1421)=4,VALUE(RIGHT($A1421,2))&gt;60),$A1421&amp;"01 1",$A1421),IF(AND(LEN($A1421)=4,VALUE(RIGHT($A1421,2))&lt;60),GUS_tabl_2!$A$8:$B$464,GUS_tabl_21!$A$5:$B$4886),2,FALSE))),-1)))))</f>
        <v>gm. w. Teresin</v>
      </c>
      <c r="D1421" s="141">
        <f>IF(OR($A1421="",ISERROR(VALUE(LEFT($A1421,6)))),"",IF(LEN($A1421)=2,SUMIF($A1422:$A$2965,$A1421&amp;"??",$D1422:$D$2965),IF(AND(LEN($A1421)=4,VALUE(RIGHT($A1421,2))&lt;=60),SUMIF($A1422:$A$2965,$A1421&amp;"????",$D1422:$D$2965),VLOOKUP(IF(LEN($A1421)=4,$A1421&amp;"01 1",$A1421),GUS_tabl_21!$A$5:$F$4886,6,FALSE))))</f>
        <v>11545</v>
      </c>
      <c r="E1421" s="29"/>
    </row>
    <row r="1422" spans="1:5" ht="12" customHeight="1">
      <c r="A1422" s="152" t="str">
        <f>"1429"</f>
        <v>1429</v>
      </c>
      <c r="B1422" s="153" t="s">
        <v>45</v>
      </c>
      <c r="C1422" s="154" t="str">
        <f>IF(OR($A1422="",ISERROR(VALUE(LEFT($A1422,6)))),"",IF(LEN($A1422)=2,"WOJ. ",IF(LEN($A1422)=4,IF(VALUE(RIGHT($A1422,2))&gt;60,"","Powiat "),IF(VALUE(RIGHT($A1422,1))=1,"m. ",IF(VALUE(RIGHT($A1422,1))=2,"gm. w. ",IF(VALUE(RIGHT($A1422,1))=8,"dz. ","gm. m.-w. ")))))&amp;IF(LEN($A1422)=2,TRIM(UPPER(VLOOKUP($A1422,GUS_tabl_1!$A$7:$B$22,2,FALSE))),IF(ISERROR(FIND("..",TRIM(VLOOKUP(IF(AND(LEN($A1422)=4,VALUE(RIGHT($A1422,2))&gt;60),$A1422&amp;"01 1",$A1422),IF(AND(LEN($A1422)=4,VALUE(RIGHT($A1422,2))&lt;60),GUS_tabl_2!$A$8:$B$464,GUS_tabl_21!$A$5:$B$4886),2,FALSE)))),TRIM(VLOOKUP(IF(AND(LEN($A1422)=4,VALUE(RIGHT($A1422,2))&gt;60),$A1422&amp;"01 1",$A1422),IF(AND(LEN($A1422)=4,VALUE(RIGHT($A1422,2))&lt;60),GUS_tabl_2!$A$8:$B$464,GUS_tabl_21!$A$5:$B$4886),2,FALSE)),LEFT(TRIM(VLOOKUP(IF(AND(LEN($A1422)=4,VALUE(RIGHT($A1422,2))&gt;60),$A1422&amp;"01 1",$A1422),IF(AND(LEN($A1422)=4,VALUE(RIGHT($A1422,2))&lt;60),GUS_tabl_2!$A$8:$B$464,GUS_tabl_21!$A$5:$B$4886),2,FALSE)),SUM(FIND("..",TRIM(VLOOKUP(IF(AND(LEN($A1422)=4,VALUE(RIGHT($A1422,2))&gt;60),$A1422&amp;"01 1",$A1422),IF(AND(LEN($A1422)=4,VALUE(RIGHT($A1422,2))&lt;60),GUS_tabl_2!$A$8:$B$464,GUS_tabl_21!$A$5:$B$4886),2,FALSE))),-1)))))</f>
        <v>Powiat sokołowski</v>
      </c>
      <c r="D1422" s="140">
        <f>IF(OR($A1422="",ISERROR(VALUE(LEFT($A1422,6)))),"",IF(LEN($A1422)=2,SUMIF($A1423:$A$2965,$A1422&amp;"??",$D1423:$D$2965),IF(AND(LEN($A1422)=4,VALUE(RIGHT($A1422,2))&lt;=60),SUMIF($A1423:$A$2965,$A1422&amp;"????",$D1423:$D$2965),VLOOKUP(IF(LEN($A1422)=4,$A1422&amp;"01 1",$A1422),GUS_tabl_21!$A$5:$F$4886,6,FALSE))))</f>
        <v>53804</v>
      </c>
      <c r="E1422" s="29"/>
    </row>
    <row r="1423" spans="1:5" ht="12" customHeight="1">
      <c r="A1423" s="155" t="str">
        <f>"142901 1"</f>
        <v>142901 1</v>
      </c>
      <c r="B1423" s="153" t="s">
        <v>45</v>
      </c>
      <c r="C1423" s="156" t="str">
        <f>IF(OR($A1423="",ISERROR(VALUE(LEFT($A1423,6)))),"",IF(LEN($A1423)=2,"WOJ. ",IF(LEN($A1423)=4,IF(VALUE(RIGHT($A1423,2))&gt;60,"","Powiat "),IF(VALUE(RIGHT($A1423,1))=1,"m. ",IF(VALUE(RIGHT($A1423,1))=2,"gm. w. ",IF(VALUE(RIGHT($A1423,1))=8,"dz. ","gm. m.-w. ")))))&amp;IF(LEN($A1423)=2,TRIM(UPPER(VLOOKUP($A1423,GUS_tabl_1!$A$7:$B$22,2,FALSE))),IF(ISERROR(FIND("..",TRIM(VLOOKUP(IF(AND(LEN($A1423)=4,VALUE(RIGHT($A1423,2))&gt;60),$A1423&amp;"01 1",$A1423),IF(AND(LEN($A1423)=4,VALUE(RIGHT($A1423,2))&lt;60),GUS_tabl_2!$A$8:$B$464,GUS_tabl_21!$A$5:$B$4886),2,FALSE)))),TRIM(VLOOKUP(IF(AND(LEN($A1423)=4,VALUE(RIGHT($A1423,2))&gt;60),$A1423&amp;"01 1",$A1423),IF(AND(LEN($A1423)=4,VALUE(RIGHT($A1423,2))&lt;60),GUS_tabl_2!$A$8:$B$464,GUS_tabl_21!$A$5:$B$4886),2,FALSE)),LEFT(TRIM(VLOOKUP(IF(AND(LEN($A1423)=4,VALUE(RIGHT($A1423,2))&gt;60),$A1423&amp;"01 1",$A1423),IF(AND(LEN($A1423)=4,VALUE(RIGHT($A1423,2))&lt;60),GUS_tabl_2!$A$8:$B$464,GUS_tabl_21!$A$5:$B$4886),2,FALSE)),SUM(FIND("..",TRIM(VLOOKUP(IF(AND(LEN($A1423)=4,VALUE(RIGHT($A1423,2))&gt;60),$A1423&amp;"01 1",$A1423),IF(AND(LEN($A1423)=4,VALUE(RIGHT($A1423,2))&lt;60),GUS_tabl_2!$A$8:$B$464,GUS_tabl_21!$A$5:$B$4886),2,FALSE))),-1)))))</f>
        <v>m. Sokołów Podlaski</v>
      </c>
      <c r="D1423" s="141">
        <f>IF(OR($A1423="",ISERROR(VALUE(LEFT($A1423,6)))),"",IF(LEN($A1423)=2,SUMIF($A1424:$A$2965,$A1423&amp;"??",$D1424:$D$2965),IF(AND(LEN($A1423)=4,VALUE(RIGHT($A1423,2))&lt;=60),SUMIF($A1424:$A$2965,$A1423&amp;"????",$D1424:$D$2965),VLOOKUP(IF(LEN($A1423)=4,$A1423&amp;"01 1",$A1423),GUS_tabl_21!$A$5:$F$4886,6,FALSE))))</f>
        <v>18945</v>
      </c>
      <c r="E1423" s="29"/>
    </row>
    <row r="1424" spans="1:5" ht="12" customHeight="1">
      <c r="A1424" s="155" t="str">
        <f>"142902 2"</f>
        <v>142902 2</v>
      </c>
      <c r="B1424" s="153" t="s">
        <v>45</v>
      </c>
      <c r="C1424" s="156" t="str">
        <f>IF(OR($A1424="",ISERROR(VALUE(LEFT($A1424,6)))),"",IF(LEN($A1424)=2,"WOJ. ",IF(LEN($A1424)=4,IF(VALUE(RIGHT($A1424,2))&gt;60,"","Powiat "),IF(VALUE(RIGHT($A1424,1))=1,"m. ",IF(VALUE(RIGHT($A1424,1))=2,"gm. w. ",IF(VALUE(RIGHT($A1424,1))=8,"dz. ","gm. m.-w. ")))))&amp;IF(LEN($A1424)=2,TRIM(UPPER(VLOOKUP($A1424,GUS_tabl_1!$A$7:$B$22,2,FALSE))),IF(ISERROR(FIND("..",TRIM(VLOOKUP(IF(AND(LEN($A1424)=4,VALUE(RIGHT($A1424,2))&gt;60),$A1424&amp;"01 1",$A1424),IF(AND(LEN($A1424)=4,VALUE(RIGHT($A1424,2))&lt;60),GUS_tabl_2!$A$8:$B$464,GUS_tabl_21!$A$5:$B$4886),2,FALSE)))),TRIM(VLOOKUP(IF(AND(LEN($A1424)=4,VALUE(RIGHT($A1424,2))&gt;60),$A1424&amp;"01 1",$A1424),IF(AND(LEN($A1424)=4,VALUE(RIGHT($A1424,2))&lt;60),GUS_tabl_2!$A$8:$B$464,GUS_tabl_21!$A$5:$B$4886),2,FALSE)),LEFT(TRIM(VLOOKUP(IF(AND(LEN($A1424)=4,VALUE(RIGHT($A1424,2))&gt;60),$A1424&amp;"01 1",$A1424),IF(AND(LEN($A1424)=4,VALUE(RIGHT($A1424,2))&lt;60),GUS_tabl_2!$A$8:$B$464,GUS_tabl_21!$A$5:$B$4886),2,FALSE)),SUM(FIND("..",TRIM(VLOOKUP(IF(AND(LEN($A1424)=4,VALUE(RIGHT($A1424,2))&gt;60),$A1424&amp;"01 1",$A1424),IF(AND(LEN($A1424)=4,VALUE(RIGHT($A1424,2))&lt;60),GUS_tabl_2!$A$8:$B$464,GUS_tabl_21!$A$5:$B$4886),2,FALSE))),-1)))))</f>
        <v>gm. w. Bielany</v>
      </c>
      <c r="D1424" s="141">
        <f>IF(OR($A1424="",ISERROR(VALUE(LEFT($A1424,6)))),"",IF(LEN($A1424)=2,SUMIF($A1425:$A$2965,$A1424&amp;"??",$D1425:$D$2965),IF(AND(LEN($A1424)=4,VALUE(RIGHT($A1424,2))&lt;=60),SUMIF($A1425:$A$2965,$A1424&amp;"????",$D1425:$D$2965),VLOOKUP(IF(LEN($A1424)=4,$A1424&amp;"01 1",$A1424),GUS_tabl_21!$A$5:$F$4886,6,FALSE))))</f>
        <v>3609</v>
      </c>
      <c r="E1424" s="29"/>
    </row>
    <row r="1425" spans="1:5" ht="12" customHeight="1">
      <c r="A1425" s="155" t="str">
        <f>"142903 2"</f>
        <v>142903 2</v>
      </c>
      <c r="B1425" s="153" t="s">
        <v>45</v>
      </c>
      <c r="C1425" s="156" t="str">
        <f>IF(OR($A1425="",ISERROR(VALUE(LEFT($A1425,6)))),"",IF(LEN($A1425)=2,"WOJ. ",IF(LEN($A1425)=4,IF(VALUE(RIGHT($A1425,2))&gt;60,"","Powiat "),IF(VALUE(RIGHT($A1425,1))=1,"m. ",IF(VALUE(RIGHT($A1425,1))=2,"gm. w. ",IF(VALUE(RIGHT($A1425,1))=8,"dz. ","gm. m.-w. ")))))&amp;IF(LEN($A1425)=2,TRIM(UPPER(VLOOKUP($A1425,GUS_tabl_1!$A$7:$B$22,2,FALSE))),IF(ISERROR(FIND("..",TRIM(VLOOKUP(IF(AND(LEN($A1425)=4,VALUE(RIGHT($A1425,2))&gt;60),$A1425&amp;"01 1",$A1425),IF(AND(LEN($A1425)=4,VALUE(RIGHT($A1425,2))&lt;60),GUS_tabl_2!$A$8:$B$464,GUS_tabl_21!$A$5:$B$4886),2,FALSE)))),TRIM(VLOOKUP(IF(AND(LEN($A1425)=4,VALUE(RIGHT($A1425,2))&gt;60),$A1425&amp;"01 1",$A1425),IF(AND(LEN($A1425)=4,VALUE(RIGHT($A1425,2))&lt;60),GUS_tabl_2!$A$8:$B$464,GUS_tabl_21!$A$5:$B$4886),2,FALSE)),LEFT(TRIM(VLOOKUP(IF(AND(LEN($A1425)=4,VALUE(RIGHT($A1425,2))&gt;60),$A1425&amp;"01 1",$A1425),IF(AND(LEN($A1425)=4,VALUE(RIGHT($A1425,2))&lt;60),GUS_tabl_2!$A$8:$B$464,GUS_tabl_21!$A$5:$B$4886),2,FALSE)),SUM(FIND("..",TRIM(VLOOKUP(IF(AND(LEN($A1425)=4,VALUE(RIGHT($A1425,2))&gt;60),$A1425&amp;"01 1",$A1425),IF(AND(LEN($A1425)=4,VALUE(RIGHT($A1425,2))&lt;60),GUS_tabl_2!$A$8:$B$464,GUS_tabl_21!$A$5:$B$4886),2,FALSE))),-1)))))</f>
        <v>gm. w. Ceranów</v>
      </c>
      <c r="D1425" s="141">
        <f>IF(OR($A1425="",ISERROR(VALUE(LEFT($A1425,6)))),"",IF(LEN($A1425)=2,SUMIF($A1426:$A$2965,$A1425&amp;"??",$D1426:$D$2965),IF(AND(LEN($A1425)=4,VALUE(RIGHT($A1425,2))&lt;=60),SUMIF($A1426:$A$2965,$A1425&amp;"????",$D1426:$D$2965),VLOOKUP(IF(LEN($A1425)=4,$A1425&amp;"01 1",$A1425),GUS_tabl_21!$A$5:$F$4886,6,FALSE))))</f>
        <v>2169</v>
      </c>
      <c r="E1425" s="29"/>
    </row>
    <row r="1426" spans="1:5" ht="12" customHeight="1">
      <c r="A1426" s="155" t="str">
        <f>"142904 2"</f>
        <v>142904 2</v>
      </c>
      <c r="B1426" s="153" t="s">
        <v>45</v>
      </c>
      <c r="C1426" s="156" t="str">
        <f>IF(OR($A1426="",ISERROR(VALUE(LEFT($A1426,6)))),"",IF(LEN($A1426)=2,"WOJ. ",IF(LEN($A1426)=4,IF(VALUE(RIGHT($A1426,2))&gt;60,"","Powiat "),IF(VALUE(RIGHT($A1426,1))=1,"m. ",IF(VALUE(RIGHT($A1426,1))=2,"gm. w. ",IF(VALUE(RIGHT($A1426,1))=8,"dz. ","gm. m.-w. ")))))&amp;IF(LEN($A1426)=2,TRIM(UPPER(VLOOKUP($A1426,GUS_tabl_1!$A$7:$B$22,2,FALSE))),IF(ISERROR(FIND("..",TRIM(VLOOKUP(IF(AND(LEN($A1426)=4,VALUE(RIGHT($A1426,2))&gt;60),$A1426&amp;"01 1",$A1426),IF(AND(LEN($A1426)=4,VALUE(RIGHT($A1426,2))&lt;60),GUS_tabl_2!$A$8:$B$464,GUS_tabl_21!$A$5:$B$4886),2,FALSE)))),TRIM(VLOOKUP(IF(AND(LEN($A1426)=4,VALUE(RIGHT($A1426,2))&gt;60),$A1426&amp;"01 1",$A1426),IF(AND(LEN($A1426)=4,VALUE(RIGHT($A1426,2))&lt;60),GUS_tabl_2!$A$8:$B$464,GUS_tabl_21!$A$5:$B$4886),2,FALSE)),LEFT(TRIM(VLOOKUP(IF(AND(LEN($A1426)=4,VALUE(RIGHT($A1426,2))&gt;60),$A1426&amp;"01 1",$A1426),IF(AND(LEN($A1426)=4,VALUE(RIGHT($A1426,2))&lt;60),GUS_tabl_2!$A$8:$B$464,GUS_tabl_21!$A$5:$B$4886),2,FALSE)),SUM(FIND("..",TRIM(VLOOKUP(IF(AND(LEN($A1426)=4,VALUE(RIGHT($A1426,2))&gt;60),$A1426&amp;"01 1",$A1426),IF(AND(LEN($A1426)=4,VALUE(RIGHT($A1426,2))&lt;60),GUS_tabl_2!$A$8:$B$464,GUS_tabl_21!$A$5:$B$4886),2,FALSE))),-1)))))</f>
        <v>gm. w. Jabłonna Lacka</v>
      </c>
      <c r="D1426" s="141">
        <f>IF(OR($A1426="",ISERROR(VALUE(LEFT($A1426,6)))),"",IF(LEN($A1426)=2,SUMIF($A1427:$A$2965,$A1426&amp;"??",$D1427:$D$2965),IF(AND(LEN($A1426)=4,VALUE(RIGHT($A1426,2))&lt;=60),SUMIF($A1427:$A$2965,$A1426&amp;"????",$D1427:$D$2965),VLOOKUP(IF(LEN($A1426)=4,$A1426&amp;"01 1",$A1426),GUS_tabl_21!$A$5:$F$4886,6,FALSE))))</f>
        <v>4417</v>
      </c>
      <c r="E1426" s="29"/>
    </row>
    <row r="1427" spans="1:5" ht="12" customHeight="1">
      <c r="A1427" s="155" t="str">
        <f>"142905 3"</f>
        <v>142905 3</v>
      </c>
      <c r="B1427" s="153" t="s">
        <v>45</v>
      </c>
      <c r="C1427" s="156" t="str">
        <f>IF(OR($A1427="",ISERROR(VALUE(LEFT($A1427,6)))),"",IF(LEN($A1427)=2,"WOJ. ",IF(LEN($A1427)=4,IF(VALUE(RIGHT($A1427,2))&gt;60,"","Powiat "),IF(VALUE(RIGHT($A1427,1))=1,"m. ",IF(VALUE(RIGHT($A1427,1))=2,"gm. w. ",IF(VALUE(RIGHT($A1427,1))=8,"dz. ","gm. m.-w. ")))))&amp;IF(LEN($A1427)=2,TRIM(UPPER(VLOOKUP($A1427,GUS_tabl_1!$A$7:$B$22,2,FALSE))),IF(ISERROR(FIND("..",TRIM(VLOOKUP(IF(AND(LEN($A1427)=4,VALUE(RIGHT($A1427,2))&gt;60),$A1427&amp;"01 1",$A1427),IF(AND(LEN($A1427)=4,VALUE(RIGHT($A1427,2))&lt;60),GUS_tabl_2!$A$8:$B$464,GUS_tabl_21!$A$5:$B$4886),2,FALSE)))),TRIM(VLOOKUP(IF(AND(LEN($A1427)=4,VALUE(RIGHT($A1427,2))&gt;60),$A1427&amp;"01 1",$A1427),IF(AND(LEN($A1427)=4,VALUE(RIGHT($A1427,2))&lt;60),GUS_tabl_2!$A$8:$B$464,GUS_tabl_21!$A$5:$B$4886),2,FALSE)),LEFT(TRIM(VLOOKUP(IF(AND(LEN($A1427)=4,VALUE(RIGHT($A1427,2))&gt;60),$A1427&amp;"01 1",$A1427),IF(AND(LEN($A1427)=4,VALUE(RIGHT($A1427,2))&lt;60),GUS_tabl_2!$A$8:$B$464,GUS_tabl_21!$A$5:$B$4886),2,FALSE)),SUM(FIND("..",TRIM(VLOOKUP(IF(AND(LEN($A1427)=4,VALUE(RIGHT($A1427,2))&gt;60),$A1427&amp;"01 1",$A1427),IF(AND(LEN($A1427)=4,VALUE(RIGHT($A1427,2))&lt;60),GUS_tabl_2!$A$8:$B$464,GUS_tabl_21!$A$5:$B$4886),2,FALSE))),-1)))))</f>
        <v>gm. m.-w. Kosów Lacki</v>
      </c>
      <c r="D1427" s="141">
        <f>IF(OR($A1427="",ISERROR(VALUE(LEFT($A1427,6)))),"",IF(LEN($A1427)=2,SUMIF($A1428:$A$2965,$A1427&amp;"??",$D1428:$D$2965),IF(AND(LEN($A1427)=4,VALUE(RIGHT($A1427,2))&lt;=60),SUMIF($A1428:$A$2965,$A1427&amp;"????",$D1428:$D$2965),VLOOKUP(IF(LEN($A1427)=4,$A1427&amp;"01 1",$A1427),GUS_tabl_21!$A$5:$F$4886,6,FALSE))))</f>
        <v>5947</v>
      </c>
      <c r="E1427" s="29"/>
    </row>
    <row r="1428" spans="1:5" ht="12" customHeight="1">
      <c r="A1428" s="155" t="str">
        <f>"142906 2"</f>
        <v>142906 2</v>
      </c>
      <c r="B1428" s="153" t="s">
        <v>45</v>
      </c>
      <c r="C1428" s="156" t="str">
        <f>IF(OR($A1428="",ISERROR(VALUE(LEFT($A1428,6)))),"",IF(LEN($A1428)=2,"WOJ. ",IF(LEN($A1428)=4,IF(VALUE(RIGHT($A1428,2))&gt;60,"","Powiat "),IF(VALUE(RIGHT($A1428,1))=1,"m. ",IF(VALUE(RIGHT($A1428,1))=2,"gm. w. ",IF(VALUE(RIGHT($A1428,1))=8,"dz. ","gm. m.-w. ")))))&amp;IF(LEN($A1428)=2,TRIM(UPPER(VLOOKUP($A1428,GUS_tabl_1!$A$7:$B$22,2,FALSE))),IF(ISERROR(FIND("..",TRIM(VLOOKUP(IF(AND(LEN($A1428)=4,VALUE(RIGHT($A1428,2))&gt;60),$A1428&amp;"01 1",$A1428),IF(AND(LEN($A1428)=4,VALUE(RIGHT($A1428,2))&lt;60),GUS_tabl_2!$A$8:$B$464,GUS_tabl_21!$A$5:$B$4886),2,FALSE)))),TRIM(VLOOKUP(IF(AND(LEN($A1428)=4,VALUE(RIGHT($A1428,2))&gt;60),$A1428&amp;"01 1",$A1428),IF(AND(LEN($A1428)=4,VALUE(RIGHT($A1428,2))&lt;60),GUS_tabl_2!$A$8:$B$464,GUS_tabl_21!$A$5:$B$4886),2,FALSE)),LEFT(TRIM(VLOOKUP(IF(AND(LEN($A1428)=4,VALUE(RIGHT($A1428,2))&gt;60),$A1428&amp;"01 1",$A1428),IF(AND(LEN($A1428)=4,VALUE(RIGHT($A1428,2))&lt;60),GUS_tabl_2!$A$8:$B$464,GUS_tabl_21!$A$5:$B$4886),2,FALSE)),SUM(FIND("..",TRIM(VLOOKUP(IF(AND(LEN($A1428)=4,VALUE(RIGHT($A1428,2))&gt;60),$A1428&amp;"01 1",$A1428),IF(AND(LEN($A1428)=4,VALUE(RIGHT($A1428,2))&lt;60),GUS_tabl_2!$A$8:$B$464,GUS_tabl_21!$A$5:$B$4886),2,FALSE))),-1)))))</f>
        <v>gm. w. Repki</v>
      </c>
      <c r="D1428" s="141">
        <f>IF(OR($A1428="",ISERROR(VALUE(LEFT($A1428,6)))),"",IF(LEN($A1428)=2,SUMIF($A1429:$A$2965,$A1428&amp;"??",$D1429:$D$2965),IF(AND(LEN($A1428)=4,VALUE(RIGHT($A1428,2))&lt;=60),SUMIF($A1429:$A$2965,$A1428&amp;"????",$D1429:$D$2965),VLOOKUP(IF(LEN($A1428)=4,$A1428&amp;"01 1",$A1428),GUS_tabl_21!$A$5:$F$4886,6,FALSE))))</f>
        <v>5173</v>
      </c>
      <c r="E1428" s="29"/>
    </row>
    <row r="1429" spans="1:5" ht="12" customHeight="1">
      <c r="A1429" s="155" t="str">
        <f>"142907 2"</f>
        <v>142907 2</v>
      </c>
      <c r="B1429" s="153" t="s">
        <v>45</v>
      </c>
      <c r="C1429" s="156" t="str">
        <f>IF(OR($A1429="",ISERROR(VALUE(LEFT($A1429,6)))),"",IF(LEN($A1429)=2,"WOJ. ",IF(LEN($A1429)=4,IF(VALUE(RIGHT($A1429,2))&gt;60,"","Powiat "),IF(VALUE(RIGHT($A1429,1))=1,"m. ",IF(VALUE(RIGHT($A1429,1))=2,"gm. w. ",IF(VALUE(RIGHT($A1429,1))=8,"dz. ","gm. m.-w. ")))))&amp;IF(LEN($A1429)=2,TRIM(UPPER(VLOOKUP($A1429,GUS_tabl_1!$A$7:$B$22,2,FALSE))),IF(ISERROR(FIND("..",TRIM(VLOOKUP(IF(AND(LEN($A1429)=4,VALUE(RIGHT($A1429,2))&gt;60),$A1429&amp;"01 1",$A1429),IF(AND(LEN($A1429)=4,VALUE(RIGHT($A1429,2))&lt;60),GUS_tabl_2!$A$8:$B$464,GUS_tabl_21!$A$5:$B$4886),2,FALSE)))),TRIM(VLOOKUP(IF(AND(LEN($A1429)=4,VALUE(RIGHT($A1429,2))&gt;60),$A1429&amp;"01 1",$A1429),IF(AND(LEN($A1429)=4,VALUE(RIGHT($A1429,2))&lt;60),GUS_tabl_2!$A$8:$B$464,GUS_tabl_21!$A$5:$B$4886),2,FALSE)),LEFT(TRIM(VLOOKUP(IF(AND(LEN($A1429)=4,VALUE(RIGHT($A1429,2))&gt;60),$A1429&amp;"01 1",$A1429),IF(AND(LEN($A1429)=4,VALUE(RIGHT($A1429,2))&lt;60),GUS_tabl_2!$A$8:$B$464,GUS_tabl_21!$A$5:$B$4886),2,FALSE)),SUM(FIND("..",TRIM(VLOOKUP(IF(AND(LEN($A1429)=4,VALUE(RIGHT($A1429,2))&gt;60),$A1429&amp;"01 1",$A1429),IF(AND(LEN($A1429)=4,VALUE(RIGHT($A1429,2))&lt;60),GUS_tabl_2!$A$8:$B$464,GUS_tabl_21!$A$5:$B$4886),2,FALSE))),-1)))))</f>
        <v>gm. w. Sabnie</v>
      </c>
      <c r="D1429" s="141">
        <f>IF(OR($A1429="",ISERROR(VALUE(LEFT($A1429,6)))),"",IF(LEN($A1429)=2,SUMIF($A1430:$A$2965,$A1429&amp;"??",$D1430:$D$2965),IF(AND(LEN($A1429)=4,VALUE(RIGHT($A1429,2))&lt;=60),SUMIF($A1430:$A$2965,$A1429&amp;"????",$D1430:$D$2965),VLOOKUP(IF(LEN($A1429)=4,$A1429&amp;"01 1",$A1429),GUS_tabl_21!$A$5:$F$4886,6,FALSE))))</f>
        <v>3636</v>
      </c>
      <c r="E1429" s="29"/>
    </row>
    <row r="1430" spans="1:5" ht="12" customHeight="1">
      <c r="A1430" s="155" t="str">
        <f>"142908 2"</f>
        <v>142908 2</v>
      </c>
      <c r="B1430" s="153" t="s">
        <v>45</v>
      </c>
      <c r="C1430" s="156" t="str">
        <f>IF(OR($A1430="",ISERROR(VALUE(LEFT($A1430,6)))),"",IF(LEN($A1430)=2,"WOJ. ",IF(LEN($A1430)=4,IF(VALUE(RIGHT($A1430,2))&gt;60,"","Powiat "),IF(VALUE(RIGHT($A1430,1))=1,"m. ",IF(VALUE(RIGHT($A1430,1))=2,"gm. w. ",IF(VALUE(RIGHT($A1430,1))=8,"dz. ","gm. m.-w. ")))))&amp;IF(LEN($A1430)=2,TRIM(UPPER(VLOOKUP($A1430,GUS_tabl_1!$A$7:$B$22,2,FALSE))),IF(ISERROR(FIND("..",TRIM(VLOOKUP(IF(AND(LEN($A1430)=4,VALUE(RIGHT($A1430,2))&gt;60),$A1430&amp;"01 1",$A1430),IF(AND(LEN($A1430)=4,VALUE(RIGHT($A1430,2))&lt;60),GUS_tabl_2!$A$8:$B$464,GUS_tabl_21!$A$5:$B$4886),2,FALSE)))),TRIM(VLOOKUP(IF(AND(LEN($A1430)=4,VALUE(RIGHT($A1430,2))&gt;60),$A1430&amp;"01 1",$A1430),IF(AND(LEN($A1430)=4,VALUE(RIGHT($A1430,2))&lt;60),GUS_tabl_2!$A$8:$B$464,GUS_tabl_21!$A$5:$B$4886),2,FALSE)),LEFT(TRIM(VLOOKUP(IF(AND(LEN($A1430)=4,VALUE(RIGHT($A1430,2))&gt;60),$A1430&amp;"01 1",$A1430),IF(AND(LEN($A1430)=4,VALUE(RIGHT($A1430,2))&lt;60),GUS_tabl_2!$A$8:$B$464,GUS_tabl_21!$A$5:$B$4886),2,FALSE)),SUM(FIND("..",TRIM(VLOOKUP(IF(AND(LEN($A1430)=4,VALUE(RIGHT($A1430,2))&gt;60),$A1430&amp;"01 1",$A1430),IF(AND(LEN($A1430)=4,VALUE(RIGHT($A1430,2))&lt;60),GUS_tabl_2!$A$8:$B$464,GUS_tabl_21!$A$5:$B$4886),2,FALSE))),-1)))))</f>
        <v>gm. w. Sokołów Podlaski</v>
      </c>
      <c r="D1430" s="141">
        <f>IF(OR($A1430="",ISERROR(VALUE(LEFT($A1430,6)))),"",IF(LEN($A1430)=2,SUMIF($A1431:$A$2965,$A1430&amp;"??",$D1431:$D$2965),IF(AND(LEN($A1430)=4,VALUE(RIGHT($A1430,2))&lt;=60),SUMIF($A1431:$A$2965,$A1430&amp;"????",$D1431:$D$2965),VLOOKUP(IF(LEN($A1430)=4,$A1430&amp;"01 1",$A1430),GUS_tabl_21!$A$5:$F$4886,6,FALSE))))</f>
        <v>6019</v>
      </c>
      <c r="E1430" s="29"/>
    </row>
    <row r="1431" spans="1:5" ht="12" customHeight="1">
      <c r="A1431" s="155" t="str">
        <f>"142909 2"</f>
        <v>142909 2</v>
      </c>
      <c r="B1431" s="153" t="s">
        <v>45</v>
      </c>
      <c r="C1431" s="156" t="str">
        <f>IF(OR($A1431="",ISERROR(VALUE(LEFT($A1431,6)))),"",IF(LEN($A1431)=2,"WOJ. ",IF(LEN($A1431)=4,IF(VALUE(RIGHT($A1431,2))&gt;60,"","Powiat "),IF(VALUE(RIGHT($A1431,1))=1,"m. ",IF(VALUE(RIGHT($A1431,1))=2,"gm. w. ",IF(VALUE(RIGHT($A1431,1))=8,"dz. ","gm. m.-w. ")))))&amp;IF(LEN($A1431)=2,TRIM(UPPER(VLOOKUP($A1431,GUS_tabl_1!$A$7:$B$22,2,FALSE))),IF(ISERROR(FIND("..",TRIM(VLOOKUP(IF(AND(LEN($A1431)=4,VALUE(RIGHT($A1431,2))&gt;60),$A1431&amp;"01 1",$A1431),IF(AND(LEN($A1431)=4,VALUE(RIGHT($A1431,2))&lt;60),GUS_tabl_2!$A$8:$B$464,GUS_tabl_21!$A$5:$B$4886),2,FALSE)))),TRIM(VLOOKUP(IF(AND(LEN($A1431)=4,VALUE(RIGHT($A1431,2))&gt;60),$A1431&amp;"01 1",$A1431),IF(AND(LEN($A1431)=4,VALUE(RIGHT($A1431,2))&lt;60),GUS_tabl_2!$A$8:$B$464,GUS_tabl_21!$A$5:$B$4886),2,FALSE)),LEFT(TRIM(VLOOKUP(IF(AND(LEN($A1431)=4,VALUE(RIGHT($A1431,2))&gt;60),$A1431&amp;"01 1",$A1431),IF(AND(LEN($A1431)=4,VALUE(RIGHT($A1431,2))&lt;60),GUS_tabl_2!$A$8:$B$464,GUS_tabl_21!$A$5:$B$4886),2,FALSE)),SUM(FIND("..",TRIM(VLOOKUP(IF(AND(LEN($A1431)=4,VALUE(RIGHT($A1431,2))&gt;60),$A1431&amp;"01 1",$A1431),IF(AND(LEN($A1431)=4,VALUE(RIGHT($A1431,2))&lt;60),GUS_tabl_2!$A$8:$B$464,GUS_tabl_21!$A$5:$B$4886),2,FALSE))),-1)))))</f>
        <v>gm. w. Sterdyń</v>
      </c>
      <c r="D1431" s="141">
        <f>IF(OR($A1431="",ISERROR(VALUE(LEFT($A1431,6)))),"",IF(LEN($A1431)=2,SUMIF($A1432:$A$2965,$A1431&amp;"??",$D1432:$D$2965),IF(AND(LEN($A1431)=4,VALUE(RIGHT($A1431,2))&lt;=60),SUMIF($A1432:$A$2965,$A1431&amp;"????",$D1432:$D$2965),VLOOKUP(IF(LEN($A1431)=4,$A1431&amp;"01 1",$A1431),GUS_tabl_21!$A$5:$F$4886,6,FALSE))))</f>
        <v>3889</v>
      </c>
      <c r="E1431" s="29"/>
    </row>
    <row r="1432" spans="1:5" ht="12" customHeight="1">
      <c r="A1432" s="152" t="str">
        <f>"1430"</f>
        <v>1430</v>
      </c>
      <c r="B1432" s="153" t="s">
        <v>45</v>
      </c>
      <c r="C1432" s="154" t="str">
        <f>IF(OR($A1432="",ISERROR(VALUE(LEFT($A1432,6)))),"",IF(LEN($A1432)=2,"WOJ. ",IF(LEN($A1432)=4,IF(VALUE(RIGHT($A1432,2))&gt;60,"","Powiat "),IF(VALUE(RIGHT($A1432,1))=1,"m. ",IF(VALUE(RIGHT($A1432,1))=2,"gm. w. ",IF(VALUE(RIGHT($A1432,1))=8,"dz. ","gm. m.-w. ")))))&amp;IF(LEN($A1432)=2,TRIM(UPPER(VLOOKUP($A1432,GUS_tabl_1!$A$7:$B$22,2,FALSE))),IF(ISERROR(FIND("..",TRIM(VLOOKUP(IF(AND(LEN($A1432)=4,VALUE(RIGHT($A1432,2))&gt;60),$A1432&amp;"01 1",$A1432),IF(AND(LEN($A1432)=4,VALUE(RIGHT($A1432,2))&lt;60),GUS_tabl_2!$A$8:$B$464,GUS_tabl_21!$A$5:$B$4886),2,FALSE)))),TRIM(VLOOKUP(IF(AND(LEN($A1432)=4,VALUE(RIGHT($A1432,2))&gt;60),$A1432&amp;"01 1",$A1432),IF(AND(LEN($A1432)=4,VALUE(RIGHT($A1432,2))&lt;60),GUS_tabl_2!$A$8:$B$464,GUS_tabl_21!$A$5:$B$4886),2,FALSE)),LEFT(TRIM(VLOOKUP(IF(AND(LEN($A1432)=4,VALUE(RIGHT($A1432,2))&gt;60),$A1432&amp;"01 1",$A1432),IF(AND(LEN($A1432)=4,VALUE(RIGHT($A1432,2))&lt;60),GUS_tabl_2!$A$8:$B$464,GUS_tabl_21!$A$5:$B$4886),2,FALSE)),SUM(FIND("..",TRIM(VLOOKUP(IF(AND(LEN($A1432)=4,VALUE(RIGHT($A1432,2))&gt;60),$A1432&amp;"01 1",$A1432),IF(AND(LEN($A1432)=4,VALUE(RIGHT($A1432,2))&lt;60),GUS_tabl_2!$A$8:$B$464,GUS_tabl_21!$A$5:$B$4886),2,FALSE))),-1)))))</f>
        <v>Powiat szydłowiecki</v>
      </c>
      <c r="D1432" s="140">
        <f>IF(OR($A1432="",ISERROR(VALUE(LEFT($A1432,6)))),"",IF(LEN($A1432)=2,SUMIF($A1433:$A$2965,$A1432&amp;"??",$D1433:$D$2965),IF(AND(LEN($A1432)=4,VALUE(RIGHT($A1432,2))&lt;=60),SUMIF($A1433:$A$2965,$A1432&amp;"????",$D1433:$D$2965),VLOOKUP(IF(LEN($A1432)=4,$A1432&amp;"01 1",$A1432),GUS_tabl_21!$A$5:$F$4886,6,FALSE))))</f>
        <v>39672</v>
      </c>
      <c r="E1432" s="29"/>
    </row>
    <row r="1433" spans="1:5" ht="12" customHeight="1">
      <c r="A1433" s="155" t="str">
        <f>"143001 2"</f>
        <v>143001 2</v>
      </c>
      <c r="B1433" s="153" t="s">
        <v>45</v>
      </c>
      <c r="C1433" s="156" t="str">
        <f>IF(OR($A1433="",ISERROR(VALUE(LEFT($A1433,6)))),"",IF(LEN($A1433)=2,"WOJ. ",IF(LEN($A1433)=4,IF(VALUE(RIGHT($A1433,2))&gt;60,"","Powiat "),IF(VALUE(RIGHT($A1433,1))=1,"m. ",IF(VALUE(RIGHT($A1433,1))=2,"gm. w. ",IF(VALUE(RIGHT($A1433,1))=8,"dz. ","gm. m.-w. ")))))&amp;IF(LEN($A1433)=2,TRIM(UPPER(VLOOKUP($A1433,GUS_tabl_1!$A$7:$B$22,2,FALSE))),IF(ISERROR(FIND("..",TRIM(VLOOKUP(IF(AND(LEN($A1433)=4,VALUE(RIGHT($A1433,2))&gt;60),$A1433&amp;"01 1",$A1433),IF(AND(LEN($A1433)=4,VALUE(RIGHT($A1433,2))&lt;60),GUS_tabl_2!$A$8:$B$464,GUS_tabl_21!$A$5:$B$4886),2,FALSE)))),TRIM(VLOOKUP(IF(AND(LEN($A1433)=4,VALUE(RIGHT($A1433,2))&gt;60),$A1433&amp;"01 1",$A1433),IF(AND(LEN($A1433)=4,VALUE(RIGHT($A1433,2))&lt;60),GUS_tabl_2!$A$8:$B$464,GUS_tabl_21!$A$5:$B$4886),2,FALSE)),LEFT(TRIM(VLOOKUP(IF(AND(LEN($A1433)=4,VALUE(RIGHT($A1433,2))&gt;60),$A1433&amp;"01 1",$A1433),IF(AND(LEN($A1433)=4,VALUE(RIGHT($A1433,2))&lt;60),GUS_tabl_2!$A$8:$B$464,GUS_tabl_21!$A$5:$B$4886),2,FALSE)),SUM(FIND("..",TRIM(VLOOKUP(IF(AND(LEN($A1433)=4,VALUE(RIGHT($A1433,2))&gt;60),$A1433&amp;"01 1",$A1433),IF(AND(LEN($A1433)=4,VALUE(RIGHT($A1433,2))&lt;60),GUS_tabl_2!$A$8:$B$464,GUS_tabl_21!$A$5:$B$4886),2,FALSE))),-1)))))</f>
        <v>gm. w. Chlewiska</v>
      </c>
      <c r="D1433" s="141">
        <f>IF(OR($A1433="",ISERROR(VALUE(LEFT($A1433,6)))),"",IF(LEN($A1433)=2,SUMIF($A1434:$A$2965,$A1433&amp;"??",$D1434:$D$2965),IF(AND(LEN($A1433)=4,VALUE(RIGHT($A1433,2))&lt;=60),SUMIF($A1434:$A$2965,$A1433&amp;"????",$D1434:$D$2965),VLOOKUP(IF(LEN($A1433)=4,$A1433&amp;"01 1",$A1433),GUS_tabl_21!$A$5:$F$4886,6,FALSE))))</f>
        <v>5911</v>
      </c>
      <c r="E1433" s="29"/>
    </row>
    <row r="1434" spans="1:5" ht="12" customHeight="1">
      <c r="A1434" s="155" t="str">
        <f>"143002 2"</f>
        <v>143002 2</v>
      </c>
      <c r="B1434" s="153" t="s">
        <v>45</v>
      </c>
      <c r="C1434" s="156" t="str">
        <f>IF(OR($A1434="",ISERROR(VALUE(LEFT($A1434,6)))),"",IF(LEN($A1434)=2,"WOJ. ",IF(LEN($A1434)=4,IF(VALUE(RIGHT($A1434,2))&gt;60,"","Powiat "),IF(VALUE(RIGHT($A1434,1))=1,"m. ",IF(VALUE(RIGHT($A1434,1))=2,"gm. w. ",IF(VALUE(RIGHT($A1434,1))=8,"dz. ","gm. m.-w. ")))))&amp;IF(LEN($A1434)=2,TRIM(UPPER(VLOOKUP($A1434,GUS_tabl_1!$A$7:$B$22,2,FALSE))),IF(ISERROR(FIND("..",TRIM(VLOOKUP(IF(AND(LEN($A1434)=4,VALUE(RIGHT($A1434,2))&gt;60),$A1434&amp;"01 1",$A1434),IF(AND(LEN($A1434)=4,VALUE(RIGHT($A1434,2))&lt;60),GUS_tabl_2!$A$8:$B$464,GUS_tabl_21!$A$5:$B$4886),2,FALSE)))),TRIM(VLOOKUP(IF(AND(LEN($A1434)=4,VALUE(RIGHT($A1434,2))&gt;60),$A1434&amp;"01 1",$A1434),IF(AND(LEN($A1434)=4,VALUE(RIGHT($A1434,2))&lt;60),GUS_tabl_2!$A$8:$B$464,GUS_tabl_21!$A$5:$B$4886),2,FALSE)),LEFT(TRIM(VLOOKUP(IF(AND(LEN($A1434)=4,VALUE(RIGHT($A1434,2))&gt;60),$A1434&amp;"01 1",$A1434),IF(AND(LEN($A1434)=4,VALUE(RIGHT($A1434,2))&lt;60),GUS_tabl_2!$A$8:$B$464,GUS_tabl_21!$A$5:$B$4886),2,FALSE)),SUM(FIND("..",TRIM(VLOOKUP(IF(AND(LEN($A1434)=4,VALUE(RIGHT($A1434,2))&gt;60),$A1434&amp;"01 1",$A1434),IF(AND(LEN($A1434)=4,VALUE(RIGHT($A1434,2))&lt;60),GUS_tabl_2!$A$8:$B$464,GUS_tabl_21!$A$5:$B$4886),2,FALSE))),-1)))))</f>
        <v>gm. w. Jastrząb</v>
      </c>
      <c r="D1434" s="141">
        <f>IF(OR($A1434="",ISERROR(VALUE(LEFT($A1434,6)))),"",IF(LEN($A1434)=2,SUMIF($A1435:$A$2965,$A1434&amp;"??",$D1435:$D$2965),IF(AND(LEN($A1434)=4,VALUE(RIGHT($A1434,2))&lt;=60),SUMIF($A1435:$A$2965,$A1434&amp;"????",$D1435:$D$2965),VLOOKUP(IF(LEN($A1434)=4,$A1434&amp;"01 1",$A1434),GUS_tabl_21!$A$5:$F$4886,6,FALSE))))</f>
        <v>5196</v>
      </c>
      <c r="E1434" s="29"/>
    </row>
    <row r="1435" spans="1:5" ht="12" customHeight="1">
      <c r="A1435" s="155" t="str">
        <f>"143003 2"</f>
        <v>143003 2</v>
      </c>
      <c r="B1435" s="153" t="s">
        <v>45</v>
      </c>
      <c r="C1435" s="156" t="str">
        <f>IF(OR($A1435="",ISERROR(VALUE(LEFT($A1435,6)))),"",IF(LEN($A1435)=2,"WOJ. ",IF(LEN($A1435)=4,IF(VALUE(RIGHT($A1435,2))&gt;60,"","Powiat "),IF(VALUE(RIGHT($A1435,1))=1,"m. ",IF(VALUE(RIGHT($A1435,1))=2,"gm. w. ",IF(VALUE(RIGHT($A1435,1))=8,"dz. ","gm. m.-w. ")))))&amp;IF(LEN($A1435)=2,TRIM(UPPER(VLOOKUP($A1435,GUS_tabl_1!$A$7:$B$22,2,FALSE))),IF(ISERROR(FIND("..",TRIM(VLOOKUP(IF(AND(LEN($A1435)=4,VALUE(RIGHT($A1435,2))&gt;60),$A1435&amp;"01 1",$A1435),IF(AND(LEN($A1435)=4,VALUE(RIGHT($A1435,2))&lt;60),GUS_tabl_2!$A$8:$B$464,GUS_tabl_21!$A$5:$B$4886),2,FALSE)))),TRIM(VLOOKUP(IF(AND(LEN($A1435)=4,VALUE(RIGHT($A1435,2))&gt;60),$A1435&amp;"01 1",$A1435),IF(AND(LEN($A1435)=4,VALUE(RIGHT($A1435,2))&lt;60),GUS_tabl_2!$A$8:$B$464,GUS_tabl_21!$A$5:$B$4886),2,FALSE)),LEFT(TRIM(VLOOKUP(IF(AND(LEN($A1435)=4,VALUE(RIGHT($A1435,2))&gt;60),$A1435&amp;"01 1",$A1435),IF(AND(LEN($A1435)=4,VALUE(RIGHT($A1435,2))&lt;60),GUS_tabl_2!$A$8:$B$464,GUS_tabl_21!$A$5:$B$4886),2,FALSE)),SUM(FIND("..",TRIM(VLOOKUP(IF(AND(LEN($A1435)=4,VALUE(RIGHT($A1435,2))&gt;60),$A1435&amp;"01 1",$A1435),IF(AND(LEN($A1435)=4,VALUE(RIGHT($A1435,2))&lt;60),GUS_tabl_2!$A$8:$B$464,GUS_tabl_21!$A$5:$B$4886),2,FALSE))),-1)))))</f>
        <v>gm. w. Mirów</v>
      </c>
      <c r="D1435" s="141">
        <f>IF(OR($A1435="",ISERROR(VALUE(LEFT($A1435,6)))),"",IF(LEN($A1435)=2,SUMIF($A1436:$A$2965,$A1435&amp;"??",$D1436:$D$2965),IF(AND(LEN($A1435)=4,VALUE(RIGHT($A1435,2))&lt;=60),SUMIF($A1436:$A$2965,$A1435&amp;"????",$D1436:$D$2965),VLOOKUP(IF(LEN($A1435)=4,$A1435&amp;"01 1",$A1435),GUS_tabl_21!$A$5:$F$4886,6,FALSE))))</f>
        <v>3898</v>
      </c>
      <c r="E1435" s="29"/>
    </row>
    <row r="1436" spans="1:5" ht="12" customHeight="1">
      <c r="A1436" s="155" t="str">
        <f>"143004 2"</f>
        <v>143004 2</v>
      </c>
      <c r="B1436" s="153" t="s">
        <v>45</v>
      </c>
      <c r="C1436" s="156" t="str">
        <f>IF(OR($A1436="",ISERROR(VALUE(LEFT($A1436,6)))),"",IF(LEN($A1436)=2,"WOJ. ",IF(LEN($A1436)=4,IF(VALUE(RIGHT($A1436,2))&gt;60,"","Powiat "),IF(VALUE(RIGHT($A1436,1))=1,"m. ",IF(VALUE(RIGHT($A1436,1))=2,"gm. w. ",IF(VALUE(RIGHT($A1436,1))=8,"dz. ","gm. m.-w. ")))))&amp;IF(LEN($A1436)=2,TRIM(UPPER(VLOOKUP($A1436,GUS_tabl_1!$A$7:$B$22,2,FALSE))),IF(ISERROR(FIND("..",TRIM(VLOOKUP(IF(AND(LEN($A1436)=4,VALUE(RIGHT($A1436,2))&gt;60),$A1436&amp;"01 1",$A1436),IF(AND(LEN($A1436)=4,VALUE(RIGHT($A1436,2))&lt;60),GUS_tabl_2!$A$8:$B$464,GUS_tabl_21!$A$5:$B$4886),2,FALSE)))),TRIM(VLOOKUP(IF(AND(LEN($A1436)=4,VALUE(RIGHT($A1436,2))&gt;60),$A1436&amp;"01 1",$A1436),IF(AND(LEN($A1436)=4,VALUE(RIGHT($A1436,2))&lt;60),GUS_tabl_2!$A$8:$B$464,GUS_tabl_21!$A$5:$B$4886),2,FALSE)),LEFT(TRIM(VLOOKUP(IF(AND(LEN($A1436)=4,VALUE(RIGHT($A1436,2))&gt;60),$A1436&amp;"01 1",$A1436),IF(AND(LEN($A1436)=4,VALUE(RIGHT($A1436,2))&lt;60),GUS_tabl_2!$A$8:$B$464,GUS_tabl_21!$A$5:$B$4886),2,FALSE)),SUM(FIND("..",TRIM(VLOOKUP(IF(AND(LEN($A1436)=4,VALUE(RIGHT($A1436,2))&gt;60),$A1436&amp;"01 1",$A1436),IF(AND(LEN($A1436)=4,VALUE(RIGHT($A1436,2))&lt;60),GUS_tabl_2!$A$8:$B$464,GUS_tabl_21!$A$5:$B$4886),2,FALSE))),-1)))))</f>
        <v>gm. w. Orońsko</v>
      </c>
      <c r="D1436" s="141">
        <f>IF(OR($A1436="",ISERROR(VALUE(LEFT($A1436,6)))),"",IF(LEN($A1436)=2,SUMIF($A1437:$A$2965,$A1436&amp;"??",$D1437:$D$2965),IF(AND(LEN($A1436)=4,VALUE(RIGHT($A1436,2))&lt;=60),SUMIF($A1437:$A$2965,$A1436&amp;"????",$D1437:$D$2965),VLOOKUP(IF(LEN($A1436)=4,$A1436&amp;"01 1",$A1436),GUS_tabl_21!$A$5:$F$4886,6,FALSE))))</f>
        <v>5969</v>
      </c>
      <c r="E1436" s="29"/>
    </row>
    <row r="1437" spans="1:5" ht="12" customHeight="1">
      <c r="A1437" s="155" t="str">
        <f>"143005 3"</f>
        <v>143005 3</v>
      </c>
      <c r="B1437" s="153" t="s">
        <v>45</v>
      </c>
      <c r="C1437" s="156" t="str">
        <f>IF(OR($A1437="",ISERROR(VALUE(LEFT($A1437,6)))),"",IF(LEN($A1437)=2,"WOJ. ",IF(LEN($A1437)=4,IF(VALUE(RIGHT($A1437,2))&gt;60,"","Powiat "),IF(VALUE(RIGHT($A1437,1))=1,"m. ",IF(VALUE(RIGHT($A1437,1))=2,"gm. w. ",IF(VALUE(RIGHT($A1437,1))=8,"dz. ","gm. m.-w. ")))))&amp;IF(LEN($A1437)=2,TRIM(UPPER(VLOOKUP($A1437,GUS_tabl_1!$A$7:$B$22,2,FALSE))),IF(ISERROR(FIND("..",TRIM(VLOOKUP(IF(AND(LEN($A1437)=4,VALUE(RIGHT($A1437,2))&gt;60),$A1437&amp;"01 1",$A1437),IF(AND(LEN($A1437)=4,VALUE(RIGHT($A1437,2))&lt;60),GUS_tabl_2!$A$8:$B$464,GUS_tabl_21!$A$5:$B$4886),2,FALSE)))),TRIM(VLOOKUP(IF(AND(LEN($A1437)=4,VALUE(RIGHT($A1437,2))&gt;60),$A1437&amp;"01 1",$A1437),IF(AND(LEN($A1437)=4,VALUE(RIGHT($A1437,2))&lt;60),GUS_tabl_2!$A$8:$B$464,GUS_tabl_21!$A$5:$B$4886),2,FALSE)),LEFT(TRIM(VLOOKUP(IF(AND(LEN($A1437)=4,VALUE(RIGHT($A1437,2))&gt;60),$A1437&amp;"01 1",$A1437),IF(AND(LEN($A1437)=4,VALUE(RIGHT($A1437,2))&lt;60),GUS_tabl_2!$A$8:$B$464,GUS_tabl_21!$A$5:$B$4886),2,FALSE)),SUM(FIND("..",TRIM(VLOOKUP(IF(AND(LEN($A1437)=4,VALUE(RIGHT($A1437,2))&gt;60),$A1437&amp;"01 1",$A1437),IF(AND(LEN($A1437)=4,VALUE(RIGHT($A1437,2))&lt;60),GUS_tabl_2!$A$8:$B$464,GUS_tabl_21!$A$5:$B$4886),2,FALSE))),-1)))))</f>
        <v>gm. m.-w. Szydłowiec</v>
      </c>
      <c r="D1437" s="141">
        <f>IF(OR($A1437="",ISERROR(VALUE(LEFT($A1437,6)))),"",IF(LEN($A1437)=2,SUMIF($A1438:$A$2965,$A1437&amp;"??",$D1438:$D$2965),IF(AND(LEN($A1437)=4,VALUE(RIGHT($A1437,2))&lt;=60),SUMIF($A1438:$A$2965,$A1437&amp;"????",$D1438:$D$2965),VLOOKUP(IF(LEN($A1437)=4,$A1437&amp;"01 1",$A1437),GUS_tabl_21!$A$5:$F$4886,6,FALSE))))</f>
        <v>18698</v>
      </c>
      <c r="E1437" s="29"/>
    </row>
    <row r="1438" spans="1:5" ht="12" customHeight="1">
      <c r="A1438" s="152" t="str">
        <f>"1432"</f>
        <v>1432</v>
      </c>
      <c r="B1438" s="153" t="s">
        <v>45</v>
      </c>
      <c r="C1438" s="154" t="str">
        <f>IF(OR($A1438="",ISERROR(VALUE(LEFT($A1438,6)))),"",IF(LEN($A1438)=2,"WOJ. ",IF(LEN($A1438)=4,IF(VALUE(RIGHT($A1438,2))&gt;60,"","Powiat "),IF(VALUE(RIGHT($A1438,1))=1,"m. ",IF(VALUE(RIGHT($A1438,1))=2,"gm. w. ",IF(VALUE(RIGHT($A1438,1))=8,"dz. ","gm. m.-w. ")))))&amp;IF(LEN($A1438)=2,TRIM(UPPER(VLOOKUP($A1438,GUS_tabl_1!$A$7:$B$22,2,FALSE))),IF(ISERROR(FIND("..",TRIM(VLOOKUP(IF(AND(LEN($A1438)=4,VALUE(RIGHT($A1438,2))&gt;60),$A1438&amp;"01 1",$A1438),IF(AND(LEN($A1438)=4,VALUE(RIGHT($A1438,2))&lt;60),GUS_tabl_2!$A$8:$B$464,GUS_tabl_21!$A$5:$B$4886),2,FALSE)))),TRIM(VLOOKUP(IF(AND(LEN($A1438)=4,VALUE(RIGHT($A1438,2))&gt;60),$A1438&amp;"01 1",$A1438),IF(AND(LEN($A1438)=4,VALUE(RIGHT($A1438,2))&lt;60),GUS_tabl_2!$A$8:$B$464,GUS_tabl_21!$A$5:$B$4886),2,FALSE)),LEFT(TRIM(VLOOKUP(IF(AND(LEN($A1438)=4,VALUE(RIGHT($A1438,2))&gt;60),$A1438&amp;"01 1",$A1438),IF(AND(LEN($A1438)=4,VALUE(RIGHT($A1438,2))&lt;60),GUS_tabl_2!$A$8:$B$464,GUS_tabl_21!$A$5:$B$4886),2,FALSE)),SUM(FIND("..",TRIM(VLOOKUP(IF(AND(LEN($A1438)=4,VALUE(RIGHT($A1438,2))&gt;60),$A1438&amp;"01 1",$A1438),IF(AND(LEN($A1438)=4,VALUE(RIGHT($A1438,2))&lt;60),GUS_tabl_2!$A$8:$B$464,GUS_tabl_21!$A$5:$B$4886),2,FALSE))),-1)))))</f>
        <v>Powiat warszawski zachodni</v>
      </c>
      <c r="D1438" s="140">
        <f>IF(OR($A1438="",ISERROR(VALUE(LEFT($A1438,6)))),"",IF(LEN($A1438)=2,SUMIF($A1439:$A$2965,$A1438&amp;"??",$D1439:$D$2965),IF(AND(LEN($A1438)=4,VALUE(RIGHT($A1438,2))&lt;=60),SUMIF($A1439:$A$2965,$A1438&amp;"????",$D1439:$D$2965),VLOOKUP(IF(LEN($A1438)=4,$A1438&amp;"01 1",$A1438),GUS_tabl_21!$A$5:$F$4886,6,FALSE))))</f>
        <v>118613</v>
      </c>
      <c r="E1438" s="29"/>
    </row>
    <row r="1439" spans="1:5" ht="12" customHeight="1">
      <c r="A1439" s="155" t="str">
        <f>"143201 3"</f>
        <v>143201 3</v>
      </c>
      <c r="B1439" s="153" t="s">
        <v>45</v>
      </c>
      <c r="C1439" s="156" t="str">
        <f>IF(OR($A1439="",ISERROR(VALUE(LEFT($A1439,6)))),"",IF(LEN($A1439)=2,"WOJ. ",IF(LEN($A1439)=4,IF(VALUE(RIGHT($A1439,2))&gt;60,"","Powiat "),IF(VALUE(RIGHT($A1439,1))=1,"m. ",IF(VALUE(RIGHT($A1439,1))=2,"gm. w. ",IF(VALUE(RIGHT($A1439,1))=8,"dz. ","gm. m.-w. ")))))&amp;IF(LEN($A1439)=2,TRIM(UPPER(VLOOKUP($A1439,GUS_tabl_1!$A$7:$B$22,2,FALSE))),IF(ISERROR(FIND("..",TRIM(VLOOKUP(IF(AND(LEN($A1439)=4,VALUE(RIGHT($A1439,2))&gt;60),$A1439&amp;"01 1",$A1439),IF(AND(LEN($A1439)=4,VALUE(RIGHT($A1439,2))&lt;60),GUS_tabl_2!$A$8:$B$464,GUS_tabl_21!$A$5:$B$4886),2,FALSE)))),TRIM(VLOOKUP(IF(AND(LEN($A1439)=4,VALUE(RIGHT($A1439,2))&gt;60),$A1439&amp;"01 1",$A1439),IF(AND(LEN($A1439)=4,VALUE(RIGHT($A1439,2))&lt;60),GUS_tabl_2!$A$8:$B$464,GUS_tabl_21!$A$5:$B$4886),2,FALSE)),LEFT(TRIM(VLOOKUP(IF(AND(LEN($A1439)=4,VALUE(RIGHT($A1439,2))&gt;60),$A1439&amp;"01 1",$A1439),IF(AND(LEN($A1439)=4,VALUE(RIGHT($A1439,2))&lt;60),GUS_tabl_2!$A$8:$B$464,GUS_tabl_21!$A$5:$B$4886),2,FALSE)),SUM(FIND("..",TRIM(VLOOKUP(IF(AND(LEN($A1439)=4,VALUE(RIGHT($A1439,2))&gt;60),$A1439&amp;"01 1",$A1439),IF(AND(LEN($A1439)=4,VALUE(RIGHT($A1439,2))&lt;60),GUS_tabl_2!$A$8:$B$464,GUS_tabl_21!$A$5:$B$4886),2,FALSE))),-1)))))</f>
        <v>gm. m.-w. Błonie</v>
      </c>
      <c r="D1439" s="141">
        <f>IF(OR($A1439="",ISERROR(VALUE(LEFT($A1439,6)))),"",IF(LEN($A1439)=2,SUMIF($A1440:$A$2965,$A1439&amp;"??",$D1440:$D$2965),IF(AND(LEN($A1439)=4,VALUE(RIGHT($A1439,2))&lt;=60),SUMIF($A1440:$A$2965,$A1439&amp;"????",$D1440:$D$2965),VLOOKUP(IF(LEN($A1439)=4,$A1439&amp;"01 1",$A1439),GUS_tabl_21!$A$5:$F$4886,6,FALSE))))</f>
        <v>21565</v>
      </c>
      <c r="E1439" s="29"/>
    </row>
    <row r="1440" spans="1:5" ht="12" customHeight="1">
      <c r="A1440" s="155" t="str">
        <f>"143202 2"</f>
        <v>143202 2</v>
      </c>
      <c r="B1440" s="153" t="s">
        <v>45</v>
      </c>
      <c r="C1440" s="156" t="str">
        <f>IF(OR($A1440="",ISERROR(VALUE(LEFT($A1440,6)))),"",IF(LEN($A1440)=2,"WOJ. ",IF(LEN($A1440)=4,IF(VALUE(RIGHT($A1440,2))&gt;60,"","Powiat "),IF(VALUE(RIGHT($A1440,1))=1,"m. ",IF(VALUE(RIGHT($A1440,1))=2,"gm. w. ",IF(VALUE(RIGHT($A1440,1))=8,"dz. ","gm. m.-w. ")))))&amp;IF(LEN($A1440)=2,TRIM(UPPER(VLOOKUP($A1440,GUS_tabl_1!$A$7:$B$22,2,FALSE))),IF(ISERROR(FIND("..",TRIM(VLOOKUP(IF(AND(LEN($A1440)=4,VALUE(RIGHT($A1440,2))&gt;60),$A1440&amp;"01 1",$A1440),IF(AND(LEN($A1440)=4,VALUE(RIGHT($A1440,2))&lt;60),GUS_tabl_2!$A$8:$B$464,GUS_tabl_21!$A$5:$B$4886),2,FALSE)))),TRIM(VLOOKUP(IF(AND(LEN($A1440)=4,VALUE(RIGHT($A1440,2))&gt;60),$A1440&amp;"01 1",$A1440),IF(AND(LEN($A1440)=4,VALUE(RIGHT($A1440,2))&lt;60),GUS_tabl_2!$A$8:$B$464,GUS_tabl_21!$A$5:$B$4886),2,FALSE)),LEFT(TRIM(VLOOKUP(IF(AND(LEN($A1440)=4,VALUE(RIGHT($A1440,2))&gt;60),$A1440&amp;"01 1",$A1440),IF(AND(LEN($A1440)=4,VALUE(RIGHT($A1440,2))&lt;60),GUS_tabl_2!$A$8:$B$464,GUS_tabl_21!$A$5:$B$4886),2,FALSE)),SUM(FIND("..",TRIM(VLOOKUP(IF(AND(LEN($A1440)=4,VALUE(RIGHT($A1440,2))&gt;60),$A1440&amp;"01 1",$A1440),IF(AND(LEN($A1440)=4,VALUE(RIGHT($A1440,2))&lt;60),GUS_tabl_2!$A$8:$B$464,GUS_tabl_21!$A$5:$B$4886),2,FALSE))),-1)))))</f>
        <v>gm. w. Izabelin</v>
      </c>
      <c r="D1440" s="141">
        <f>IF(OR($A1440="",ISERROR(VALUE(LEFT($A1440,6)))),"",IF(LEN($A1440)=2,SUMIF($A1441:$A$2965,$A1440&amp;"??",$D1441:$D$2965),IF(AND(LEN($A1440)=4,VALUE(RIGHT($A1440,2))&lt;=60),SUMIF($A1441:$A$2965,$A1440&amp;"????",$D1441:$D$2965),VLOOKUP(IF(LEN($A1440)=4,$A1440&amp;"01 1",$A1440),GUS_tabl_21!$A$5:$F$4886,6,FALSE))))</f>
        <v>10572</v>
      </c>
      <c r="E1440" s="29"/>
    </row>
    <row r="1441" spans="1:5" ht="12" customHeight="1">
      <c r="A1441" s="155" t="str">
        <f>"143203 2"</f>
        <v>143203 2</v>
      </c>
      <c r="B1441" s="153" t="s">
        <v>45</v>
      </c>
      <c r="C1441" s="156" t="str">
        <f>IF(OR($A1441="",ISERROR(VALUE(LEFT($A1441,6)))),"",IF(LEN($A1441)=2,"WOJ. ",IF(LEN($A1441)=4,IF(VALUE(RIGHT($A1441,2))&gt;60,"","Powiat "),IF(VALUE(RIGHT($A1441,1))=1,"m. ",IF(VALUE(RIGHT($A1441,1))=2,"gm. w. ",IF(VALUE(RIGHT($A1441,1))=8,"dz. ","gm. m.-w. ")))))&amp;IF(LEN($A1441)=2,TRIM(UPPER(VLOOKUP($A1441,GUS_tabl_1!$A$7:$B$22,2,FALSE))),IF(ISERROR(FIND("..",TRIM(VLOOKUP(IF(AND(LEN($A1441)=4,VALUE(RIGHT($A1441,2))&gt;60),$A1441&amp;"01 1",$A1441),IF(AND(LEN($A1441)=4,VALUE(RIGHT($A1441,2))&lt;60),GUS_tabl_2!$A$8:$B$464,GUS_tabl_21!$A$5:$B$4886),2,FALSE)))),TRIM(VLOOKUP(IF(AND(LEN($A1441)=4,VALUE(RIGHT($A1441,2))&gt;60),$A1441&amp;"01 1",$A1441),IF(AND(LEN($A1441)=4,VALUE(RIGHT($A1441,2))&lt;60),GUS_tabl_2!$A$8:$B$464,GUS_tabl_21!$A$5:$B$4886),2,FALSE)),LEFT(TRIM(VLOOKUP(IF(AND(LEN($A1441)=4,VALUE(RIGHT($A1441,2))&gt;60),$A1441&amp;"01 1",$A1441),IF(AND(LEN($A1441)=4,VALUE(RIGHT($A1441,2))&lt;60),GUS_tabl_2!$A$8:$B$464,GUS_tabl_21!$A$5:$B$4886),2,FALSE)),SUM(FIND("..",TRIM(VLOOKUP(IF(AND(LEN($A1441)=4,VALUE(RIGHT($A1441,2))&gt;60),$A1441&amp;"01 1",$A1441),IF(AND(LEN($A1441)=4,VALUE(RIGHT($A1441,2))&lt;60),GUS_tabl_2!$A$8:$B$464,GUS_tabl_21!$A$5:$B$4886),2,FALSE))),-1)))))</f>
        <v>gm. w. Kampinos</v>
      </c>
      <c r="D1441" s="141">
        <f>IF(OR($A1441="",ISERROR(VALUE(LEFT($A1441,6)))),"",IF(LEN($A1441)=2,SUMIF($A1442:$A$2965,$A1441&amp;"??",$D1442:$D$2965),IF(AND(LEN($A1441)=4,VALUE(RIGHT($A1441,2))&lt;=60),SUMIF($A1442:$A$2965,$A1441&amp;"????",$D1442:$D$2965),VLOOKUP(IF(LEN($A1441)=4,$A1441&amp;"01 1",$A1441),GUS_tabl_21!$A$5:$F$4886,6,FALSE))))</f>
        <v>4347</v>
      </c>
      <c r="E1441" s="29"/>
    </row>
    <row r="1442" spans="1:5" ht="12" customHeight="1">
      <c r="A1442" s="155" t="str">
        <f>"143204 2"</f>
        <v>143204 2</v>
      </c>
      <c r="B1442" s="153" t="s">
        <v>45</v>
      </c>
      <c r="C1442" s="156" t="str">
        <f>IF(OR($A1442="",ISERROR(VALUE(LEFT($A1442,6)))),"",IF(LEN($A1442)=2,"WOJ. ",IF(LEN($A1442)=4,IF(VALUE(RIGHT($A1442,2))&gt;60,"","Powiat "),IF(VALUE(RIGHT($A1442,1))=1,"m. ",IF(VALUE(RIGHT($A1442,1))=2,"gm. w. ",IF(VALUE(RIGHT($A1442,1))=8,"dz. ","gm. m.-w. ")))))&amp;IF(LEN($A1442)=2,TRIM(UPPER(VLOOKUP($A1442,GUS_tabl_1!$A$7:$B$22,2,FALSE))),IF(ISERROR(FIND("..",TRIM(VLOOKUP(IF(AND(LEN($A1442)=4,VALUE(RIGHT($A1442,2))&gt;60),$A1442&amp;"01 1",$A1442),IF(AND(LEN($A1442)=4,VALUE(RIGHT($A1442,2))&lt;60),GUS_tabl_2!$A$8:$B$464,GUS_tabl_21!$A$5:$B$4886),2,FALSE)))),TRIM(VLOOKUP(IF(AND(LEN($A1442)=4,VALUE(RIGHT($A1442,2))&gt;60),$A1442&amp;"01 1",$A1442),IF(AND(LEN($A1442)=4,VALUE(RIGHT($A1442,2))&lt;60),GUS_tabl_2!$A$8:$B$464,GUS_tabl_21!$A$5:$B$4886),2,FALSE)),LEFT(TRIM(VLOOKUP(IF(AND(LEN($A1442)=4,VALUE(RIGHT($A1442,2))&gt;60),$A1442&amp;"01 1",$A1442),IF(AND(LEN($A1442)=4,VALUE(RIGHT($A1442,2))&lt;60),GUS_tabl_2!$A$8:$B$464,GUS_tabl_21!$A$5:$B$4886),2,FALSE)),SUM(FIND("..",TRIM(VLOOKUP(IF(AND(LEN($A1442)=4,VALUE(RIGHT($A1442,2))&gt;60),$A1442&amp;"01 1",$A1442),IF(AND(LEN($A1442)=4,VALUE(RIGHT($A1442,2))&lt;60),GUS_tabl_2!$A$8:$B$464,GUS_tabl_21!$A$5:$B$4886),2,FALSE))),-1)))))</f>
        <v>gm. w. Leszno</v>
      </c>
      <c r="D1442" s="141">
        <f>IF(OR($A1442="",ISERROR(VALUE(LEFT($A1442,6)))),"",IF(LEN($A1442)=2,SUMIF($A1443:$A$2965,$A1442&amp;"??",$D1443:$D$2965),IF(AND(LEN($A1442)=4,VALUE(RIGHT($A1442,2))&lt;=60),SUMIF($A1443:$A$2965,$A1442&amp;"????",$D1443:$D$2965),VLOOKUP(IF(LEN($A1442)=4,$A1442&amp;"01 1",$A1442),GUS_tabl_21!$A$5:$F$4886,6,FALSE))))</f>
        <v>10207</v>
      </c>
      <c r="E1442" s="29"/>
    </row>
    <row r="1443" spans="1:5" ht="12" customHeight="1">
      <c r="A1443" s="155" t="str">
        <f>"143205 3"</f>
        <v>143205 3</v>
      </c>
      <c r="B1443" s="153" t="s">
        <v>45</v>
      </c>
      <c r="C1443" s="156" t="str">
        <f>IF(OR($A1443="",ISERROR(VALUE(LEFT($A1443,6)))),"",IF(LEN($A1443)=2,"WOJ. ",IF(LEN($A1443)=4,IF(VALUE(RIGHT($A1443,2))&gt;60,"","Powiat "),IF(VALUE(RIGHT($A1443,1))=1,"m. ",IF(VALUE(RIGHT($A1443,1))=2,"gm. w. ",IF(VALUE(RIGHT($A1443,1))=8,"dz. ","gm. m.-w. ")))))&amp;IF(LEN($A1443)=2,TRIM(UPPER(VLOOKUP($A1443,GUS_tabl_1!$A$7:$B$22,2,FALSE))),IF(ISERROR(FIND("..",TRIM(VLOOKUP(IF(AND(LEN($A1443)=4,VALUE(RIGHT($A1443,2))&gt;60),$A1443&amp;"01 1",$A1443),IF(AND(LEN($A1443)=4,VALUE(RIGHT($A1443,2))&lt;60),GUS_tabl_2!$A$8:$B$464,GUS_tabl_21!$A$5:$B$4886),2,FALSE)))),TRIM(VLOOKUP(IF(AND(LEN($A1443)=4,VALUE(RIGHT($A1443,2))&gt;60),$A1443&amp;"01 1",$A1443),IF(AND(LEN($A1443)=4,VALUE(RIGHT($A1443,2))&lt;60),GUS_tabl_2!$A$8:$B$464,GUS_tabl_21!$A$5:$B$4886),2,FALSE)),LEFT(TRIM(VLOOKUP(IF(AND(LEN($A1443)=4,VALUE(RIGHT($A1443,2))&gt;60),$A1443&amp;"01 1",$A1443),IF(AND(LEN($A1443)=4,VALUE(RIGHT($A1443,2))&lt;60),GUS_tabl_2!$A$8:$B$464,GUS_tabl_21!$A$5:$B$4886),2,FALSE)),SUM(FIND("..",TRIM(VLOOKUP(IF(AND(LEN($A1443)=4,VALUE(RIGHT($A1443,2))&gt;60),$A1443&amp;"01 1",$A1443),IF(AND(LEN($A1443)=4,VALUE(RIGHT($A1443,2))&lt;60),GUS_tabl_2!$A$8:$B$464,GUS_tabl_21!$A$5:$B$4886),2,FALSE))),-1)))))</f>
        <v>gm. m.-w. Łomianki</v>
      </c>
      <c r="D1443" s="141">
        <f>IF(OR($A1443="",ISERROR(VALUE(LEFT($A1443,6)))),"",IF(LEN($A1443)=2,SUMIF($A1444:$A$2965,$A1443&amp;"??",$D1444:$D$2965),IF(AND(LEN($A1443)=4,VALUE(RIGHT($A1443,2))&lt;=60),SUMIF($A1444:$A$2965,$A1443&amp;"????",$D1444:$D$2965),VLOOKUP(IF(LEN($A1443)=4,$A1443&amp;"01 1",$A1443),GUS_tabl_21!$A$5:$F$4886,6,FALSE))))</f>
        <v>27203</v>
      </c>
      <c r="E1443" s="29"/>
    </row>
    <row r="1444" spans="1:5" ht="12" customHeight="1">
      <c r="A1444" s="155" t="str">
        <f>"143206 3"</f>
        <v>143206 3</v>
      </c>
      <c r="B1444" s="153" t="s">
        <v>45</v>
      </c>
      <c r="C1444" s="156" t="str">
        <f>IF(OR($A1444="",ISERROR(VALUE(LEFT($A1444,6)))),"",IF(LEN($A1444)=2,"WOJ. ",IF(LEN($A1444)=4,IF(VALUE(RIGHT($A1444,2))&gt;60,"","Powiat "),IF(VALUE(RIGHT($A1444,1))=1,"m. ",IF(VALUE(RIGHT($A1444,1))=2,"gm. w. ",IF(VALUE(RIGHT($A1444,1))=8,"dz. ","gm. m.-w. ")))))&amp;IF(LEN($A1444)=2,TRIM(UPPER(VLOOKUP($A1444,GUS_tabl_1!$A$7:$B$22,2,FALSE))),IF(ISERROR(FIND("..",TRIM(VLOOKUP(IF(AND(LEN($A1444)=4,VALUE(RIGHT($A1444,2))&gt;60),$A1444&amp;"01 1",$A1444),IF(AND(LEN($A1444)=4,VALUE(RIGHT($A1444,2))&lt;60),GUS_tabl_2!$A$8:$B$464,GUS_tabl_21!$A$5:$B$4886),2,FALSE)))),TRIM(VLOOKUP(IF(AND(LEN($A1444)=4,VALUE(RIGHT($A1444,2))&gt;60),$A1444&amp;"01 1",$A1444),IF(AND(LEN($A1444)=4,VALUE(RIGHT($A1444,2))&lt;60),GUS_tabl_2!$A$8:$B$464,GUS_tabl_21!$A$5:$B$4886),2,FALSE)),LEFT(TRIM(VLOOKUP(IF(AND(LEN($A1444)=4,VALUE(RIGHT($A1444,2))&gt;60),$A1444&amp;"01 1",$A1444),IF(AND(LEN($A1444)=4,VALUE(RIGHT($A1444,2))&lt;60),GUS_tabl_2!$A$8:$B$464,GUS_tabl_21!$A$5:$B$4886),2,FALSE)),SUM(FIND("..",TRIM(VLOOKUP(IF(AND(LEN($A1444)=4,VALUE(RIGHT($A1444,2))&gt;60),$A1444&amp;"01 1",$A1444),IF(AND(LEN($A1444)=4,VALUE(RIGHT($A1444,2))&lt;60),GUS_tabl_2!$A$8:$B$464,GUS_tabl_21!$A$5:$B$4886),2,FALSE))),-1)))))</f>
        <v>gm. m.-w. Ożarów Mazowiecki</v>
      </c>
      <c r="D1444" s="141">
        <f>IF(OR($A1444="",ISERROR(VALUE(LEFT($A1444,6)))),"",IF(LEN($A1444)=2,SUMIF($A1445:$A$2965,$A1444&amp;"??",$D1445:$D$2965),IF(AND(LEN($A1444)=4,VALUE(RIGHT($A1444,2))&lt;=60),SUMIF($A1445:$A$2965,$A1444&amp;"????",$D1445:$D$2965),VLOOKUP(IF(LEN($A1444)=4,$A1444&amp;"01 1",$A1444),GUS_tabl_21!$A$5:$F$4886,6,FALSE))))</f>
        <v>25440</v>
      </c>
      <c r="E1444" s="29"/>
    </row>
    <row r="1445" spans="1:5" ht="12" customHeight="1">
      <c r="A1445" s="155" t="str">
        <f>"143207 2"</f>
        <v>143207 2</v>
      </c>
      <c r="B1445" s="153" t="s">
        <v>45</v>
      </c>
      <c r="C1445" s="156" t="str">
        <f>IF(OR($A1445="",ISERROR(VALUE(LEFT($A1445,6)))),"",IF(LEN($A1445)=2,"WOJ. ",IF(LEN($A1445)=4,IF(VALUE(RIGHT($A1445,2))&gt;60,"","Powiat "),IF(VALUE(RIGHT($A1445,1))=1,"m. ",IF(VALUE(RIGHT($A1445,1))=2,"gm. w. ",IF(VALUE(RIGHT($A1445,1))=8,"dz. ","gm. m.-w. ")))))&amp;IF(LEN($A1445)=2,TRIM(UPPER(VLOOKUP($A1445,GUS_tabl_1!$A$7:$B$22,2,FALSE))),IF(ISERROR(FIND("..",TRIM(VLOOKUP(IF(AND(LEN($A1445)=4,VALUE(RIGHT($A1445,2))&gt;60),$A1445&amp;"01 1",$A1445),IF(AND(LEN($A1445)=4,VALUE(RIGHT($A1445,2))&lt;60),GUS_tabl_2!$A$8:$B$464,GUS_tabl_21!$A$5:$B$4886),2,FALSE)))),TRIM(VLOOKUP(IF(AND(LEN($A1445)=4,VALUE(RIGHT($A1445,2))&gt;60),$A1445&amp;"01 1",$A1445),IF(AND(LEN($A1445)=4,VALUE(RIGHT($A1445,2))&lt;60),GUS_tabl_2!$A$8:$B$464,GUS_tabl_21!$A$5:$B$4886),2,FALSE)),LEFT(TRIM(VLOOKUP(IF(AND(LEN($A1445)=4,VALUE(RIGHT($A1445,2))&gt;60),$A1445&amp;"01 1",$A1445),IF(AND(LEN($A1445)=4,VALUE(RIGHT($A1445,2))&lt;60),GUS_tabl_2!$A$8:$B$464,GUS_tabl_21!$A$5:$B$4886),2,FALSE)),SUM(FIND("..",TRIM(VLOOKUP(IF(AND(LEN($A1445)=4,VALUE(RIGHT($A1445,2))&gt;60),$A1445&amp;"01 1",$A1445),IF(AND(LEN($A1445)=4,VALUE(RIGHT($A1445,2))&lt;60),GUS_tabl_2!$A$8:$B$464,GUS_tabl_21!$A$5:$B$4886),2,FALSE))),-1)))))</f>
        <v>gm. w. Stare Babice</v>
      </c>
      <c r="D1445" s="141">
        <f>IF(OR($A1445="",ISERROR(VALUE(LEFT($A1445,6)))),"",IF(LEN($A1445)=2,SUMIF($A1446:$A$2965,$A1445&amp;"??",$D1446:$D$2965),IF(AND(LEN($A1445)=4,VALUE(RIGHT($A1445,2))&lt;=60),SUMIF($A1446:$A$2965,$A1445&amp;"????",$D1446:$D$2965),VLOOKUP(IF(LEN($A1445)=4,$A1445&amp;"01 1",$A1445),GUS_tabl_21!$A$5:$F$4886,6,FALSE))))</f>
        <v>19279</v>
      </c>
      <c r="E1445" s="29"/>
    </row>
    <row r="1446" spans="1:5" ht="12" customHeight="1">
      <c r="A1446" s="152" t="str">
        <f>"1433"</f>
        <v>1433</v>
      </c>
      <c r="B1446" s="153" t="s">
        <v>45</v>
      </c>
      <c r="C1446" s="154" t="str">
        <f>IF(OR($A1446="",ISERROR(VALUE(LEFT($A1446,6)))),"",IF(LEN($A1446)=2,"WOJ. ",IF(LEN($A1446)=4,IF(VALUE(RIGHT($A1446,2))&gt;60,"","Powiat "),IF(VALUE(RIGHT($A1446,1))=1,"m. ",IF(VALUE(RIGHT($A1446,1))=2,"gm. w. ",IF(VALUE(RIGHT($A1446,1))=8,"dz. ","gm. m.-w. ")))))&amp;IF(LEN($A1446)=2,TRIM(UPPER(VLOOKUP($A1446,GUS_tabl_1!$A$7:$B$22,2,FALSE))),IF(ISERROR(FIND("..",TRIM(VLOOKUP(IF(AND(LEN($A1446)=4,VALUE(RIGHT($A1446,2))&gt;60),$A1446&amp;"01 1",$A1446),IF(AND(LEN($A1446)=4,VALUE(RIGHT($A1446,2))&lt;60),GUS_tabl_2!$A$8:$B$464,GUS_tabl_21!$A$5:$B$4886),2,FALSE)))),TRIM(VLOOKUP(IF(AND(LEN($A1446)=4,VALUE(RIGHT($A1446,2))&gt;60),$A1446&amp;"01 1",$A1446),IF(AND(LEN($A1446)=4,VALUE(RIGHT($A1446,2))&lt;60),GUS_tabl_2!$A$8:$B$464,GUS_tabl_21!$A$5:$B$4886),2,FALSE)),LEFT(TRIM(VLOOKUP(IF(AND(LEN($A1446)=4,VALUE(RIGHT($A1446,2))&gt;60),$A1446&amp;"01 1",$A1446),IF(AND(LEN($A1446)=4,VALUE(RIGHT($A1446,2))&lt;60),GUS_tabl_2!$A$8:$B$464,GUS_tabl_21!$A$5:$B$4886),2,FALSE)),SUM(FIND("..",TRIM(VLOOKUP(IF(AND(LEN($A1446)=4,VALUE(RIGHT($A1446,2))&gt;60),$A1446&amp;"01 1",$A1446),IF(AND(LEN($A1446)=4,VALUE(RIGHT($A1446,2))&lt;60),GUS_tabl_2!$A$8:$B$464,GUS_tabl_21!$A$5:$B$4886),2,FALSE))),-1)))))</f>
        <v>Powiat węgrowski</v>
      </c>
      <c r="D1446" s="140">
        <f>IF(OR($A1446="",ISERROR(VALUE(LEFT($A1446,6)))),"",IF(LEN($A1446)=2,SUMIF($A1447:$A$2965,$A1446&amp;"??",$D1447:$D$2965),IF(AND(LEN($A1446)=4,VALUE(RIGHT($A1446,2))&lt;=60),SUMIF($A1447:$A$2965,$A1446&amp;"????",$D1447:$D$2965),VLOOKUP(IF(LEN($A1446)=4,$A1446&amp;"01 1",$A1446),GUS_tabl_21!$A$5:$F$4886,6,FALSE))))</f>
        <v>65822</v>
      </c>
      <c r="E1446" s="29"/>
    </row>
    <row r="1447" spans="1:5" ht="12" customHeight="1">
      <c r="A1447" s="155" t="str">
        <f>"143301 1"</f>
        <v>143301 1</v>
      </c>
      <c r="B1447" s="153" t="s">
        <v>45</v>
      </c>
      <c r="C1447" s="156" t="str">
        <f>IF(OR($A1447="",ISERROR(VALUE(LEFT($A1447,6)))),"",IF(LEN($A1447)=2,"WOJ. ",IF(LEN($A1447)=4,IF(VALUE(RIGHT($A1447,2))&gt;60,"","Powiat "),IF(VALUE(RIGHT($A1447,1))=1,"m. ",IF(VALUE(RIGHT($A1447,1))=2,"gm. w. ",IF(VALUE(RIGHT($A1447,1))=8,"dz. ","gm. m.-w. ")))))&amp;IF(LEN($A1447)=2,TRIM(UPPER(VLOOKUP($A1447,GUS_tabl_1!$A$7:$B$22,2,FALSE))),IF(ISERROR(FIND("..",TRIM(VLOOKUP(IF(AND(LEN($A1447)=4,VALUE(RIGHT($A1447,2))&gt;60),$A1447&amp;"01 1",$A1447),IF(AND(LEN($A1447)=4,VALUE(RIGHT($A1447,2))&lt;60),GUS_tabl_2!$A$8:$B$464,GUS_tabl_21!$A$5:$B$4886),2,FALSE)))),TRIM(VLOOKUP(IF(AND(LEN($A1447)=4,VALUE(RIGHT($A1447,2))&gt;60),$A1447&amp;"01 1",$A1447),IF(AND(LEN($A1447)=4,VALUE(RIGHT($A1447,2))&lt;60),GUS_tabl_2!$A$8:$B$464,GUS_tabl_21!$A$5:$B$4886),2,FALSE)),LEFT(TRIM(VLOOKUP(IF(AND(LEN($A1447)=4,VALUE(RIGHT($A1447,2))&gt;60),$A1447&amp;"01 1",$A1447),IF(AND(LEN($A1447)=4,VALUE(RIGHT($A1447,2))&lt;60),GUS_tabl_2!$A$8:$B$464,GUS_tabl_21!$A$5:$B$4886),2,FALSE)),SUM(FIND("..",TRIM(VLOOKUP(IF(AND(LEN($A1447)=4,VALUE(RIGHT($A1447,2))&gt;60),$A1447&amp;"01 1",$A1447),IF(AND(LEN($A1447)=4,VALUE(RIGHT($A1447,2))&lt;60),GUS_tabl_2!$A$8:$B$464,GUS_tabl_21!$A$5:$B$4886),2,FALSE))),-1)))))</f>
        <v>m. Węgrów</v>
      </c>
      <c r="D1447" s="141">
        <f>IF(OR($A1447="",ISERROR(VALUE(LEFT($A1447,6)))),"",IF(LEN($A1447)=2,SUMIF($A1448:$A$2965,$A1447&amp;"??",$D1448:$D$2965),IF(AND(LEN($A1447)=4,VALUE(RIGHT($A1447,2))&lt;=60),SUMIF($A1448:$A$2965,$A1447&amp;"????",$D1448:$D$2965),VLOOKUP(IF(LEN($A1447)=4,$A1447&amp;"01 1",$A1447),GUS_tabl_21!$A$5:$F$4886,6,FALSE))))</f>
        <v>12583</v>
      </c>
      <c r="E1447" s="29"/>
    </row>
    <row r="1448" spans="1:5" ht="12" customHeight="1">
      <c r="A1448" s="155" t="str">
        <f>"143302 2"</f>
        <v>143302 2</v>
      </c>
      <c r="B1448" s="153" t="s">
        <v>45</v>
      </c>
      <c r="C1448" s="156" t="str">
        <f>IF(OR($A1448="",ISERROR(VALUE(LEFT($A1448,6)))),"",IF(LEN($A1448)=2,"WOJ. ",IF(LEN($A1448)=4,IF(VALUE(RIGHT($A1448,2))&gt;60,"","Powiat "),IF(VALUE(RIGHT($A1448,1))=1,"m. ",IF(VALUE(RIGHT($A1448,1))=2,"gm. w. ",IF(VALUE(RIGHT($A1448,1))=8,"dz. ","gm. m.-w. ")))))&amp;IF(LEN($A1448)=2,TRIM(UPPER(VLOOKUP($A1448,GUS_tabl_1!$A$7:$B$22,2,FALSE))),IF(ISERROR(FIND("..",TRIM(VLOOKUP(IF(AND(LEN($A1448)=4,VALUE(RIGHT($A1448,2))&gt;60),$A1448&amp;"01 1",$A1448),IF(AND(LEN($A1448)=4,VALUE(RIGHT($A1448,2))&lt;60),GUS_tabl_2!$A$8:$B$464,GUS_tabl_21!$A$5:$B$4886),2,FALSE)))),TRIM(VLOOKUP(IF(AND(LEN($A1448)=4,VALUE(RIGHT($A1448,2))&gt;60),$A1448&amp;"01 1",$A1448),IF(AND(LEN($A1448)=4,VALUE(RIGHT($A1448,2))&lt;60),GUS_tabl_2!$A$8:$B$464,GUS_tabl_21!$A$5:$B$4886),2,FALSE)),LEFT(TRIM(VLOOKUP(IF(AND(LEN($A1448)=4,VALUE(RIGHT($A1448,2))&gt;60),$A1448&amp;"01 1",$A1448),IF(AND(LEN($A1448)=4,VALUE(RIGHT($A1448,2))&lt;60),GUS_tabl_2!$A$8:$B$464,GUS_tabl_21!$A$5:$B$4886),2,FALSE)),SUM(FIND("..",TRIM(VLOOKUP(IF(AND(LEN($A1448)=4,VALUE(RIGHT($A1448,2))&gt;60),$A1448&amp;"01 1",$A1448),IF(AND(LEN($A1448)=4,VALUE(RIGHT($A1448,2))&lt;60),GUS_tabl_2!$A$8:$B$464,GUS_tabl_21!$A$5:$B$4886),2,FALSE))),-1)))))</f>
        <v>gm. w. Grębków</v>
      </c>
      <c r="D1448" s="141">
        <f>IF(OR($A1448="",ISERROR(VALUE(LEFT($A1448,6)))),"",IF(LEN($A1448)=2,SUMIF($A1449:$A$2965,$A1448&amp;"??",$D1449:$D$2965),IF(AND(LEN($A1448)=4,VALUE(RIGHT($A1448,2))&lt;=60),SUMIF($A1449:$A$2965,$A1448&amp;"????",$D1449:$D$2965),VLOOKUP(IF(LEN($A1448)=4,$A1448&amp;"01 1",$A1448),GUS_tabl_21!$A$5:$F$4886,6,FALSE))))</f>
        <v>4443</v>
      </c>
      <c r="E1448" s="29"/>
    </row>
    <row r="1449" spans="1:5" ht="12" customHeight="1">
      <c r="A1449" s="155" t="str">
        <f>"143303 2"</f>
        <v>143303 2</v>
      </c>
      <c r="B1449" s="153" t="s">
        <v>45</v>
      </c>
      <c r="C1449" s="156" t="str">
        <f>IF(OR($A1449="",ISERROR(VALUE(LEFT($A1449,6)))),"",IF(LEN($A1449)=2,"WOJ. ",IF(LEN($A1449)=4,IF(VALUE(RIGHT($A1449,2))&gt;60,"","Powiat "),IF(VALUE(RIGHT($A1449,1))=1,"m. ",IF(VALUE(RIGHT($A1449,1))=2,"gm. w. ",IF(VALUE(RIGHT($A1449,1))=8,"dz. ","gm. m.-w. ")))))&amp;IF(LEN($A1449)=2,TRIM(UPPER(VLOOKUP($A1449,GUS_tabl_1!$A$7:$B$22,2,FALSE))),IF(ISERROR(FIND("..",TRIM(VLOOKUP(IF(AND(LEN($A1449)=4,VALUE(RIGHT($A1449,2))&gt;60),$A1449&amp;"01 1",$A1449),IF(AND(LEN($A1449)=4,VALUE(RIGHT($A1449,2))&lt;60),GUS_tabl_2!$A$8:$B$464,GUS_tabl_21!$A$5:$B$4886),2,FALSE)))),TRIM(VLOOKUP(IF(AND(LEN($A1449)=4,VALUE(RIGHT($A1449,2))&gt;60),$A1449&amp;"01 1",$A1449),IF(AND(LEN($A1449)=4,VALUE(RIGHT($A1449,2))&lt;60),GUS_tabl_2!$A$8:$B$464,GUS_tabl_21!$A$5:$B$4886),2,FALSE)),LEFT(TRIM(VLOOKUP(IF(AND(LEN($A1449)=4,VALUE(RIGHT($A1449,2))&gt;60),$A1449&amp;"01 1",$A1449),IF(AND(LEN($A1449)=4,VALUE(RIGHT($A1449,2))&lt;60),GUS_tabl_2!$A$8:$B$464,GUS_tabl_21!$A$5:$B$4886),2,FALSE)),SUM(FIND("..",TRIM(VLOOKUP(IF(AND(LEN($A1449)=4,VALUE(RIGHT($A1449,2))&gt;60),$A1449&amp;"01 1",$A1449),IF(AND(LEN($A1449)=4,VALUE(RIGHT($A1449,2))&lt;60),GUS_tabl_2!$A$8:$B$464,GUS_tabl_21!$A$5:$B$4886),2,FALSE))),-1)))))</f>
        <v>gm. w. Korytnica</v>
      </c>
      <c r="D1449" s="141">
        <f>IF(OR($A1449="",ISERROR(VALUE(LEFT($A1449,6)))),"",IF(LEN($A1449)=2,SUMIF($A1450:$A$2965,$A1449&amp;"??",$D1450:$D$2965),IF(AND(LEN($A1449)=4,VALUE(RIGHT($A1449,2))&lt;=60),SUMIF($A1450:$A$2965,$A1449&amp;"????",$D1450:$D$2965),VLOOKUP(IF(LEN($A1449)=4,$A1449&amp;"01 1",$A1449),GUS_tabl_21!$A$5:$F$4886,6,FALSE))))</f>
        <v>6218</v>
      </c>
      <c r="E1449" s="29"/>
    </row>
    <row r="1450" spans="1:5" ht="12" customHeight="1">
      <c r="A1450" s="155" t="str">
        <f>"143304 2"</f>
        <v>143304 2</v>
      </c>
      <c r="B1450" s="153" t="s">
        <v>45</v>
      </c>
      <c r="C1450" s="156" t="str">
        <f>IF(OR($A1450="",ISERROR(VALUE(LEFT($A1450,6)))),"",IF(LEN($A1450)=2,"WOJ. ",IF(LEN($A1450)=4,IF(VALUE(RIGHT($A1450,2))&gt;60,"","Powiat "),IF(VALUE(RIGHT($A1450,1))=1,"m. ",IF(VALUE(RIGHT($A1450,1))=2,"gm. w. ",IF(VALUE(RIGHT($A1450,1))=8,"dz. ","gm. m.-w. ")))))&amp;IF(LEN($A1450)=2,TRIM(UPPER(VLOOKUP($A1450,GUS_tabl_1!$A$7:$B$22,2,FALSE))),IF(ISERROR(FIND("..",TRIM(VLOOKUP(IF(AND(LEN($A1450)=4,VALUE(RIGHT($A1450,2))&gt;60),$A1450&amp;"01 1",$A1450),IF(AND(LEN($A1450)=4,VALUE(RIGHT($A1450,2))&lt;60),GUS_tabl_2!$A$8:$B$464,GUS_tabl_21!$A$5:$B$4886),2,FALSE)))),TRIM(VLOOKUP(IF(AND(LEN($A1450)=4,VALUE(RIGHT($A1450,2))&gt;60),$A1450&amp;"01 1",$A1450),IF(AND(LEN($A1450)=4,VALUE(RIGHT($A1450,2))&lt;60),GUS_tabl_2!$A$8:$B$464,GUS_tabl_21!$A$5:$B$4886),2,FALSE)),LEFT(TRIM(VLOOKUP(IF(AND(LEN($A1450)=4,VALUE(RIGHT($A1450,2))&gt;60),$A1450&amp;"01 1",$A1450),IF(AND(LEN($A1450)=4,VALUE(RIGHT($A1450,2))&lt;60),GUS_tabl_2!$A$8:$B$464,GUS_tabl_21!$A$5:$B$4886),2,FALSE)),SUM(FIND("..",TRIM(VLOOKUP(IF(AND(LEN($A1450)=4,VALUE(RIGHT($A1450,2))&gt;60),$A1450&amp;"01 1",$A1450),IF(AND(LEN($A1450)=4,VALUE(RIGHT($A1450,2))&lt;60),GUS_tabl_2!$A$8:$B$464,GUS_tabl_21!$A$5:$B$4886),2,FALSE))),-1)))))</f>
        <v>gm. w. Liw</v>
      </c>
      <c r="D1450" s="141">
        <f>IF(OR($A1450="",ISERROR(VALUE(LEFT($A1450,6)))),"",IF(LEN($A1450)=2,SUMIF($A1451:$A$2965,$A1450&amp;"??",$D1451:$D$2965),IF(AND(LEN($A1450)=4,VALUE(RIGHT($A1450,2))&lt;=60),SUMIF($A1451:$A$2965,$A1450&amp;"????",$D1451:$D$2965),VLOOKUP(IF(LEN($A1450)=4,$A1450&amp;"01 1",$A1450),GUS_tabl_21!$A$5:$F$4886,6,FALSE))))</f>
        <v>7344</v>
      </c>
      <c r="E1450" s="29"/>
    </row>
    <row r="1451" spans="1:5" ht="12" customHeight="1">
      <c r="A1451" s="155" t="str">
        <f>"143305 3"</f>
        <v>143305 3</v>
      </c>
      <c r="B1451" s="153" t="s">
        <v>45</v>
      </c>
      <c r="C1451" s="156" t="str">
        <f>IF(OR($A1451="",ISERROR(VALUE(LEFT($A1451,6)))),"",IF(LEN($A1451)=2,"WOJ. ",IF(LEN($A1451)=4,IF(VALUE(RIGHT($A1451,2))&gt;60,"","Powiat "),IF(VALUE(RIGHT($A1451,1))=1,"m. ",IF(VALUE(RIGHT($A1451,1))=2,"gm. w. ",IF(VALUE(RIGHT($A1451,1))=8,"dz. ","gm. m.-w. ")))))&amp;IF(LEN($A1451)=2,TRIM(UPPER(VLOOKUP($A1451,GUS_tabl_1!$A$7:$B$22,2,FALSE))),IF(ISERROR(FIND("..",TRIM(VLOOKUP(IF(AND(LEN($A1451)=4,VALUE(RIGHT($A1451,2))&gt;60),$A1451&amp;"01 1",$A1451),IF(AND(LEN($A1451)=4,VALUE(RIGHT($A1451,2))&lt;60),GUS_tabl_2!$A$8:$B$464,GUS_tabl_21!$A$5:$B$4886),2,FALSE)))),TRIM(VLOOKUP(IF(AND(LEN($A1451)=4,VALUE(RIGHT($A1451,2))&gt;60),$A1451&amp;"01 1",$A1451),IF(AND(LEN($A1451)=4,VALUE(RIGHT($A1451,2))&lt;60),GUS_tabl_2!$A$8:$B$464,GUS_tabl_21!$A$5:$B$4886),2,FALSE)),LEFT(TRIM(VLOOKUP(IF(AND(LEN($A1451)=4,VALUE(RIGHT($A1451,2))&gt;60),$A1451&amp;"01 1",$A1451),IF(AND(LEN($A1451)=4,VALUE(RIGHT($A1451,2))&lt;60),GUS_tabl_2!$A$8:$B$464,GUS_tabl_21!$A$5:$B$4886),2,FALSE)),SUM(FIND("..",TRIM(VLOOKUP(IF(AND(LEN($A1451)=4,VALUE(RIGHT($A1451,2))&gt;60),$A1451&amp;"01 1",$A1451),IF(AND(LEN($A1451)=4,VALUE(RIGHT($A1451,2))&lt;60),GUS_tabl_2!$A$8:$B$464,GUS_tabl_21!$A$5:$B$4886),2,FALSE))),-1)))))</f>
        <v>gm. m.-w. Łochów</v>
      </c>
      <c r="D1451" s="141">
        <f>IF(OR($A1451="",ISERROR(VALUE(LEFT($A1451,6)))),"",IF(LEN($A1451)=2,SUMIF($A1452:$A$2965,$A1451&amp;"??",$D1452:$D$2965),IF(AND(LEN($A1451)=4,VALUE(RIGHT($A1451,2))&lt;=60),SUMIF($A1452:$A$2965,$A1451&amp;"????",$D1452:$D$2965),VLOOKUP(IF(LEN($A1451)=4,$A1451&amp;"01 1",$A1451),GUS_tabl_21!$A$5:$F$4886,6,FALSE))))</f>
        <v>17899</v>
      </c>
      <c r="E1451" s="29"/>
    </row>
    <row r="1452" spans="1:5" ht="12" customHeight="1">
      <c r="A1452" s="155" t="str">
        <f>"143306 2"</f>
        <v>143306 2</v>
      </c>
      <c r="B1452" s="153" t="s">
        <v>45</v>
      </c>
      <c r="C1452" s="156" t="str">
        <f>IF(OR($A1452="",ISERROR(VALUE(LEFT($A1452,6)))),"",IF(LEN($A1452)=2,"WOJ. ",IF(LEN($A1452)=4,IF(VALUE(RIGHT($A1452,2))&gt;60,"","Powiat "),IF(VALUE(RIGHT($A1452,1))=1,"m. ",IF(VALUE(RIGHT($A1452,1))=2,"gm. w. ",IF(VALUE(RIGHT($A1452,1))=8,"dz. ","gm. m.-w. ")))))&amp;IF(LEN($A1452)=2,TRIM(UPPER(VLOOKUP($A1452,GUS_tabl_1!$A$7:$B$22,2,FALSE))),IF(ISERROR(FIND("..",TRIM(VLOOKUP(IF(AND(LEN($A1452)=4,VALUE(RIGHT($A1452,2))&gt;60),$A1452&amp;"01 1",$A1452),IF(AND(LEN($A1452)=4,VALUE(RIGHT($A1452,2))&lt;60),GUS_tabl_2!$A$8:$B$464,GUS_tabl_21!$A$5:$B$4886),2,FALSE)))),TRIM(VLOOKUP(IF(AND(LEN($A1452)=4,VALUE(RIGHT($A1452,2))&gt;60),$A1452&amp;"01 1",$A1452),IF(AND(LEN($A1452)=4,VALUE(RIGHT($A1452,2))&lt;60),GUS_tabl_2!$A$8:$B$464,GUS_tabl_21!$A$5:$B$4886),2,FALSE)),LEFT(TRIM(VLOOKUP(IF(AND(LEN($A1452)=4,VALUE(RIGHT($A1452,2))&gt;60),$A1452&amp;"01 1",$A1452),IF(AND(LEN($A1452)=4,VALUE(RIGHT($A1452,2))&lt;60),GUS_tabl_2!$A$8:$B$464,GUS_tabl_21!$A$5:$B$4886),2,FALSE)),SUM(FIND("..",TRIM(VLOOKUP(IF(AND(LEN($A1452)=4,VALUE(RIGHT($A1452,2))&gt;60),$A1452&amp;"01 1",$A1452),IF(AND(LEN($A1452)=4,VALUE(RIGHT($A1452,2))&lt;60),GUS_tabl_2!$A$8:$B$464,GUS_tabl_21!$A$5:$B$4886),2,FALSE))),-1)))))</f>
        <v>gm. w. Miedzna</v>
      </c>
      <c r="D1452" s="141">
        <f>IF(OR($A1452="",ISERROR(VALUE(LEFT($A1452,6)))),"",IF(LEN($A1452)=2,SUMIF($A1453:$A$2965,$A1452&amp;"??",$D1453:$D$2965),IF(AND(LEN($A1452)=4,VALUE(RIGHT($A1452,2))&lt;=60),SUMIF($A1453:$A$2965,$A1452&amp;"????",$D1453:$D$2965),VLOOKUP(IF(LEN($A1452)=4,$A1452&amp;"01 1",$A1452),GUS_tabl_21!$A$5:$F$4886,6,FALSE))))</f>
        <v>3812</v>
      </c>
      <c r="E1452" s="29"/>
    </row>
    <row r="1453" spans="1:5" ht="12" customHeight="1">
      <c r="A1453" s="155" t="str">
        <f>"143307 2"</f>
        <v>143307 2</v>
      </c>
      <c r="B1453" s="153" t="s">
        <v>45</v>
      </c>
      <c r="C1453" s="156" t="str">
        <f>IF(OR($A1453="",ISERROR(VALUE(LEFT($A1453,6)))),"",IF(LEN($A1453)=2,"WOJ. ",IF(LEN($A1453)=4,IF(VALUE(RIGHT($A1453,2))&gt;60,"","Powiat "),IF(VALUE(RIGHT($A1453,1))=1,"m. ",IF(VALUE(RIGHT($A1453,1))=2,"gm. w. ",IF(VALUE(RIGHT($A1453,1))=8,"dz. ","gm. m.-w. ")))))&amp;IF(LEN($A1453)=2,TRIM(UPPER(VLOOKUP($A1453,GUS_tabl_1!$A$7:$B$22,2,FALSE))),IF(ISERROR(FIND("..",TRIM(VLOOKUP(IF(AND(LEN($A1453)=4,VALUE(RIGHT($A1453,2))&gt;60),$A1453&amp;"01 1",$A1453),IF(AND(LEN($A1453)=4,VALUE(RIGHT($A1453,2))&lt;60),GUS_tabl_2!$A$8:$B$464,GUS_tabl_21!$A$5:$B$4886),2,FALSE)))),TRIM(VLOOKUP(IF(AND(LEN($A1453)=4,VALUE(RIGHT($A1453,2))&gt;60),$A1453&amp;"01 1",$A1453),IF(AND(LEN($A1453)=4,VALUE(RIGHT($A1453,2))&lt;60),GUS_tabl_2!$A$8:$B$464,GUS_tabl_21!$A$5:$B$4886),2,FALSE)),LEFT(TRIM(VLOOKUP(IF(AND(LEN($A1453)=4,VALUE(RIGHT($A1453,2))&gt;60),$A1453&amp;"01 1",$A1453),IF(AND(LEN($A1453)=4,VALUE(RIGHT($A1453,2))&lt;60),GUS_tabl_2!$A$8:$B$464,GUS_tabl_21!$A$5:$B$4886),2,FALSE)),SUM(FIND("..",TRIM(VLOOKUP(IF(AND(LEN($A1453)=4,VALUE(RIGHT($A1453,2))&gt;60),$A1453&amp;"01 1",$A1453),IF(AND(LEN($A1453)=4,VALUE(RIGHT($A1453,2))&lt;60),GUS_tabl_2!$A$8:$B$464,GUS_tabl_21!$A$5:$B$4886),2,FALSE))),-1)))))</f>
        <v>gm. w. Sadowne</v>
      </c>
      <c r="D1453" s="141">
        <f>IF(OR($A1453="",ISERROR(VALUE(LEFT($A1453,6)))),"",IF(LEN($A1453)=2,SUMIF($A1454:$A$2965,$A1453&amp;"??",$D1454:$D$2965),IF(AND(LEN($A1453)=4,VALUE(RIGHT($A1453,2))&lt;=60),SUMIF($A1454:$A$2965,$A1453&amp;"????",$D1454:$D$2965),VLOOKUP(IF(LEN($A1453)=4,$A1453&amp;"01 1",$A1453),GUS_tabl_21!$A$5:$F$4886,6,FALSE))))</f>
        <v>5828</v>
      </c>
      <c r="E1453" s="29"/>
    </row>
    <row r="1454" spans="1:5" ht="12" customHeight="1">
      <c r="A1454" s="155" t="str">
        <f>"143308 2"</f>
        <v>143308 2</v>
      </c>
      <c r="B1454" s="153" t="s">
        <v>45</v>
      </c>
      <c r="C1454" s="156" t="str">
        <f>IF(OR($A1454="",ISERROR(VALUE(LEFT($A1454,6)))),"",IF(LEN($A1454)=2,"WOJ. ",IF(LEN($A1454)=4,IF(VALUE(RIGHT($A1454,2))&gt;60,"","Powiat "),IF(VALUE(RIGHT($A1454,1))=1,"m. ",IF(VALUE(RIGHT($A1454,1))=2,"gm. w. ",IF(VALUE(RIGHT($A1454,1))=8,"dz. ","gm. m.-w. ")))))&amp;IF(LEN($A1454)=2,TRIM(UPPER(VLOOKUP($A1454,GUS_tabl_1!$A$7:$B$22,2,FALSE))),IF(ISERROR(FIND("..",TRIM(VLOOKUP(IF(AND(LEN($A1454)=4,VALUE(RIGHT($A1454,2))&gt;60),$A1454&amp;"01 1",$A1454),IF(AND(LEN($A1454)=4,VALUE(RIGHT($A1454,2))&lt;60),GUS_tabl_2!$A$8:$B$464,GUS_tabl_21!$A$5:$B$4886),2,FALSE)))),TRIM(VLOOKUP(IF(AND(LEN($A1454)=4,VALUE(RIGHT($A1454,2))&gt;60),$A1454&amp;"01 1",$A1454),IF(AND(LEN($A1454)=4,VALUE(RIGHT($A1454,2))&lt;60),GUS_tabl_2!$A$8:$B$464,GUS_tabl_21!$A$5:$B$4886),2,FALSE)),LEFT(TRIM(VLOOKUP(IF(AND(LEN($A1454)=4,VALUE(RIGHT($A1454,2))&gt;60),$A1454&amp;"01 1",$A1454),IF(AND(LEN($A1454)=4,VALUE(RIGHT($A1454,2))&lt;60),GUS_tabl_2!$A$8:$B$464,GUS_tabl_21!$A$5:$B$4886),2,FALSE)),SUM(FIND("..",TRIM(VLOOKUP(IF(AND(LEN($A1454)=4,VALUE(RIGHT($A1454,2))&gt;60),$A1454&amp;"01 1",$A1454),IF(AND(LEN($A1454)=4,VALUE(RIGHT($A1454,2))&lt;60),GUS_tabl_2!$A$8:$B$464,GUS_tabl_21!$A$5:$B$4886),2,FALSE))),-1)))))</f>
        <v>gm. w. Stoczek</v>
      </c>
      <c r="D1454" s="141">
        <f>IF(OR($A1454="",ISERROR(VALUE(LEFT($A1454,6)))),"",IF(LEN($A1454)=2,SUMIF($A1455:$A$2965,$A1454&amp;"??",$D1455:$D$2965),IF(AND(LEN($A1454)=4,VALUE(RIGHT($A1454,2))&lt;=60),SUMIF($A1455:$A$2965,$A1454&amp;"????",$D1455:$D$2965),VLOOKUP(IF(LEN($A1454)=4,$A1454&amp;"01 1",$A1454),GUS_tabl_21!$A$5:$F$4886,6,FALSE))))</f>
        <v>4945</v>
      </c>
      <c r="E1454" s="29"/>
    </row>
    <row r="1455" spans="1:5" ht="12" customHeight="1">
      <c r="A1455" s="155" t="str">
        <f>"143309 2"</f>
        <v>143309 2</v>
      </c>
      <c r="B1455" s="153" t="s">
        <v>45</v>
      </c>
      <c r="C1455" s="156" t="str">
        <f>IF(OR($A1455="",ISERROR(VALUE(LEFT($A1455,6)))),"",IF(LEN($A1455)=2,"WOJ. ",IF(LEN($A1455)=4,IF(VALUE(RIGHT($A1455,2))&gt;60,"","Powiat "),IF(VALUE(RIGHT($A1455,1))=1,"m. ",IF(VALUE(RIGHT($A1455,1))=2,"gm. w. ",IF(VALUE(RIGHT($A1455,1))=8,"dz. ","gm. m.-w. ")))))&amp;IF(LEN($A1455)=2,TRIM(UPPER(VLOOKUP($A1455,GUS_tabl_1!$A$7:$B$22,2,FALSE))),IF(ISERROR(FIND("..",TRIM(VLOOKUP(IF(AND(LEN($A1455)=4,VALUE(RIGHT($A1455,2))&gt;60),$A1455&amp;"01 1",$A1455),IF(AND(LEN($A1455)=4,VALUE(RIGHT($A1455,2))&lt;60),GUS_tabl_2!$A$8:$B$464,GUS_tabl_21!$A$5:$B$4886),2,FALSE)))),TRIM(VLOOKUP(IF(AND(LEN($A1455)=4,VALUE(RIGHT($A1455,2))&gt;60),$A1455&amp;"01 1",$A1455),IF(AND(LEN($A1455)=4,VALUE(RIGHT($A1455,2))&lt;60),GUS_tabl_2!$A$8:$B$464,GUS_tabl_21!$A$5:$B$4886),2,FALSE)),LEFT(TRIM(VLOOKUP(IF(AND(LEN($A1455)=4,VALUE(RIGHT($A1455,2))&gt;60),$A1455&amp;"01 1",$A1455),IF(AND(LEN($A1455)=4,VALUE(RIGHT($A1455,2))&lt;60),GUS_tabl_2!$A$8:$B$464,GUS_tabl_21!$A$5:$B$4886),2,FALSE)),SUM(FIND("..",TRIM(VLOOKUP(IF(AND(LEN($A1455)=4,VALUE(RIGHT($A1455,2))&gt;60),$A1455&amp;"01 1",$A1455),IF(AND(LEN($A1455)=4,VALUE(RIGHT($A1455,2))&lt;60),GUS_tabl_2!$A$8:$B$464,GUS_tabl_21!$A$5:$B$4886),2,FALSE))),-1)))))</f>
        <v>gm. w. Wierzbno</v>
      </c>
      <c r="D1455" s="141">
        <f>IF(OR($A1455="",ISERROR(VALUE(LEFT($A1455,6)))),"",IF(LEN($A1455)=2,SUMIF($A1456:$A$2965,$A1455&amp;"??",$D1456:$D$2965),IF(AND(LEN($A1455)=4,VALUE(RIGHT($A1455,2))&lt;=60),SUMIF($A1456:$A$2965,$A1455&amp;"????",$D1456:$D$2965),VLOOKUP(IF(LEN($A1455)=4,$A1455&amp;"01 1",$A1455),GUS_tabl_21!$A$5:$F$4886,6,FALSE))))</f>
        <v>2750</v>
      </c>
      <c r="E1455" s="29"/>
    </row>
    <row r="1456" spans="1:5" ht="12" customHeight="1">
      <c r="A1456" s="152" t="str">
        <f>"1434"</f>
        <v>1434</v>
      </c>
      <c r="B1456" s="153" t="s">
        <v>45</v>
      </c>
      <c r="C1456" s="154" t="str">
        <f>IF(OR($A1456="",ISERROR(VALUE(LEFT($A1456,6)))),"",IF(LEN($A1456)=2,"WOJ. ",IF(LEN($A1456)=4,IF(VALUE(RIGHT($A1456,2))&gt;60,"","Powiat "),IF(VALUE(RIGHT($A1456,1))=1,"m. ",IF(VALUE(RIGHT($A1456,1))=2,"gm. w. ",IF(VALUE(RIGHT($A1456,1))=8,"dz. ","gm. m.-w. ")))))&amp;IF(LEN($A1456)=2,TRIM(UPPER(VLOOKUP($A1456,GUS_tabl_1!$A$7:$B$22,2,FALSE))),IF(ISERROR(FIND("..",TRIM(VLOOKUP(IF(AND(LEN($A1456)=4,VALUE(RIGHT($A1456,2))&gt;60),$A1456&amp;"01 1",$A1456),IF(AND(LEN($A1456)=4,VALUE(RIGHT($A1456,2))&lt;60),GUS_tabl_2!$A$8:$B$464,GUS_tabl_21!$A$5:$B$4886),2,FALSE)))),TRIM(VLOOKUP(IF(AND(LEN($A1456)=4,VALUE(RIGHT($A1456,2))&gt;60),$A1456&amp;"01 1",$A1456),IF(AND(LEN($A1456)=4,VALUE(RIGHT($A1456,2))&lt;60),GUS_tabl_2!$A$8:$B$464,GUS_tabl_21!$A$5:$B$4886),2,FALSE)),LEFT(TRIM(VLOOKUP(IF(AND(LEN($A1456)=4,VALUE(RIGHT($A1456,2))&gt;60),$A1456&amp;"01 1",$A1456),IF(AND(LEN($A1456)=4,VALUE(RIGHT($A1456,2))&lt;60),GUS_tabl_2!$A$8:$B$464,GUS_tabl_21!$A$5:$B$4886),2,FALSE)),SUM(FIND("..",TRIM(VLOOKUP(IF(AND(LEN($A1456)=4,VALUE(RIGHT($A1456,2))&gt;60),$A1456&amp;"01 1",$A1456),IF(AND(LEN($A1456)=4,VALUE(RIGHT($A1456,2))&lt;60),GUS_tabl_2!$A$8:$B$464,GUS_tabl_21!$A$5:$B$4886),2,FALSE))),-1)))))</f>
        <v>Powiat wołomiński</v>
      </c>
      <c r="D1456" s="140">
        <f>IF(OR($A1456="",ISERROR(VALUE(LEFT($A1456,6)))),"",IF(LEN($A1456)=2,SUMIF($A1457:$A$2965,$A1456&amp;"??",$D1457:$D$2965),IF(AND(LEN($A1456)=4,VALUE(RIGHT($A1456,2))&lt;=60),SUMIF($A1457:$A$2965,$A1456&amp;"????",$D1457:$D$2965),VLOOKUP(IF(LEN($A1456)=4,$A1456&amp;"01 1",$A1456),GUS_tabl_21!$A$5:$F$4886,6,FALSE))))</f>
        <v>249299</v>
      </c>
      <c r="E1456" s="29"/>
    </row>
    <row r="1457" spans="1:5" ht="12" customHeight="1">
      <c r="A1457" s="155" t="str">
        <f>"143401 1"</f>
        <v>143401 1</v>
      </c>
      <c r="B1457" s="153" t="s">
        <v>45</v>
      </c>
      <c r="C1457" s="156" t="str">
        <f>IF(OR($A1457="",ISERROR(VALUE(LEFT($A1457,6)))),"",IF(LEN($A1457)=2,"WOJ. ",IF(LEN($A1457)=4,IF(VALUE(RIGHT($A1457,2))&gt;60,"","Powiat "),IF(VALUE(RIGHT($A1457,1))=1,"m. ",IF(VALUE(RIGHT($A1457,1))=2,"gm. w. ",IF(VALUE(RIGHT($A1457,1))=8,"dz. ","gm. m.-w. ")))))&amp;IF(LEN($A1457)=2,TRIM(UPPER(VLOOKUP($A1457,GUS_tabl_1!$A$7:$B$22,2,FALSE))),IF(ISERROR(FIND("..",TRIM(VLOOKUP(IF(AND(LEN($A1457)=4,VALUE(RIGHT($A1457,2))&gt;60),$A1457&amp;"01 1",$A1457),IF(AND(LEN($A1457)=4,VALUE(RIGHT($A1457,2))&lt;60),GUS_tabl_2!$A$8:$B$464,GUS_tabl_21!$A$5:$B$4886),2,FALSE)))),TRIM(VLOOKUP(IF(AND(LEN($A1457)=4,VALUE(RIGHT($A1457,2))&gt;60),$A1457&amp;"01 1",$A1457),IF(AND(LEN($A1457)=4,VALUE(RIGHT($A1457,2))&lt;60),GUS_tabl_2!$A$8:$B$464,GUS_tabl_21!$A$5:$B$4886),2,FALSE)),LEFT(TRIM(VLOOKUP(IF(AND(LEN($A1457)=4,VALUE(RIGHT($A1457,2))&gt;60),$A1457&amp;"01 1",$A1457),IF(AND(LEN($A1457)=4,VALUE(RIGHT($A1457,2))&lt;60),GUS_tabl_2!$A$8:$B$464,GUS_tabl_21!$A$5:$B$4886),2,FALSE)),SUM(FIND("..",TRIM(VLOOKUP(IF(AND(LEN($A1457)=4,VALUE(RIGHT($A1457,2))&gt;60),$A1457&amp;"01 1",$A1457),IF(AND(LEN($A1457)=4,VALUE(RIGHT($A1457,2))&lt;60),GUS_tabl_2!$A$8:$B$464,GUS_tabl_21!$A$5:$B$4886),2,FALSE))),-1)))))</f>
        <v>m. Kobyłka</v>
      </c>
      <c r="D1457" s="141">
        <f>IF(OR($A1457="",ISERROR(VALUE(LEFT($A1457,6)))),"",IF(LEN($A1457)=2,SUMIF($A1458:$A$2965,$A1457&amp;"??",$D1458:$D$2965),IF(AND(LEN($A1457)=4,VALUE(RIGHT($A1457,2))&lt;=60),SUMIF($A1458:$A$2965,$A1457&amp;"????",$D1458:$D$2965),VLOOKUP(IF(LEN($A1457)=4,$A1457&amp;"01 1",$A1457),GUS_tabl_21!$A$5:$F$4886,6,FALSE))))</f>
        <v>24414</v>
      </c>
      <c r="E1457" s="29"/>
    </row>
    <row r="1458" spans="1:5" ht="12" customHeight="1">
      <c r="A1458" s="155" t="str">
        <f>"143402 1"</f>
        <v>143402 1</v>
      </c>
      <c r="B1458" s="153" t="s">
        <v>45</v>
      </c>
      <c r="C1458" s="156" t="str">
        <f>IF(OR($A1458="",ISERROR(VALUE(LEFT($A1458,6)))),"",IF(LEN($A1458)=2,"WOJ. ",IF(LEN($A1458)=4,IF(VALUE(RIGHT($A1458,2))&gt;60,"","Powiat "),IF(VALUE(RIGHT($A1458,1))=1,"m. ",IF(VALUE(RIGHT($A1458,1))=2,"gm. w. ",IF(VALUE(RIGHT($A1458,1))=8,"dz. ","gm. m.-w. ")))))&amp;IF(LEN($A1458)=2,TRIM(UPPER(VLOOKUP($A1458,GUS_tabl_1!$A$7:$B$22,2,FALSE))),IF(ISERROR(FIND("..",TRIM(VLOOKUP(IF(AND(LEN($A1458)=4,VALUE(RIGHT($A1458,2))&gt;60),$A1458&amp;"01 1",$A1458),IF(AND(LEN($A1458)=4,VALUE(RIGHT($A1458,2))&lt;60),GUS_tabl_2!$A$8:$B$464,GUS_tabl_21!$A$5:$B$4886),2,FALSE)))),TRIM(VLOOKUP(IF(AND(LEN($A1458)=4,VALUE(RIGHT($A1458,2))&gt;60),$A1458&amp;"01 1",$A1458),IF(AND(LEN($A1458)=4,VALUE(RIGHT($A1458,2))&lt;60),GUS_tabl_2!$A$8:$B$464,GUS_tabl_21!$A$5:$B$4886),2,FALSE)),LEFT(TRIM(VLOOKUP(IF(AND(LEN($A1458)=4,VALUE(RIGHT($A1458,2))&gt;60),$A1458&amp;"01 1",$A1458),IF(AND(LEN($A1458)=4,VALUE(RIGHT($A1458,2))&lt;60),GUS_tabl_2!$A$8:$B$464,GUS_tabl_21!$A$5:$B$4886),2,FALSE)),SUM(FIND("..",TRIM(VLOOKUP(IF(AND(LEN($A1458)=4,VALUE(RIGHT($A1458,2))&gt;60),$A1458&amp;"01 1",$A1458),IF(AND(LEN($A1458)=4,VALUE(RIGHT($A1458,2))&lt;60),GUS_tabl_2!$A$8:$B$464,GUS_tabl_21!$A$5:$B$4886),2,FALSE))),-1)))))</f>
        <v>m. Marki</v>
      </c>
      <c r="D1458" s="141">
        <f>IF(OR($A1458="",ISERROR(VALUE(LEFT($A1458,6)))),"",IF(LEN($A1458)=2,SUMIF($A1459:$A$2965,$A1458&amp;"??",$D1459:$D$2965),IF(AND(LEN($A1458)=4,VALUE(RIGHT($A1458,2))&lt;=60),SUMIF($A1459:$A$2965,$A1458&amp;"????",$D1459:$D$2965),VLOOKUP(IF(LEN($A1458)=4,$A1458&amp;"01 1",$A1458),GUS_tabl_21!$A$5:$F$4886,6,FALSE))))</f>
        <v>35461</v>
      </c>
      <c r="E1458" s="29"/>
    </row>
    <row r="1459" spans="1:5" ht="12" customHeight="1">
      <c r="A1459" s="155" t="str">
        <f>"143403 1"</f>
        <v>143403 1</v>
      </c>
      <c r="B1459" s="153" t="s">
        <v>45</v>
      </c>
      <c r="C1459" s="156" t="str">
        <f>IF(OR($A1459="",ISERROR(VALUE(LEFT($A1459,6)))),"",IF(LEN($A1459)=2,"WOJ. ",IF(LEN($A1459)=4,IF(VALUE(RIGHT($A1459,2))&gt;60,"","Powiat "),IF(VALUE(RIGHT($A1459,1))=1,"m. ",IF(VALUE(RIGHT($A1459,1))=2,"gm. w. ",IF(VALUE(RIGHT($A1459,1))=8,"dz. ","gm. m.-w. ")))))&amp;IF(LEN($A1459)=2,TRIM(UPPER(VLOOKUP($A1459,GUS_tabl_1!$A$7:$B$22,2,FALSE))),IF(ISERROR(FIND("..",TRIM(VLOOKUP(IF(AND(LEN($A1459)=4,VALUE(RIGHT($A1459,2))&gt;60),$A1459&amp;"01 1",$A1459),IF(AND(LEN($A1459)=4,VALUE(RIGHT($A1459,2))&lt;60),GUS_tabl_2!$A$8:$B$464,GUS_tabl_21!$A$5:$B$4886),2,FALSE)))),TRIM(VLOOKUP(IF(AND(LEN($A1459)=4,VALUE(RIGHT($A1459,2))&gt;60),$A1459&amp;"01 1",$A1459),IF(AND(LEN($A1459)=4,VALUE(RIGHT($A1459,2))&lt;60),GUS_tabl_2!$A$8:$B$464,GUS_tabl_21!$A$5:$B$4886),2,FALSE)),LEFT(TRIM(VLOOKUP(IF(AND(LEN($A1459)=4,VALUE(RIGHT($A1459,2))&gt;60),$A1459&amp;"01 1",$A1459),IF(AND(LEN($A1459)=4,VALUE(RIGHT($A1459,2))&lt;60),GUS_tabl_2!$A$8:$B$464,GUS_tabl_21!$A$5:$B$4886),2,FALSE)),SUM(FIND("..",TRIM(VLOOKUP(IF(AND(LEN($A1459)=4,VALUE(RIGHT($A1459,2))&gt;60),$A1459&amp;"01 1",$A1459),IF(AND(LEN($A1459)=4,VALUE(RIGHT($A1459,2))&lt;60),GUS_tabl_2!$A$8:$B$464,GUS_tabl_21!$A$5:$B$4886),2,FALSE))),-1)))))</f>
        <v>m. Ząbki</v>
      </c>
      <c r="D1459" s="141">
        <f>IF(OR($A1459="",ISERROR(VALUE(LEFT($A1459,6)))),"",IF(LEN($A1459)=2,SUMIF($A1460:$A$2965,$A1459&amp;"??",$D1460:$D$2965),IF(AND(LEN($A1459)=4,VALUE(RIGHT($A1459,2))&lt;=60),SUMIF($A1460:$A$2965,$A1459&amp;"????",$D1460:$D$2965),VLOOKUP(IF(LEN($A1459)=4,$A1459&amp;"01 1",$A1459),GUS_tabl_21!$A$5:$F$4886,6,FALSE))))</f>
        <v>37818</v>
      </c>
      <c r="E1459" s="29"/>
    </row>
    <row r="1460" spans="1:5" ht="12" customHeight="1">
      <c r="A1460" s="155" t="str">
        <f>"143404 1"</f>
        <v>143404 1</v>
      </c>
      <c r="B1460" s="153" t="s">
        <v>45</v>
      </c>
      <c r="C1460" s="156" t="str">
        <f>IF(OR($A1460="",ISERROR(VALUE(LEFT($A1460,6)))),"",IF(LEN($A1460)=2,"WOJ. ",IF(LEN($A1460)=4,IF(VALUE(RIGHT($A1460,2))&gt;60,"","Powiat "),IF(VALUE(RIGHT($A1460,1))=1,"m. ",IF(VALUE(RIGHT($A1460,1))=2,"gm. w. ",IF(VALUE(RIGHT($A1460,1))=8,"dz. ","gm. m.-w. ")))))&amp;IF(LEN($A1460)=2,TRIM(UPPER(VLOOKUP($A1460,GUS_tabl_1!$A$7:$B$22,2,FALSE))),IF(ISERROR(FIND("..",TRIM(VLOOKUP(IF(AND(LEN($A1460)=4,VALUE(RIGHT($A1460,2))&gt;60),$A1460&amp;"01 1",$A1460),IF(AND(LEN($A1460)=4,VALUE(RIGHT($A1460,2))&lt;60),GUS_tabl_2!$A$8:$B$464,GUS_tabl_21!$A$5:$B$4886),2,FALSE)))),TRIM(VLOOKUP(IF(AND(LEN($A1460)=4,VALUE(RIGHT($A1460,2))&gt;60),$A1460&amp;"01 1",$A1460),IF(AND(LEN($A1460)=4,VALUE(RIGHT($A1460,2))&lt;60),GUS_tabl_2!$A$8:$B$464,GUS_tabl_21!$A$5:$B$4886),2,FALSE)),LEFT(TRIM(VLOOKUP(IF(AND(LEN($A1460)=4,VALUE(RIGHT($A1460,2))&gt;60),$A1460&amp;"01 1",$A1460),IF(AND(LEN($A1460)=4,VALUE(RIGHT($A1460,2))&lt;60),GUS_tabl_2!$A$8:$B$464,GUS_tabl_21!$A$5:$B$4886),2,FALSE)),SUM(FIND("..",TRIM(VLOOKUP(IF(AND(LEN($A1460)=4,VALUE(RIGHT($A1460,2))&gt;60),$A1460&amp;"01 1",$A1460),IF(AND(LEN($A1460)=4,VALUE(RIGHT($A1460,2))&lt;60),GUS_tabl_2!$A$8:$B$464,GUS_tabl_21!$A$5:$B$4886),2,FALSE))),-1)))))</f>
        <v>m. Zielonka</v>
      </c>
      <c r="D1460" s="141">
        <f>IF(OR($A1460="",ISERROR(VALUE(LEFT($A1460,6)))),"",IF(LEN($A1460)=2,SUMIF($A1461:$A$2965,$A1460&amp;"??",$D1461:$D$2965),IF(AND(LEN($A1460)=4,VALUE(RIGHT($A1460,2))&lt;=60),SUMIF($A1461:$A$2965,$A1460&amp;"????",$D1461:$D$2965),VLOOKUP(IF(LEN($A1460)=4,$A1460&amp;"01 1",$A1460),GUS_tabl_21!$A$5:$F$4886,6,FALSE))))</f>
        <v>17560</v>
      </c>
      <c r="E1460" s="29"/>
    </row>
    <row r="1461" spans="1:5" ht="12" customHeight="1">
      <c r="A1461" s="155" t="str">
        <f>"143405 2"</f>
        <v>143405 2</v>
      </c>
      <c r="B1461" s="153" t="s">
        <v>45</v>
      </c>
      <c r="C1461" s="156" t="str">
        <f>IF(OR($A1461="",ISERROR(VALUE(LEFT($A1461,6)))),"",IF(LEN($A1461)=2,"WOJ. ",IF(LEN($A1461)=4,IF(VALUE(RIGHT($A1461,2))&gt;60,"","Powiat "),IF(VALUE(RIGHT($A1461,1))=1,"m. ",IF(VALUE(RIGHT($A1461,1))=2,"gm. w. ",IF(VALUE(RIGHT($A1461,1))=8,"dz. ","gm. m.-w. ")))))&amp;IF(LEN($A1461)=2,TRIM(UPPER(VLOOKUP($A1461,GUS_tabl_1!$A$7:$B$22,2,FALSE))),IF(ISERROR(FIND("..",TRIM(VLOOKUP(IF(AND(LEN($A1461)=4,VALUE(RIGHT($A1461,2))&gt;60),$A1461&amp;"01 1",$A1461),IF(AND(LEN($A1461)=4,VALUE(RIGHT($A1461,2))&lt;60),GUS_tabl_2!$A$8:$B$464,GUS_tabl_21!$A$5:$B$4886),2,FALSE)))),TRIM(VLOOKUP(IF(AND(LEN($A1461)=4,VALUE(RIGHT($A1461,2))&gt;60),$A1461&amp;"01 1",$A1461),IF(AND(LEN($A1461)=4,VALUE(RIGHT($A1461,2))&lt;60),GUS_tabl_2!$A$8:$B$464,GUS_tabl_21!$A$5:$B$4886),2,FALSE)),LEFT(TRIM(VLOOKUP(IF(AND(LEN($A1461)=4,VALUE(RIGHT($A1461,2))&gt;60),$A1461&amp;"01 1",$A1461),IF(AND(LEN($A1461)=4,VALUE(RIGHT($A1461,2))&lt;60),GUS_tabl_2!$A$8:$B$464,GUS_tabl_21!$A$5:$B$4886),2,FALSE)),SUM(FIND("..",TRIM(VLOOKUP(IF(AND(LEN($A1461)=4,VALUE(RIGHT($A1461,2))&gt;60),$A1461&amp;"01 1",$A1461),IF(AND(LEN($A1461)=4,VALUE(RIGHT($A1461,2))&lt;60),GUS_tabl_2!$A$8:$B$464,GUS_tabl_21!$A$5:$B$4886),2,FALSE))),-1)))))</f>
        <v>gm. w. Dąbrówka</v>
      </c>
      <c r="D1461" s="141">
        <f>IF(OR($A1461="",ISERROR(VALUE(LEFT($A1461,6)))),"",IF(LEN($A1461)=2,SUMIF($A1462:$A$2965,$A1461&amp;"??",$D1462:$D$2965),IF(AND(LEN($A1461)=4,VALUE(RIGHT($A1461,2))&lt;=60),SUMIF($A1462:$A$2965,$A1461&amp;"????",$D1462:$D$2965),VLOOKUP(IF(LEN($A1461)=4,$A1461&amp;"01 1",$A1461),GUS_tabl_21!$A$5:$F$4886,6,FALSE))))</f>
        <v>8150</v>
      </c>
      <c r="E1461" s="29"/>
    </row>
    <row r="1462" spans="1:5" ht="12" customHeight="1">
      <c r="A1462" s="155" t="str">
        <f>"143406 2"</f>
        <v>143406 2</v>
      </c>
      <c r="B1462" s="153" t="s">
        <v>45</v>
      </c>
      <c r="C1462" s="156" t="str">
        <f>IF(OR($A1462="",ISERROR(VALUE(LEFT($A1462,6)))),"",IF(LEN($A1462)=2,"WOJ. ",IF(LEN($A1462)=4,IF(VALUE(RIGHT($A1462,2))&gt;60,"","Powiat "),IF(VALUE(RIGHT($A1462,1))=1,"m. ",IF(VALUE(RIGHT($A1462,1))=2,"gm. w. ",IF(VALUE(RIGHT($A1462,1))=8,"dz. ","gm. m.-w. ")))))&amp;IF(LEN($A1462)=2,TRIM(UPPER(VLOOKUP($A1462,GUS_tabl_1!$A$7:$B$22,2,FALSE))),IF(ISERROR(FIND("..",TRIM(VLOOKUP(IF(AND(LEN($A1462)=4,VALUE(RIGHT($A1462,2))&gt;60),$A1462&amp;"01 1",$A1462),IF(AND(LEN($A1462)=4,VALUE(RIGHT($A1462,2))&lt;60),GUS_tabl_2!$A$8:$B$464,GUS_tabl_21!$A$5:$B$4886),2,FALSE)))),TRIM(VLOOKUP(IF(AND(LEN($A1462)=4,VALUE(RIGHT($A1462,2))&gt;60),$A1462&amp;"01 1",$A1462),IF(AND(LEN($A1462)=4,VALUE(RIGHT($A1462,2))&lt;60),GUS_tabl_2!$A$8:$B$464,GUS_tabl_21!$A$5:$B$4886),2,FALSE)),LEFT(TRIM(VLOOKUP(IF(AND(LEN($A1462)=4,VALUE(RIGHT($A1462,2))&gt;60),$A1462&amp;"01 1",$A1462),IF(AND(LEN($A1462)=4,VALUE(RIGHT($A1462,2))&lt;60),GUS_tabl_2!$A$8:$B$464,GUS_tabl_21!$A$5:$B$4886),2,FALSE)),SUM(FIND("..",TRIM(VLOOKUP(IF(AND(LEN($A1462)=4,VALUE(RIGHT($A1462,2))&gt;60),$A1462&amp;"01 1",$A1462),IF(AND(LEN($A1462)=4,VALUE(RIGHT($A1462,2))&lt;60),GUS_tabl_2!$A$8:$B$464,GUS_tabl_21!$A$5:$B$4886),2,FALSE))),-1)))))</f>
        <v>gm. w. Jadów</v>
      </c>
      <c r="D1462" s="141">
        <f>IF(OR($A1462="",ISERROR(VALUE(LEFT($A1462,6)))),"",IF(LEN($A1462)=2,SUMIF($A1463:$A$2965,$A1462&amp;"??",$D1463:$D$2965),IF(AND(LEN($A1462)=4,VALUE(RIGHT($A1462,2))&lt;=60),SUMIF($A1463:$A$2965,$A1462&amp;"????",$D1463:$D$2965),VLOOKUP(IF(LEN($A1462)=4,$A1462&amp;"01 1",$A1462),GUS_tabl_21!$A$5:$F$4886,6,FALSE))))</f>
        <v>7462</v>
      </c>
      <c r="E1462" s="29"/>
    </row>
    <row r="1463" spans="1:5" ht="12" customHeight="1">
      <c r="A1463" s="155" t="str">
        <f>"143407 2"</f>
        <v>143407 2</v>
      </c>
      <c r="B1463" s="153" t="s">
        <v>45</v>
      </c>
      <c r="C1463" s="156" t="str">
        <f>IF(OR($A1463="",ISERROR(VALUE(LEFT($A1463,6)))),"",IF(LEN($A1463)=2,"WOJ. ",IF(LEN($A1463)=4,IF(VALUE(RIGHT($A1463,2))&gt;60,"","Powiat "),IF(VALUE(RIGHT($A1463,1))=1,"m. ",IF(VALUE(RIGHT($A1463,1))=2,"gm. w. ",IF(VALUE(RIGHT($A1463,1))=8,"dz. ","gm. m.-w. ")))))&amp;IF(LEN($A1463)=2,TRIM(UPPER(VLOOKUP($A1463,GUS_tabl_1!$A$7:$B$22,2,FALSE))),IF(ISERROR(FIND("..",TRIM(VLOOKUP(IF(AND(LEN($A1463)=4,VALUE(RIGHT($A1463,2))&gt;60),$A1463&amp;"01 1",$A1463),IF(AND(LEN($A1463)=4,VALUE(RIGHT($A1463,2))&lt;60),GUS_tabl_2!$A$8:$B$464,GUS_tabl_21!$A$5:$B$4886),2,FALSE)))),TRIM(VLOOKUP(IF(AND(LEN($A1463)=4,VALUE(RIGHT($A1463,2))&gt;60),$A1463&amp;"01 1",$A1463),IF(AND(LEN($A1463)=4,VALUE(RIGHT($A1463,2))&lt;60),GUS_tabl_2!$A$8:$B$464,GUS_tabl_21!$A$5:$B$4886),2,FALSE)),LEFT(TRIM(VLOOKUP(IF(AND(LEN($A1463)=4,VALUE(RIGHT($A1463,2))&gt;60),$A1463&amp;"01 1",$A1463),IF(AND(LEN($A1463)=4,VALUE(RIGHT($A1463,2))&lt;60),GUS_tabl_2!$A$8:$B$464,GUS_tabl_21!$A$5:$B$4886),2,FALSE)),SUM(FIND("..",TRIM(VLOOKUP(IF(AND(LEN($A1463)=4,VALUE(RIGHT($A1463,2))&gt;60),$A1463&amp;"01 1",$A1463),IF(AND(LEN($A1463)=4,VALUE(RIGHT($A1463,2))&lt;60),GUS_tabl_2!$A$8:$B$464,GUS_tabl_21!$A$5:$B$4886),2,FALSE))),-1)))))</f>
        <v>gm. w. Klembów</v>
      </c>
      <c r="D1463" s="141">
        <f>IF(OR($A1463="",ISERROR(VALUE(LEFT($A1463,6)))),"",IF(LEN($A1463)=2,SUMIF($A1464:$A$2965,$A1463&amp;"??",$D1464:$D$2965),IF(AND(LEN($A1463)=4,VALUE(RIGHT($A1463,2))&lt;=60),SUMIF($A1464:$A$2965,$A1463&amp;"????",$D1464:$D$2965),VLOOKUP(IF(LEN($A1463)=4,$A1463&amp;"01 1",$A1463),GUS_tabl_21!$A$5:$F$4886,6,FALSE))))</f>
        <v>9968</v>
      </c>
      <c r="E1463" s="29"/>
    </row>
    <row r="1464" spans="1:5" ht="12" customHeight="1">
      <c r="A1464" s="155" t="str">
        <f>"143408 2"</f>
        <v>143408 2</v>
      </c>
      <c r="B1464" s="153" t="s">
        <v>45</v>
      </c>
      <c r="C1464" s="156" t="str">
        <f>IF(OR($A1464="",ISERROR(VALUE(LEFT($A1464,6)))),"",IF(LEN($A1464)=2,"WOJ. ",IF(LEN($A1464)=4,IF(VALUE(RIGHT($A1464,2))&gt;60,"","Powiat "),IF(VALUE(RIGHT($A1464,1))=1,"m. ",IF(VALUE(RIGHT($A1464,1))=2,"gm. w. ",IF(VALUE(RIGHT($A1464,1))=8,"dz. ","gm. m.-w. ")))))&amp;IF(LEN($A1464)=2,TRIM(UPPER(VLOOKUP($A1464,GUS_tabl_1!$A$7:$B$22,2,FALSE))),IF(ISERROR(FIND("..",TRIM(VLOOKUP(IF(AND(LEN($A1464)=4,VALUE(RIGHT($A1464,2))&gt;60),$A1464&amp;"01 1",$A1464),IF(AND(LEN($A1464)=4,VALUE(RIGHT($A1464,2))&lt;60),GUS_tabl_2!$A$8:$B$464,GUS_tabl_21!$A$5:$B$4886),2,FALSE)))),TRIM(VLOOKUP(IF(AND(LEN($A1464)=4,VALUE(RIGHT($A1464,2))&gt;60),$A1464&amp;"01 1",$A1464),IF(AND(LEN($A1464)=4,VALUE(RIGHT($A1464,2))&lt;60),GUS_tabl_2!$A$8:$B$464,GUS_tabl_21!$A$5:$B$4886),2,FALSE)),LEFT(TRIM(VLOOKUP(IF(AND(LEN($A1464)=4,VALUE(RIGHT($A1464,2))&gt;60),$A1464&amp;"01 1",$A1464),IF(AND(LEN($A1464)=4,VALUE(RIGHT($A1464,2))&lt;60),GUS_tabl_2!$A$8:$B$464,GUS_tabl_21!$A$5:$B$4886),2,FALSE)),SUM(FIND("..",TRIM(VLOOKUP(IF(AND(LEN($A1464)=4,VALUE(RIGHT($A1464,2))&gt;60),$A1464&amp;"01 1",$A1464),IF(AND(LEN($A1464)=4,VALUE(RIGHT($A1464,2))&lt;60),GUS_tabl_2!$A$8:$B$464,GUS_tabl_21!$A$5:$B$4886),2,FALSE))),-1)))))</f>
        <v>gm. w. Poświętne</v>
      </c>
      <c r="D1464" s="141">
        <f>IF(OR($A1464="",ISERROR(VALUE(LEFT($A1464,6)))),"",IF(LEN($A1464)=2,SUMIF($A1465:$A$2965,$A1464&amp;"??",$D1465:$D$2965),IF(AND(LEN($A1464)=4,VALUE(RIGHT($A1464,2))&lt;=60),SUMIF($A1465:$A$2965,$A1464&amp;"????",$D1465:$D$2965),VLOOKUP(IF(LEN($A1464)=4,$A1464&amp;"01 1",$A1464),GUS_tabl_21!$A$5:$F$4886,6,FALSE))))</f>
        <v>6249</v>
      </c>
      <c r="E1464" s="29"/>
    </row>
    <row r="1465" spans="1:5" ht="12" customHeight="1">
      <c r="A1465" s="155" t="str">
        <f>"143409 3"</f>
        <v>143409 3</v>
      </c>
      <c r="B1465" s="153" t="s">
        <v>45</v>
      </c>
      <c r="C1465" s="156" t="str">
        <f>IF(OR($A1465="",ISERROR(VALUE(LEFT($A1465,6)))),"",IF(LEN($A1465)=2,"WOJ. ",IF(LEN($A1465)=4,IF(VALUE(RIGHT($A1465,2))&gt;60,"","Powiat "),IF(VALUE(RIGHT($A1465,1))=1,"m. ",IF(VALUE(RIGHT($A1465,1))=2,"gm. w. ",IF(VALUE(RIGHT($A1465,1))=8,"dz. ","gm. m.-w. ")))))&amp;IF(LEN($A1465)=2,TRIM(UPPER(VLOOKUP($A1465,GUS_tabl_1!$A$7:$B$22,2,FALSE))),IF(ISERROR(FIND("..",TRIM(VLOOKUP(IF(AND(LEN($A1465)=4,VALUE(RIGHT($A1465,2))&gt;60),$A1465&amp;"01 1",$A1465),IF(AND(LEN($A1465)=4,VALUE(RIGHT($A1465,2))&lt;60),GUS_tabl_2!$A$8:$B$464,GUS_tabl_21!$A$5:$B$4886),2,FALSE)))),TRIM(VLOOKUP(IF(AND(LEN($A1465)=4,VALUE(RIGHT($A1465,2))&gt;60),$A1465&amp;"01 1",$A1465),IF(AND(LEN($A1465)=4,VALUE(RIGHT($A1465,2))&lt;60),GUS_tabl_2!$A$8:$B$464,GUS_tabl_21!$A$5:$B$4886),2,FALSE)),LEFT(TRIM(VLOOKUP(IF(AND(LEN($A1465)=4,VALUE(RIGHT($A1465,2))&gt;60),$A1465&amp;"01 1",$A1465),IF(AND(LEN($A1465)=4,VALUE(RIGHT($A1465,2))&lt;60),GUS_tabl_2!$A$8:$B$464,GUS_tabl_21!$A$5:$B$4886),2,FALSE)),SUM(FIND("..",TRIM(VLOOKUP(IF(AND(LEN($A1465)=4,VALUE(RIGHT($A1465,2))&gt;60),$A1465&amp;"01 1",$A1465),IF(AND(LEN($A1465)=4,VALUE(RIGHT($A1465,2))&lt;60),GUS_tabl_2!$A$8:$B$464,GUS_tabl_21!$A$5:$B$4886),2,FALSE))),-1)))))</f>
        <v>gm. m.-w. Radzymin</v>
      </c>
      <c r="D1465" s="141">
        <f>IF(OR($A1465="",ISERROR(VALUE(LEFT($A1465,6)))),"",IF(LEN($A1465)=2,SUMIF($A1466:$A$2965,$A1465&amp;"??",$D1466:$D$2965),IF(AND(LEN($A1465)=4,VALUE(RIGHT($A1465,2))&lt;=60),SUMIF($A1466:$A$2965,$A1465&amp;"????",$D1466:$D$2965),VLOOKUP(IF(LEN($A1465)=4,$A1465&amp;"01 1",$A1465),GUS_tabl_21!$A$5:$F$4886,6,FALSE))))</f>
        <v>27504</v>
      </c>
      <c r="E1465" s="29"/>
    </row>
    <row r="1466" spans="1:5" ht="12" customHeight="1">
      <c r="A1466" s="155" t="str">
        <f>"143410 2"</f>
        <v>143410 2</v>
      </c>
      <c r="B1466" s="153" t="s">
        <v>45</v>
      </c>
      <c r="C1466" s="156" t="str">
        <f>IF(OR($A1466="",ISERROR(VALUE(LEFT($A1466,6)))),"",IF(LEN($A1466)=2,"WOJ. ",IF(LEN($A1466)=4,IF(VALUE(RIGHT($A1466,2))&gt;60,"","Powiat "),IF(VALUE(RIGHT($A1466,1))=1,"m. ",IF(VALUE(RIGHT($A1466,1))=2,"gm. w. ",IF(VALUE(RIGHT($A1466,1))=8,"dz. ","gm. m.-w. ")))))&amp;IF(LEN($A1466)=2,TRIM(UPPER(VLOOKUP($A1466,GUS_tabl_1!$A$7:$B$22,2,FALSE))),IF(ISERROR(FIND("..",TRIM(VLOOKUP(IF(AND(LEN($A1466)=4,VALUE(RIGHT($A1466,2))&gt;60),$A1466&amp;"01 1",$A1466),IF(AND(LEN($A1466)=4,VALUE(RIGHT($A1466,2))&lt;60),GUS_tabl_2!$A$8:$B$464,GUS_tabl_21!$A$5:$B$4886),2,FALSE)))),TRIM(VLOOKUP(IF(AND(LEN($A1466)=4,VALUE(RIGHT($A1466,2))&gt;60),$A1466&amp;"01 1",$A1466),IF(AND(LEN($A1466)=4,VALUE(RIGHT($A1466,2))&lt;60),GUS_tabl_2!$A$8:$B$464,GUS_tabl_21!$A$5:$B$4886),2,FALSE)),LEFT(TRIM(VLOOKUP(IF(AND(LEN($A1466)=4,VALUE(RIGHT($A1466,2))&gt;60),$A1466&amp;"01 1",$A1466),IF(AND(LEN($A1466)=4,VALUE(RIGHT($A1466,2))&lt;60),GUS_tabl_2!$A$8:$B$464,GUS_tabl_21!$A$5:$B$4886),2,FALSE)),SUM(FIND("..",TRIM(VLOOKUP(IF(AND(LEN($A1466)=4,VALUE(RIGHT($A1466,2))&gt;60),$A1466&amp;"01 1",$A1466),IF(AND(LEN($A1466)=4,VALUE(RIGHT($A1466,2))&lt;60),GUS_tabl_2!$A$8:$B$464,GUS_tabl_21!$A$5:$B$4886),2,FALSE))),-1)))))</f>
        <v>gm. w. Strachówka</v>
      </c>
      <c r="D1466" s="141">
        <f>IF(OR($A1466="",ISERROR(VALUE(LEFT($A1466,6)))),"",IF(LEN($A1466)=2,SUMIF($A1467:$A$2965,$A1466&amp;"??",$D1467:$D$2965),IF(AND(LEN($A1466)=4,VALUE(RIGHT($A1466,2))&lt;=60),SUMIF($A1467:$A$2965,$A1466&amp;"????",$D1467:$D$2965),VLOOKUP(IF(LEN($A1466)=4,$A1466&amp;"01 1",$A1466),GUS_tabl_21!$A$5:$F$4886,6,FALSE))))</f>
        <v>2720</v>
      </c>
      <c r="E1466" s="29"/>
    </row>
    <row r="1467" spans="1:5" ht="12" customHeight="1">
      <c r="A1467" s="155" t="str">
        <f>"143411 3"</f>
        <v>143411 3</v>
      </c>
      <c r="B1467" s="153" t="s">
        <v>45</v>
      </c>
      <c r="C1467" s="156" t="str">
        <f>IF(OR($A1467="",ISERROR(VALUE(LEFT($A1467,6)))),"",IF(LEN($A1467)=2,"WOJ. ",IF(LEN($A1467)=4,IF(VALUE(RIGHT($A1467,2))&gt;60,"","Powiat "),IF(VALUE(RIGHT($A1467,1))=1,"m. ",IF(VALUE(RIGHT($A1467,1))=2,"gm. w. ",IF(VALUE(RIGHT($A1467,1))=8,"dz. ","gm. m.-w. ")))))&amp;IF(LEN($A1467)=2,TRIM(UPPER(VLOOKUP($A1467,GUS_tabl_1!$A$7:$B$22,2,FALSE))),IF(ISERROR(FIND("..",TRIM(VLOOKUP(IF(AND(LEN($A1467)=4,VALUE(RIGHT($A1467,2))&gt;60),$A1467&amp;"01 1",$A1467),IF(AND(LEN($A1467)=4,VALUE(RIGHT($A1467,2))&lt;60),GUS_tabl_2!$A$8:$B$464,GUS_tabl_21!$A$5:$B$4886),2,FALSE)))),TRIM(VLOOKUP(IF(AND(LEN($A1467)=4,VALUE(RIGHT($A1467,2))&gt;60),$A1467&amp;"01 1",$A1467),IF(AND(LEN($A1467)=4,VALUE(RIGHT($A1467,2))&lt;60),GUS_tabl_2!$A$8:$B$464,GUS_tabl_21!$A$5:$B$4886),2,FALSE)),LEFT(TRIM(VLOOKUP(IF(AND(LEN($A1467)=4,VALUE(RIGHT($A1467,2))&gt;60),$A1467&amp;"01 1",$A1467),IF(AND(LEN($A1467)=4,VALUE(RIGHT($A1467,2))&lt;60),GUS_tabl_2!$A$8:$B$464,GUS_tabl_21!$A$5:$B$4886),2,FALSE)),SUM(FIND("..",TRIM(VLOOKUP(IF(AND(LEN($A1467)=4,VALUE(RIGHT($A1467,2))&gt;60),$A1467&amp;"01 1",$A1467),IF(AND(LEN($A1467)=4,VALUE(RIGHT($A1467,2))&lt;60),GUS_tabl_2!$A$8:$B$464,GUS_tabl_21!$A$5:$B$4886),2,FALSE))),-1)))))</f>
        <v>gm. m.-w. Tłuszcz</v>
      </c>
      <c r="D1467" s="141">
        <f>IF(OR($A1467="",ISERROR(VALUE(LEFT($A1467,6)))),"",IF(LEN($A1467)=2,SUMIF($A1468:$A$2965,$A1467&amp;"??",$D1468:$D$2965),IF(AND(LEN($A1467)=4,VALUE(RIGHT($A1467,2))&lt;=60),SUMIF($A1468:$A$2965,$A1467&amp;"????",$D1468:$D$2965),VLOOKUP(IF(LEN($A1467)=4,$A1467&amp;"01 1",$A1467),GUS_tabl_21!$A$5:$F$4886,6,FALSE))))</f>
        <v>20109</v>
      </c>
      <c r="E1467" s="29"/>
    </row>
    <row r="1468" spans="1:5" ht="12" customHeight="1">
      <c r="A1468" s="155" t="str">
        <f>"143412 3"</f>
        <v>143412 3</v>
      </c>
      <c r="B1468" s="153" t="s">
        <v>45</v>
      </c>
      <c r="C1468" s="156" t="str">
        <f>IF(OR($A1468="",ISERROR(VALUE(LEFT($A1468,6)))),"",IF(LEN($A1468)=2,"WOJ. ",IF(LEN($A1468)=4,IF(VALUE(RIGHT($A1468,2))&gt;60,"","Powiat "),IF(VALUE(RIGHT($A1468,1))=1,"m. ",IF(VALUE(RIGHT($A1468,1))=2,"gm. w. ",IF(VALUE(RIGHT($A1468,1))=8,"dz. ","gm. m.-w. ")))))&amp;IF(LEN($A1468)=2,TRIM(UPPER(VLOOKUP($A1468,GUS_tabl_1!$A$7:$B$22,2,FALSE))),IF(ISERROR(FIND("..",TRIM(VLOOKUP(IF(AND(LEN($A1468)=4,VALUE(RIGHT($A1468,2))&gt;60),$A1468&amp;"01 1",$A1468),IF(AND(LEN($A1468)=4,VALUE(RIGHT($A1468,2))&lt;60),GUS_tabl_2!$A$8:$B$464,GUS_tabl_21!$A$5:$B$4886),2,FALSE)))),TRIM(VLOOKUP(IF(AND(LEN($A1468)=4,VALUE(RIGHT($A1468,2))&gt;60),$A1468&amp;"01 1",$A1468),IF(AND(LEN($A1468)=4,VALUE(RIGHT($A1468,2))&lt;60),GUS_tabl_2!$A$8:$B$464,GUS_tabl_21!$A$5:$B$4886),2,FALSE)),LEFT(TRIM(VLOOKUP(IF(AND(LEN($A1468)=4,VALUE(RIGHT($A1468,2))&gt;60),$A1468&amp;"01 1",$A1468),IF(AND(LEN($A1468)=4,VALUE(RIGHT($A1468,2))&lt;60),GUS_tabl_2!$A$8:$B$464,GUS_tabl_21!$A$5:$B$4886),2,FALSE)),SUM(FIND("..",TRIM(VLOOKUP(IF(AND(LEN($A1468)=4,VALUE(RIGHT($A1468,2))&gt;60),$A1468&amp;"01 1",$A1468),IF(AND(LEN($A1468)=4,VALUE(RIGHT($A1468,2))&lt;60),GUS_tabl_2!$A$8:$B$464,GUS_tabl_21!$A$5:$B$4886),2,FALSE))),-1)))))</f>
        <v>gm. m.-w. Wołomin</v>
      </c>
      <c r="D1468" s="141">
        <f>IF(OR($A1468="",ISERROR(VALUE(LEFT($A1468,6)))),"",IF(LEN($A1468)=2,SUMIF($A1469:$A$2965,$A1468&amp;"??",$D1469:$D$2965),IF(AND(LEN($A1468)=4,VALUE(RIGHT($A1468,2))&lt;=60),SUMIF($A1469:$A$2965,$A1468&amp;"????",$D1469:$D$2965),VLOOKUP(IF(LEN($A1468)=4,$A1468&amp;"01 1",$A1468),GUS_tabl_21!$A$5:$F$4886,6,FALSE))))</f>
        <v>51884</v>
      </c>
      <c r="E1468" s="29"/>
    </row>
    <row r="1469" spans="1:5" ht="12" customHeight="1">
      <c r="A1469" s="152" t="str">
        <f>"1435"</f>
        <v>1435</v>
      </c>
      <c r="B1469" s="153" t="s">
        <v>45</v>
      </c>
      <c r="C1469" s="154" t="str">
        <f>IF(OR($A1469="",ISERROR(VALUE(LEFT($A1469,6)))),"",IF(LEN($A1469)=2,"WOJ. ",IF(LEN($A1469)=4,IF(VALUE(RIGHT($A1469,2))&gt;60,"","Powiat "),IF(VALUE(RIGHT($A1469,1))=1,"m. ",IF(VALUE(RIGHT($A1469,1))=2,"gm. w. ",IF(VALUE(RIGHT($A1469,1))=8,"dz. ","gm. m.-w. ")))))&amp;IF(LEN($A1469)=2,TRIM(UPPER(VLOOKUP($A1469,GUS_tabl_1!$A$7:$B$22,2,FALSE))),IF(ISERROR(FIND("..",TRIM(VLOOKUP(IF(AND(LEN($A1469)=4,VALUE(RIGHT($A1469,2))&gt;60),$A1469&amp;"01 1",$A1469),IF(AND(LEN($A1469)=4,VALUE(RIGHT($A1469,2))&lt;60),GUS_tabl_2!$A$8:$B$464,GUS_tabl_21!$A$5:$B$4886),2,FALSE)))),TRIM(VLOOKUP(IF(AND(LEN($A1469)=4,VALUE(RIGHT($A1469,2))&gt;60),$A1469&amp;"01 1",$A1469),IF(AND(LEN($A1469)=4,VALUE(RIGHT($A1469,2))&lt;60),GUS_tabl_2!$A$8:$B$464,GUS_tabl_21!$A$5:$B$4886),2,FALSE)),LEFT(TRIM(VLOOKUP(IF(AND(LEN($A1469)=4,VALUE(RIGHT($A1469,2))&gt;60),$A1469&amp;"01 1",$A1469),IF(AND(LEN($A1469)=4,VALUE(RIGHT($A1469,2))&lt;60),GUS_tabl_2!$A$8:$B$464,GUS_tabl_21!$A$5:$B$4886),2,FALSE)),SUM(FIND("..",TRIM(VLOOKUP(IF(AND(LEN($A1469)=4,VALUE(RIGHT($A1469,2))&gt;60),$A1469&amp;"01 1",$A1469),IF(AND(LEN($A1469)=4,VALUE(RIGHT($A1469,2))&lt;60),GUS_tabl_2!$A$8:$B$464,GUS_tabl_21!$A$5:$B$4886),2,FALSE))),-1)))))</f>
        <v>Powiat wyszkowski</v>
      </c>
      <c r="D1469" s="140">
        <f>IF(OR($A1469="",ISERROR(VALUE(LEFT($A1469,6)))),"",IF(LEN($A1469)=2,SUMIF($A1470:$A$2965,$A1469&amp;"??",$D1470:$D$2965),IF(AND(LEN($A1469)=4,VALUE(RIGHT($A1469,2))&lt;=60),SUMIF($A1470:$A$2965,$A1469&amp;"????",$D1470:$D$2965),VLOOKUP(IF(LEN($A1469)=4,$A1469&amp;"01 1",$A1469),GUS_tabl_21!$A$5:$F$4886,6,FALSE))))</f>
        <v>74220</v>
      </c>
      <c r="E1469" s="29"/>
    </row>
    <row r="1470" spans="1:5" ht="12" customHeight="1">
      <c r="A1470" s="155" t="str">
        <f>"143501 2"</f>
        <v>143501 2</v>
      </c>
      <c r="B1470" s="153" t="s">
        <v>45</v>
      </c>
      <c r="C1470" s="156" t="str">
        <f>IF(OR($A1470="",ISERROR(VALUE(LEFT($A1470,6)))),"",IF(LEN($A1470)=2,"WOJ. ",IF(LEN($A1470)=4,IF(VALUE(RIGHT($A1470,2))&gt;60,"","Powiat "),IF(VALUE(RIGHT($A1470,1))=1,"m. ",IF(VALUE(RIGHT($A1470,1))=2,"gm. w. ",IF(VALUE(RIGHT($A1470,1))=8,"dz. ","gm. m.-w. ")))))&amp;IF(LEN($A1470)=2,TRIM(UPPER(VLOOKUP($A1470,GUS_tabl_1!$A$7:$B$22,2,FALSE))),IF(ISERROR(FIND("..",TRIM(VLOOKUP(IF(AND(LEN($A1470)=4,VALUE(RIGHT($A1470,2))&gt;60),$A1470&amp;"01 1",$A1470),IF(AND(LEN($A1470)=4,VALUE(RIGHT($A1470,2))&lt;60),GUS_tabl_2!$A$8:$B$464,GUS_tabl_21!$A$5:$B$4886),2,FALSE)))),TRIM(VLOOKUP(IF(AND(LEN($A1470)=4,VALUE(RIGHT($A1470,2))&gt;60),$A1470&amp;"01 1",$A1470),IF(AND(LEN($A1470)=4,VALUE(RIGHT($A1470,2))&lt;60),GUS_tabl_2!$A$8:$B$464,GUS_tabl_21!$A$5:$B$4886),2,FALSE)),LEFT(TRIM(VLOOKUP(IF(AND(LEN($A1470)=4,VALUE(RIGHT($A1470,2))&gt;60),$A1470&amp;"01 1",$A1470),IF(AND(LEN($A1470)=4,VALUE(RIGHT($A1470,2))&lt;60),GUS_tabl_2!$A$8:$B$464,GUS_tabl_21!$A$5:$B$4886),2,FALSE)),SUM(FIND("..",TRIM(VLOOKUP(IF(AND(LEN($A1470)=4,VALUE(RIGHT($A1470,2))&gt;60),$A1470&amp;"01 1",$A1470),IF(AND(LEN($A1470)=4,VALUE(RIGHT($A1470,2))&lt;60),GUS_tabl_2!$A$8:$B$464,GUS_tabl_21!$A$5:$B$4886),2,FALSE))),-1)))))</f>
        <v>gm. w. Brańszczyk</v>
      </c>
      <c r="D1470" s="141">
        <f>IF(OR($A1470="",ISERROR(VALUE(LEFT($A1470,6)))),"",IF(LEN($A1470)=2,SUMIF($A1471:$A$2965,$A1470&amp;"??",$D1471:$D$2965),IF(AND(LEN($A1470)=4,VALUE(RIGHT($A1470,2))&lt;=60),SUMIF($A1471:$A$2965,$A1470&amp;"????",$D1471:$D$2965),VLOOKUP(IF(LEN($A1470)=4,$A1470&amp;"01 1",$A1470),GUS_tabl_21!$A$5:$F$4886,6,FALSE))))</f>
        <v>8252</v>
      </c>
      <c r="E1470" s="29"/>
    </row>
    <row r="1471" spans="1:5" ht="12" customHeight="1">
      <c r="A1471" s="155" t="str">
        <f>"143502 2"</f>
        <v>143502 2</v>
      </c>
      <c r="B1471" s="153" t="s">
        <v>45</v>
      </c>
      <c r="C1471" s="156" t="str">
        <f>IF(OR($A1471="",ISERROR(VALUE(LEFT($A1471,6)))),"",IF(LEN($A1471)=2,"WOJ. ",IF(LEN($A1471)=4,IF(VALUE(RIGHT($A1471,2))&gt;60,"","Powiat "),IF(VALUE(RIGHT($A1471,1))=1,"m. ",IF(VALUE(RIGHT($A1471,1))=2,"gm. w. ",IF(VALUE(RIGHT($A1471,1))=8,"dz. ","gm. m.-w. ")))))&amp;IF(LEN($A1471)=2,TRIM(UPPER(VLOOKUP($A1471,GUS_tabl_1!$A$7:$B$22,2,FALSE))),IF(ISERROR(FIND("..",TRIM(VLOOKUP(IF(AND(LEN($A1471)=4,VALUE(RIGHT($A1471,2))&gt;60),$A1471&amp;"01 1",$A1471),IF(AND(LEN($A1471)=4,VALUE(RIGHT($A1471,2))&lt;60),GUS_tabl_2!$A$8:$B$464,GUS_tabl_21!$A$5:$B$4886),2,FALSE)))),TRIM(VLOOKUP(IF(AND(LEN($A1471)=4,VALUE(RIGHT($A1471,2))&gt;60),$A1471&amp;"01 1",$A1471),IF(AND(LEN($A1471)=4,VALUE(RIGHT($A1471,2))&lt;60),GUS_tabl_2!$A$8:$B$464,GUS_tabl_21!$A$5:$B$4886),2,FALSE)),LEFT(TRIM(VLOOKUP(IF(AND(LEN($A1471)=4,VALUE(RIGHT($A1471,2))&gt;60),$A1471&amp;"01 1",$A1471),IF(AND(LEN($A1471)=4,VALUE(RIGHT($A1471,2))&lt;60),GUS_tabl_2!$A$8:$B$464,GUS_tabl_21!$A$5:$B$4886),2,FALSE)),SUM(FIND("..",TRIM(VLOOKUP(IF(AND(LEN($A1471)=4,VALUE(RIGHT($A1471,2))&gt;60),$A1471&amp;"01 1",$A1471),IF(AND(LEN($A1471)=4,VALUE(RIGHT($A1471,2))&lt;60),GUS_tabl_2!$A$8:$B$464,GUS_tabl_21!$A$5:$B$4886),2,FALSE))),-1)))))</f>
        <v>gm. w. Długosiodło</v>
      </c>
      <c r="D1471" s="141">
        <f>IF(OR($A1471="",ISERROR(VALUE(LEFT($A1471,6)))),"",IF(LEN($A1471)=2,SUMIF($A1472:$A$2965,$A1471&amp;"??",$D1472:$D$2965),IF(AND(LEN($A1471)=4,VALUE(RIGHT($A1471,2))&lt;=60),SUMIF($A1472:$A$2965,$A1471&amp;"????",$D1472:$D$2965),VLOOKUP(IF(LEN($A1471)=4,$A1471&amp;"01 1",$A1471),GUS_tabl_21!$A$5:$F$4886,6,FALSE))))</f>
        <v>7779</v>
      </c>
      <c r="E1471" s="29"/>
    </row>
    <row r="1472" spans="1:5" ht="12" customHeight="1">
      <c r="A1472" s="155" t="str">
        <f>"143503 2"</f>
        <v>143503 2</v>
      </c>
      <c r="B1472" s="153" t="s">
        <v>45</v>
      </c>
      <c r="C1472" s="156" t="str">
        <f>IF(OR($A1472="",ISERROR(VALUE(LEFT($A1472,6)))),"",IF(LEN($A1472)=2,"WOJ. ",IF(LEN($A1472)=4,IF(VALUE(RIGHT($A1472,2))&gt;60,"","Powiat "),IF(VALUE(RIGHT($A1472,1))=1,"m. ",IF(VALUE(RIGHT($A1472,1))=2,"gm. w. ",IF(VALUE(RIGHT($A1472,1))=8,"dz. ","gm. m.-w. ")))))&amp;IF(LEN($A1472)=2,TRIM(UPPER(VLOOKUP($A1472,GUS_tabl_1!$A$7:$B$22,2,FALSE))),IF(ISERROR(FIND("..",TRIM(VLOOKUP(IF(AND(LEN($A1472)=4,VALUE(RIGHT($A1472,2))&gt;60),$A1472&amp;"01 1",$A1472),IF(AND(LEN($A1472)=4,VALUE(RIGHT($A1472,2))&lt;60),GUS_tabl_2!$A$8:$B$464,GUS_tabl_21!$A$5:$B$4886),2,FALSE)))),TRIM(VLOOKUP(IF(AND(LEN($A1472)=4,VALUE(RIGHT($A1472,2))&gt;60),$A1472&amp;"01 1",$A1472),IF(AND(LEN($A1472)=4,VALUE(RIGHT($A1472,2))&lt;60),GUS_tabl_2!$A$8:$B$464,GUS_tabl_21!$A$5:$B$4886),2,FALSE)),LEFT(TRIM(VLOOKUP(IF(AND(LEN($A1472)=4,VALUE(RIGHT($A1472,2))&gt;60),$A1472&amp;"01 1",$A1472),IF(AND(LEN($A1472)=4,VALUE(RIGHT($A1472,2))&lt;60),GUS_tabl_2!$A$8:$B$464,GUS_tabl_21!$A$5:$B$4886),2,FALSE)),SUM(FIND("..",TRIM(VLOOKUP(IF(AND(LEN($A1472)=4,VALUE(RIGHT($A1472,2))&gt;60),$A1472&amp;"01 1",$A1472),IF(AND(LEN($A1472)=4,VALUE(RIGHT($A1472,2))&lt;60),GUS_tabl_2!$A$8:$B$464,GUS_tabl_21!$A$5:$B$4886),2,FALSE))),-1)))))</f>
        <v>gm. w. Rząśnik</v>
      </c>
      <c r="D1472" s="141">
        <f>IF(OR($A1472="",ISERROR(VALUE(LEFT($A1472,6)))),"",IF(LEN($A1472)=2,SUMIF($A1473:$A$2965,$A1472&amp;"??",$D1473:$D$2965),IF(AND(LEN($A1472)=4,VALUE(RIGHT($A1472,2))&lt;=60),SUMIF($A1473:$A$2965,$A1472&amp;"????",$D1473:$D$2965),VLOOKUP(IF(LEN($A1472)=4,$A1472&amp;"01 1",$A1472),GUS_tabl_21!$A$5:$F$4886,6,FALSE))))</f>
        <v>7004</v>
      </c>
      <c r="E1472" s="29"/>
    </row>
    <row r="1473" spans="1:5" ht="12" customHeight="1">
      <c r="A1473" s="155" t="str">
        <f>"143504 2"</f>
        <v>143504 2</v>
      </c>
      <c r="B1473" s="153" t="s">
        <v>45</v>
      </c>
      <c r="C1473" s="156" t="str">
        <f>IF(OR($A1473="",ISERROR(VALUE(LEFT($A1473,6)))),"",IF(LEN($A1473)=2,"WOJ. ",IF(LEN($A1473)=4,IF(VALUE(RIGHT($A1473,2))&gt;60,"","Powiat "),IF(VALUE(RIGHT($A1473,1))=1,"m. ",IF(VALUE(RIGHT($A1473,1))=2,"gm. w. ",IF(VALUE(RIGHT($A1473,1))=8,"dz. ","gm. m.-w. ")))))&amp;IF(LEN($A1473)=2,TRIM(UPPER(VLOOKUP($A1473,GUS_tabl_1!$A$7:$B$22,2,FALSE))),IF(ISERROR(FIND("..",TRIM(VLOOKUP(IF(AND(LEN($A1473)=4,VALUE(RIGHT($A1473,2))&gt;60),$A1473&amp;"01 1",$A1473),IF(AND(LEN($A1473)=4,VALUE(RIGHT($A1473,2))&lt;60),GUS_tabl_2!$A$8:$B$464,GUS_tabl_21!$A$5:$B$4886),2,FALSE)))),TRIM(VLOOKUP(IF(AND(LEN($A1473)=4,VALUE(RIGHT($A1473,2))&gt;60),$A1473&amp;"01 1",$A1473),IF(AND(LEN($A1473)=4,VALUE(RIGHT($A1473,2))&lt;60),GUS_tabl_2!$A$8:$B$464,GUS_tabl_21!$A$5:$B$4886),2,FALSE)),LEFT(TRIM(VLOOKUP(IF(AND(LEN($A1473)=4,VALUE(RIGHT($A1473,2))&gt;60),$A1473&amp;"01 1",$A1473),IF(AND(LEN($A1473)=4,VALUE(RIGHT($A1473,2))&lt;60),GUS_tabl_2!$A$8:$B$464,GUS_tabl_21!$A$5:$B$4886),2,FALSE)),SUM(FIND("..",TRIM(VLOOKUP(IF(AND(LEN($A1473)=4,VALUE(RIGHT($A1473,2))&gt;60),$A1473&amp;"01 1",$A1473),IF(AND(LEN($A1473)=4,VALUE(RIGHT($A1473,2))&lt;60),GUS_tabl_2!$A$8:$B$464,GUS_tabl_21!$A$5:$B$4886),2,FALSE))),-1)))))</f>
        <v>gm. w. Somianka</v>
      </c>
      <c r="D1473" s="141">
        <f>IF(OR($A1473="",ISERROR(VALUE(LEFT($A1473,6)))),"",IF(LEN($A1473)=2,SUMIF($A1474:$A$2965,$A1473&amp;"??",$D1474:$D$2965),IF(AND(LEN($A1473)=4,VALUE(RIGHT($A1473,2))&lt;=60),SUMIF($A1474:$A$2965,$A1473&amp;"????",$D1474:$D$2965),VLOOKUP(IF(LEN($A1473)=4,$A1473&amp;"01 1",$A1473),GUS_tabl_21!$A$5:$F$4886,6,FALSE))))</f>
        <v>5605</v>
      </c>
      <c r="E1473" s="29"/>
    </row>
    <row r="1474" spans="1:5" ht="12" customHeight="1">
      <c r="A1474" s="155" t="str">
        <f>"143505 3"</f>
        <v>143505 3</v>
      </c>
      <c r="B1474" s="153" t="s">
        <v>45</v>
      </c>
      <c r="C1474" s="156" t="str">
        <f>IF(OR($A1474="",ISERROR(VALUE(LEFT($A1474,6)))),"",IF(LEN($A1474)=2,"WOJ. ",IF(LEN($A1474)=4,IF(VALUE(RIGHT($A1474,2))&gt;60,"","Powiat "),IF(VALUE(RIGHT($A1474,1))=1,"m. ",IF(VALUE(RIGHT($A1474,1))=2,"gm. w. ",IF(VALUE(RIGHT($A1474,1))=8,"dz. ","gm. m.-w. ")))))&amp;IF(LEN($A1474)=2,TRIM(UPPER(VLOOKUP($A1474,GUS_tabl_1!$A$7:$B$22,2,FALSE))),IF(ISERROR(FIND("..",TRIM(VLOOKUP(IF(AND(LEN($A1474)=4,VALUE(RIGHT($A1474,2))&gt;60),$A1474&amp;"01 1",$A1474),IF(AND(LEN($A1474)=4,VALUE(RIGHT($A1474,2))&lt;60),GUS_tabl_2!$A$8:$B$464,GUS_tabl_21!$A$5:$B$4886),2,FALSE)))),TRIM(VLOOKUP(IF(AND(LEN($A1474)=4,VALUE(RIGHT($A1474,2))&gt;60),$A1474&amp;"01 1",$A1474),IF(AND(LEN($A1474)=4,VALUE(RIGHT($A1474,2))&lt;60),GUS_tabl_2!$A$8:$B$464,GUS_tabl_21!$A$5:$B$4886),2,FALSE)),LEFT(TRIM(VLOOKUP(IF(AND(LEN($A1474)=4,VALUE(RIGHT($A1474,2))&gt;60),$A1474&amp;"01 1",$A1474),IF(AND(LEN($A1474)=4,VALUE(RIGHT($A1474,2))&lt;60),GUS_tabl_2!$A$8:$B$464,GUS_tabl_21!$A$5:$B$4886),2,FALSE)),SUM(FIND("..",TRIM(VLOOKUP(IF(AND(LEN($A1474)=4,VALUE(RIGHT($A1474,2))&gt;60),$A1474&amp;"01 1",$A1474),IF(AND(LEN($A1474)=4,VALUE(RIGHT($A1474,2))&lt;60),GUS_tabl_2!$A$8:$B$464,GUS_tabl_21!$A$5:$B$4886),2,FALSE))),-1)))))</f>
        <v>gm. m.-w. Wyszków</v>
      </c>
      <c r="D1474" s="141">
        <f>IF(OR($A1474="",ISERROR(VALUE(LEFT($A1474,6)))),"",IF(LEN($A1474)=2,SUMIF($A1475:$A$2965,$A1474&amp;"??",$D1475:$D$2965),IF(AND(LEN($A1474)=4,VALUE(RIGHT($A1474,2))&lt;=60),SUMIF($A1475:$A$2965,$A1474&amp;"????",$D1475:$D$2965),VLOOKUP(IF(LEN($A1474)=4,$A1474&amp;"01 1",$A1474),GUS_tabl_21!$A$5:$F$4886,6,FALSE))))</f>
        <v>39637</v>
      </c>
      <c r="E1474" s="29"/>
    </row>
    <row r="1475" spans="1:5" ht="12" customHeight="1">
      <c r="A1475" s="155" t="str">
        <f>"143506 2"</f>
        <v>143506 2</v>
      </c>
      <c r="B1475" s="153" t="s">
        <v>45</v>
      </c>
      <c r="C1475" s="156" t="str">
        <f>IF(OR($A1475="",ISERROR(VALUE(LEFT($A1475,6)))),"",IF(LEN($A1475)=2,"WOJ. ",IF(LEN($A1475)=4,IF(VALUE(RIGHT($A1475,2))&gt;60,"","Powiat "),IF(VALUE(RIGHT($A1475,1))=1,"m. ",IF(VALUE(RIGHT($A1475,1))=2,"gm. w. ",IF(VALUE(RIGHT($A1475,1))=8,"dz. ","gm. m.-w. ")))))&amp;IF(LEN($A1475)=2,TRIM(UPPER(VLOOKUP($A1475,GUS_tabl_1!$A$7:$B$22,2,FALSE))),IF(ISERROR(FIND("..",TRIM(VLOOKUP(IF(AND(LEN($A1475)=4,VALUE(RIGHT($A1475,2))&gt;60),$A1475&amp;"01 1",$A1475),IF(AND(LEN($A1475)=4,VALUE(RIGHT($A1475,2))&lt;60),GUS_tabl_2!$A$8:$B$464,GUS_tabl_21!$A$5:$B$4886),2,FALSE)))),TRIM(VLOOKUP(IF(AND(LEN($A1475)=4,VALUE(RIGHT($A1475,2))&gt;60),$A1475&amp;"01 1",$A1475),IF(AND(LEN($A1475)=4,VALUE(RIGHT($A1475,2))&lt;60),GUS_tabl_2!$A$8:$B$464,GUS_tabl_21!$A$5:$B$4886),2,FALSE)),LEFT(TRIM(VLOOKUP(IF(AND(LEN($A1475)=4,VALUE(RIGHT($A1475,2))&gt;60),$A1475&amp;"01 1",$A1475),IF(AND(LEN($A1475)=4,VALUE(RIGHT($A1475,2))&lt;60),GUS_tabl_2!$A$8:$B$464,GUS_tabl_21!$A$5:$B$4886),2,FALSE)),SUM(FIND("..",TRIM(VLOOKUP(IF(AND(LEN($A1475)=4,VALUE(RIGHT($A1475,2))&gt;60),$A1475&amp;"01 1",$A1475),IF(AND(LEN($A1475)=4,VALUE(RIGHT($A1475,2))&lt;60),GUS_tabl_2!$A$8:$B$464,GUS_tabl_21!$A$5:$B$4886),2,FALSE))),-1)))))</f>
        <v>gm. w. Zabrodzie</v>
      </c>
      <c r="D1475" s="141">
        <f>IF(OR($A1475="",ISERROR(VALUE(LEFT($A1475,6)))),"",IF(LEN($A1475)=2,SUMIF($A1476:$A$2965,$A1475&amp;"??",$D1476:$D$2965),IF(AND(LEN($A1475)=4,VALUE(RIGHT($A1475,2))&lt;=60),SUMIF($A1476:$A$2965,$A1475&amp;"????",$D1476:$D$2965),VLOOKUP(IF(LEN($A1475)=4,$A1475&amp;"01 1",$A1475),GUS_tabl_21!$A$5:$F$4886,6,FALSE))))</f>
        <v>5943</v>
      </c>
      <c r="E1475" s="29"/>
    </row>
    <row r="1476" spans="1:5" ht="12" customHeight="1">
      <c r="A1476" s="152" t="str">
        <f>"1436"</f>
        <v>1436</v>
      </c>
      <c r="B1476" s="153" t="s">
        <v>45</v>
      </c>
      <c r="C1476" s="154" t="str">
        <f>IF(OR($A1476="",ISERROR(VALUE(LEFT($A1476,6)))),"",IF(LEN($A1476)=2,"WOJ. ",IF(LEN($A1476)=4,IF(VALUE(RIGHT($A1476,2))&gt;60,"","Powiat "),IF(VALUE(RIGHT($A1476,1))=1,"m. ",IF(VALUE(RIGHT($A1476,1))=2,"gm. w. ",IF(VALUE(RIGHT($A1476,1))=8,"dz. ","gm. m.-w. ")))))&amp;IF(LEN($A1476)=2,TRIM(UPPER(VLOOKUP($A1476,GUS_tabl_1!$A$7:$B$22,2,FALSE))),IF(ISERROR(FIND("..",TRIM(VLOOKUP(IF(AND(LEN($A1476)=4,VALUE(RIGHT($A1476,2))&gt;60),$A1476&amp;"01 1",$A1476),IF(AND(LEN($A1476)=4,VALUE(RIGHT($A1476,2))&lt;60),GUS_tabl_2!$A$8:$B$464,GUS_tabl_21!$A$5:$B$4886),2,FALSE)))),TRIM(VLOOKUP(IF(AND(LEN($A1476)=4,VALUE(RIGHT($A1476,2))&gt;60),$A1476&amp;"01 1",$A1476),IF(AND(LEN($A1476)=4,VALUE(RIGHT($A1476,2))&lt;60),GUS_tabl_2!$A$8:$B$464,GUS_tabl_21!$A$5:$B$4886),2,FALSE)),LEFT(TRIM(VLOOKUP(IF(AND(LEN($A1476)=4,VALUE(RIGHT($A1476,2))&gt;60),$A1476&amp;"01 1",$A1476),IF(AND(LEN($A1476)=4,VALUE(RIGHT($A1476,2))&lt;60),GUS_tabl_2!$A$8:$B$464,GUS_tabl_21!$A$5:$B$4886),2,FALSE)),SUM(FIND("..",TRIM(VLOOKUP(IF(AND(LEN($A1476)=4,VALUE(RIGHT($A1476,2))&gt;60),$A1476&amp;"01 1",$A1476),IF(AND(LEN($A1476)=4,VALUE(RIGHT($A1476,2))&lt;60),GUS_tabl_2!$A$8:$B$464,GUS_tabl_21!$A$5:$B$4886),2,FALSE))),-1)))))</f>
        <v>Powiat zwoleński</v>
      </c>
      <c r="D1476" s="140">
        <f>IF(OR($A1476="",ISERROR(VALUE(LEFT($A1476,6)))),"",IF(LEN($A1476)=2,SUMIF($A1477:$A$2965,$A1476&amp;"??",$D1477:$D$2965),IF(AND(LEN($A1476)=4,VALUE(RIGHT($A1476,2))&lt;=60),SUMIF($A1477:$A$2965,$A1476&amp;"????",$D1477:$D$2965),VLOOKUP(IF(LEN($A1476)=4,$A1476&amp;"01 1",$A1476),GUS_tabl_21!$A$5:$F$4886,6,FALSE))))</f>
        <v>36166</v>
      </c>
      <c r="E1476" s="29"/>
    </row>
    <row r="1477" spans="1:5" ht="12" customHeight="1">
      <c r="A1477" s="155" t="str">
        <f>"143601 2"</f>
        <v>143601 2</v>
      </c>
      <c r="B1477" s="153" t="s">
        <v>45</v>
      </c>
      <c r="C1477" s="156" t="str">
        <f>IF(OR($A1477="",ISERROR(VALUE(LEFT($A1477,6)))),"",IF(LEN($A1477)=2,"WOJ. ",IF(LEN($A1477)=4,IF(VALUE(RIGHT($A1477,2))&gt;60,"","Powiat "),IF(VALUE(RIGHT($A1477,1))=1,"m. ",IF(VALUE(RIGHT($A1477,1))=2,"gm. w. ",IF(VALUE(RIGHT($A1477,1))=8,"dz. ","gm. m.-w. ")))))&amp;IF(LEN($A1477)=2,TRIM(UPPER(VLOOKUP($A1477,GUS_tabl_1!$A$7:$B$22,2,FALSE))),IF(ISERROR(FIND("..",TRIM(VLOOKUP(IF(AND(LEN($A1477)=4,VALUE(RIGHT($A1477,2))&gt;60),$A1477&amp;"01 1",$A1477),IF(AND(LEN($A1477)=4,VALUE(RIGHT($A1477,2))&lt;60),GUS_tabl_2!$A$8:$B$464,GUS_tabl_21!$A$5:$B$4886),2,FALSE)))),TRIM(VLOOKUP(IF(AND(LEN($A1477)=4,VALUE(RIGHT($A1477,2))&gt;60),$A1477&amp;"01 1",$A1477),IF(AND(LEN($A1477)=4,VALUE(RIGHT($A1477,2))&lt;60),GUS_tabl_2!$A$8:$B$464,GUS_tabl_21!$A$5:$B$4886),2,FALSE)),LEFT(TRIM(VLOOKUP(IF(AND(LEN($A1477)=4,VALUE(RIGHT($A1477,2))&gt;60),$A1477&amp;"01 1",$A1477),IF(AND(LEN($A1477)=4,VALUE(RIGHT($A1477,2))&lt;60),GUS_tabl_2!$A$8:$B$464,GUS_tabl_21!$A$5:$B$4886),2,FALSE)),SUM(FIND("..",TRIM(VLOOKUP(IF(AND(LEN($A1477)=4,VALUE(RIGHT($A1477,2))&gt;60),$A1477&amp;"01 1",$A1477),IF(AND(LEN($A1477)=4,VALUE(RIGHT($A1477,2))&lt;60),GUS_tabl_2!$A$8:$B$464,GUS_tabl_21!$A$5:$B$4886),2,FALSE))),-1)))))</f>
        <v>gm. w. Kazanów</v>
      </c>
      <c r="D1477" s="141">
        <f>IF(OR($A1477="",ISERROR(VALUE(LEFT($A1477,6)))),"",IF(LEN($A1477)=2,SUMIF($A1478:$A$2965,$A1477&amp;"??",$D1478:$D$2965),IF(AND(LEN($A1477)=4,VALUE(RIGHT($A1477,2))&lt;=60),SUMIF($A1478:$A$2965,$A1477&amp;"????",$D1478:$D$2965),VLOOKUP(IF(LEN($A1477)=4,$A1477&amp;"01 1",$A1477),GUS_tabl_21!$A$5:$F$4886,6,FALSE))))</f>
        <v>4504</v>
      </c>
      <c r="E1477" s="29"/>
    </row>
    <row r="1478" spans="1:5" ht="12" customHeight="1">
      <c r="A1478" s="155" t="str">
        <f>"143602 2"</f>
        <v>143602 2</v>
      </c>
      <c r="B1478" s="153" t="s">
        <v>45</v>
      </c>
      <c r="C1478" s="156" t="str">
        <f>IF(OR($A1478="",ISERROR(VALUE(LEFT($A1478,6)))),"",IF(LEN($A1478)=2,"WOJ. ",IF(LEN($A1478)=4,IF(VALUE(RIGHT($A1478,2))&gt;60,"","Powiat "),IF(VALUE(RIGHT($A1478,1))=1,"m. ",IF(VALUE(RIGHT($A1478,1))=2,"gm. w. ",IF(VALUE(RIGHT($A1478,1))=8,"dz. ","gm. m.-w. ")))))&amp;IF(LEN($A1478)=2,TRIM(UPPER(VLOOKUP($A1478,GUS_tabl_1!$A$7:$B$22,2,FALSE))),IF(ISERROR(FIND("..",TRIM(VLOOKUP(IF(AND(LEN($A1478)=4,VALUE(RIGHT($A1478,2))&gt;60),$A1478&amp;"01 1",$A1478),IF(AND(LEN($A1478)=4,VALUE(RIGHT($A1478,2))&lt;60),GUS_tabl_2!$A$8:$B$464,GUS_tabl_21!$A$5:$B$4886),2,FALSE)))),TRIM(VLOOKUP(IF(AND(LEN($A1478)=4,VALUE(RIGHT($A1478,2))&gt;60),$A1478&amp;"01 1",$A1478),IF(AND(LEN($A1478)=4,VALUE(RIGHT($A1478,2))&lt;60),GUS_tabl_2!$A$8:$B$464,GUS_tabl_21!$A$5:$B$4886),2,FALSE)),LEFT(TRIM(VLOOKUP(IF(AND(LEN($A1478)=4,VALUE(RIGHT($A1478,2))&gt;60),$A1478&amp;"01 1",$A1478),IF(AND(LEN($A1478)=4,VALUE(RIGHT($A1478,2))&lt;60),GUS_tabl_2!$A$8:$B$464,GUS_tabl_21!$A$5:$B$4886),2,FALSE)),SUM(FIND("..",TRIM(VLOOKUP(IF(AND(LEN($A1478)=4,VALUE(RIGHT($A1478,2))&gt;60),$A1478&amp;"01 1",$A1478),IF(AND(LEN($A1478)=4,VALUE(RIGHT($A1478,2))&lt;60),GUS_tabl_2!$A$8:$B$464,GUS_tabl_21!$A$5:$B$4886),2,FALSE))),-1)))))</f>
        <v>gm. w. Policzna</v>
      </c>
      <c r="D1478" s="141">
        <f>IF(OR($A1478="",ISERROR(VALUE(LEFT($A1478,6)))),"",IF(LEN($A1478)=2,SUMIF($A1479:$A$2965,$A1478&amp;"??",$D1479:$D$2965),IF(AND(LEN($A1478)=4,VALUE(RIGHT($A1478,2))&lt;=60),SUMIF($A1479:$A$2965,$A1478&amp;"????",$D1479:$D$2965),VLOOKUP(IF(LEN($A1478)=4,$A1478&amp;"01 1",$A1478),GUS_tabl_21!$A$5:$F$4886,6,FALSE))))</f>
        <v>5473</v>
      </c>
      <c r="E1478" s="29"/>
    </row>
    <row r="1479" spans="1:5" ht="12" customHeight="1">
      <c r="A1479" s="155" t="str">
        <f>"143603 2"</f>
        <v>143603 2</v>
      </c>
      <c r="B1479" s="153" t="s">
        <v>45</v>
      </c>
      <c r="C1479" s="156" t="str">
        <f>IF(OR($A1479="",ISERROR(VALUE(LEFT($A1479,6)))),"",IF(LEN($A1479)=2,"WOJ. ",IF(LEN($A1479)=4,IF(VALUE(RIGHT($A1479,2))&gt;60,"","Powiat "),IF(VALUE(RIGHT($A1479,1))=1,"m. ",IF(VALUE(RIGHT($A1479,1))=2,"gm. w. ",IF(VALUE(RIGHT($A1479,1))=8,"dz. ","gm. m.-w. ")))))&amp;IF(LEN($A1479)=2,TRIM(UPPER(VLOOKUP($A1479,GUS_tabl_1!$A$7:$B$22,2,FALSE))),IF(ISERROR(FIND("..",TRIM(VLOOKUP(IF(AND(LEN($A1479)=4,VALUE(RIGHT($A1479,2))&gt;60),$A1479&amp;"01 1",$A1479),IF(AND(LEN($A1479)=4,VALUE(RIGHT($A1479,2))&lt;60),GUS_tabl_2!$A$8:$B$464,GUS_tabl_21!$A$5:$B$4886),2,FALSE)))),TRIM(VLOOKUP(IF(AND(LEN($A1479)=4,VALUE(RIGHT($A1479,2))&gt;60),$A1479&amp;"01 1",$A1479),IF(AND(LEN($A1479)=4,VALUE(RIGHT($A1479,2))&lt;60),GUS_tabl_2!$A$8:$B$464,GUS_tabl_21!$A$5:$B$4886),2,FALSE)),LEFT(TRIM(VLOOKUP(IF(AND(LEN($A1479)=4,VALUE(RIGHT($A1479,2))&gt;60),$A1479&amp;"01 1",$A1479),IF(AND(LEN($A1479)=4,VALUE(RIGHT($A1479,2))&lt;60),GUS_tabl_2!$A$8:$B$464,GUS_tabl_21!$A$5:$B$4886),2,FALSE)),SUM(FIND("..",TRIM(VLOOKUP(IF(AND(LEN($A1479)=4,VALUE(RIGHT($A1479,2))&gt;60),$A1479&amp;"01 1",$A1479),IF(AND(LEN($A1479)=4,VALUE(RIGHT($A1479,2))&lt;60),GUS_tabl_2!$A$8:$B$464,GUS_tabl_21!$A$5:$B$4886),2,FALSE))),-1)))))</f>
        <v>gm. w. Przyłęk</v>
      </c>
      <c r="D1479" s="141">
        <f>IF(OR($A1479="",ISERROR(VALUE(LEFT($A1479,6)))),"",IF(LEN($A1479)=2,SUMIF($A1480:$A$2965,$A1479&amp;"??",$D1480:$D$2965),IF(AND(LEN($A1479)=4,VALUE(RIGHT($A1479,2))&lt;=60),SUMIF($A1480:$A$2965,$A1479&amp;"????",$D1480:$D$2965),VLOOKUP(IF(LEN($A1479)=4,$A1479&amp;"01 1",$A1479),GUS_tabl_21!$A$5:$F$4886,6,FALSE))))</f>
        <v>6154</v>
      </c>
      <c r="E1479" s="29"/>
    </row>
    <row r="1480" spans="1:5" ht="12" customHeight="1">
      <c r="A1480" s="155" t="str">
        <f>"143604 2"</f>
        <v>143604 2</v>
      </c>
      <c r="B1480" s="153" t="s">
        <v>45</v>
      </c>
      <c r="C1480" s="156" t="str">
        <f>IF(OR($A1480="",ISERROR(VALUE(LEFT($A1480,6)))),"",IF(LEN($A1480)=2,"WOJ. ",IF(LEN($A1480)=4,IF(VALUE(RIGHT($A1480,2))&gt;60,"","Powiat "),IF(VALUE(RIGHT($A1480,1))=1,"m. ",IF(VALUE(RIGHT($A1480,1))=2,"gm. w. ",IF(VALUE(RIGHT($A1480,1))=8,"dz. ","gm. m.-w. ")))))&amp;IF(LEN($A1480)=2,TRIM(UPPER(VLOOKUP($A1480,GUS_tabl_1!$A$7:$B$22,2,FALSE))),IF(ISERROR(FIND("..",TRIM(VLOOKUP(IF(AND(LEN($A1480)=4,VALUE(RIGHT($A1480,2))&gt;60),$A1480&amp;"01 1",$A1480),IF(AND(LEN($A1480)=4,VALUE(RIGHT($A1480,2))&lt;60),GUS_tabl_2!$A$8:$B$464,GUS_tabl_21!$A$5:$B$4886),2,FALSE)))),TRIM(VLOOKUP(IF(AND(LEN($A1480)=4,VALUE(RIGHT($A1480,2))&gt;60),$A1480&amp;"01 1",$A1480),IF(AND(LEN($A1480)=4,VALUE(RIGHT($A1480,2))&lt;60),GUS_tabl_2!$A$8:$B$464,GUS_tabl_21!$A$5:$B$4886),2,FALSE)),LEFT(TRIM(VLOOKUP(IF(AND(LEN($A1480)=4,VALUE(RIGHT($A1480,2))&gt;60),$A1480&amp;"01 1",$A1480),IF(AND(LEN($A1480)=4,VALUE(RIGHT($A1480,2))&lt;60),GUS_tabl_2!$A$8:$B$464,GUS_tabl_21!$A$5:$B$4886),2,FALSE)),SUM(FIND("..",TRIM(VLOOKUP(IF(AND(LEN($A1480)=4,VALUE(RIGHT($A1480,2))&gt;60),$A1480&amp;"01 1",$A1480),IF(AND(LEN($A1480)=4,VALUE(RIGHT($A1480,2))&lt;60),GUS_tabl_2!$A$8:$B$464,GUS_tabl_21!$A$5:$B$4886),2,FALSE))),-1)))))</f>
        <v>gm. w. Tczów</v>
      </c>
      <c r="D1480" s="141">
        <f>IF(OR($A1480="",ISERROR(VALUE(LEFT($A1480,6)))),"",IF(LEN($A1480)=2,SUMIF($A1481:$A$2965,$A1480&amp;"??",$D1481:$D$2965),IF(AND(LEN($A1480)=4,VALUE(RIGHT($A1480,2))&lt;=60),SUMIF($A1481:$A$2965,$A1480&amp;"????",$D1481:$D$2965),VLOOKUP(IF(LEN($A1480)=4,$A1480&amp;"01 1",$A1480),GUS_tabl_21!$A$5:$F$4886,6,FALSE))))</f>
        <v>4910</v>
      </c>
      <c r="E1480" s="29"/>
    </row>
    <row r="1481" spans="1:5" ht="12" customHeight="1">
      <c r="A1481" s="155" t="str">
        <f>"143605 3"</f>
        <v>143605 3</v>
      </c>
      <c r="B1481" s="153" t="s">
        <v>45</v>
      </c>
      <c r="C1481" s="156" t="str">
        <f>IF(OR($A1481="",ISERROR(VALUE(LEFT($A1481,6)))),"",IF(LEN($A1481)=2,"WOJ. ",IF(LEN($A1481)=4,IF(VALUE(RIGHT($A1481,2))&gt;60,"","Powiat "),IF(VALUE(RIGHT($A1481,1))=1,"m. ",IF(VALUE(RIGHT($A1481,1))=2,"gm. w. ",IF(VALUE(RIGHT($A1481,1))=8,"dz. ","gm. m.-w. ")))))&amp;IF(LEN($A1481)=2,TRIM(UPPER(VLOOKUP($A1481,GUS_tabl_1!$A$7:$B$22,2,FALSE))),IF(ISERROR(FIND("..",TRIM(VLOOKUP(IF(AND(LEN($A1481)=4,VALUE(RIGHT($A1481,2))&gt;60),$A1481&amp;"01 1",$A1481),IF(AND(LEN($A1481)=4,VALUE(RIGHT($A1481,2))&lt;60),GUS_tabl_2!$A$8:$B$464,GUS_tabl_21!$A$5:$B$4886),2,FALSE)))),TRIM(VLOOKUP(IF(AND(LEN($A1481)=4,VALUE(RIGHT($A1481,2))&gt;60),$A1481&amp;"01 1",$A1481),IF(AND(LEN($A1481)=4,VALUE(RIGHT($A1481,2))&lt;60),GUS_tabl_2!$A$8:$B$464,GUS_tabl_21!$A$5:$B$4886),2,FALSE)),LEFT(TRIM(VLOOKUP(IF(AND(LEN($A1481)=4,VALUE(RIGHT($A1481,2))&gt;60),$A1481&amp;"01 1",$A1481),IF(AND(LEN($A1481)=4,VALUE(RIGHT($A1481,2))&lt;60),GUS_tabl_2!$A$8:$B$464,GUS_tabl_21!$A$5:$B$4886),2,FALSE)),SUM(FIND("..",TRIM(VLOOKUP(IF(AND(LEN($A1481)=4,VALUE(RIGHT($A1481,2))&gt;60),$A1481&amp;"01 1",$A1481),IF(AND(LEN($A1481)=4,VALUE(RIGHT($A1481,2))&lt;60),GUS_tabl_2!$A$8:$B$464,GUS_tabl_21!$A$5:$B$4886),2,FALSE))),-1)))))</f>
        <v>gm. m.-w. Zwoleń</v>
      </c>
      <c r="D1481" s="141">
        <f>IF(OR($A1481="",ISERROR(VALUE(LEFT($A1481,6)))),"",IF(LEN($A1481)=2,SUMIF($A1482:$A$2965,$A1481&amp;"??",$D1482:$D$2965),IF(AND(LEN($A1481)=4,VALUE(RIGHT($A1481,2))&lt;=60),SUMIF($A1482:$A$2965,$A1481&amp;"????",$D1482:$D$2965),VLOOKUP(IF(LEN($A1481)=4,$A1481&amp;"01 1",$A1481),GUS_tabl_21!$A$5:$F$4886,6,FALSE))))</f>
        <v>15125</v>
      </c>
      <c r="E1481" s="29"/>
    </row>
    <row r="1482" spans="1:5" ht="12" customHeight="1">
      <c r="A1482" s="152" t="str">
        <f>"1437"</f>
        <v>1437</v>
      </c>
      <c r="B1482" s="153" t="s">
        <v>45</v>
      </c>
      <c r="C1482" s="154" t="str">
        <f>IF(OR($A1482="",ISERROR(VALUE(LEFT($A1482,6)))),"",IF(LEN($A1482)=2,"WOJ. ",IF(LEN($A1482)=4,IF(VALUE(RIGHT($A1482,2))&gt;60,"","Powiat "),IF(VALUE(RIGHT($A1482,1))=1,"m. ",IF(VALUE(RIGHT($A1482,1))=2,"gm. w. ",IF(VALUE(RIGHT($A1482,1))=8,"dz. ","gm. m.-w. ")))))&amp;IF(LEN($A1482)=2,TRIM(UPPER(VLOOKUP($A1482,GUS_tabl_1!$A$7:$B$22,2,FALSE))),IF(ISERROR(FIND("..",TRIM(VLOOKUP(IF(AND(LEN($A1482)=4,VALUE(RIGHT($A1482,2))&gt;60),$A1482&amp;"01 1",$A1482),IF(AND(LEN($A1482)=4,VALUE(RIGHT($A1482,2))&lt;60),GUS_tabl_2!$A$8:$B$464,GUS_tabl_21!$A$5:$B$4886),2,FALSE)))),TRIM(VLOOKUP(IF(AND(LEN($A1482)=4,VALUE(RIGHT($A1482,2))&gt;60),$A1482&amp;"01 1",$A1482),IF(AND(LEN($A1482)=4,VALUE(RIGHT($A1482,2))&lt;60),GUS_tabl_2!$A$8:$B$464,GUS_tabl_21!$A$5:$B$4886),2,FALSE)),LEFT(TRIM(VLOOKUP(IF(AND(LEN($A1482)=4,VALUE(RIGHT($A1482,2))&gt;60),$A1482&amp;"01 1",$A1482),IF(AND(LEN($A1482)=4,VALUE(RIGHT($A1482,2))&lt;60),GUS_tabl_2!$A$8:$B$464,GUS_tabl_21!$A$5:$B$4886),2,FALSE)),SUM(FIND("..",TRIM(VLOOKUP(IF(AND(LEN($A1482)=4,VALUE(RIGHT($A1482,2))&gt;60),$A1482&amp;"01 1",$A1482),IF(AND(LEN($A1482)=4,VALUE(RIGHT($A1482,2))&lt;60),GUS_tabl_2!$A$8:$B$464,GUS_tabl_21!$A$5:$B$4886),2,FALSE))),-1)))))</f>
        <v>Powiat żuromiński</v>
      </c>
      <c r="D1482" s="140">
        <f>IF(OR($A1482="",ISERROR(VALUE(LEFT($A1482,6)))),"",IF(LEN($A1482)=2,SUMIF($A1483:$A$2965,$A1482&amp;"??",$D1483:$D$2965),IF(AND(LEN($A1482)=4,VALUE(RIGHT($A1482,2))&lt;=60),SUMIF($A1483:$A$2965,$A1482&amp;"????",$D1483:$D$2965),VLOOKUP(IF(LEN($A1482)=4,$A1482&amp;"01 1",$A1482),GUS_tabl_21!$A$5:$F$4886,6,FALSE))))</f>
        <v>38515</v>
      </c>
      <c r="E1482" s="29"/>
    </row>
    <row r="1483" spans="1:5" ht="12" customHeight="1">
      <c r="A1483" s="155" t="str">
        <f>"143701 3"</f>
        <v>143701 3</v>
      </c>
      <c r="B1483" s="153" t="s">
        <v>45</v>
      </c>
      <c r="C1483" s="156" t="str">
        <f>IF(OR($A1483="",ISERROR(VALUE(LEFT($A1483,6)))),"",IF(LEN($A1483)=2,"WOJ. ",IF(LEN($A1483)=4,IF(VALUE(RIGHT($A1483,2))&gt;60,"","Powiat "),IF(VALUE(RIGHT($A1483,1))=1,"m. ",IF(VALUE(RIGHT($A1483,1))=2,"gm. w. ",IF(VALUE(RIGHT($A1483,1))=8,"dz. ","gm. m.-w. ")))))&amp;IF(LEN($A1483)=2,TRIM(UPPER(VLOOKUP($A1483,GUS_tabl_1!$A$7:$B$22,2,FALSE))),IF(ISERROR(FIND("..",TRIM(VLOOKUP(IF(AND(LEN($A1483)=4,VALUE(RIGHT($A1483,2))&gt;60),$A1483&amp;"01 1",$A1483),IF(AND(LEN($A1483)=4,VALUE(RIGHT($A1483,2))&lt;60),GUS_tabl_2!$A$8:$B$464,GUS_tabl_21!$A$5:$B$4886),2,FALSE)))),TRIM(VLOOKUP(IF(AND(LEN($A1483)=4,VALUE(RIGHT($A1483,2))&gt;60),$A1483&amp;"01 1",$A1483),IF(AND(LEN($A1483)=4,VALUE(RIGHT($A1483,2))&lt;60),GUS_tabl_2!$A$8:$B$464,GUS_tabl_21!$A$5:$B$4886),2,FALSE)),LEFT(TRIM(VLOOKUP(IF(AND(LEN($A1483)=4,VALUE(RIGHT($A1483,2))&gt;60),$A1483&amp;"01 1",$A1483),IF(AND(LEN($A1483)=4,VALUE(RIGHT($A1483,2))&lt;60),GUS_tabl_2!$A$8:$B$464,GUS_tabl_21!$A$5:$B$4886),2,FALSE)),SUM(FIND("..",TRIM(VLOOKUP(IF(AND(LEN($A1483)=4,VALUE(RIGHT($A1483,2))&gt;60),$A1483&amp;"01 1",$A1483),IF(AND(LEN($A1483)=4,VALUE(RIGHT($A1483,2))&lt;60),GUS_tabl_2!$A$8:$B$464,GUS_tabl_21!$A$5:$B$4886),2,FALSE))),-1)))))</f>
        <v>gm. m.-w. Bieżuń</v>
      </c>
      <c r="D1483" s="141">
        <f>IF(OR($A1483="",ISERROR(VALUE(LEFT($A1483,6)))),"",IF(LEN($A1483)=2,SUMIF($A1484:$A$2965,$A1483&amp;"??",$D1484:$D$2965),IF(AND(LEN($A1483)=4,VALUE(RIGHT($A1483,2))&lt;=60),SUMIF($A1484:$A$2965,$A1483&amp;"????",$D1484:$D$2965),VLOOKUP(IF(LEN($A1483)=4,$A1483&amp;"01 1",$A1483),GUS_tabl_21!$A$5:$F$4886,6,FALSE))))</f>
        <v>4973</v>
      </c>
      <c r="E1483" s="29"/>
    </row>
    <row r="1484" spans="1:5" ht="12" customHeight="1">
      <c r="A1484" s="155" t="str">
        <f>"143702 2"</f>
        <v>143702 2</v>
      </c>
      <c r="B1484" s="153" t="s">
        <v>45</v>
      </c>
      <c r="C1484" s="156" t="str">
        <f>IF(OR($A1484="",ISERROR(VALUE(LEFT($A1484,6)))),"",IF(LEN($A1484)=2,"WOJ. ",IF(LEN($A1484)=4,IF(VALUE(RIGHT($A1484,2))&gt;60,"","Powiat "),IF(VALUE(RIGHT($A1484,1))=1,"m. ",IF(VALUE(RIGHT($A1484,1))=2,"gm. w. ",IF(VALUE(RIGHT($A1484,1))=8,"dz. ","gm. m.-w. ")))))&amp;IF(LEN($A1484)=2,TRIM(UPPER(VLOOKUP($A1484,GUS_tabl_1!$A$7:$B$22,2,FALSE))),IF(ISERROR(FIND("..",TRIM(VLOOKUP(IF(AND(LEN($A1484)=4,VALUE(RIGHT($A1484,2))&gt;60),$A1484&amp;"01 1",$A1484),IF(AND(LEN($A1484)=4,VALUE(RIGHT($A1484,2))&lt;60),GUS_tabl_2!$A$8:$B$464,GUS_tabl_21!$A$5:$B$4886),2,FALSE)))),TRIM(VLOOKUP(IF(AND(LEN($A1484)=4,VALUE(RIGHT($A1484,2))&gt;60),$A1484&amp;"01 1",$A1484),IF(AND(LEN($A1484)=4,VALUE(RIGHT($A1484,2))&lt;60),GUS_tabl_2!$A$8:$B$464,GUS_tabl_21!$A$5:$B$4886),2,FALSE)),LEFT(TRIM(VLOOKUP(IF(AND(LEN($A1484)=4,VALUE(RIGHT($A1484,2))&gt;60),$A1484&amp;"01 1",$A1484),IF(AND(LEN($A1484)=4,VALUE(RIGHT($A1484,2))&lt;60),GUS_tabl_2!$A$8:$B$464,GUS_tabl_21!$A$5:$B$4886),2,FALSE)),SUM(FIND("..",TRIM(VLOOKUP(IF(AND(LEN($A1484)=4,VALUE(RIGHT($A1484,2))&gt;60),$A1484&amp;"01 1",$A1484),IF(AND(LEN($A1484)=4,VALUE(RIGHT($A1484,2))&lt;60),GUS_tabl_2!$A$8:$B$464,GUS_tabl_21!$A$5:$B$4886),2,FALSE))),-1)))))</f>
        <v>gm. w. Kuczbork-Osada</v>
      </c>
      <c r="D1484" s="141">
        <f>IF(OR($A1484="",ISERROR(VALUE(LEFT($A1484,6)))),"",IF(LEN($A1484)=2,SUMIF($A1485:$A$2965,$A1484&amp;"??",$D1485:$D$2965),IF(AND(LEN($A1484)=4,VALUE(RIGHT($A1484,2))&lt;=60),SUMIF($A1485:$A$2965,$A1484&amp;"????",$D1485:$D$2965),VLOOKUP(IF(LEN($A1484)=4,$A1484&amp;"01 1",$A1484),GUS_tabl_21!$A$5:$F$4886,6,FALSE))))</f>
        <v>4714</v>
      </c>
      <c r="E1484" s="29"/>
    </row>
    <row r="1485" spans="1:5" ht="12" customHeight="1">
      <c r="A1485" s="155" t="str">
        <f>"143703 3"</f>
        <v>143703 3</v>
      </c>
      <c r="B1485" s="153" t="s">
        <v>45</v>
      </c>
      <c r="C1485" s="156" t="str">
        <f>IF(OR($A1485="",ISERROR(VALUE(LEFT($A1485,6)))),"",IF(LEN($A1485)=2,"WOJ. ",IF(LEN($A1485)=4,IF(VALUE(RIGHT($A1485,2))&gt;60,"","Powiat "),IF(VALUE(RIGHT($A1485,1))=1,"m. ",IF(VALUE(RIGHT($A1485,1))=2,"gm. w. ",IF(VALUE(RIGHT($A1485,1))=8,"dz. ","gm. m.-w. ")))))&amp;IF(LEN($A1485)=2,TRIM(UPPER(VLOOKUP($A1485,GUS_tabl_1!$A$7:$B$22,2,FALSE))),IF(ISERROR(FIND("..",TRIM(VLOOKUP(IF(AND(LEN($A1485)=4,VALUE(RIGHT($A1485,2))&gt;60),$A1485&amp;"01 1",$A1485),IF(AND(LEN($A1485)=4,VALUE(RIGHT($A1485,2))&lt;60),GUS_tabl_2!$A$8:$B$464,GUS_tabl_21!$A$5:$B$4886),2,FALSE)))),TRIM(VLOOKUP(IF(AND(LEN($A1485)=4,VALUE(RIGHT($A1485,2))&gt;60),$A1485&amp;"01 1",$A1485),IF(AND(LEN($A1485)=4,VALUE(RIGHT($A1485,2))&lt;60),GUS_tabl_2!$A$8:$B$464,GUS_tabl_21!$A$5:$B$4886),2,FALSE)),LEFT(TRIM(VLOOKUP(IF(AND(LEN($A1485)=4,VALUE(RIGHT($A1485,2))&gt;60),$A1485&amp;"01 1",$A1485),IF(AND(LEN($A1485)=4,VALUE(RIGHT($A1485,2))&lt;60),GUS_tabl_2!$A$8:$B$464,GUS_tabl_21!$A$5:$B$4886),2,FALSE)),SUM(FIND("..",TRIM(VLOOKUP(IF(AND(LEN($A1485)=4,VALUE(RIGHT($A1485,2))&gt;60),$A1485&amp;"01 1",$A1485),IF(AND(LEN($A1485)=4,VALUE(RIGHT($A1485,2))&lt;60),GUS_tabl_2!$A$8:$B$464,GUS_tabl_21!$A$5:$B$4886),2,FALSE))),-1)))))</f>
        <v>gm. m.-w. Lubowidz</v>
      </c>
      <c r="D1485" s="141">
        <f>IF(OR($A1485="",ISERROR(VALUE(LEFT($A1485,6)))),"",IF(LEN($A1485)=2,SUMIF($A1486:$A$2965,$A1485&amp;"??",$D1486:$D$2965),IF(AND(LEN($A1485)=4,VALUE(RIGHT($A1485,2))&lt;=60),SUMIF($A1486:$A$2965,$A1485&amp;"????",$D1486:$D$2965),VLOOKUP(IF(LEN($A1485)=4,$A1485&amp;"01 1",$A1485),GUS_tabl_21!$A$5:$F$4886,6,FALSE))))</f>
        <v>6849</v>
      </c>
      <c r="E1485" s="29"/>
    </row>
    <row r="1486" spans="1:5" ht="12" customHeight="1">
      <c r="A1486" s="155" t="str">
        <f>"143704 2"</f>
        <v>143704 2</v>
      </c>
      <c r="B1486" s="153" t="s">
        <v>45</v>
      </c>
      <c r="C1486" s="156" t="str">
        <f>IF(OR($A1486="",ISERROR(VALUE(LEFT($A1486,6)))),"",IF(LEN($A1486)=2,"WOJ. ",IF(LEN($A1486)=4,IF(VALUE(RIGHT($A1486,2))&gt;60,"","Powiat "),IF(VALUE(RIGHT($A1486,1))=1,"m. ",IF(VALUE(RIGHT($A1486,1))=2,"gm. w. ",IF(VALUE(RIGHT($A1486,1))=8,"dz. ","gm. m.-w. ")))))&amp;IF(LEN($A1486)=2,TRIM(UPPER(VLOOKUP($A1486,GUS_tabl_1!$A$7:$B$22,2,FALSE))),IF(ISERROR(FIND("..",TRIM(VLOOKUP(IF(AND(LEN($A1486)=4,VALUE(RIGHT($A1486,2))&gt;60),$A1486&amp;"01 1",$A1486),IF(AND(LEN($A1486)=4,VALUE(RIGHT($A1486,2))&lt;60),GUS_tabl_2!$A$8:$B$464,GUS_tabl_21!$A$5:$B$4886),2,FALSE)))),TRIM(VLOOKUP(IF(AND(LEN($A1486)=4,VALUE(RIGHT($A1486,2))&gt;60),$A1486&amp;"01 1",$A1486),IF(AND(LEN($A1486)=4,VALUE(RIGHT($A1486,2))&lt;60),GUS_tabl_2!$A$8:$B$464,GUS_tabl_21!$A$5:$B$4886),2,FALSE)),LEFT(TRIM(VLOOKUP(IF(AND(LEN($A1486)=4,VALUE(RIGHT($A1486,2))&gt;60),$A1486&amp;"01 1",$A1486),IF(AND(LEN($A1486)=4,VALUE(RIGHT($A1486,2))&lt;60),GUS_tabl_2!$A$8:$B$464,GUS_tabl_21!$A$5:$B$4886),2,FALSE)),SUM(FIND("..",TRIM(VLOOKUP(IF(AND(LEN($A1486)=4,VALUE(RIGHT($A1486,2))&gt;60),$A1486&amp;"01 1",$A1486),IF(AND(LEN($A1486)=4,VALUE(RIGHT($A1486,2))&lt;60),GUS_tabl_2!$A$8:$B$464,GUS_tabl_21!$A$5:$B$4886),2,FALSE))),-1)))))</f>
        <v>gm. w. Lutocin</v>
      </c>
      <c r="D1486" s="141">
        <f>IF(OR($A1486="",ISERROR(VALUE(LEFT($A1486,6)))),"",IF(LEN($A1486)=2,SUMIF($A1487:$A$2965,$A1486&amp;"??",$D1487:$D$2965),IF(AND(LEN($A1486)=4,VALUE(RIGHT($A1486,2))&lt;=60),SUMIF($A1487:$A$2965,$A1486&amp;"????",$D1487:$D$2965),VLOOKUP(IF(LEN($A1486)=4,$A1486&amp;"01 1",$A1486),GUS_tabl_21!$A$5:$F$4886,6,FALSE))))</f>
        <v>4236</v>
      </c>
      <c r="E1486" s="29"/>
    </row>
    <row r="1487" spans="1:5" ht="12" customHeight="1">
      <c r="A1487" s="155" t="str">
        <f>"143705 2"</f>
        <v>143705 2</v>
      </c>
      <c r="B1487" s="153" t="s">
        <v>45</v>
      </c>
      <c r="C1487" s="156" t="str">
        <f>IF(OR($A1487="",ISERROR(VALUE(LEFT($A1487,6)))),"",IF(LEN($A1487)=2,"WOJ. ",IF(LEN($A1487)=4,IF(VALUE(RIGHT($A1487,2))&gt;60,"","Powiat "),IF(VALUE(RIGHT($A1487,1))=1,"m. ",IF(VALUE(RIGHT($A1487,1))=2,"gm. w. ",IF(VALUE(RIGHT($A1487,1))=8,"dz. ","gm. m.-w. ")))))&amp;IF(LEN($A1487)=2,TRIM(UPPER(VLOOKUP($A1487,GUS_tabl_1!$A$7:$B$22,2,FALSE))),IF(ISERROR(FIND("..",TRIM(VLOOKUP(IF(AND(LEN($A1487)=4,VALUE(RIGHT($A1487,2))&gt;60),$A1487&amp;"01 1",$A1487),IF(AND(LEN($A1487)=4,VALUE(RIGHT($A1487,2))&lt;60),GUS_tabl_2!$A$8:$B$464,GUS_tabl_21!$A$5:$B$4886),2,FALSE)))),TRIM(VLOOKUP(IF(AND(LEN($A1487)=4,VALUE(RIGHT($A1487,2))&gt;60),$A1487&amp;"01 1",$A1487),IF(AND(LEN($A1487)=4,VALUE(RIGHT($A1487,2))&lt;60),GUS_tabl_2!$A$8:$B$464,GUS_tabl_21!$A$5:$B$4886),2,FALSE)),LEFT(TRIM(VLOOKUP(IF(AND(LEN($A1487)=4,VALUE(RIGHT($A1487,2))&gt;60),$A1487&amp;"01 1",$A1487),IF(AND(LEN($A1487)=4,VALUE(RIGHT($A1487,2))&lt;60),GUS_tabl_2!$A$8:$B$464,GUS_tabl_21!$A$5:$B$4886),2,FALSE)),SUM(FIND("..",TRIM(VLOOKUP(IF(AND(LEN($A1487)=4,VALUE(RIGHT($A1487,2))&gt;60),$A1487&amp;"01 1",$A1487),IF(AND(LEN($A1487)=4,VALUE(RIGHT($A1487,2))&lt;60),GUS_tabl_2!$A$8:$B$464,GUS_tabl_21!$A$5:$B$4886),2,FALSE))),-1)))))</f>
        <v>gm. w. Siemiątkowo</v>
      </c>
      <c r="D1487" s="141">
        <f>IF(OR($A1487="",ISERROR(VALUE(LEFT($A1487,6)))),"",IF(LEN($A1487)=2,SUMIF($A1488:$A$2965,$A1487&amp;"??",$D1488:$D$2965),IF(AND(LEN($A1487)=4,VALUE(RIGHT($A1487,2))&lt;=60),SUMIF($A1488:$A$2965,$A1487&amp;"????",$D1488:$D$2965),VLOOKUP(IF(LEN($A1487)=4,$A1487&amp;"01 1",$A1487),GUS_tabl_21!$A$5:$F$4886,6,FALSE))))</f>
        <v>3439</v>
      </c>
      <c r="E1487" s="29"/>
    </row>
    <row r="1488" spans="1:5" ht="12" customHeight="1">
      <c r="A1488" s="155" t="str">
        <f>"143706 3"</f>
        <v>143706 3</v>
      </c>
      <c r="B1488" s="153" t="s">
        <v>45</v>
      </c>
      <c r="C1488" s="156" t="str">
        <f>IF(OR($A1488="",ISERROR(VALUE(LEFT($A1488,6)))),"",IF(LEN($A1488)=2,"WOJ. ",IF(LEN($A1488)=4,IF(VALUE(RIGHT($A1488,2))&gt;60,"","Powiat "),IF(VALUE(RIGHT($A1488,1))=1,"m. ",IF(VALUE(RIGHT($A1488,1))=2,"gm. w. ",IF(VALUE(RIGHT($A1488,1))=8,"dz. ","gm. m.-w. ")))))&amp;IF(LEN($A1488)=2,TRIM(UPPER(VLOOKUP($A1488,GUS_tabl_1!$A$7:$B$22,2,FALSE))),IF(ISERROR(FIND("..",TRIM(VLOOKUP(IF(AND(LEN($A1488)=4,VALUE(RIGHT($A1488,2))&gt;60),$A1488&amp;"01 1",$A1488),IF(AND(LEN($A1488)=4,VALUE(RIGHT($A1488,2))&lt;60),GUS_tabl_2!$A$8:$B$464,GUS_tabl_21!$A$5:$B$4886),2,FALSE)))),TRIM(VLOOKUP(IF(AND(LEN($A1488)=4,VALUE(RIGHT($A1488,2))&gt;60),$A1488&amp;"01 1",$A1488),IF(AND(LEN($A1488)=4,VALUE(RIGHT($A1488,2))&lt;60),GUS_tabl_2!$A$8:$B$464,GUS_tabl_21!$A$5:$B$4886),2,FALSE)),LEFT(TRIM(VLOOKUP(IF(AND(LEN($A1488)=4,VALUE(RIGHT($A1488,2))&gt;60),$A1488&amp;"01 1",$A1488),IF(AND(LEN($A1488)=4,VALUE(RIGHT($A1488,2))&lt;60),GUS_tabl_2!$A$8:$B$464,GUS_tabl_21!$A$5:$B$4886),2,FALSE)),SUM(FIND("..",TRIM(VLOOKUP(IF(AND(LEN($A1488)=4,VALUE(RIGHT($A1488,2))&gt;60),$A1488&amp;"01 1",$A1488),IF(AND(LEN($A1488)=4,VALUE(RIGHT($A1488,2))&lt;60),GUS_tabl_2!$A$8:$B$464,GUS_tabl_21!$A$5:$B$4886),2,FALSE))),-1)))))</f>
        <v>gm. m.-w. Żuromin</v>
      </c>
      <c r="D1488" s="141">
        <f>IF(OR($A1488="",ISERROR(VALUE(LEFT($A1488,6)))),"",IF(LEN($A1488)=2,SUMIF($A1489:$A$2965,$A1488&amp;"??",$D1489:$D$2965),IF(AND(LEN($A1488)=4,VALUE(RIGHT($A1488,2))&lt;=60),SUMIF($A1489:$A$2965,$A1488&amp;"????",$D1489:$D$2965),VLOOKUP(IF(LEN($A1488)=4,$A1488&amp;"01 1",$A1488),GUS_tabl_21!$A$5:$F$4886,6,FALSE))))</f>
        <v>14304</v>
      </c>
      <c r="E1488" s="29"/>
    </row>
    <row r="1489" spans="1:5" ht="12" customHeight="1">
      <c r="A1489" s="152" t="str">
        <f>"1438"</f>
        <v>1438</v>
      </c>
      <c r="B1489" s="153" t="s">
        <v>45</v>
      </c>
      <c r="C1489" s="154" t="str">
        <f>IF(OR($A1489="",ISERROR(VALUE(LEFT($A1489,6)))),"",IF(LEN($A1489)=2,"WOJ. ",IF(LEN($A1489)=4,IF(VALUE(RIGHT($A1489,2))&gt;60,"","Powiat "),IF(VALUE(RIGHT($A1489,1))=1,"m. ",IF(VALUE(RIGHT($A1489,1))=2,"gm. w. ",IF(VALUE(RIGHT($A1489,1))=8,"dz. ","gm. m.-w. ")))))&amp;IF(LEN($A1489)=2,TRIM(UPPER(VLOOKUP($A1489,GUS_tabl_1!$A$7:$B$22,2,FALSE))),IF(ISERROR(FIND("..",TRIM(VLOOKUP(IF(AND(LEN($A1489)=4,VALUE(RIGHT($A1489,2))&gt;60),$A1489&amp;"01 1",$A1489),IF(AND(LEN($A1489)=4,VALUE(RIGHT($A1489,2))&lt;60),GUS_tabl_2!$A$8:$B$464,GUS_tabl_21!$A$5:$B$4886),2,FALSE)))),TRIM(VLOOKUP(IF(AND(LEN($A1489)=4,VALUE(RIGHT($A1489,2))&gt;60),$A1489&amp;"01 1",$A1489),IF(AND(LEN($A1489)=4,VALUE(RIGHT($A1489,2))&lt;60),GUS_tabl_2!$A$8:$B$464,GUS_tabl_21!$A$5:$B$4886),2,FALSE)),LEFT(TRIM(VLOOKUP(IF(AND(LEN($A1489)=4,VALUE(RIGHT($A1489,2))&gt;60),$A1489&amp;"01 1",$A1489),IF(AND(LEN($A1489)=4,VALUE(RIGHT($A1489,2))&lt;60),GUS_tabl_2!$A$8:$B$464,GUS_tabl_21!$A$5:$B$4886),2,FALSE)),SUM(FIND("..",TRIM(VLOOKUP(IF(AND(LEN($A1489)=4,VALUE(RIGHT($A1489,2))&gt;60),$A1489&amp;"01 1",$A1489),IF(AND(LEN($A1489)=4,VALUE(RIGHT($A1489,2))&lt;60),GUS_tabl_2!$A$8:$B$464,GUS_tabl_21!$A$5:$B$4886),2,FALSE))),-1)))))</f>
        <v>Powiat żyrardowski</v>
      </c>
      <c r="D1489" s="140">
        <f>IF(OR($A1489="",ISERROR(VALUE(LEFT($A1489,6)))),"",IF(LEN($A1489)=2,SUMIF($A1490:$A$2965,$A1489&amp;"??",$D1490:$D$2965),IF(AND(LEN($A1489)=4,VALUE(RIGHT($A1489,2))&lt;=60),SUMIF($A1490:$A$2965,$A1489&amp;"????",$D1490:$D$2965),VLOOKUP(IF(LEN($A1489)=4,$A1489&amp;"01 1",$A1489),GUS_tabl_21!$A$5:$F$4886,6,FALSE))))</f>
        <v>75749</v>
      </c>
      <c r="E1489" s="29"/>
    </row>
    <row r="1490" spans="1:5" ht="12" customHeight="1">
      <c r="A1490" s="155" t="str">
        <f>"143801 1"</f>
        <v>143801 1</v>
      </c>
      <c r="B1490" s="153" t="s">
        <v>45</v>
      </c>
      <c r="C1490" s="156" t="str">
        <f>IF(OR($A1490="",ISERROR(VALUE(LEFT($A1490,6)))),"",IF(LEN($A1490)=2,"WOJ. ",IF(LEN($A1490)=4,IF(VALUE(RIGHT($A1490,2))&gt;60,"","Powiat "),IF(VALUE(RIGHT($A1490,1))=1,"m. ",IF(VALUE(RIGHT($A1490,1))=2,"gm. w. ",IF(VALUE(RIGHT($A1490,1))=8,"dz. ","gm. m.-w. ")))))&amp;IF(LEN($A1490)=2,TRIM(UPPER(VLOOKUP($A1490,GUS_tabl_1!$A$7:$B$22,2,FALSE))),IF(ISERROR(FIND("..",TRIM(VLOOKUP(IF(AND(LEN($A1490)=4,VALUE(RIGHT($A1490,2))&gt;60),$A1490&amp;"01 1",$A1490),IF(AND(LEN($A1490)=4,VALUE(RIGHT($A1490,2))&lt;60),GUS_tabl_2!$A$8:$B$464,GUS_tabl_21!$A$5:$B$4886),2,FALSE)))),TRIM(VLOOKUP(IF(AND(LEN($A1490)=4,VALUE(RIGHT($A1490,2))&gt;60),$A1490&amp;"01 1",$A1490),IF(AND(LEN($A1490)=4,VALUE(RIGHT($A1490,2))&lt;60),GUS_tabl_2!$A$8:$B$464,GUS_tabl_21!$A$5:$B$4886),2,FALSE)),LEFT(TRIM(VLOOKUP(IF(AND(LEN($A1490)=4,VALUE(RIGHT($A1490,2))&gt;60),$A1490&amp;"01 1",$A1490),IF(AND(LEN($A1490)=4,VALUE(RIGHT($A1490,2))&lt;60),GUS_tabl_2!$A$8:$B$464,GUS_tabl_21!$A$5:$B$4886),2,FALSE)),SUM(FIND("..",TRIM(VLOOKUP(IF(AND(LEN($A1490)=4,VALUE(RIGHT($A1490,2))&gt;60),$A1490&amp;"01 1",$A1490),IF(AND(LEN($A1490)=4,VALUE(RIGHT($A1490,2))&lt;60),GUS_tabl_2!$A$8:$B$464,GUS_tabl_21!$A$5:$B$4886),2,FALSE))),-1)))))</f>
        <v>m. Żyrardów</v>
      </c>
      <c r="D1490" s="141">
        <f>IF(OR($A1490="",ISERROR(VALUE(LEFT($A1490,6)))),"",IF(LEN($A1490)=2,SUMIF($A1491:$A$2965,$A1490&amp;"??",$D1491:$D$2965),IF(AND(LEN($A1490)=4,VALUE(RIGHT($A1490,2))&lt;=60),SUMIF($A1491:$A$2965,$A1490&amp;"????",$D1491:$D$2965),VLOOKUP(IF(LEN($A1490)=4,$A1490&amp;"01 1",$A1490),GUS_tabl_21!$A$5:$F$4886,6,FALSE))))</f>
        <v>39828</v>
      </c>
      <c r="E1490" s="29"/>
    </row>
    <row r="1491" spans="1:5" ht="12" customHeight="1">
      <c r="A1491" s="155" t="str">
        <f>"143802 3"</f>
        <v>143802 3</v>
      </c>
      <c r="B1491" s="153" t="s">
        <v>45</v>
      </c>
      <c r="C1491" s="156" t="str">
        <f>IF(OR($A1491="",ISERROR(VALUE(LEFT($A1491,6)))),"",IF(LEN($A1491)=2,"WOJ. ",IF(LEN($A1491)=4,IF(VALUE(RIGHT($A1491,2))&gt;60,"","Powiat "),IF(VALUE(RIGHT($A1491,1))=1,"m. ",IF(VALUE(RIGHT($A1491,1))=2,"gm. w. ",IF(VALUE(RIGHT($A1491,1))=8,"dz. ","gm. m.-w. ")))))&amp;IF(LEN($A1491)=2,TRIM(UPPER(VLOOKUP($A1491,GUS_tabl_1!$A$7:$B$22,2,FALSE))),IF(ISERROR(FIND("..",TRIM(VLOOKUP(IF(AND(LEN($A1491)=4,VALUE(RIGHT($A1491,2))&gt;60),$A1491&amp;"01 1",$A1491),IF(AND(LEN($A1491)=4,VALUE(RIGHT($A1491,2))&lt;60),GUS_tabl_2!$A$8:$B$464,GUS_tabl_21!$A$5:$B$4886),2,FALSE)))),TRIM(VLOOKUP(IF(AND(LEN($A1491)=4,VALUE(RIGHT($A1491,2))&gt;60),$A1491&amp;"01 1",$A1491),IF(AND(LEN($A1491)=4,VALUE(RIGHT($A1491,2))&lt;60),GUS_tabl_2!$A$8:$B$464,GUS_tabl_21!$A$5:$B$4886),2,FALSE)),LEFT(TRIM(VLOOKUP(IF(AND(LEN($A1491)=4,VALUE(RIGHT($A1491,2))&gt;60),$A1491&amp;"01 1",$A1491),IF(AND(LEN($A1491)=4,VALUE(RIGHT($A1491,2))&lt;60),GUS_tabl_2!$A$8:$B$464,GUS_tabl_21!$A$5:$B$4886),2,FALSE)),SUM(FIND("..",TRIM(VLOOKUP(IF(AND(LEN($A1491)=4,VALUE(RIGHT($A1491,2))&gt;60),$A1491&amp;"01 1",$A1491),IF(AND(LEN($A1491)=4,VALUE(RIGHT($A1491,2))&lt;60),GUS_tabl_2!$A$8:$B$464,GUS_tabl_21!$A$5:$B$4886),2,FALSE))),-1)))))</f>
        <v>gm. m.-w. Mszczonów</v>
      </c>
      <c r="D1491" s="141">
        <f>IF(OR($A1491="",ISERROR(VALUE(LEFT($A1491,6)))),"",IF(LEN($A1491)=2,SUMIF($A1492:$A$2965,$A1491&amp;"??",$D1492:$D$2965),IF(AND(LEN($A1491)=4,VALUE(RIGHT($A1491,2))&lt;=60),SUMIF($A1492:$A$2965,$A1491&amp;"????",$D1492:$D$2965),VLOOKUP(IF(LEN($A1491)=4,$A1491&amp;"01 1",$A1491),GUS_tabl_21!$A$5:$F$4886,6,FALSE))))</f>
        <v>11525</v>
      </c>
      <c r="E1491" s="29"/>
    </row>
    <row r="1492" spans="1:5" ht="12" customHeight="1">
      <c r="A1492" s="155" t="str">
        <f>"143803 2"</f>
        <v>143803 2</v>
      </c>
      <c r="B1492" s="153" t="s">
        <v>45</v>
      </c>
      <c r="C1492" s="156" t="str">
        <f>IF(OR($A1492="",ISERROR(VALUE(LEFT($A1492,6)))),"",IF(LEN($A1492)=2,"WOJ. ",IF(LEN($A1492)=4,IF(VALUE(RIGHT($A1492,2))&gt;60,"","Powiat "),IF(VALUE(RIGHT($A1492,1))=1,"m. ",IF(VALUE(RIGHT($A1492,1))=2,"gm. w. ",IF(VALUE(RIGHT($A1492,1))=8,"dz. ","gm. m.-w. ")))))&amp;IF(LEN($A1492)=2,TRIM(UPPER(VLOOKUP($A1492,GUS_tabl_1!$A$7:$B$22,2,FALSE))),IF(ISERROR(FIND("..",TRIM(VLOOKUP(IF(AND(LEN($A1492)=4,VALUE(RIGHT($A1492,2))&gt;60),$A1492&amp;"01 1",$A1492),IF(AND(LEN($A1492)=4,VALUE(RIGHT($A1492,2))&lt;60),GUS_tabl_2!$A$8:$B$464,GUS_tabl_21!$A$5:$B$4886),2,FALSE)))),TRIM(VLOOKUP(IF(AND(LEN($A1492)=4,VALUE(RIGHT($A1492,2))&gt;60),$A1492&amp;"01 1",$A1492),IF(AND(LEN($A1492)=4,VALUE(RIGHT($A1492,2))&lt;60),GUS_tabl_2!$A$8:$B$464,GUS_tabl_21!$A$5:$B$4886),2,FALSE)),LEFT(TRIM(VLOOKUP(IF(AND(LEN($A1492)=4,VALUE(RIGHT($A1492,2))&gt;60),$A1492&amp;"01 1",$A1492),IF(AND(LEN($A1492)=4,VALUE(RIGHT($A1492,2))&lt;60),GUS_tabl_2!$A$8:$B$464,GUS_tabl_21!$A$5:$B$4886),2,FALSE)),SUM(FIND("..",TRIM(VLOOKUP(IF(AND(LEN($A1492)=4,VALUE(RIGHT($A1492,2))&gt;60),$A1492&amp;"01 1",$A1492),IF(AND(LEN($A1492)=4,VALUE(RIGHT($A1492,2))&lt;60),GUS_tabl_2!$A$8:$B$464,GUS_tabl_21!$A$5:$B$4886),2,FALSE))),-1)))))</f>
        <v>gm. w. Puszcza Mariańska</v>
      </c>
      <c r="D1492" s="141">
        <f>IF(OR($A1492="",ISERROR(VALUE(LEFT($A1492,6)))),"",IF(LEN($A1492)=2,SUMIF($A1493:$A$2965,$A1492&amp;"??",$D1493:$D$2965),IF(AND(LEN($A1492)=4,VALUE(RIGHT($A1492,2))&lt;=60),SUMIF($A1493:$A$2965,$A1492&amp;"????",$D1493:$D$2965),VLOOKUP(IF(LEN($A1492)=4,$A1492&amp;"01 1",$A1492),GUS_tabl_21!$A$5:$F$4886,6,FALSE))))</f>
        <v>8661</v>
      </c>
      <c r="E1492" s="29"/>
    </row>
    <row r="1493" spans="1:5" ht="12" customHeight="1">
      <c r="A1493" s="155" t="str">
        <f>"143804 2"</f>
        <v>143804 2</v>
      </c>
      <c r="B1493" s="153" t="s">
        <v>45</v>
      </c>
      <c r="C1493" s="156" t="str">
        <f>IF(OR($A1493="",ISERROR(VALUE(LEFT($A1493,6)))),"",IF(LEN($A1493)=2,"WOJ. ",IF(LEN($A1493)=4,IF(VALUE(RIGHT($A1493,2))&gt;60,"","Powiat "),IF(VALUE(RIGHT($A1493,1))=1,"m. ",IF(VALUE(RIGHT($A1493,1))=2,"gm. w. ",IF(VALUE(RIGHT($A1493,1))=8,"dz. ","gm. m.-w. ")))))&amp;IF(LEN($A1493)=2,TRIM(UPPER(VLOOKUP($A1493,GUS_tabl_1!$A$7:$B$22,2,FALSE))),IF(ISERROR(FIND("..",TRIM(VLOOKUP(IF(AND(LEN($A1493)=4,VALUE(RIGHT($A1493,2))&gt;60),$A1493&amp;"01 1",$A1493),IF(AND(LEN($A1493)=4,VALUE(RIGHT($A1493,2))&lt;60),GUS_tabl_2!$A$8:$B$464,GUS_tabl_21!$A$5:$B$4886),2,FALSE)))),TRIM(VLOOKUP(IF(AND(LEN($A1493)=4,VALUE(RIGHT($A1493,2))&gt;60),$A1493&amp;"01 1",$A1493),IF(AND(LEN($A1493)=4,VALUE(RIGHT($A1493,2))&lt;60),GUS_tabl_2!$A$8:$B$464,GUS_tabl_21!$A$5:$B$4886),2,FALSE)),LEFT(TRIM(VLOOKUP(IF(AND(LEN($A1493)=4,VALUE(RIGHT($A1493,2))&gt;60),$A1493&amp;"01 1",$A1493),IF(AND(LEN($A1493)=4,VALUE(RIGHT($A1493,2))&lt;60),GUS_tabl_2!$A$8:$B$464,GUS_tabl_21!$A$5:$B$4886),2,FALSE)),SUM(FIND("..",TRIM(VLOOKUP(IF(AND(LEN($A1493)=4,VALUE(RIGHT($A1493,2))&gt;60),$A1493&amp;"01 1",$A1493),IF(AND(LEN($A1493)=4,VALUE(RIGHT($A1493,2))&lt;60),GUS_tabl_2!$A$8:$B$464,GUS_tabl_21!$A$5:$B$4886),2,FALSE))),-1)))))</f>
        <v>gm. w. Radziejowice</v>
      </c>
      <c r="D1493" s="141">
        <f>IF(OR($A1493="",ISERROR(VALUE(LEFT($A1493,6)))),"",IF(LEN($A1493)=2,SUMIF($A1494:$A$2965,$A1493&amp;"??",$D1494:$D$2965),IF(AND(LEN($A1493)=4,VALUE(RIGHT($A1493,2))&lt;=60),SUMIF($A1494:$A$2965,$A1493&amp;"????",$D1494:$D$2965),VLOOKUP(IF(LEN($A1493)=4,$A1493&amp;"01 1",$A1493),GUS_tabl_21!$A$5:$F$4886,6,FALSE))))</f>
        <v>5855</v>
      </c>
      <c r="E1493" s="29"/>
    </row>
    <row r="1494" spans="1:5" ht="12" customHeight="1">
      <c r="A1494" s="155" t="str">
        <f>"143805 2"</f>
        <v>143805 2</v>
      </c>
      <c r="B1494" s="153" t="s">
        <v>45</v>
      </c>
      <c r="C1494" s="156" t="str">
        <f>IF(OR($A1494="",ISERROR(VALUE(LEFT($A1494,6)))),"",IF(LEN($A1494)=2,"WOJ. ",IF(LEN($A1494)=4,IF(VALUE(RIGHT($A1494,2))&gt;60,"","Powiat "),IF(VALUE(RIGHT($A1494,1))=1,"m. ",IF(VALUE(RIGHT($A1494,1))=2,"gm. w. ",IF(VALUE(RIGHT($A1494,1))=8,"dz. ","gm. m.-w. ")))))&amp;IF(LEN($A1494)=2,TRIM(UPPER(VLOOKUP($A1494,GUS_tabl_1!$A$7:$B$22,2,FALSE))),IF(ISERROR(FIND("..",TRIM(VLOOKUP(IF(AND(LEN($A1494)=4,VALUE(RIGHT($A1494,2))&gt;60),$A1494&amp;"01 1",$A1494),IF(AND(LEN($A1494)=4,VALUE(RIGHT($A1494,2))&lt;60),GUS_tabl_2!$A$8:$B$464,GUS_tabl_21!$A$5:$B$4886),2,FALSE)))),TRIM(VLOOKUP(IF(AND(LEN($A1494)=4,VALUE(RIGHT($A1494,2))&gt;60),$A1494&amp;"01 1",$A1494),IF(AND(LEN($A1494)=4,VALUE(RIGHT($A1494,2))&lt;60),GUS_tabl_2!$A$8:$B$464,GUS_tabl_21!$A$5:$B$4886),2,FALSE)),LEFT(TRIM(VLOOKUP(IF(AND(LEN($A1494)=4,VALUE(RIGHT($A1494,2))&gt;60),$A1494&amp;"01 1",$A1494),IF(AND(LEN($A1494)=4,VALUE(RIGHT($A1494,2))&lt;60),GUS_tabl_2!$A$8:$B$464,GUS_tabl_21!$A$5:$B$4886),2,FALSE)),SUM(FIND("..",TRIM(VLOOKUP(IF(AND(LEN($A1494)=4,VALUE(RIGHT($A1494,2))&gt;60),$A1494&amp;"01 1",$A1494),IF(AND(LEN($A1494)=4,VALUE(RIGHT($A1494,2))&lt;60),GUS_tabl_2!$A$8:$B$464,GUS_tabl_21!$A$5:$B$4886),2,FALSE))),-1)))))</f>
        <v>gm. w. Wiskitki</v>
      </c>
      <c r="D1494" s="141">
        <f>IF(OR($A1494="",ISERROR(VALUE(LEFT($A1494,6)))),"",IF(LEN($A1494)=2,SUMIF($A1495:$A$2965,$A1494&amp;"??",$D1495:$D$2965),IF(AND(LEN($A1494)=4,VALUE(RIGHT($A1494,2))&lt;=60),SUMIF($A1495:$A$2965,$A1494&amp;"????",$D1495:$D$2965),VLOOKUP(IF(LEN($A1494)=4,$A1494&amp;"01 1",$A1494),GUS_tabl_21!$A$5:$F$4886,6,FALSE))))</f>
        <v>9880</v>
      </c>
      <c r="E1494" s="29"/>
    </row>
    <row r="1495" spans="1:5" ht="12" customHeight="1">
      <c r="A1495" s="152"/>
      <c r="B1495" s="153" t="s">
        <v>45</v>
      </c>
      <c r="C1495" s="154" t="s">
        <v>0</v>
      </c>
      <c r="D1495" s="140"/>
      <c r="E1495" s="29"/>
    </row>
    <row r="1496" spans="1:5" ht="12" customHeight="1">
      <c r="A1496" s="152"/>
      <c r="B1496" s="153" t="s">
        <v>45</v>
      </c>
      <c r="C1496" s="162" t="s">
        <v>1</v>
      </c>
      <c r="D1496" s="140"/>
      <c r="E1496" s="29"/>
    </row>
    <row r="1497" spans="1:5" ht="12" customHeight="1">
      <c r="A1497" s="152" t="str">
        <f>"1461"</f>
        <v>1461</v>
      </c>
      <c r="B1497" s="153" t="s">
        <v>45</v>
      </c>
      <c r="C1497" s="154" t="str">
        <f>IF(OR($A1497="",ISERROR(VALUE(LEFT($A1497,6)))),"",IF(LEN($A1497)=2,"WOJ. ",IF(LEN($A1497)=4,IF(VALUE(RIGHT($A1497,2))&gt;60,"","Powiat "),IF(VALUE(RIGHT($A1497,1))=1,"m. ",IF(VALUE(RIGHT($A1497,1))=2,"gm. w. ",IF(VALUE(RIGHT($A1497,1))=8,"dz. ","gm. m.-w. ")))))&amp;IF(LEN($A1497)=2,TRIM(UPPER(VLOOKUP($A1497,GUS_tabl_1!$A$7:$B$22,2,FALSE))),IF(ISERROR(FIND("..",TRIM(VLOOKUP(IF(AND(LEN($A1497)=4,VALUE(RIGHT($A1497,2))&gt;60),$A1497&amp;"01 1",$A1497),IF(AND(LEN($A1497)=4,VALUE(RIGHT($A1497,2))&lt;60),GUS_tabl_2!$A$8:$B$464,GUS_tabl_21!$A$5:$B$4886),2,FALSE)))),TRIM(VLOOKUP(IF(AND(LEN($A1497)=4,VALUE(RIGHT($A1497,2))&gt;60),$A1497&amp;"01 1",$A1497),IF(AND(LEN($A1497)=4,VALUE(RIGHT($A1497,2))&lt;60),GUS_tabl_2!$A$8:$B$464,GUS_tabl_21!$A$5:$B$4886),2,FALSE)),LEFT(TRIM(VLOOKUP(IF(AND(LEN($A1497)=4,VALUE(RIGHT($A1497,2))&gt;60),$A1497&amp;"01 1",$A1497),IF(AND(LEN($A1497)=4,VALUE(RIGHT($A1497,2))&lt;60),GUS_tabl_2!$A$8:$B$464,GUS_tabl_21!$A$5:$B$4886),2,FALSE)),SUM(FIND("..",TRIM(VLOOKUP(IF(AND(LEN($A1497)=4,VALUE(RIGHT($A1497,2))&gt;60),$A1497&amp;"01 1",$A1497),IF(AND(LEN($A1497)=4,VALUE(RIGHT($A1497,2))&lt;60),GUS_tabl_2!$A$8:$B$464,GUS_tabl_21!$A$5:$B$4886),2,FALSE))),-1)))))</f>
        <v>Ostrołęka</v>
      </c>
      <c r="D1497" s="140">
        <f>IF(OR($A1497="",ISERROR(VALUE(LEFT($A1497,6)))),"",IF(LEN($A1497)=2,SUMIF($A1498:$A$2965,$A1497&amp;"??",$D1498:$D$2965),IF(AND(LEN($A1497)=4,VALUE(RIGHT($A1497,2))&lt;=60),SUMIF($A1498:$A$2965,$A1497&amp;"????",$D1498:$D$2965),VLOOKUP(IF(LEN($A1497)=4,$A1497&amp;"01 1",$A1497),GUS_tabl_21!$A$5:$F$4886,6,FALSE))))</f>
        <v>52055</v>
      </c>
      <c r="E1497" s="29"/>
    </row>
    <row r="1498" spans="1:5" ht="12" customHeight="1">
      <c r="A1498" s="152" t="str">
        <f>"1462"</f>
        <v>1462</v>
      </c>
      <c r="B1498" s="153" t="s">
        <v>45</v>
      </c>
      <c r="C1498" s="154" t="str">
        <f>IF(OR($A1498="",ISERROR(VALUE(LEFT($A1498,6)))),"",IF(LEN($A1498)=2,"WOJ. ",IF(LEN($A1498)=4,IF(VALUE(RIGHT($A1498,2))&gt;60,"","Powiat "),IF(VALUE(RIGHT($A1498,1))=1,"m. ",IF(VALUE(RIGHT($A1498,1))=2,"gm. w. ",IF(VALUE(RIGHT($A1498,1))=8,"dz. ","gm. m.-w. ")))))&amp;IF(LEN($A1498)=2,TRIM(UPPER(VLOOKUP($A1498,GUS_tabl_1!$A$7:$B$22,2,FALSE))),IF(ISERROR(FIND("..",TRIM(VLOOKUP(IF(AND(LEN($A1498)=4,VALUE(RIGHT($A1498,2))&gt;60),$A1498&amp;"01 1",$A1498),IF(AND(LEN($A1498)=4,VALUE(RIGHT($A1498,2))&lt;60),GUS_tabl_2!$A$8:$B$464,GUS_tabl_21!$A$5:$B$4886),2,FALSE)))),TRIM(VLOOKUP(IF(AND(LEN($A1498)=4,VALUE(RIGHT($A1498,2))&gt;60),$A1498&amp;"01 1",$A1498),IF(AND(LEN($A1498)=4,VALUE(RIGHT($A1498,2))&lt;60),GUS_tabl_2!$A$8:$B$464,GUS_tabl_21!$A$5:$B$4886),2,FALSE)),LEFT(TRIM(VLOOKUP(IF(AND(LEN($A1498)=4,VALUE(RIGHT($A1498,2))&gt;60),$A1498&amp;"01 1",$A1498),IF(AND(LEN($A1498)=4,VALUE(RIGHT($A1498,2))&lt;60),GUS_tabl_2!$A$8:$B$464,GUS_tabl_21!$A$5:$B$4886),2,FALSE)),SUM(FIND("..",TRIM(VLOOKUP(IF(AND(LEN($A1498)=4,VALUE(RIGHT($A1498,2))&gt;60),$A1498&amp;"01 1",$A1498),IF(AND(LEN($A1498)=4,VALUE(RIGHT($A1498,2))&lt;60),GUS_tabl_2!$A$8:$B$464,GUS_tabl_21!$A$5:$B$4886),2,FALSE))),-1)))))</f>
        <v>Płock</v>
      </c>
      <c r="D1498" s="140">
        <f>IF(OR($A1498="",ISERROR(VALUE(LEFT($A1498,6)))),"",IF(LEN($A1498)=2,SUMIF($A1499:$A$2965,$A1498&amp;"??",$D1499:$D$2965),IF(AND(LEN($A1498)=4,VALUE(RIGHT($A1498,2))&lt;=60),SUMIF($A1499:$A$2965,$A1498&amp;"????",$D1499:$D$2965),VLOOKUP(IF(LEN($A1498)=4,$A1498&amp;"01 1",$A1498),GUS_tabl_21!$A$5:$F$4886,6,FALSE))))</f>
        <v>119425</v>
      </c>
      <c r="E1498" s="29"/>
    </row>
    <row r="1499" spans="1:5" ht="12" customHeight="1">
      <c r="A1499" s="152" t="str">
        <f>"1463"</f>
        <v>1463</v>
      </c>
      <c r="B1499" s="153" t="s">
        <v>45</v>
      </c>
      <c r="C1499" s="154" t="str">
        <f>IF(OR($A1499="",ISERROR(VALUE(LEFT($A1499,6)))),"",IF(LEN($A1499)=2,"WOJ. ",IF(LEN($A1499)=4,IF(VALUE(RIGHT($A1499,2))&gt;60,"","Powiat "),IF(VALUE(RIGHT($A1499,1))=1,"m. ",IF(VALUE(RIGHT($A1499,1))=2,"gm. w. ",IF(VALUE(RIGHT($A1499,1))=8,"dz. ","gm. m.-w. ")))))&amp;IF(LEN($A1499)=2,TRIM(UPPER(VLOOKUP($A1499,GUS_tabl_1!$A$7:$B$22,2,FALSE))),IF(ISERROR(FIND("..",TRIM(VLOOKUP(IF(AND(LEN($A1499)=4,VALUE(RIGHT($A1499,2))&gt;60),$A1499&amp;"01 1",$A1499),IF(AND(LEN($A1499)=4,VALUE(RIGHT($A1499,2))&lt;60),GUS_tabl_2!$A$8:$B$464,GUS_tabl_21!$A$5:$B$4886),2,FALSE)))),TRIM(VLOOKUP(IF(AND(LEN($A1499)=4,VALUE(RIGHT($A1499,2))&gt;60),$A1499&amp;"01 1",$A1499),IF(AND(LEN($A1499)=4,VALUE(RIGHT($A1499,2))&lt;60),GUS_tabl_2!$A$8:$B$464,GUS_tabl_21!$A$5:$B$4886),2,FALSE)),LEFT(TRIM(VLOOKUP(IF(AND(LEN($A1499)=4,VALUE(RIGHT($A1499,2))&gt;60),$A1499&amp;"01 1",$A1499),IF(AND(LEN($A1499)=4,VALUE(RIGHT($A1499,2))&lt;60),GUS_tabl_2!$A$8:$B$464,GUS_tabl_21!$A$5:$B$4886),2,FALSE)),SUM(FIND("..",TRIM(VLOOKUP(IF(AND(LEN($A1499)=4,VALUE(RIGHT($A1499,2))&gt;60),$A1499&amp;"01 1",$A1499),IF(AND(LEN($A1499)=4,VALUE(RIGHT($A1499,2))&lt;60),GUS_tabl_2!$A$8:$B$464,GUS_tabl_21!$A$5:$B$4886),2,FALSE))),-1)))))</f>
        <v>Radom (a)</v>
      </c>
      <c r="D1499" s="140">
        <f>IF(OR($A1499="",ISERROR(VALUE(LEFT($A1499,6)))),"",IF(LEN($A1499)=2,SUMIF($A1500:$A$2965,$A1499&amp;"??",$D1500:$D$2965),IF(AND(LEN($A1499)=4,VALUE(RIGHT($A1499,2))&lt;=60),SUMIF($A1500:$A$2965,$A1499&amp;"????",$D1500:$D$2965),VLOOKUP(IF(LEN($A1499)=4,$A1499&amp;"01 1",$A1499),GUS_tabl_21!$A$5:$F$4886,6,FALSE))))</f>
        <v>211371</v>
      </c>
      <c r="E1499" s="29"/>
    </row>
    <row r="1500" spans="1:5" ht="12" customHeight="1">
      <c r="A1500" s="152" t="str">
        <f>"1464"</f>
        <v>1464</v>
      </c>
      <c r="B1500" s="153" t="s">
        <v>45</v>
      </c>
      <c r="C1500" s="154" t="str">
        <f>IF(OR($A1500="",ISERROR(VALUE(LEFT($A1500,6)))),"",IF(LEN($A1500)=2,"WOJ. ",IF(LEN($A1500)=4,IF(VALUE(RIGHT($A1500,2))&gt;60,"","Powiat "),IF(VALUE(RIGHT($A1500,1))=1,"m. ",IF(VALUE(RIGHT($A1500,1))=2,"gm. w. ",IF(VALUE(RIGHT($A1500,1))=8,"dz. ","gm. m.-w. ")))))&amp;IF(LEN($A1500)=2,TRIM(UPPER(VLOOKUP($A1500,GUS_tabl_1!$A$7:$B$22,2,FALSE))),IF(ISERROR(FIND("..",TRIM(VLOOKUP(IF(AND(LEN($A1500)=4,VALUE(RIGHT($A1500,2))&gt;60),$A1500&amp;"01 1",$A1500),IF(AND(LEN($A1500)=4,VALUE(RIGHT($A1500,2))&lt;60),GUS_tabl_2!$A$8:$B$464,GUS_tabl_21!$A$5:$B$4886),2,FALSE)))),TRIM(VLOOKUP(IF(AND(LEN($A1500)=4,VALUE(RIGHT($A1500,2))&gt;60),$A1500&amp;"01 1",$A1500),IF(AND(LEN($A1500)=4,VALUE(RIGHT($A1500,2))&lt;60),GUS_tabl_2!$A$8:$B$464,GUS_tabl_21!$A$5:$B$4886),2,FALSE)),LEFT(TRIM(VLOOKUP(IF(AND(LEN($A1500)=4,VALUE(RIGHT($A1500,2))&gt;60),$A1500&amp;"01 1",$A1500),IF(AND(LEN($A1500)=4,VALUE(RIGHT($A1500,2))&lt;60),GUS_tabl_2!$A$8:$B$464,GUS_tabl_21!$A$5:$B$4886),2,FALSE)),SUM(FIND("..",TRIM(VLOOKUP(IF(AND(LEN($A1500)=4,VALUE(RIGHT($A1500,2))&gt;60),$A1500&amp;"01 1",$A1500),IF(AND(LEN($A1500)=4,VALUE(RIGHT($A1500,2))&lt;60),GUS_tabl_2!$A$8:$B$464,GUS_tabl_21!$A$5:$B$4886),2,FALSE))),-1)))))</f>
        <v>Siedlce</v>
      </c>
      <c r="D1500" s="140">
        <f>IF(OR($A1500="",ISERROR(VALUE(LEFT($A1500,6)))),"",IF(LEN($A1500)=2,SUMIF($A1501:$A$2965,$A1500&amp;"??",$D1501:$D$2965),IF(AND(LEN($A1500)=4,VALUE(RIGHT($A1500,2))&lt;=60),SUMIF($A1501:$A$2965,$A1500&amp;"????",$D1501:$D$2965),VLOOKUP(IF(LEN($A1500)=4,$A1500&amp;"01 1",$A1500),GUS_tabl_21!$A$5:$F$4886,6,FALSE))))</f>
        <v>78185</v>
      </c>
      <c r="E1500" s="29"/>
    </row>
    <row r="1501" spans="1:5" ht="12" customHeight="1">
      <c r="A1501" s="152" t="str">
        <f>"1465"</f>
        <v>1465</v>
      </c>
      <c r="B1501" s="153" t="s">
        <v>45</v>
      </c>
      <c r="C1501" s="154" t="str">
        <f>IF(OR($A1501="",ISERROR(VALUE(LEFT($A1501,6)))),"",IF(LEN($A1501)=2,"WOJ. ",IF(LEN($A1501)=4,IF(VALUE(RIGHT($A1501,2))&gt;60,"","Powiat "),IF(VALUE(RIGHT($A1501,1))=1,"m. ",IF(VALUE(RIGHT($A1501,1))=2,"gm. w. ",IF(VALUE(RIGHT($A1501,1))=8,"dz. ","gm. m.-w. ")))))&amp;IF(LEN($A1501)=2,TRIM(UPPER(VLOOKUP($A1501,GUS_tabl_1!$A$7:$B$22,2,FALSE))),IF(ISERROR(FIND("..",TRIM(VLOOKUP(IF(AND(LEN($A1501)=4,VALUE(RIGHT($A1501,2))&gt;60),$A1501&amp;"01 1",$A1501),IF(AND(LEN($A1501)=4,VALUE(RIGHT($A1501,2))&lt;60),GUS_tabl_2!$A$8:$B$464,GUS_tabl_21!$A$5:$B$4886),2,FALSE)))),TRIM(VLOOKUP(IF(AND(LEN($A1501)=4,VALUE(RIGHT($A1501,2))&gt;60),$A1501&amp;"01 1",$A1501),IF(AND(LEN($A1501)=4,VALUE(RIGHT($A1501,2))&lt;60),GUS_tabl_2!$A$8:$B$464,GUS_tabl_21!$A$5:$B$4886),2,FALSE)),LEFT(TRIM(VLOOKUP(IF(AND(LEN($A1501)=4,VALUE(RIGHT($A1501,2))&gt;60),$A1501&amp;"01 1",$A1501),IF(AND(LEN($A1501)=4,VALUE(RIGHT($A1501,2))&lt;60),GUS_tabl_2!$A$8:$B$464,GUS_tabl_21!$A$5:$B$4886),2,FALSE)),SUM(FIND("..",TRIM(VLOOKUP(IF(AND(LEN($A1501)=4,VALUE(RIGHT($A1501,2))&gt;60),$A1501&amp;"01 1",$A1501),IF(AND(LEN($A1501)=4,VALUE(RIGHT($A1501,2))&lt;60),GUS_tabl_2!$A$8:$B$464,GUS_tabl_21!$A$5:$B$4886),2,FALSE))),-1)))))</f>
        <v>M.st. Warszawa (a)</v>
      </c>
      <c r="D1501" s="140">
        <f>IF(OR($A1501="",ISERROR(VALUE(LEFT($A1501,6)))),"",IF(LEN($A1501)=2,SUMIF($A1502:$A$2965,$A1501&amp;"??",$D1502:$D$2965),IF(AND(LEN($A1501)=4,VALUE(RIGHT($A1501,2))&lt;=60),SUMIF($A1502:$A$2965,$A1501&amp;"????",$D1502:$D$2965),VLOOKUP(IF(LEN($A1501)=4,$A1501&amp;"01 1",$A1501),GUS_tabl_21!$A$5:$F$4886,6,FALSE))))</f>
        <v>1790658</v>
      </c>
      <c r="E1501" s="29"/>
    </row>
    <row r="1502" spans="1:5" ht="12" customHeight="1">
      <c r="A1502" s="155" t="str">
        <f>"146502 8"</f>
        <v>146502 8</v>
      </c>
      <c r="B1502" s="153" t="s">
        <v>45</v>
      </c>
      <c r="C1502" s="156" t="str">
        <f>IF(OR($A1502="",ISERROR(VALUE(LEFT($A1502,6)))),"",IF(LEN($A1502)=2,"WOJ. ",IF(LEN($A1502)=4,IF(VALUE(RIGHT($A1502,2))&gt;60,"","Powiat "),IF(VALUE(RIGHT($A1502,1))=1,"m. ",IF(VALUE(RIGHT($A1502,1))=2,"gm. w. ",IF(VALUE(RIGHT($A1502,1))=8,"dz. ","gm. m.-w. ")))))&amp;IF(LEN($A1502)=2,TRIM(UPPER(VLOOKUP($A1502,GUS_tabl_1!$A$7:$B$22,2,FALSE))),IF(ISERROR(FIND("..",TRIM(VLOOKUP(IF(AND(LEN($A1502)=4,VALUE(RIGHT($A1502,2))&gt;60),$A1502&amp;"01 1",$A1502),IF(AND(LEN($A1502)=4,VALUE(RIGHT($A1502,2))&lt;60),GUS_tabl_2!$A$8:$B$464,GUS_tabl_21!$A$5:$B$4886),2,FALSE)))),TRIM(VLOOKUP(IF(AND(LEN($A1502)=4,VALUE(RIGHT($A1502,2))&gt;60),$A1502&amp;"01 1",$A1502),IF(AND(LEN($A1502)=4,VALUE(RIGHT($A1502,2))&lt;60),GUS_tabl_2!$A$8:$B$464,GUS_tabl_21!$A$5:$B$4886),2,FALSE)),LEFT(TRIM(VLOOKUP(IF(AND(LEN($A1502)=4,VALUE(RIGHT($A1502,2))&gt;60),$A1502&amp;"01 1",$A1502),IF(AND(LEN($A1502)=4,VALUE(RIGHT($A1502,2))&lt;60),GUS_tabl_2!$A$8:$B$464,GUS_tabl_21!$A$5:$B$4886),2,FALSE)),SUM(FIND("..",TRIM(VLOOKUP(IF(AND(LEN($A1502)=4,VALUE(RIGHT($A1502,2))&gt;60),$A1502&amp;"01 1",$A1502),IF(AND(LEN($A1502)=4,VALUE(RIGHT($A1502,2))&lt;60),GUS_tabl_2!$A$8:$B$464,GUS_tabl_21!$A$5:$B$4886),2,FALSE))),-1)))))</f>
        <v>dz. Bemowo</v>
      </c>
      <c r="D1502" s="141">
        <f>IF(OR($A1502="",ISERROR(VALUE(LEFT($A1502,6)))),"",IF(LEN($A1502)=2,SUMIF($A1503:$A$2965,$A1502&amp;"??",$D1503:$D$2965),IF(AND(LEN($A1502)=4,VALUE(RIGHT($A1502,2))&lt;=60),SUMIF($A1503:$A$2965,$A1502&amp;"????",$D1503:$D$2965),VLOOKUP(IF(LEN($A1502)=4,$A1502&amp;"01 1",$A1502),GUS_tabl_21!$A$5:$F$4886,6,FALSE))))</f>
        <v>125119</v>
      </c>
      <c r="E1502" s="29"/>
    </row>
    <row r="1503" spans="1:5" ht="12" customHeight="1">
      <c r="A1503" s="155" t="str">
        <f>"146503 8"</f>
        <v>146503 8</v>
      </c>
      <c r="B1503" s="153" t="s">
        <v>45</v>
      </c>
      <c r="C1503" s="156" t="str">
        <f>IF(OR($A1503="",ISERROR(VALUE(LEFT($A1503,6)))),"",IF(LEN($A1503)=2,"WOJ. ",IF(LEN($A1503)=4,IF(VALUE(RIGHT($A1503,2))&gt;60,"","Powiat "),IF(VALUE(RIGHT($A1503,1))=1,"m. ",IF(VALUE(RIGHT($A1503,1))=2,"gm. w. ",IF(VALUE(RIGHT($A1503,1))=8,"dz. ","gm. m.-w. ")))))&amp;IF(LEN($A1503)=2,TRIM(UPPER(VLOOKUP($A1503,GUS_tabl_1!$A$7:$B$22,2,FALSE))),IF(ISERROR(FIND("..",TRIM(VLOOKUP(IF(AND(LEN($A1503)=4,VALUE(RIGHT($A1503,2))&gt;60),$A1503&amp;"01 1",$A1503),IF(AND(LEN($A1503)=4,VALUE(RIGHT($A1503,2))&lt;60),GUS_tabl_2!$A$8:$B$464,GUS_tabl_21!$A$5:$B$4886),2,FALSE)))),TRIM(VLOOKUP(IF(AND(LEN($A1503)=4,VALUE(RIGHT($A1503,2))&gt;60),$A1503&amp;"01 1",$A1503),IF(AND(LEN($A1503)=4,VALUE(RIGHT($A1503,2))&lt;60),GUS_tabl_2!$A$8:$B$464,GUS_tabl_21!$A$5:$B$4886),2,FALSE)),LEFT(TRIM(VLOOKUP(IF(AND(LEN($A1503)=4,VALUE(RIGHT($A1503,2))&gt;60),$A1503&amp;"01 1",$A1503),IF(AND(LEN($A1503)=4,VALUE(RIGHT($A1503,2))&lt;60),GUS_tabl_2!$A$8:$B$464,GUS_tabl_21!$A$5:$B$4886),2,FALSE)),SUM(FIND("..",TRIM(VLOOKUP(IF(AND(LEN($A1503)=4,VALUE(RIGHT($A1503,2))&gt;60),$A1503&amp;"01 1",$A1503),IF(AND(LEN($A1503)=4,VALUE(RIGHT($A1503,2))&lt;60),GUS_tabl_2!$A$8:$B$464,GUS_tabl_21!$A$5:$B$4886),2,FALSE))),-1)))))</f>
        <v>dz. Białołęka</v>
      </c>
      <c r="D1503" s="141">
        <f>IF(OR($A1503="",ISERROR(VALUE(LEFT($A1503,6)))),"",IF(LEN($A1503)=2,SUMIF($A1504:$A$2965,$A1503&amp;"??",$D1504:$D$2965),IF(AND(LEN($A1503)=4,VALUE(RIGHT($A1503,2))&lt;=60),SUMIF($A1504:$A$2965,$A1503&amp;"????",$D1504:$D$2965),VLOOKUP(IF(LEN($A1503)=4,$A1503&amp;"01 1",$A1503),GUS_tabl_21!$A$5:$F$4886,6,FALSE))))</f>
        <v>129106</v>
      </c>
      <c r="E1503" s="29"/>
    </row>
    <row r="1504" spans="1:5" ht="12" customHeight="1">
      <c r="A1504" s="155" t="str">
        <f>"146504 8"</f>
        <v>146504 8</v>
      </c>
      <c r="B1504" s="153" t="s">
        <v>45</v>
      </c>
      <c r="C1504" s="156" t="str">
        <f>IF(OR($A1504="",ISERROR(VALUE(LEFT($A1504,6)))),"",IF(LEN($A1504)=2,"WOJ. ",IF(LEN($A1504)=4,IF(VALUE(RIGHT($A1504,2))&gt;60,"","Powiat "),IF(VALUE(RIGHT($A1504,1))=1,"m. ",IF(VALUE(RIGHT($A1504,1))=2,"gm. w. ",IF(VALUE(RIGHT($A1504,1))=8,"dz. ","gm. m.-w. ")))))&amp;IF(LEN($A1504)=2,TRIM(UPPER(VLOOKUP($A1504,GUS_tabl_1!$A$7:$B$22,2,FALSE))),IF(ISERROR(FIND("..",TRIM(VLOOKUP(IF(AND(LEN($A1504)=4,VALUE(RIGHT($A1504,2))&gt;60),$A1504&amp;"01 1",$A1504),IF(AND(LEN($A1504)=4,VALUE(RIGHT($A1504,2))&lt;60),GUS_tabl_2!$A$8:$B$464,GUS_tabl_21!$A$5:$B$4886),2,FALSE)))),TRIM(VLOOKUP(IF(AND(LEN($A1504)=4,VALUE(RIGHT($A1504,2))&gt;60),$A1504&amp;"01 1",$A1504),IF(AND(LEN($A1504)=4,VALUE(RIGHT($A1504,2))&lt;60),GUS_tabl_2!$A$8:$B$464,GUS_tabl_21!$A$5:$B$4886),2,FALSE)),LEFT(TRIM(VLOOKUP(IF(AND(LEN($A1504)=4,VALUE(RIGHT($A1504,2))&gt;60),$A1504&amp;"01 1",$A1504),IF(AND(LEN($A1504)=4,VALUE(RIGHT($A1504,2))&lt;60),GUS_tabl_2!$A$8:$B$464,GUS_tabl_21!$A$5:$B$4886),2,FALSE)),SUM(FIND("..",TRIM(VLOOKUP(IF(AND(LEN($A1504)=4,VALUE(RIGHT($A1504,2))&gt;60),$A1504&amp;"01 1",$A1504),IF(AND(LEN($A1504)=4,VALUE(RIGHT($A1504,2))&lt;60),GUS_tabl_2!$A$8:$B$464,GUS_tabl_21!$A$5:$B$4886),2,FALSE))),-1)))))</f>
        <v>dz. Bielany</v>
      </c>
      <c r="D1504" s="141">
        <f>IF(OR($A1504="",ISERROR(VALUE(LEFT($A1504,6)))),"",IF(LEN($A1504)=2,SUMIF($A1505:$A$2965,$A1504&amp;"??",$D1505:$D$2965),IF(AND(LEN($A1504)=4,VALUE(RIGHT($A1504,2))&lt;=60),SUMIF($A1505:$A$2965,$A1504&amp;"????",$D1505:$D$2965),VLOOKUP(IF(LEN($A1504)=4,$A1504&amp;"01 1",$A1504),GUS_tabl_21!$A$5:$F$4886,6,FALSE))))</f>
        <v>131592</v>
      </c>
      <c r="E1504" s="29"/>
    </row>
    <row r="1505" spans="1:5" ht="12" customHeight="1">
      <c r="A1505" s="155" t="str">
        <f>"146505 8"</f>
        <v>146505 8</v>
      </c>
      <c r="B1505" s="153" t="s">
        <v>45</v>
      </c>
      <c r="C1505" s="156" t="str">
        <f>IF(OR($A1505="",ISERROR(VALUE(LEFT($A1505,6)))),"",IF(LEN($A1505)=2,"WOJ. ",IF(LEN($A1505)=4,IF(VALUE(RIGHT($A1505,2))&gt;60,"","Powiat "),IF(VALUE(RIGHT($A1505,1))=1,"m. ",IF(VALUE(RIGHT($A1505,1))=2,"gm. w. ",IF(VALUE(RIGHT($A1505,1))=8,"dz. ","gm. m.-w. ")))))&amp;IF(LEN($A1505)=2,TRIM(UPPER(VLOOKUP($A1505,GUS_tabl_1!$A$7:$B$22,2,FALSE))),IF(ISERROR(FIND("..",TRIM(VLOOKUP(IF(AND(LEN($A1505)=4,VALUE(RIGHT($A1505,2))&gt;60),$A1505&amp;"01 1",$A1505),IF(AND(LEN($A1505)=4,VALUE(RIGHT($A1505,2))&lt;60),GUS_tabl_2!$A$8:$B$464,GUS_tabl_21!$A$5:$B$4886),2,FALSE)))),TRIM(VLOOKUP(IF(AND(LEN($A1505)=4,VALUE(RIGHT($A1505,2))&gt;60),$A1505&amp;"01 1",$A1505),IF(AND(LEN($A1505)=4,VALUE(RIGHT($A1505,2))&lt;60),GUS_tabl_2!$A$8:$B$464,GUS_tabl_21!$A$5:$B$4886),2,FALSE)),LEFT(TRIM(VLOOKUP(IF(AND(LEN($A1505)=4,VALUE(RIGHT($A1505,2))&gt;60),$A1505&amp;"01 1",$A1505),IF(AND(LEN($A1505)=4,VALUE(RIGHT($A1505,2))&lt;60),GUS_tabl_2!$A$8:$B$464,GUS_tabl_21!$A$5:$B$4886),2,FALSE)),SUM(FIND("..",TRIM(VLOOKUP(IF(AND(LEN($A1505)=4,VALUE(RIGHT($A1505,2))&gt;60),$A1505&amp;"01 1",$A1505),IF(AND(LEN($A1505)=4,VALUE(RIGHT($A1505,2))&lt;60),GUS_tabl_2!$A$8:$B$464,GUS_tabl_21!$A$5:$B$4886),2,FALSE))),-1)))))</f>
        <v>dz. Mokotów</v>
      </c>
      <c r="D1505" s="141">
        <f>IF(OR($A1505="",ISERROR(VALUE(LEFT($A1505,6)))),"",IF(LEN($A1505)=2,SUMIF($A1506:$A$2965,$A1505&amp;"??",$D1506:$D$2965),IF(AND(LEN($A1505)=4,VALUE(RIGHT($A1505,2))&lt;=60),SUMIF($A1506:$A$2965,$A1505&amp;"????",$D1506:$D$2965),VLOOKUP(IF(LEN($A1505)=4,$A1505&amp;"01 1",$A1505),GUS_tabl_21!$A$5:$F$4886,6,FALSE))))</f>
        <v>218265</v>
      </c>
      <c r="E1505" s="29"/>
    </row>
    <row r="1506" spans="1:5" ht="12" customHeight="1">
      <c r="A1506" s="155" t="str">
        <f>"146506 8"</f>
        <v>146506 8</v>
      </c>
      <c r="B1506" s="153" t="s">
        <v>45</v>
      </c>
      <c r="C1506" s="156" t="str">
        <f>IF(OR($A1506="",ISERROR(VALUE(LEFT($A1506,6)))),"",IF(LEN($A1506)=2,"WOJ. ",IF(LEN($A1506)=4,IF(VALUE(RIGHT($A1506,2))&gt;60,"","Powiat "),IF(VALUE(RIGHT($A1506,1))=1,"m. ",IF(VALUE(RIGHT($A1506,1))=2,"gm. w. ",IF(VALUE(RIGHT($A1506,1))=8,"dz. ","gm. m.-w. ")))))&amp;IF(LEN($A1506)=2,TRIM(UPPER(VLOOKUP($A1506,GUS_tabl_1!$A$7:$B$22,2,FALSE))),IF(ISERROR(FIND("..",TRIM(VLOOKUP(IF(AND(LEN($A1506)=4,VALUE(RIGHT($A1506,2))&gt;60),$A1506&amp;"01 1",$A1506),IF(AND(LEN($A1506)=4,VALUE(RIGHT($A1506,2))&lt;60),GUS_tabl_2!$A$8:$B$464,GUS_tabl_21!$A$5:$B$4886),2,FALSE)))),TRIM(VLOOKUP(IF(AND(LEN($A1506)=4,VALUE(RIGHT($A1506,2))&gt;60),$A1506&amp;"01 1",$A1506),IF(AND(LEN($A1506)=4,VALUE(RIGHT($A1506,2))&lt;60),GUS_tabl_2!$A$8:$B$464,GUS_tabl_21!$A$5:$B$4886),2,FALSE)),LEFT(TRIM(VLOOKUP(IF(AND(LEN($A1506)=4,VALUE(RIGHT($A1506,2))&gt;60),$A1506&amp;"01 1",$A1506),IF(AND(LEN($A1506)=4,VALUE(RIGHT($A1506,2))&lt;60),GUS_tabl_2!$A$8:$B$464,GUS_tabl_21!$A$5:$B$4886),2,FALSE)),SUM(FIND("..",TRIM(VLOOKUP(IF(AND(LEN($A1506)=4,VALUE(RIGHT($A1506,2))&gt;60),$A1506&amp;"01 1",$A1506),IF(AND(LEN($A1506)=4,VALUE(RIGHT($A1506,2))&lt;60),GUS_tabl_2!$A$8:$B$464,GUS_tabl_21!$A$5:$B$4886),2,FALSE))),-1)))))</f>
        <v>dz. Ochota</v>
      </c>
      <c r="D1506" s="141">
        <f>IF(OR($A1506="",ISERROR(VALUE(LEFT($A1506,6)))),"",IF(LEN($A1506)=2,SUMIF($A1507:$A$2965,$A1506&amp;"??",$D1507:$D$2965),IF(AND(LEN($A1506)=4,VALUE(RIGHT($A1506,2))&lt;=60),SUMIF($A1507:$A$2965,$A1506&amp;"????",$D1507:$D$2965),VLOOKUP(IF(LEN($A1506)=4,$A1506&amp;"01 1",$A1506),GUS_tabl_21!$A$5:$F$4886,6,FALSE))))</f>
        <v>82484</v>
      </c>
      <c r="E1506" s="29"/>
    </row>
    <row r="1507" spans="1:5" ht="12" customHeight="1">
      <c r="A1507" s="155" t="str">
        <f>"146507 8"</f>
        <v>146507 8</v>
      </c>
      <c r="B1507" s="153" t="s">
        <v>45</v>
      </c>
      <c r="C1507" s="156" t="str">
        <f>IF(OR($A1507="",ISERROR(VALUE(LEFT($A1507,6)))),"",IF(LEN($A1507)=2,"WOJ. ",IF(LEN($A1507)=4,IF(VALUE(RIGHT($A1507,2))&gt;60,"","Powiat "),IF(VALUE(RIGHT($A1507,1))=1,"m. ",IF(VALUE(RIGHT($A1507,1))=2,"gm. w. ",IF(VALUE(RIGHT($A1507,1))=8,"dz. ","gm. m.-w. ")))))&amp;IF(LEN($A1507)=2,TRIM(UPPER(VLOOKUP($A1507,GUS_tabl_1!$A$7:$B$22,2,FALSE))),IF(ISERROR(FIND("..",TRIM(VLOOKUP(IF(AND(LEN($A1507)=4,VALUE(RIGHT($A1507,2))&gt;60),$A1507&amp;"01 1",$A1507),IF(AND(LEN($A1507)=4,VALUE(RIGHT($A1507,2))&lt;60),GUS_tabl_2!$A$8:$B$464,GUS_tabl_21!$A$5:$B$4886),2,FALSE)))),TRIM(VLOOKUP(IF(AND(LEN($A1507)=4,VALUE(RIGHT($A1507,2))&gt;60),$A1507&amp;"01 1",$A1507),IF(AND(LEN($A1507)=4,VALUE(RIGHT($A1507,2))&lt;60),GUS_tabl_2!$A$8:$B$464,GUS_tabl_21!$A$5:$B$4886),2,FALSE)),LEFT(TRIM(VLOOKUP(IF(AND(LEN($A1507)=4,VALUE(RIGHT($A1507,2))&gt;60),$A1507&amp;"01 1",$A1507),IF(AND(LEN($A1507)=4,VALUE(RIGHT($A1507,2))&lt;60),GUS_tabl_2!$A$8:$B$464,GUS_tabl_21!$A$5:$B$4886),2,FALSE)),SUM(FIND("..",TRIM(VLOOKUP(IF(AND(LEN($A1507)=4,VALUE(RIGHT($A1507,2))&gt;60),$A1507&amp;"01 1",$A1507),IF(AND(LEN($A1507)=4,VALUE(RIGHT($A1507,2))&lt;60),GUS_tabl_2!$A$8:$B$464,GUS_tabl_21!$A$5:$B$4886),2,FALSE))),-1)))))</f>
        <v>dz. Praga-Południe</v>
      </c>
      <c r="D1507" s="141">
        <f>IF(OR($A1507="",ISERROR(VALUE(LEFT($A1507,6)))),"",IF(LEN($A1507)=2,SUMIF($A1508:$A$2965,$A1507&amp;"??",$D1508:$D$2965),IF(AND(LEN($A1507)=4,VALUE(RIGHT($A1507,2))&lt;=60),SUMIF($A1508:$A$2965,$A1507&amp;"????",$D1508:$D$2965),VLOOKUP(IF(LEN($A1507)=4,$A1507&amp;"01 1",$A1507),GUS_tabl_21!$A$5:$F$4886,6,FALSE))))</f>
        <v>180789</v>
      </c>
      <c r="E1507" s="29"/>
    </row>
    <row r="1508" spans="1:5" ht="12" customHeight="1">
      <c r="A1508" s="155" t="str">
        <f>"146508 8"</f>
        <v>146508 8</v>
      </c>
      <c r="B1508" s="153" t="s">
        <v>45</v>
      </c>
      <c r="C1508" s="156" t="str">
        <f>IF(OR($A1508="",ISERROR(VALUE(LEFT($A1508,6)))),"",IF(LEN($A1508)=2,"WOJ. ",IF(LEN($A1508)=4,IF(VALUE(RIGHT($A1508,2))&gt;60,"","Powiat "),IF(VALUE(RIGHT($A1508,1))=1,"m. ",IF(VALUE(RIGHT($A1508,1))=2,"gm. w. ",IF(VALUE(RIGHT($A1508,1))=8,"dz. ","gm. m.-w. ")))))&amp;IF(LEN($A1508)=2,TRIM(UPPER(VLOOKUP($A1508,GUS_tabl_1!$A$7:$B$22,2,FALSE))),IF(ISERROR(FIND("..",TRIM(VLOOKUP(IF(AND(LEN($A1508)=4,VALUE(RIGHT($A1508,2))&gt;60),$A1508&amp;"01 1",$A1508),IF(AND(LEN($A1508)=4,VALUE(RIGHT($A1508,2))&lt;60),GUS_tabl_2!$A$8:$B$464,GUS_tabl_21!$A$5:$B$4886),2,FALSE)))),TRIM(VLOOKUP(IF(AND(LEN($A1508)=4,VALUE(RIGHT($A1508,2))&gt;60),$A1508&amp;"01 1",$A1508),IF(AND(LEN($A1508)=4,VALUE(RIGHT($A1508,2))&lt;60),GUS_tabl_2!$A$8:$B$464,GUS_tabl_21!$A$5:$B$4886),2,FALSE)),LEFT(TRIM(VLOOKUP(IF(AND(LEN($A1508)=4,VALUE(RIGHT($A1508,2))&gt;60),$A1508&amp;"01 1",$A1508),IF(AND(LEN($A1508)=4,VALUE(RIGHT($A1508,2))&lt;60),GUS_tabl_2!$A$8:$B$464,GUS_tabl_21!$A$5:$B$4886),2,FALSE)),SUM(FIND("..",TRIM(VLOOKUP(IF(AND(LEN($A1508)=4,VALUE(RIGHT($A1508,2))&gt;60),$A1508&amp;"01 1",$A1508),IF(AND(LEN($A1508)=4,VALUE(RIGHT($A1508,2))&lt;60),GUS_tabl_2!$A$8:$B$464,GUS_tabl_21!$A$5:$B$4886),2,FALSE))),-1)))))</f>
        <v>dz. Praga-Północ</v>
      </c>
      <c r="D1508" s="141">
        <f>IF(OR($A1508="",ISERROR(VALUE(LEFT($A1508,6)))),"",IF(LEN($A1508)=2,SUMIF($A1509:$A$2965,$A1508&amp;"??",$D1509:$D$2965),IF(AND(LEN($A1508)=4,VALUE(RIGHT($A1508,2))&lt;=60),SUMIF($A1509:$A$2965,$A1508&amp;"????",$D1509:$D$2965),VLOOKUP(IF(LEN($A1508)=4,$A1508&amp;"01 1",$A1508),GUS_tabl_21!$A$5:$F$4886,6,FALSE))))</f>
        <v>63481</v>
      </c>
      <c r="E1508" s="29"/>
    </row>
    <row r="1509" spans="1:5" ht="12" customHeight="1">
      <c r="A1509" s="155" t="str">
        <f>"146509 8"</f>
        <v>146509 8</v>
      </c>
      <c r="B1509" s="153" t="s">
        <v>45</v>
      </c>
      <c r="C1509" s="156" t="str">
        <f>IF(OR($A1509="",ISERROR(VALUE(LEFT($A1509,6)))),"",IF(LEN($A1509)=2,"WOJ. ",IF(LEN($A1509)=4,IF(VALUE(RIGHT($A1509,2))&gt;60,"","Powiat "),IF(VALUE(RIGHT($A1509,1))=1,"m. ",IF(VALUE(RIGHT($A1509,1))=2,"gm. w. ",IF(VALUE(RIGHT($A1509,1))=8,"dz. ","gm. m.-w. ")))))&amp;IF(LEN($A1509)=2,TRIM(UPPER(VLOOKUP($A1509,GUS_tabl_1!$A$7:$B$22,2,FALSE))),IF(ISERROR(FIND("..",TRIM(VLOOKUP(IF(AND(LEN($A1509)=4,VALUE(RIGHT($A1509,2))&gt;60),$A1509&amp;"01 1",$A1509),IF(AND(LEN($A1509)=4,VALUE(RIGHT($A1509,2))&lt;60),GUS_tabl_2!$A$8:$B$464,GUS_tabl_21!$A$5:$B$4886),2,FALSE)))),TRIM(VLOOKUP(IF(AND(LEN($A1509)=4,VALUE(RIGHT($A1509,2))&gt;60),$A1509&amp;"01 1",$A1509),IF(AND(LEN($A1509)=4,VALUE(RIGHT($A1509,2))&lt;60),GUS_tabl_2!$A$8:$B$464,GUS_tabl_21!$A$5:$B$4886),2,FALSE)),LEFT(TRIM(VLOOKUP(IF(AND(LEN($A1509)=4,VALUE(RIGHT($A1509,2))&gt;60),$A1509&amp;"01 1",$A1509),IF(AND(LEN($A1509)=4,VALUE(RIGHT($A1509,2))&lt;60),GUS_tabl_2!$A$8:$B$464,GUS_tabl_21!$A$5:$B$4886),2,FALSE)),SUM(FIND("..",TRIM(VLOOKUP(IF(AND(LEN($A1509)=4,VALUE(RIGHT($A1509,2))&gt;60),$A1509&amp;"01 1",$A1509),IF(AND(LEN($A1509)=4,VALUE(RIGHT($A1509,2))&lt;60),GUS_tabl_2!$A$8:$B$464,GUS_tabl_21!$A$5:$B$4886),2,FALSE))),-1)))))</f>
        <v>dz. Rembertów</v>
      </c>
      <c r="D1509" s="141">
        <f>IF(OR($A1509="",ISERROR(VALUE(LEFT($A1509,6)))),"",IF(LEN($A1509)=2,SUMIF($A1510:$A$2965,$A1509&amp;"??",$D1510:$D$2965),IF(AND(LEN($A1509)=4,VALUE(RIGHT($A1509,2))&lt;=60),SUMIF($A1510:$A$2965,$A1509&amp;"????",$D1510:$D$2965),VLOOKUP(IF(LEN($A1509)=4,$A1509&amp;"01 1",$A1509),GUS_tabl_21!$A$5:$F$4886,6,FALSE))))</f>
        <v>24513</v>
      </c>
      <c r="E1509" s="29"/>
    </row>
    <row r="1510" spans="1:5" ht="12" customHeight="1">
      <c r="A1510" s="155" t="str">
        <f>"146510 8"</f>
        <v>146510 8</v>
      </c>
      <c r="B1510" s="153" t="s">
        <v>45</v>
      </c>
      <c r="C1510" s="156" t="str">
        <f>IF(OR($A1510="",ISERROR(VALUE(LEFT($A1510,6)))),"",IF(LEN($A1510)=2,"WOJ. ",IF(LEN($A1510)=4,IF(VALUE(RIGHT($A1510,2))&gt;60,"","Powiat "),IF(VALUE(RIGHT($A1510,1))=1,"m. ",IF(VALUE(RIGHT($A1510,1))=2,"gm. w. ",IF(VALUE(RIGHT($A1510,1))=8,"dz. ","gm. m.-w. ")))))&amp;IF(LEN($A1510)=2,TRIM(UPPER(VLOOKUP($A1510,GUS_tabl_1!$A$7:$B$22,2,FALSE))),IF(ISERROR(FIND("..",TRIM(VLOOKUP(IF(AND(LEN($A1510)=4,VALUE(RIGHT($A1510,2))&gt;60),$A1510&amp;"01 1",$A1510),IF(AND(LEN($A1510)=4,VALUE(RIGHT($A1510,2))&lt;60),GUS_tabl_2!$A$8:$B$464,GUS_tabl_21!$A$5:$B$4886),2,FALSE)))),TRIM(VLOOKUP(IF(AND(LEN($A1510)=4,VALUE(RIGHT($A1510,2))&gt;60),$A1510&amp;"01 1",$A1510),IF(AND(LEN($A1510)=4,VALUE(RIGHT($A1510,2))&lt;60),GUS_tabl_2!$A$8:$B$464,GUS_tabl_21!$A$5:$B$4886),2,FALSE)),LEFT(TRIM(VLOOKUP(IF(AND(LEN($A1510)=4,VALUE(RIGHT($A1510,2))&gt;60),$A1510&amp;"01 1",$A1510),IF(AND(LEN($A1510)=4,VALUE(RIGHT($A1510,2))&lt;60),GUS_tabl_2!$A$8:$B$464,GUS_tabl_21!$A$5:$B$4886),2,FALSE)),SUM(FIND("..",TRIM(VLOOKUP(IF(AND(LEN($A1510)=4,VALUE(RIGHT($A1510,2))&gt;60),$A1510&amp;"01 1",$A1510),IF(AND(LEN($A1510)=4,VALUE(RIGHT($A1510,2))&lt;60),GUS_tabl_2!$A$8:$B$464,GUS_tabl_21!$A$5:$B$4886),2,FALSE))),-1)))))</f>
        <v>dz. Śródmieście</v>
      </c>
      <c r="D1510" s="141">
        <f>IF(OR($A1510="",ISERROR(VALUE(LEFT($A1510,6)))),"",IF(LEN($A1510)=2,SUMIF($A1511:$A$2965,$A1510&amp;"??",$D1511:$D$2965),IF(AND(LEN($A1510)=4,VALUE(RIGHT($A1510,2))&lt;=60),SUMIF($A1511:$A$2965,$A1510&amp;"????",$D1511:$D$2965),VLOOKUP(IF(LEN($A1510)=4,$A1510&amp;"01 1",$A1510),GUS_tabl_21!$A$5:$F$4886,6,FALSE))))</f>
        <v>113713</v>
      </c>
      <c r="E1510" s="29"/>
    </row>
    <row r="1511" spans="1:5" ht="12" customHeight="1">
      <c r="A1511" s="155" t="str">
        <f>"146511 8"</f>
        <v>146511 8</v>
      </c>
      <c r="B1511" s="153" t="s">
        <v>45</v>
      </c>
      <c r="C1511" s="156" t="str">
        <f>IF(OR($A1511="",ISERROR(VALUE(LEFT($A1511,6)))),"",IF(LEN($A1511)=2,"WOJ. ",IF(LEN($A1511)=4,IF(VALUE(RIGHT($A1511,2))&gt;60,"","Powiat "),IF(VALUE(RIGHT($A1511,1))=1,"m. ",IF(VALUE(RIGHT($A1511,1))=2,"gm. w. ",IF(VALUE(RIGHT($A1511,1))=8,"dz. ","gm. m.-w. ")))))&amp;IF(LEN($A1511)=2,TRIM(UPPER(VLOOKUP($A1511,GUS_tabl_1!$A$7:$B$22,2,FALSE))),IF(ISERROR(FIND("..",TRIM(VLOOKUP(IF(AND(LEN($A1511)=4,VALUE(RIGHT($A1511,2))&gt;60),$A1511&amp;"01 1",$A1511),IF(AND(LEN($A1511)=4,VALUE(RIGHT($A1511,2))&lt;60),GUS_tabl_2!$A$8:$B$464,GUS_tabl_21!$A$5:$B$4886),2,FALSE)))),TRIM(VLOOKUP(IF(AND(LEN($A1511)=4,VALUE(RIGHT($A1511,2))&gt;60),$A1511&amp;"01 1",$A1511),IF(AND(LEN($A1511)=4,VALUE(RIGHT($A1511,2))&lt;60),GUS_tabl_2!$A$8:$B$464,GUS_tabl_21!$A$5:$B$4886),2,FALSE)),LEFT(TRIM(VLOOKUP(IF(AND(LEN($A1511)=4,VALUE(RIGHT($A1511,2))&gt;60),$A1511&amp;"01 1",$A1511),IF(AND(LEN($A1511)=4,VALUE(RIGHT($A1511,2))&lt;60),GUS_tabl_2!$A$8:$B$464,GUS_tabl_21!$A$5:$B$4886),2,FALSE)),SUM(FIND("..",TRIM(VLOOKUP(IF(AND(LEN($A1511)=4,VALUE(RIGHT($A1511,2))&gt;60),$A1511&amp;"01 1",$A1511),IF(AND(LEN($A1511)=4,VALUE(RIGHT($A1511,2))&lt;60),GUS_tabl_2!$A$8:$B$464,GUS_tabl_21!$A$5:$B$4886),2,FALSE))),-1)))))</f>
        <v>dz. Targówek</v>
      </c>
      <c r="D1511" s="141">
        <f>IF(OR($A1511="",ISERROR(VALUE(LEFT($A1511,6)))),"",IF(LEN($A1511)=2,SUMIF($A1512:$A$2965,$A1511&amp;"??",$D1512:$D$2965),IF(AND(LEN($A1511)=4,VALUE(RIGHT($A1511,2))&lt;=60),SUMIF($A1512:$A$2965,$A1511&amp;"????",$D1512:$D$2965),VLOOKUP(IF(LEN($A1511)=4,$A1511&amp;"01 1",$A1511),GUS_tabl_21!$A$5:$F$4886,6,FALSE))))</f>
        <v>124992</v>
      </c>
      <c r="E1511" s="29"/>
    </row>
    <row r="1512" spans="1:5" ht="12" customHeight="1">
      <c r="A1512" s="155" t="str">
        <f>"146512 8"</f>
        <v>146512 8</v>
      </c>
      <c r="B1512" s="153" t="s">
        <v>45</v>
      </c>
      <c r="C1512" s="156" t="str">
        <f>IF(OR($A1512="",ISERROR(VALUE(LEFT($A1512,6)))),"",IF(LEN($A1512)=2,"WOJ. ",IF(LEN($A1512)=4,IF(VALUE(RIGHT($A1512,2))&gt;60,"","Powiat "),IF(VALUE(RIGHT($A1512,1))=1,"m. ",IF(VALUE(RIGHT($A1512,1))=2,"gm. w. ",IF(VALUE(RIGHT($A1512,1))=8,"dz. ","gm. m.-w. ")))))&amp;IF(LEN($A1512)=2,TRIM(UPPER(VLOOKUP($A1512,GUS_tabl_1!$A$7:$B$22,2,FALSE))),IF(ISERROR(FIND("..",TRIM(VLOOKUP(IF(AND(LEN($A1512)=4,VALUE(RIGHT($A1512,2))&gt;60),$A1512&amp;"01 1",$A1512),IF(AND(LEN($A1512)=4,VALUE(RIGHT($A1512,2))&lt;60),GUS_tabl_2!$A$8:$B$464,GUS_tabl_21!$A$5:$B$4886),2,FALSE)))),TRIM(VLOOKUP(IF(AND(LEN($A1512)=4,VALUE(RIGHT($A1512,2))&gt;60),$A1512&amp;"01 1",$A1512),IF(AND(LEN($A1512)=4,VALUE(RIGHT($A1512,2))&lt;60),GUS_tabl_2!$A$8:$B$464,GUS_tabl_21!$A$5:$B$4886),2,FALSE)),LEFT(TRIM(VLOOKUP(IF(AND(LEN($A1512)=4,VALUE(RIGHT($A1512,2))&gt;60),$A1512&amp;"01 1",$A1512),IF(AND(LEN($A1512)=4,VALUE(RIGHT($A1512,2))&lt;60),GUS_tabl_2!$A$8:$B$464,GUS_tabl_21!$A$5:$B$4886),2,FALSE)),SUM(FIND("..",TRIM(VLOOKUP(IF(AND(LEN($A1512)=4,VALUE(RIGHT($A1512,2))&gt;60),$A1512&amp;"01 1",$A1512),IF(AND(LEN($A1512)=4,VALUE(RIGHT($A1512,2))&lt;60),GUS_tabl_2!$A$8:$B$464,GUS_tabl_21!$A$5:$B$4886),2,FALSE))),-1)))))</f>
        <v>dz. Ursus</v>
      </c>
      <c r="D1512" s="141">
        <f>IF(OR($A1512="",ISERROR(VALUE(LEFT($A1512,6)))),"",IF(LEN($A1512)=2,SUMIF($A1513:$A$2965,$A1512&amp;"??",$D1513:$D$2965),IF(AND(LEN($A1512)=4,VALUE(RIGHT($A1512,2))&lt;=60),SUMIF($A1513:$A$2965,$A1512&amp;"????",$D1513:$D$2965),VLOOKUP(IF(LEN($A1512)=4,$A1512&amp;"01 1",$A1512),GUS_tabl_21!$A$5:$F$4886,6,FALSE))))</f>
        <v>61312</v>
      </c>
      <c r="E1512" s="29"/>
    </row>
    <row r="1513" spans="1:5" ht="12" customHeight="1">
      <c r="A1513" s="155" t="str">
        <f>"146513 8"</f>
        <v>146513 8</v>
      </c>
      <c r="B1513" s="153" t="s">
        <v>45</v>
      </c>
      <c r="C1513" s="156" t="str">
        <f>IF(OR($A1513="",ISERROR(VALUE(LEFT($A1513,6)))),"",IF(LEN($A1513)=2,"WOJ. ",IF(LEN($A1513)=4,IF(VALUE(RIGHT($A1513,2))&gt;60,"","Powiat "),IF(VALUE(RIGHT($A1513,1))=1,"m. ",IF(VALUE(RIGHT($A1513,1))=2,"gm. w. ",IF(VALUE(RIGHT($A1513,1))=8,"dz. ","gm. m.-w. ")))))&amp;IF(LEN($A1513)=2,TRIM(UPPER(VLOOKUP($A1513,GUS_tabl_1!$A$7:$B$22,2,FALSE))),IF(ISERROR(FIND("..",TRIM(VLOOKUP(IF(AND(LEN($A1513)=4,VALUE(RIGHT($A1513,2))&gt;60),$A1513&amp;"01 1",$A1513),IF(AND(LEN($A1513)=4,VALUE(RIGHT($A1513,2))&lt;60),GUS_tabl_2!$A$8:$B$464,GUS_tabl_21!$A$5:$B$4886),2,FALSE)))),TRIM(VLOOKUP(IF(AND(LEN($A1513)=4,VALUE(RIGHT($A1513,2))&gt;60),$A1513&amp;"01 1",$A1513),IF(AND(LEN($A1513)=4,VALUE(RIGHT($A1513,2))&lt;60),GUS_tabl_2!$A$8:$B$464,GUS_tabl_21!$A$5:$B$4886),2,FALSE)),LEFT(TRIM(VLOOKUP(IF(AND(LEN($A1513)=4,VALUE(RIGHT($A1513,2))&gt;60),$A1513&amp;"01 1",$A1513),IF(AND(LEN($A1513)=4,VALUE(RIGHT($A1513,2))&lt;60),GUS_tabl_2!$A$8:$B$464,GUS_tabl_21!$A$5:$B$4886),2,FALSE)),SUM(FIND("..",TRIM(VLOOKUP(IF(AND(LEN($A1513)=4,VALUE(RIGHT($A1513,2))&gt;60),$A1513&amp;"01 1",$A1513),IF(AND(LEN($A1513)=4,VALUE(RIGHT($A1513,2))&lt;60),GUS_tabl_2!$A$8:$B$464,GUS_tabl_21!$A$5:$B$4886),2,FALSE))),-1)))))</f>
        <v>dz. Ursynów</v>
      </c>
      <c r="D1513" s="141">
        <f>IF(OR($A1513="",ISERROR(VALUE(LEFT($A1513,6)))),"",IF(LEN($A1513)=2,SUMIF($A1514:$A$2965,$A1513&amp;"??",$D1514:$D$2965),IF(AND(LEN($A1513)=4,VALUE(RIGHT($A1513,2))&lt;=60),SUMIF($A1514:$A$2965,$A1513&amp;"????",$D1514:$D$2965),VLOOKUP(IF(LEN($A1513)=4,$A1513&amp;"01 1",$A1513),GUS_tabl_21!$A$5:$F$4886,6,FALSE))))</f>
        <v>151304</v>
      </c>
      <c r="E1513" s="29"/>
    </row>
    <row r="1514" spans="1:5" ht="12" customHeight="1">
      <c r="A1514" s="155" t="str">
        <f>"146514 8"</f>
        <v>146514 8</v>
      </c>
      <c r="B1514" s="153" t="s">
        <v>45</v>
      </c>
      <c r="C1514" s="156" t="str">
        <f>IF(OR($A1514="",ISERROR(VALUE(LEFT($A1514,6)))),"",IF(LEN($A1514)=2,"WOJ. ",IF(LEN($A1514)=4,IF(VALUE(RIGHT($A1514,2))&gt;60,"","Powiat "),IF(VALUE(RIGHT($A1514,1))=1,"m. ",IF(VALUE(RIGHT($A1514,1))=2,"gm. w. ",IF(VALUE(RIGHT($A1514,1))=8,"dz. ","gm. m.-w. ")))))&amp;IF(LEN($A1514)=2,TRIM(UPPER(VLOOKUP($A1514,GUS_tabl_1!$A$7:$B$22,2,FALSE))),IF(ISERROR(FIND("..",TRIM(VLOOKUP(IF(AND(LEN($A1514)=4,VALUE(RIGHT($A1514,2))&gt;60),$A1514&amp;"01 1",$A1514),IF(AND(LEN($A1514)=4,VALUE(RIGHT($A1514,2))&lt;60),GUS_tabl_2!$A$8:$B$464,GUS_tabl_21!$A$5:$B$4886),2,FALSE)))),TRIM(VLOOKUP(IF(AND(LEN($A1514)=4,VALUE(RIGHT($A1514,2))&gt;60),$A1514&amp;"01 1",$A1514),IF(AND(LEN($A1514)=4,VALUE(RIGHT($A1514,2))&lt;60),GUS_tabl_2!$A$8:$B$464,GUS_tabl_21!$A$5:$B$4886),2,FALSE)),LEFT(TRIM(VLOOKUP(IF(AND(LEN($A1514)=4,VALUE(RIGHT($A1514,2))&gt;60),$A1514&amp;"01 1",$A1514),IF(AND(LEN($A1514)=4,VALUE(RIGHT($A1514,2))&lt;60),GUS_tabl_2!$A$8:$B$464,GUS_tabl_21!$A$5:$B$4886),2,FALSE)),SUM(FIND("..",TRIM(VLOOKUP(IF(AND(LEN($A1514)=4,VALUE(RIGHT($A1514,2))&gt;60),$A1514&amp;"01 1",$A1514),IF(AND(LEN($A1514)=4,VALUE(RIGHT($A1514,2))&lt;60),GUS_tabl_2!$A$8:$B$464,GUS_tabl_21!$A$5:$B$4886),2,FALSE))),-1)))))</f>
        <v>dz. Wawer</v>
      </c>
      <c r="D1514" s="141">
        <f>IF(OR($A1514="",ISERROR(VALUE(LEFT($A1514,6)))),"",IF(LEN($A1514)=2,SUMIF($A1515:$A$2965,$A1514&amp;"??",$D1515:$D$2965),IF(AND(LEN($A1514)=4,VALUE(RIGHT($A1514,2))&lt;=60),SUMIF($A1515:$A$2965,$A1514&amp;"????",$D1515:$D$2965),VLOOKUP(IF(LEN($A1514)=4,$A1514&amp;"01 1",$A1514),GUS_tabl_21!$A$5:$F$4886,6,FALSE))))</f>
        <v>78244</v>
      </c>
      <c r="E1514" s="29"/>
    </row>
    <row r="1515" spans="1:5" ht="12" customHeight="1">
      <c r="A1515" s="155" t="str">
        <f>"146515 8"</f>
        <v>146515 8</v>
      </c>
      <c r="B1515" s="153" t="s">
        <v>45</v>
      </c>
      <c r="C1515" s="156" t="str">
        <f>IF(OR($A1515="",ISERROR(VALUE(LEFT($A1515,6)))),"",IF(LEN($A1515)=2,"WOJ. ",IF(LEN($A1515)=4,IF(VALUE(RIGHT($A1515,2))&gt;60,"","Powiat "),IF(VALUE(RIGHT($A1515,1))=1,"m. ",IF(VALUE(RIGHT($A1515,1))=2,"gm. w. ",IF(VALUE(RIGHT($A1515,1))=8,"dz. ","gm. m.-w. ")))))&amp;IF(LEN($A1515)=2,TRIM(UPPER(VLOOKUP($A1515,GUS_tabl_1!$A$7:$B$22,2,FALSE))),IF(ISERROR(FIND("..",TRIM(VLOOKUP(IF(AND(LEN($A1515)=4,VALUE(RIGHT($A1515,2))&gt;60),$A1515&amp;"01 1",$A1515),IF(AND(LEN($A1515)=4,VALUE(RIGHT($A1515,2))&lt;60),GUS_tabl_2!$A$8:$B$464,GUS_tabl_21!$A$5:$B$4886),2,FALSE)))),TRIM(VLOOKUP(IF(AND(LEN($A1515)=4,VALUE(RIGHT($A1515,2))&gt;60),$A1515&amp;"01 1",$A1515),IF(AND(LEN($A1515)=4,VALUE(RIGHT($A1515,2))&lt;60),GUS_tabl_2!$A$8:$B$464,GUS_tabl_21!$A$5:$B$4886),2,FALSE)),LEFT(TRIM(VLOOKUP(IF(AND(LEN($A1515)=4,VALUE(RIGHT($A1515,2))&gt;60),$A1515&amp;"01 1",$A1515),IF(AND(LEN($A1515)=4,VALUE(RIGHT($A1515,2))&lt;60),GUS_tabl_2!$A$8:$B$464,GUS_tabl_21!$A$5:$B$4886),2,FALSE)),SUM(FIND("..",TRIM(VLOOKUP(IF(AND(LEN($A1515)=4,VALUE(RIGHT($A1515,2))&gt;60),$A1515&amp;"01 1",$A1515),IF(AND(LEN($A1515)=4,VALUE(RIGHT($A1515,2))&lt;60),GUS_tabl_2!$A$8:$B$464,GUS_tabl_21!$A$5:$B$4886),2,FALSE))),-1)))))</f>
        <v>dz. Wesoła</v>
      </c>
      <c r="D1515" s="141">
        <f>IF(OR($A1515="",ISERROR(VALUE(LEFT($A1515,6)))),"",IF(LEN($A1515)=2,SUMIF($A1516:$A$2965,$A1515&amp;"??",$D1516:$D$2965),IF(AND(LEN($A1515)=4,VALUE(RIGHT($A1515,2))&lt;=60),SUMIF($A1516:$A$2965,$A1515&amp;"????",$D1516:$D$2965),VLOOKUP(IF(LEN($A1515)=4,$A1515&amp;"01 1",$A1515),GUS_tabl_21!$A$5:$F$4886,6,FALSE))))</f>
        <v>25798</v>
      </c>
      <c r="E1515" s="29"/>
    </row>
    <row r="1516" spans="1:5" ht="12" customHeight="1">
      <c r="A1516" s="155" t="str">
        <f>"146516 8"</f>
        <v>146516 8</v>
      </c>
      <c r="B1516" s="153" t="s">
        <v>45</v>
      </c>
      <c r="C1516" s="156" t="str">
        <f>IF(OR($A1516="",ISERROR(VALUE(LEFT($A1516,6)))),"",IF(LEN($A1516)=2,"WOJ. ",IF(LEN($A1516)=4,IF(VALUE(RIGHT($A1516,2))&gt;60,"","Powiat "),IF(VALUE(RIGHT($A1516,1))=1,"m. ",IF(VALUE(RIGHT($A1516,1))=2,"gm. w. ",IF(VALUE(RIGHT($A1516,1))=8,"dz. ","gm. m.-w. ")))))&amp;IF(LEN($A1516)=2,TRIM(UPPER(VLOOKUP($A1516,GUS_tabl_1!$A$7:$B$22,2,FALSE))),IF(ISERROR(FIND("..",TRIM(VLOOKUP(IF(AND(LEN($A1516)=4,VALUE(RIGHT($A1516,2))&gt;60),$A1516&amp;"01 1",$A1516),IF(AND(LEN($A1516)=4,VALUE(RIGHT($A1516,2))&lt;60),GUS_tabl_2!$A$8:$B$464,GUS_tabl_21!$A$5:$B$4886),2,FALSE)))),TRIM(VLOOKUP(IF(AND(LEN($A1516)=4,VALUE(RIGHT($A1516,2))&gt;60),$A1516&amp;"01 1",$A1516),IF(AND(LEN($A1516)=4,VALUE(RIGHT($A1516,2))&lt;60),GUS_tabl_2!$A$8:$B$464,GUS_tabl_21!$A$5:$B$4886),2,FALSE)),LEFT(TRIM(VLOOKUP(IF(AND(LEN($A1516)=4,VALUE(RIGHT($A1516,2))&gt;60),$A1516&amp;"01 1",$A1516),IF(AND(LEN($A1516)=4,VALUE(RIGHT($A1516,2))&lt;60),GUS_tabl_2!$A$8:$B$464,GUS_tabl_21!$A$5:$B$4886),2,FALSE)),SUM(FIND("..",TRIM(VLOOKUP(IF(AND(LEN($A1516)=4,VALUE(RIGHT($A1516,2))&gt;60),$A1516&amp;"01 1",$A1516),IF(AND(LEN($A1516)=4,VALUE(RIGHT($A1516,2))&lt;60),GUS_tabl_2!$A$8:$B$464,GUS_tabl_21!$A$5:$B$4886),2,FALSE))),-1)))))</f>
        <v>dz. Wilanów</v>
      </c>
      <c r="D1516" s="141">
        <f>IF(OR($A1516="",ISERROR(VALUE(LEFT($A1516,6)))),"",IF(LEN($A1516)=2,SUMIF($A1517:$A$2965,$A1516&amp;"??",$D1517:$D$2965),IF(AND(LEN($A1516)=4,VALUE(RIGHT($A1516,2))&lt;=60),SUMIF($A1517:$A$2965,$A1516&amp;"????",$D1517:$D$2965),VLOOKUP(IF(LEN($A1516)=4,$A1516&amp;"01 1",$A1516),GUS_tabl_21!$A$5:$F$4886,6,FALSE))))</f>
        <v>42134</v>
      </c>
      <c r="E1516" s="29"/>
    </row>
    <row r="1517" spans="1:5" ht="12" customHeight="1">
      <c r="A1517" s="155" t="str">
        <f>"146517 8"</f>
        <v>146517 8</v>
      </c>
      <c r="B1517" s="153" t="s">
        <v>45</v>
      </c>
      <c r="C1517" s="156" t="str">
        <f>IF(OR($A1517="",ISERROR(VALUE(LEFT($A1517,6)))),"",IF(LEN($A1517)=2,"WOJ. ",IF(LEN($A1517)=4,IF(VALUE(RIGHT($A1517,2))&gt;60,"","Powiat "),IF(VALUE(RIGHT($A1517,1))=1,"m. ",IF(VALUE(RIGHT($A1517,1))=2,"gm. w. ",IF(VALUE(RIGHT($A1517,1))=8,"dz. ","gm. m.-w. ")))))&amp;IF(LEN($A1517)=2,TRIM(UPPER(VLOOKUP($A1517,GUS_tabl_1!$A$7:$B$22,2,FALSE))),IF(ISERROR(FIND("..",TRIM(VLOOKUP(IF(AND(LEN($A1517)=4,VALUE(RIGHT($A1517,2))&gt;60),$A1517&amp;"01 1",$A1517),IF(AND(LEN($A1517)=4,VALUE(RIGHT($A1517,2))&lt;60),GUS_tabl_2!$A$8:$B$464,GUS_tabl_21!$A$5:$B$4886),2,FALSE)))),TRIM(VLOOKUP(IF(AND(LEN($A1517)=4,VALUE(RIGHT($A1517,2))&gt;60),$A1517&amp;"01 1",$A1517),IF(AND(LEN($A1517)=4,VALUE(RIGHT($A1517,2))&lt;60),GUS_tabl_2!$A$8:$B$464,GUS_tabl_21!$A$5:$B$4886),2,FALSE)),LEFT(TRIM(VLOOKUP(IF(AND(LEN($A1517)=4,VALUE(RIGHT($A1517,2))&gt;60),$A1517&amp;"01 1",$A1517),IF(AND(LEN($A1517)=4,VALUE(RIGHT($A1517,2))&lt;60),GUS_tabl_2!$A$8:$B$464,GUS_tabl_21!$A$5:$B$4886),2,FALSE)),SUM(FIND("..",TRIM(VLOOKUP(IF(AND(LEN($A1517)=4,VALUE(RIGHT($A1517,2))&gt;60),$A1517&amp;"01 1",$A1517),IF(AND(LEN($A1517)=4,VALUE(RIGHT($A1517,2))&lt;60),GUS_tabl_2!$A$8:$B$464,GUS_tabl_21!$A$5:$B$4886),2,FALSE))),-1)))))</f>
        <v>dz. Włochy</v>
      </c>
      <c r="D1517" s="141">
        <f>IF(OR($A1517="",ISERROR(VALUE(LEFT($A1517,6)))),"",IF(LEN($A1517)=2,SUMIF($A1518:$A$2965,$A1517&amp;"??",$D1518:$D$2965),IF(AND(LEN($A1517)=4,VALUE(RIGHT($A1517,2))&lt;=60),SUMIF($A1518:$A$2965,$A1517&amp;"????",$D1518:$D$2965),VLOOKUP(IF(LEN($A1517)=4,$A1517&amp;"01 1",$A1517),GUS_tabl_21!$A$5:$F$4886,6,FALSE))))</f>
        <v>43613</v>
      </c>
      <c r="E1517" s="29"/>
    </row>
    <row r="1518" spans="1:5" ht="12" customHeight="1">
      <c r="A1518" s="155" t="str">
        <f>"146518 8"</f>
        <v>146518 8</v>
      </c>
      <c r="B1518" s="153" t="s">
        <v>45</v>
      </c>
      <c r="C1518" s="156" t="str">
        <f>IF(OR($A1518="",ISERROR(VALUE(LEFT($A1518,6)))),"",IF(LEN($A1518)=2,"WOJ. ",IF(LEN($A1518)=4,IF(VALUE(RIGHT($A1518,2))&gt;60,"","Powiat "),IF(VALUE(RIGHT($A1518,1))=1,"m. ",IF(VALUE(RIGHT($A1518,1))=2,"gm. w. ",IF(VALUE(RIGHT($A1518,1))=8,"dz. ","gm. m.-w. ")))))&amp;IF(LEN($A1518)=2,TRIM(UPPER(VLOOKUP($A1518,GUS_tabl_1!$A$7:$B$22,2,FALSE))),IF(ISERROR(FIND("..",TRIM(VLOOKUP(IF(AND(LEN($A1518)=4,VALUE(RIGHT($A1518,2))&gt;60),$A1518&amp;"01 1",$A1518),IF(AND(LEN($A1518)=4,VALUE(RIGHT($A1518,2))&lt;60),GUS_tabl_2!$A$8:$B$464,GUS_tabl_21!$A$5:$B$4886),2,FALSE)))),TRIM(VLOOKUP(IF(AND(LEN($A1518)=4,VALUE(RIGHT($A1518,2))&gt;60),$A1518&amp;"01 1",$A1518),IF(AND(LEN($A1518)=4,VALUE(RIGHT($A1518,2))&lt;60),GUS_tabl_2!$A$8:$B$464,GUS_tabl_21!$A$5:$B$4886),2,FALSE)),LEFT(TRIM(VLOOKUP(IF(AND(LEN($A1518)=4,VALUE(RIGHT($A1518,2))&gt;60),$A1518&amp;"01 1",$A1518),IF(AND(LEN($A1518)=4,VALUE(RIGHT($A1518,2))&lt;60),GUS_tabl_2!$A$8:$B$464,GUS_tabl_21!$A$5:$B$4886),2,FALSE)),SUM(FIND("..",TRIM(VLOOKUP(IF(AND(LEN($A1518)=4,VALUE(RIGHT($A1518,2))&gt;60),$A1518&amp;"01 1",$A1518),IF(AND(LEN($A1518)=4,VALUE(RIGHT($A1518,2))&lt;60),GUS_tabl_2!$A$8:$B$464,GUS_tabl_21!$A$5:$B$4886),2,FALSE))),-1)))))</f>
        <v>dz. Wola</v>
      </c>
      <c r="D1518" s="141">
        <f>IF(OR($A1518="",ISERROR(VALUE(LEFT($A1518,6)))),"",IF(LEN($A1518)=2,SUMIF($A1519:$A$2965,$A1518&amp;"??",$D1519:$D$2965),IF(AND(LEN($A1518)=4,VALUE(RIGHT($A1518,2))&lt;=60),SUMIF($A1519:$A$2965,$A1518&amp;"????",$D1519:$D$2965),VLOOKUP(IF(LEN($A1518)=4,$A1518&amp;"01 1",$A1518),GUS_tabl_21!$A$5:$F$4886,6,FALSE))))</f>
        <v>141407</v>
      </c>
      <c r="E1518" s="29"/>
    </row>
    <row r="1519" spans="1:5" ht="12" customHeight="1">
      <c r="A1519" s="155" t="str">
        <f>"146519 8"</f>
        <v>146519 8</v>
      </c>
      <c r="B1519" s="153" t="s">
        <v>45</v>
      </c>
      <c r="C1519" s="156" t="str">
        <f>IF(OR($A1519="",ISERROR(VALUE(LEFT($A1519,6)))),"",IF(LEN($A1519)=2,"WOJ. ",IF(LEN($A1519)=4,IF(VALUE(RIGHT($A1519,2))&gt;60,"","Powiat "),IF(VALUE(RIGHT($A1519,1))=1,"m. ",IF(VALUE(RIGHT($A1519,1))=2,"gm. w. ",IF(VALUE(RIGHT($A1519,1))=8,"dz. ","gm. m.-w. ")))))&amp;IF(LEN($A1519)=2,TRIM(UPPER(VLOOKUP($A1519,GUS_tabl_1!$A$7:$B$22,2,FALSE))),IF(ISERROR(FIND("..",TRIM(VLOOKUP(IF(AND(LEN($A1519)=4,VALUE(RIGHT($A1519,2))&gt;60),$A1519&amp;"01 1",$A1519),IF(AND(LEN($A1519)=4,VALUE(RIGHT($A1519,2))&lt;60),GUS_tabl_2!$A$8:$B$464,GUS_tabl_21!$A$5:$B$4886),2,FALSE)))),TRIM(VLOOKUP(IF(AND(LEN($A1519)=4,VALUE(RIGHT($A1519,2))&gt;60),$A1519&amp;"01 1",$A1519),IF(AND(LEN($A1519)=4,VALUE(RIGHT($A1519,2))&lt;60),GUS_tabl_2!$A$8:$B$464,GUS_tabl_21!$A$5:$B$4886),2,FALSE)),LEFT(TRIM(VLOOKUP(IF(AND(LEN($A1519)=4,VALUE(RIGHT($A1519,2))&gt;60),$A1519&amp;"01 1",$A1519),IF(AND(LEN($A1519)=4,VALUE(RIGHT($A1519,2))&lt;60),GUS_tabl_2!$A$8:$B$464,GUS_tabl_21!$A$5:$B$4886),2,FALSE)),SUM(FIND("..",TRIM(VLOOKUP(IF(AND(LEN($A1519)=4,VALUE(RIGHT($A1519,2))&gt;60),$A1519&amp;"01 1",$A1519),IF(AND(LEN($A1519)=4,VALUE(RIGHT($A1519,2))&lt;60),GUS_tabl_2!$A$8:$B$464,GUS_tabl_21!$A$5:$B$4886),2,FALSE))),-1)))))</f>
        <v>dz. Żoliborz</v>
      </c>
      <c r="D1519" s="141">
        <f>IF(OR($A1519="",ISERROR(VALUE(LEFT($A1519,6)))),"",IF(LEN($A1519)=2,SUMIF($A1520:$A$2965,$A1519&amp;"??",$D1520:$D$2965),IF(AND(LEN($A1519)=4,VALUE(RIGHT($A1519,2))&lt;=60),SUMIF($A1520:$A$2965,$A1519&amp;"????",$D1520:$D$2965),VLOOKUP(IF(LEN($A1519)=4,$A1519&amp;"01 1",$A1519),GUS_tabl_21!$A$5:$F$4886,6,FALSE))))</f>
        <v>52792</v>
      </c>
      <c r="E1519" s="29"/>
    </row>
    <row r="1520" spans="1:5" ht="12" customHeight="1" thickBot="1">
      <c r="B1520" s="153"/>
      <c r="C1520" s="156" t="str">
        <f>IF(OR($A1520="",ISERROR(VALUE(LEFT($A1520,6)))),"",IF(LEN($A1520)=2,"WOJ. ",IF(LEN($A1520)=4,IF(VALUE(RIGHT($A1520,2))&gt;60,"","Powiat "),IF(VALUE(RIGHT($A1520,1))=1,"m. ",IF(VALUE(RIGHT($A1520,1))=2,"gm. w. ",IF(VALUE(RIGHT($A1520,1))=8,"dz. ","gm. m.-w. ")))))&amp;IF(LEN($A1520)=2,TRIM(UPPER(VLOOKUP($A1520,GUS_tabl_1!$A$7:$B$22,2,FALSE))),IF(ISERROR(FIND("..",TRIM(VLOOKUP(IF(AND(LEN($A1520)=4,VALUE(RIGHT($A1520,2))&gt;60),$A1520&amp;"01 1",$A1520),IF(AND(LEN($A1520)=4,VALUE(RIGHT($A1520,2))&lt;60),GUS_tabl_2!$A$8:$B$464,GUS_tabl_21!$A$5:$B$4886),2,FALSE)))),TRIM(VLOOKUP(IF(AND(LEN($A1520)=4,VALUE(RIGHT($A1520,2))&gt;60),$A1520&amp;"01 1",$A1520),IF(AND(LEN($A1520)=4,VALUE(RIGHT($A1520,2))&lt;60),GUS_tabl_2!$A$8:$B$464,GUS_tabl_21!$A$5:$B$4886),2,FALSE)),LEFT(TRIM(VLOOKUP(IF(AND(LEN($A1520)=4,VALUE(RIGHT($A1520,2))&gt;60),$A1520&amp;"01 1",$A1520),IF(AND(LEN($A1520)=4,VALUE(RIGHT($A1520,2))&lt;60),GUS_tabl_2!$A$8:$B$464,GUS_tabl_21!$A$5:$B$4886),2,FALSE)),SUM(FIND("..",TRIM(VLOOKUP(IF(AND(LEN($A1520)=4,VALUE(RIGHT($A1520,2))&gt;60),$A1520&amp;"01 1",$A1520),IF(AND(LEN($A1520)=4,VALUE(RIGHT($A1520,2))&lt;60),GUS_tabl_2!$A$8:$B$464,GUS_tabl_21!$A$5:$B$4886),2,FALSE))),-1)))))</f>
        <v/>
      </c>
      <c r="D1520" s="64"/>
      <c r="E1520" s="29"/>
    </row>
    <row r="1521" spans="1:5" s="29" customFormat="1" ht="30.75" customHeight="1" thickTop="1">
      <c r="A1521" s="241" t="s">
        <v>97</v>
      </c>
      <c r="B1521" s="247" t="s">
        <v>60</v>
      </c>
      <c r="C1521" s="243" t="s">
        <v>7311</v>
      </c>
      <c r="D1521" s="257" t="s">
        <v>7</v>
      </c>
    </row>
    <row r="1522" spans="1:5" s="29" customFormat="1" ht="25.5" customHeight="1" thickBot="1">
      <c r="A1522" s="242"/>
      <c r="B1522" s="254"/>
      <c r="C1522" s="244"/>
      <c r="D1522" s="258"/>
    </row>
    <row r="1523" spans="1:5" s="29" customFormat="1" ht="12" customHeight="1" thickTop="1">
      <c r="A1523" s="158"/>
      <c r="B1523" s="153"/>
      <c r="C1523" s="154" t="str">
        <f>IF(OR($A1523="",ISERROR(VALUE(LEFT($A1523,6)))),"",IF(LEN($A1523)=2,"WOJ. ",IF(LEN($A1523)=4,IF(VALUE(RIGHT($A1523,2))&gt;60,"","Powiat "),IF(VALUE(RIGHT($A1523,1))=1,"m. ",IF(VALUE(RIGHT($A1523,1))=2,"gm. w. ",IF(VALUE(RIGHT($A1523,1))=8,"dz. ","gm. m.-w. ")))))&amp;IF(LEN($A1523)=2,TRIM(UPPER(VLOOKUP($A1523,GUS_tabl_1!$A$7:$B$22,2,FALSE))),IF(ISERROR(FIND("..",TRIM(VLOOKUP(IF(AND(LEN($A1523)=4,VALUE(RIGHT($A1523,2))&gt;60),$A1523&amp;"01 1",$A1523),IF(AND(LEN($A1523)=4,VALUE(RIGHT($A1523,2))&lt;60),GUS_tabl_2!$A$8:$B$464,GUS_tabl_21!$A$5:$B$4886),2,FALSE)))),TRIM(VLOOKUP(IF(AND(LEN($A1523)=4,VALUE(RIGHT($A1523,2))&gt;60),$A1523&amp;"01 1",$A1523),IF(AND(LEN($A1523)=4,VALUE(RIGHT($A1523,2))&lt;60),GUS_tabl_2!$A$8:$B$464,GUS_tabl_21!$A$5:$B$4886),2,FALSE)),LEFT(TRIM(VLOOKUP(IF(AND(LEN($A1523)=4,VALUE(RIGHT($A1523,2))&gt;60),$A1523&amp;"01 1",$A1523),IF(AND(LEN($A1523)=4,VALUE(RIGHT($A1523,2))&lt;60),GUS_tabl_2!$A$8:$B$464,GUS_tabl_21!$A$5:$B$4886),2,FALSE)),SUM(FIND("..",TRIM(VLOOKUP(IF(AND(LEN($A1523)=4,VALUE(RIGHT($A1523,2))&gt;60),$A1523&amp;"01 1",$A1523),IF(AND(LEN($A1523)=4,VALUE(RIGHT($A1523,2))&lt;60),GUS_tabl_2!$A$8:$B$464,GUS_tabl_21!$A$5:$B$4886),2,FALSE))),-1)))))</f>
        <v/>
      </c>
      <c r="D1523" s="140" t="str">
        <f>IF(OR($A1523="",ISERROR(VALUE(LEFT($A1523,6)))),"",IF(LEN($A1523)=2,SUMIF($A1524:$A$2965,$A1523&amp;"??",$D1524:$D$2965),IF(AND(LEN($A1523)=4,VALUE(RIGHT($A1523,2))&lt;=60),SUMIF($A1524:$A$2965,$A1523&amp;"????",$D1524:$D$2965),VLOOKUP(IF(LEN($A1523)=4,$A1523&amp;"01 1",$A1523),GUS_tabl_21!$A$5:$F$4886,6,FALSE))))</f>
        <v/>
      </c>
    </row>
    <row r="1524" spans="1:5" s="29" customFormat="1" ht="12" customHeight="1">
      <c r="A1524" s="152" t="str">
        <f>"16"</f>
        <v>16</v>
      </c>
      <c r="B1524" s="153" t="s">
        <v>74</v>
      </c>
      <c r="C1524" s="154" t="str">
        <f>IF(OR($A1524="",ISERROR(VALUE(LEFT($A1524,6)))),"",IF(LEN($A1524)=2,"WOJ. ",IF(LEN($A1524)=4,IF(VALUE(RIGHT($A1524,2))&gt;60,"","Powiat "),IF(VALUE(RIGHT($A1524,1))=1,"m. ",IF(VALUE(RIGHT($A1524,1))=2,"gm. w. ",IF(VALUE(RIGHT($A1524,1))=8,"dz. ","gm. m.-w. ")))))&amp;IF(LEN($A1524)=2,TRIM(UPPER(VLOOKUP($A1524,GUS_tabl_1!$A$7:$B$22,2,FALSE))),IF(ISERROR(FIND("..",TRIM(VLOOKUP(IF(AND(LEN($A1524)=4,VALUE(RIGHT($A1524,2))&gt;60),$A1524&amp;"01 1",$A1524),IF(AND(LEN($A1524)=4,VALUE(RIGHT($A1524,2))&lt;60),GUS_tabl_2!$A$8:$B$464,GUS_tabl_21!$A$5:$B$4886),2,FALSE)))),TRIM(VLOOKUP(IF(AND(LEN($A1524)=4,VALUE(RIGHT($A1524,2))&gt;60),$A1524&amp;"01 1",$A1524),IF(AND(LEN($A1524)=4,VALUE(RIGHT($A1524,2))&lt;60),GUS_tabl_2!$A$8:$B$464,GUS_tabl_21!$A$5:$B$4886),2,FALSE)),LEFT(TRIM(VLOOKUP(IF(AND(LEN($A1524)=4,VALUE(RIGHT($A1524,2))&gt;60),$A1524&amp;"01 1",$A1524),IF(AND(LEN($A1524)=4,VALUE(RIGHT($A1524,2))&lt;60),GUS_tabl_2!$A$8:$B$464,GUS_tabl_21!$A$5:$B$4886),2,FALSE)),SUM(FIND("..",TRIM(VLOOKUP(IF(AND(LEN($A1524)=4,VALUE(RIGHT($A1524,2))&gt;60),$A1524&amp;"01 1",$A1524),IF(AND(LEN($A1524)=4,VALUE(RIGHT($A1524,2))&lt;60),GUS_tabl_2!$A$8:$B$464,GUS_tabl_21!$A$5:$B$4886),2,FALSE))),-1)))))</f>
        <v>WOJ. OPOLSKIE</v>
      </c>
      <c r="D1524" s="140">
        <f>IF(OR($A1524="",ISERROR(VALUE(LEFT($A1524,6)))),"",IF(LEN($A1524)=2,SUMIF($A1525:$A$2965,$A1524&amp;"??",$D1525:$D$2965),IF(AND(LEN($A1524)=4,VALUE(RIGHT($A1524,2))&lt;=60),SUMIF($A1525:$A$2965,$A1524&amp;"????",$D1525:$D$2965),VLOOKUP(IF(LEN($A1524)=4,$A1524&amp;"01 1",$A1524),GUS_tabl_21!$A$5:$F$4886,6,FALSE))))</f>
        <v>982626</v>
      </c>
    </row>
    <row r="1525" spans="1:5" ht="12" customHeight="1">
      <c r="A1525" s="152"/>
      <c r="B1525" s="153" t="s">
        <v>74</v>
      </c>
      <c r="C1525" s="156" t="str">
        <f>IF(OR($A1525="",ISERROR(VALUE(LEFT($A1525,6)))),"",IF(LEN($A1525)=2,"WOJ. ",IF(LEN($A1525)=4,IF(VALUE(RIGHT($A1525,2))&gt;60,"","Powiat "),IF(VALUE(RIGHT($A1525,1))=1,"m. ",IF(VALUE(RIGHT($A1525,1))=2,"gm. w. ",IF(VALUE(RIGHT($A1525,1))=8,"dz. ","gm. m.-w. ")))))&amp;IF(LEN($A1525)=2,TRIM(UPPER(VLOOKUP($A1525,GUS_tabl_1!$A$7:$B$22,2,FALSE))),IF(ISERROR(FIND("..",TRIM(VLOOKUP(IF(AND(LEN($A1525)=4,VALUE(RIGHT($A1525,2))&gt;60),$A1525&amp;"01 1",$A1525),IF(AND(LEN($A1525)=4,VALUE(RIGHT($A1525,2))&lt;60),GUS_tabl_2!$A$8:$B$464,GUS_tabl_21!$A$5:$B$4886),2,FALSE)))),TRIM(VLOOKUP(IF(AND(LEN($A1525)=4,VALUE(RIGHT($A1525,2))&gt;60),$A1525&amp;"01 1",$A1525),IF(AND(LEN($A1525)=4,VALUE(RIGHT($A1525,2))&lt;60),GUS_tabl_2!$A$8:$B$464,GUS_tabl_21!$A$5:$B$4886),2,FALSE)),LEFT(TRIM(VLOOKUP(IF(AND(LEN($A1525)=4,VALUE(RIGHT($A1525,2))&gt;60),$A1525&amp;"01 1",$A1525),IF(AND(LEN($A1525)=4,VALUE(RIGHT($A1525,2))&lt;60),GUS_tabl_2!$A$8:$B$464,GUS_tabl_21!$A$5:$B$4886),2,FALSE)),SUM(FIND("..",TRIM(VLOOKUP(IF(AND(LEN($A1525)=4,VALUE(RIGHT($A1525,2))&gt;60),$A1525&amp;"01 1",$A1525),IF(AND(LEN($A1525)=4,VALUE(RIGHT($A1525,2))&lt;60),GUS_tabl_2!$A$8:$B$464,GUS_tabl_21!$A$5:$B$4886),2,FALSE))),-1)))))</f>
        <v/>
      </c>
      <c r="D1525" s="140" t="str">
        <f>IF(OR($A1525="",ISERROR(VALUE(LEFT($A1525,6)))),"",IF(LEN($A1525)=2,SUMIF($A1526:$A$2965,$A1525&amp;"??",$D1526:$D$2965),IF(AND(LEN($A1525)=4,VALUE(RIGHT($A1525,2))&lt;=60),SUMIF($A1526:$A$2965,$A1525&amp;"????",$D1526:$D$2965),VLOOKUP(IF(LEN($A1525)=4,$A1525&amp;"01 1",$A1525),GUS_tabl_21!$A$5:$F$4886,6,FALSE))))</f>
        <v/>
      </c>
      <c r="E1525" s="29"/>
    </row>
    <row r="1526" spans="1:5" ht="12" customHeight="1">
      <c r="A1526" s="152" t="str">
        <f>"1601"</f>
        <v>1601</v>
      </c>
      <c r="B1526" s="153" t="s">
        <v>74</v>
      </c>
      <c r="C1526" s="154" t="str">
        <f>IF(OR($A1526="",ISERROR(VALUE(LEFT($A1526,6)))),"",IF(LEN($A1526)=2,"WOJ. ",IF(LEN($A1526)=4,IF(VALUE(RIGHT($A1526,2))&gt;60,"","Powiat "),IF(VALUE(RIGHT($A1526,1))=1,"m. ",IF(VALUE(RIGHT($A1526,1))=2,"gm. w. ",IF(VALUE(RIGHT($A1526,1))=8,"dz. ","gm. m.-w. ")))))&amp;IF(LEN($A1526)=2,TRIM(UPPER(VLOOKUP($A1526,GUS_tabl_1!$A$7:$B$22,2,FALSE))),IF(ISERROR(FIND("..",TRIM(VLOOKUP(IF(AND(LEN($A1526)=4,VALUE(RIGHT($A1526,2))&gt;60),$A1526&amp;"01 1",$A1526),IF(AND(LEN($A1526)=4,VALUE(RIGHT($A1526,2))&lt;60),GUS_tabl_2!$A$8:$B$464,GUS_tabl_21!$A$5:$B$4886),2,FALSE)))),TRIM(VLOOKUP(IF(AND(LEN($A1526)=4,VALUE(RIGHT($A1526,2))&gt;60),$A1526&amp;"01 1",$A1526),IF(AND(LEN($A1526)=4,VALUE(RIGHT($A1526,2))&lt;60),GUS_tabl_2!$A$8:$B$464,GUS_tabl_21!$A$5:$B$4886),2,FALSE)),LEFT(TRIM(VLOOKUP(IF(AND(LEN($A1526)=4,VALUE(RIGHT($A1526,2))&gt;60),$A1526&amp;"01 1",$A1526),IF(AND(LEN($A1526)=4,VALUE(RIGHT($A1526,2))&lt;60),GUS_tabl_2!$A$8:$B$464,GUS_tabl_21!$A$5:$B$4886),2,FALSE)),SUM(FIND("..",TRIM(VLOOKUP(IF(AND(LEN($A1526)=4,VALUE(RIGHT($A1526,2))&gt;60),$A1526&amp;"01 1",$A1526),IF(AND(LEN($A1526)=4,VALUE(RIGHT($A1526,2))&lt;60),GUS_tabl_2!$A$8:$B$464,GUS_tabl_21!$A$5:$B$4886),2,FALSE))),-1)))))</f>
        <v>Powiat brzeski</v>
      </c>
      <c r="D1526" s="140">
        <f>IF(OR($A1526="",ISERROR(VALUE(LEFT($A1526,6)))),"",IF(LEN($A1526)=2,SUMIF($A1527:$A$2965,$A1526&amp;"??",$D1527:$D$2965),IF(AND(LEN($A1526)=4,VALUE(RIGHT($A1526,2))&lt;=60),SUMIF($A1527:$A$2965,$A1526&amp;"????",$D1527:$D$2965),VLOOKUP(IF(LEN($A1526)=4,$A1526&amp;"01 1",$A1526),GUS_tabl_21!$A$5:$F$4886,6,FALSE))))</f>
        <v>89804</v>
      </c>
      <c r="E1526" s="29"/>
    </row>
    <row r="1527" spans="1:5" ht="12" customHeight="1">
      <c r="A1527" s="155" t="str">
        <f>"160101 1"</f>
        <v>160101 1</v>
      </c>
      <c r="B1527" s="153" t="s">
        <v>74</v>
      </c>
      <c r="C1527" s="156" t="str">
        <f>IF(OR($A1527="",ISERROR(VALUE(LEFT($A1527,6)))),"",IF(LEN($A1527)=2,"WOJ. ",IF(LEN($A1527)=4,IF(VALUE(RIGHT($A1527,2))&gt;60,"","Powiat "),IF(VALUE(RIGHT($A1527,1))=1,"m. ",IF(VALUE(RIGHT($A1527,1))=2,"gm. w. ",IF(VALUE(RIGHT($A1527,1))=8,"dz. ","gm. m.-w. ")))))&amp;IF(LEN($A1527)=2,TRIM(UPPER(VLOOKUP($A1527,GUS_tabl_1!$A$7:$B$22,2,FALSE))),IF(ISERROR(FIND("..",TRIM(VLOOKUP(IF(AND(LEN($A1527)=4,VALUE(RIGHT($A1527,2))&gt;60),$A1527&amp;"01 1",$A1527),IF(AND(LEN($A1527)=4,VALUE(RIGHT($A1527,2))&lt;60),GUS_tabl_2!$A$8:$B$464,GUS_tabl_21!$A$5:$B$4886),2,FALSE)))),TRIM(VLOOKUP(IF(AND(LEN($A1527)=4,VALUE(RIGHT($A1527,2))&gt;60),$A1527&amp;"01 1",$A1527),IF(AND(LEN($A1527)=4,VALUE(RIGHT($A1527,2))&lt;60),GUS_tabl_2!$A$8:$B$464,GUS_tabl_21!$A$5:$B$4886),2,FALSE)),LEFT(TRIM(VLOOKUP(IF(AND(LEN($A1527)=4,VALUE(RIGHT($A1527,2))&gt;60),$A1527&amp;"01 1",$A1527),IF(AND(LEN($A1527)=4,VALUE(RIGHT($A1527,2))&lt;60),GUS_tabl_2!$A$8:$B$464,GUS_tabl_21!$A$5:$B$4886),2,FALSE)),SUM(FIND("..",TRIM(VLOOKUP(IF(AND(LEN($A1527)=4,VALUE(RIGHT($A1527,2))&gt;60),$A1527&amp;"01 1",$A1527),IF(AND(LEN($A1527)=4,VALUE(RIGHT($A1527,2))&lt;60),GUS_tabl_2!$A$8:$B$464,GUS_tabl_21!$A$5:$B$4886),2,FALSE))),-1)))))</f>
        <v>m. Brzeg</v>
      </c>
      <c r="D1527" s="141">
        <f>IF(OR($A1527="",ISERROR(VALUE(LEFT($A1527,6)))),"",IF(LEN($A1527)=2,SUMIF($A1528:$A$2965,$A1527&amp;"??",$D1528:$D$2965),IF(AND(LEN($A1527)=4,VALUE(RIGHT($A1527,2))&lt;=60),SUMIF($A1528:$A$2965,$A1527&amp;"????",$D1528:$D$2965),VLOOKUP(IF(LEN($A1527)=4,$A1527&amp;"01 1",$A1527),GUS_tabl_21!$A$5:$F$4886,6,FALSE))))</f>
        <v>35709</v>
      </c>
      <c r="E1527" s="29"/>
    </row>
    <row r="1528" spans="1:5" ht="12" customHeight="1">
      <c r="A1528" s="155" t="str">
        <f>"160102 2"</f>
        <v>160102 2</v>
      </c>
      <c r="B1528" s="153" t="s">
        <v>74</v>
      </c>
      <c r="C1528" s="156" t="str">
        <f>IF(OR($A1528="",ISERROR(VALUE(LEFT($A1528,6)))),"",IF(LEN($A1528)=2,"WOJ. ",IF(LEN($A1528)=4,IF(VALUE(RIGHT($A1528,2))&gt;60,"","Powiat "),IF(VALUE(RIGHT($A1528,1))=1,"m. ",IF(VALUE(RIGHT($A1528,1))=2,"gm. w. ",IF(VALUE(RIGHT($A1528,1))=8,"dz. ","gm. m.-w. ")))))&amp;IF(LEN($A1528)=2,TRIM(UPPER(VLOOKUP($A1528,GUS_tabl_1!$A$7:$B$22,2,FALSE))),IF(ISERROR(FIND("..",TRIM(VLOOKUP(IF(AND(LEN($A1528)=4,VALUE(RIGHT($A1528,2))&gt;60),$A1528&amp;"01 1",$A1528),IF(AND(LEN($A1528)=4,VALUE(RIGHT($A1528,2))&lt;60),GUS_tabl_2!$A$8:$B$464,GUS_tabl_21!$A$5:$B$4886),2,FALSE)))),TRIM(VLOOKUP(IF(AND(LEN($A1528)=4,VALUE(RIGHT($A1528,2))&gt;60),$A1528&amp;"01 1",$A1528),IF(AND(LEN($A1528)=4,VALUE(RIGHT($A1528,2))&lt;60),GUS_tabl_2!$A$8:$B$464,GUS_tabl_21!$A$5:$B$4886),2,FALSE)),LEFT(TRIM(VLOOKUP(IF(AND(LEN($A1528)=4,VALUE(RIGHT($A1528,2))&gt;60),$A1528&amp;"01 1",$A1528),IF(AND(LEN($A1528)=4,VALUE(RIGHT($A1528,2))&lt;60),GUS_tabl_2!$A$8:$B$464,GUS_tabl_21!$A$5:$B$4886),2,FALSE)),SUM(FIND("..",TRIM(VLOOKUP(IF(AND(LEN($A1528)=4,VALUE(RIGHT($A1528,2))&gt;60),$A1528&amp;"01 1",$A1528),IF(AND(LEN($A1528)=4,VALUE(RIGHT($A1528,2))&lt;60),GUS_tabl_2!$A$8:$B$464,GUS_tabl_21!$A$5:$B$4886),2,FALSE))),-1)))))</f>
        <v>gm. w. Skarbimierz</v>
      </c>
      <c r="D1528" s="141">
        <f>IF(OR($A1528="",ISERROR(VALUE(LEFT($A1528,6)))),"",IF(LEN($A1528)=2,SUMIF($A1529:$A$2965,$A1528&amp;"??",$D1529:$D$2965),IF(AND(LEN($A1528)=4,VALUE(RIGHT($A1528,2))&lt;=60),SUMIF($A1529:$A$2965,$A1528&amp;"????",$D1529:$D$2965),VLOOKUP(IF(LEN($A1528)=4,$A1528&amp;"01 1",$A1528),GUS_tabl_21!$A$5:$F$4886,6,FALSE))))</f>
        <v>8217</v>
      </c>
      <c r="E1528" s="29"/>
    </row>
    <row r="1529" spans="1:5" ht="12" customHeight="1">
      <c r="A1529" s="155" t="str">
        <f>"160103 3"</f>
        <v>160103 3</v>
      </c>
      <c r="B1529" s="153" t="s">
        <v>74</v>
      </c>
      <c r="C1529" s="156" t="str">
        <f>IF(OR($A1529="",ISERROR(VALUE(LEFT($A1529,6)))),"",IF(LEN($A1529)=2,"WOJ. ",IF(LEN($A1529)=4,IF(VALUE(RIGHT($A1529,2))&gt;60,"","Powiat "),IF(VALUE(RIGHT($A1529,1))=1,"m. ",IF(VALUE(RIGHT($A1529,1))=2,"gm. w. ",IF(VALUE(RIGHT($A1529,1))=8,"dz. ","gm. m.-w. ")))))&amp;IF(LEN($A1529)=2,TRIM(UPPER(VLOOKUP($A1529,GUS_tabl_1!$A$7:$B$22,2,FALSE))),IF(ISERROR(FIND("..",TRIM(VLOOKUP(IF(AND(LEN($A1529)=4,VALUE(RIGHT($A1529,2))&gt;60),$A1529&amp;"01 1",$A1529),IF(AND(LEN($A1529)=4,VALUE(RIGHT($A1529,2))&lt;60),GUS_tabl_2!$A$8:$B$464,GUS_tabl_21!$A$5:$B$4886),2,FALSE)))),TRIM(VLOOKUP(IF(AND(LEN($A1529)=4,VALUE(RIGHT($A1529,2))&gt;60),$A1529&amp;"01 1",$A1529),IF(AND(LEN($A1529)=4,VALUE(RIGHT($A1529,2))&lt;60),GUS_tabl_2!$A$8:$B$464,GUS_tabl_21!$A$5:$B$4886),2,FALSE)),LEFT(TRIM(VLOOKUP(IF(AND(LEN($A1529)=4,VALUE(RIGHT($A1529,2))&gt;60),$A1529&amp;"01 1",$A1529),IF(AND(LEN($A1529)=4,VALUE(RIGHT($A1529,2))&lt;60),GUS_tabl_2!$A$8:$B$464,GUS_tabl_21!$A$5:$B$4886),2,FALSE)),SUM(FIND("..",TRIM(VLOOKUP(IF(AND(LEN($A1529)=4,VALUE(RIGHT($A1529,2))&gt;60),$A1529&amp;"01 1",$A1529),IF(AND(LEN($A1529)=4,VALUE(RIGHT($A1529,2))&lt;60),GUS_tabl_2!$A$8:$B$464,GUS_tabl_21!$A$5:$B$4886),2,FALSE))),-1)))))</f>
        <v>gm. m.-w. Grodków</v>
      </c>
      <c r="D1529" s="141">
        <f>IF(OR($A1529="",ISERROR(VALUE(LEFT($A1529,6)))),"",IF(LEN($A1529)=2,SUMIF($A1530:$A$2965,$A1529&amp;"??",$D1530:$D$2965),IF(AND(LEN($A1529)=4,VALUE(RIGHT($A1529,2))&lt;=60),SUMIF($A1530:$A$2965,$A1529&amp;"????",$D1530:$D$2965),VLOOKUP(IF(LEN($A1529)=4,$A1529&amp;"01 1",$A1529),GUS_tabl_21!$A$5:$F$4886,6,FALSE))))</f>
        <v>19087</v>
      </c>
      <c r="E1529" s="29"/>
    </row>
    <row r="1530" spans="1:5" ht="12" customHeight="1">
      <c r="A1530" s="155" t="str">
        <f>"160104 3"</f>
        <v>160104 3</v>
      </c>
      <c r="B1530" s="153" t="s">
        <v>74</v>
      </c>
      <c r="C1530" s="156" t="str">
        <f>IF(OR($A1530="",ISERROR(VALUE(LEFT($A1530,6)))),"",IF(LEN($A1530)=2,"WOJ. ",IF(LEN($A1530)=4,IF(VALUE(RIGHT($A1530,2))&gt;60,"","Powiat "),IF(VALUE(RIGHT($A1530,1))=1,"m. ",IF(VALUE(RIGHT($A1530,1))=2,"gm. w. ",IF(VALUE(RIGHT($A1530,1))=8,"dz. ","gm. m.-w. ")))))&amp;IF(LEN($A1530)=2,TRIM(UPPER(VLOOKUP($A1530,GUS_tabl_1!$A$7:$B$22,2,FALSE))),IF(ISERROR(FIND("..",TRIM(VLOOKUP(IF(AND(LEN($A1530)=4,VALUE(RIGHT($A1530,2))&gt;60),$A1530&amp;"01 1",$A1530),IF(AND(LEN($A1530)=4,VALUE(RIGHT($A1530,2))&lt;60),GUS_tabl_2!$A$8:$B$464,GUS_tabl_21!$A$5:$B$4886),2,FALSE)))),TRIM(VLOOKUP(IF(AND(LEN($A1530)=4,VALUE(RIGHT($A1530,2))&gt;60),$A1530&amp;"01 1",$A1530),IF(AND(LEN($A1530)=4,VALUE(RIGHT($A1530,2))&lt;60),GUS_tabl_2!$A$8:$B$464,GUS_tabl_21!$A$5:$B$4886),2,FALSE)),LEFT(TRIM(VLOOKUP(IF(AND(LEN($A1530)=4,VALUE(RIGHT($A1530,2))&gt;60),$A1530&amp;"01 1",$A1530),IF(AND(LEN($A1530)=4,VALUE(RIGHT($A1530,2))&lt;60),GUS_tabl_2!$A$8:$B$464,GUS_tabl_21!$A$5:$B$4886),2,FALSE)),SUM(FIND("..",TRIM(VLOOKUP(IF(AND(LEN($A1530)=4,VALUE(RIGHT($A1530,2))&gt;60),$A1530&amp;"01 1",$A1530),IF(AND(LEN($A1530)=4,VALUE(RIGHT($A1530,2))&lt;60),GUS_tabl_2!$A$8:$B$464,GUS_tabl_21!$A$5:$B$4886),2,FALSE))),-1)))))</f>
        <v>gm. m.-w. Lewin Brzeski</v>
      </c>
      <c r="D1530" s="141">
        <f>IF(OR($A1530="",ISERROR(VALUE(LEFT($A1530,6)))),"",IF(LEN($A1530)=2,SUMIF($A1531:$A$2965,$A1530&amp;"??",$D1531:$D$2965),IF(AND(LEN($A1530)=4,VALUE(RIGHT($A1530,2))&lt;=60),SUMIF($A1531:$A$2965,$A1530&amp;"????",$D1531:$D$2965),VLOOKUP(IF(LEN($A1530)=4,$A1530&amp;"01 1",$A1530),GUS_tabl_21!$A$5:$F$4886,6,FALSE))))</f>
        <v>12940</v>
      </c>
      <c r="E1530" s="29"/>
    </row>
    <row r="1531" spans="1:5" ht="12" customHeight="1">
      <c r="A1531" s="155" t="str">
        <f>"160105 2"</f>
        <v>160105 2</v>
      </c>
      <c r="B1531" s="153" t="s">
        <v>74</v>
      </c>
      <c r="C1531" s="156" t="str">
        <f>IF(OR($A1531="",ISERROR(VALUE(LEFT($A1531,6)))),"",IF(LEN($A1531)=2,"WOJ. ",IF(LEN($A1531)=4,IF(VALUE(RIGHT($A1531,2))&gt;60,"","Powiat "),IF(VALUE(RIGHT($A1531,1))=1,"m. ",IF(VALUE(RIGHT($A1531,1))=2,"gm. w. ",IF(VALUE(RIGHT($A1531,1))=8,"dz. ","gm. m.-w. ")))))&amp;IF(LEN($A1531)=2,TRIM(UPPER(VLOOKUP($A1531,GUS_tabl_1!$A$7:$B$22,2,FALSE))),IF(ISERROR(FIND("..",TRIM(VLOOKUP(IF(AND(LEN($A1531)=4,VALUE(RIGHT($A1531,2))&gt;60),$A1531&amp;"01 1",$A1531),IF(AND(LEN($A1531)=4,VALUE(RIGHT($A1531,2))&lt;60),GUS_tabl_2!$A$8:$B$464,GUS_tabl_21!$A$5:$B$4886),2,FALSE)))),TRIM(VLOOKUP(IF(AND(LEN($A1531)=4,VALUE(RIGHT($A1531,2))&gt;60),$A1531&amp;"01 1",$A1531),IF(AND(LEN($A1531)=4,VALUE(RIGHT($A1531,2))&lt;60),GUS_tabl_2!$A$8:$B$464,GUS_tabl_21!$A$5:$B$4886),2,FALSE)),LEFT(TRIM(VLOOKUP(IF(AND(LEN($A1531)=4,VALUE(RIGHT($A1531,2))&gt;60),$A1531&amp;"01 1",$A1531),IF(AND(LEN($A1531)=4,VALUE(RIGHT($A1531,2))&lt;60),GUS_tabl_2!$A$8:$B$464,GUS_tabl_21!$A$5:$B$4886),2,FALSE)),SUM(FIND("..",TRIM(VLOOKUP(IF(AND(LEN($A1531)=4,VALUE(RIGHT($A1531,2))&gt;60),$A1531&amp;"01 1",$A1531),IF(AND(LEN($A1531)=4,VALUE(RIGHT($A1531,2))&lt;60),GUS_tabl_2!$A$8:$B$464,GUS_tabl_21!$A$5:$B$4886),2,FALSE))),-1)))))</f>
        <v>gm. w. Lubsza</v>
      </c>
      <c r="D1531" s="141">
        <f>IF(OR($A1531="",ISERROR(VALUE(LEFT($A1531,6)))),"",IF(LEN($A1531)=2,SUMIF($A1532:$A$2965,$A1531&amp;"??",$D1532:$D$2965),IF(AND(LEN($A1531)=4,VALUE(RIGHT($A1531,2))&lt;=60),SUMIF($A1532:$A$2965,$A1531&amp;"????",$D1532:$D$2965),VLOOKUP(IF(LEN($A1531)=4,$A1531&amp;"01 1",$A1531),GUS_tabl_21!$A$5:$F$4886,6,FALSE))))</f>
        <v>8984</v>
      </c>
      <c r="E1531" s="29"/>
    </row>
    <row r="1532" spans="1:5" ht="12" customHeight="1">
      <c r="A1532" s="155" t="str">
        <f>"160106 2"</f>
        <v>160106 2</v>
      </c>
      <c r="B1532" s="153" t="s">
        <v>74</v>
      </c>
      <c r="C1532" s="156" t="str">
        <f>IF(OR($A1532="",ISERROR(VALUE(LEFT($A1532,6)))),"",IF(LEN($A1532)=2,"WOJ. ",IF(LEN($A1532)=4,IF(VALUE(RIGHT($A1532,2))&gt;60,"","Powiat "),IF(VALUE(RIGHT($A1532,1))=1,"m. ",IF(VALUE(RIGHT($A1532,1))=2,"gm. w. ",IF(VALUE(RIGHT($A1532,1))=8,"dz. ","gm. m.-w. ")))))&amp;IF(LEN($A1532)=2,TRIM(UPPER(VLOOKUP($A1532,GUS_tabl_1!$A$7:$B$22,2,FALSE))),IF(ISERROR(FIND("..",TRIM(VLOOKUP(IF(AND(LEN($A1532)=4,VALUE(RIGHT($A1532,2))&gt;60),$A1532&amp;"01 1",$A1532),IF(AND(LEN($A1532)=4,VALUE(RIGHT($A1532,2))&lt;60),GUS_tabl_2!$A$8:$B$464,GUS_tabl_21!$A$5:$B$4886),2,FALSE)))),TRIM(VLOOKUP(IF(AND(LEN($A1532)=4,VALUE(RIGHT($A1532,2))&gt;60),$A1532&amp;"01 1",$A1532),IF(AND(LEN($A1532)=4,VALUE(RIGHT($A1532,2))&lt;60),GUS_tabl_2!$A$8:$B$464,GUS_tabl_21!$A$5:$B$4886),2,FALSE)),LEFT(TRIM(VLOOKUP(IF(AND(LEN($A1532)=4,VALUE(RIGHT($A1532,2))&gt;60),$A1532&amp;"01 1",$A1532),IF(AND(LEN($A1532)=4,VALUE(RIGHT($A1532,2))&lt;60),GUS_tabl_2!$A$8:$B$464,GUS_tabl_21!$A$5:$B$4886),2,FALSE)),SUM(FIND("..",TRIM(VLOOKUP(IF(AND(LEN($A1532)=4,VALUE(RIGHT($A1532,2))&gt;60),$A1532&amp;"01 1",$A1532),IF(AND(LEN($A1532)=4,VALUE(RIGHT($A1532,2))&lt;60),GUS_tabl_2!$A$8:$B$464,GUS_tabl_21!$A$5:$B$4886),2,FALSE))),-1)))))</f>
        <v>gm. w. Olszanka</v>
      </c>
      <c r="D1532" s="141">
        <f>IF(OR($A1532="",ISERROR(VALUE(LEFT($A1532,6)))),"",IF(LEN($A1532)=2,SUMIF($A1533:$A$2965,$A1532&amp;"??",$D1533:$D$2965),IF(AND(LEN($A1532)=4,VALUE(RIGHT($A1532,2))&lt;=60),SUMIF($A1533:$A$2965,$A1532&amp;"????",$D1533:$D$2965),VLOOKUP(IF(LEN($A1532)=4,$A1532&amp;"01 1",$A1532),GUS_tabl_21!$A$5:$F$4886,6,FALSE))))</f>
        <v>4867</v>
      </c>
      <c r="E1532" s="29"/>
    </row>
    <row r="1533" spans="1:5" ht="12" customHeight="1">
      <c r="A1533" s="152" t="str">
        <f>"1602"</f>
        <v>1602</v>
      </c>
      <c r="B1533" s="153" t="s">
        <v>74</v>
      </c>
      <c r="C1533" s="154" t="str">
        <f>IF(OR($A1533="",ISERROR(VALUE(LEFT($A1533,6)))),"",IF(LEN($A1533)=2,"WOJ. ",IF(LEN($A1533)=4,IF(VALUE(RIGHT($A1533,2))&gt;60,"","Powiat "),IF(VALUE(RIGHT($A1533,1))=1,"m. ",IF(VALUE(RIGHT($A1533,1))=2,"gm. w. ",IF(VALUE(RIGHT($A1533,1))=8,"dz. ","gm. m.-w. ")))))&amp;IF(LEN($A1533)=2,TRIM(UPPER(VLOOKUP($A1533,GUS_tabl_1!$A$7:$B$22,2,FALSE))),IF(ISERROR(FIND("..",TRIM(VLOOKUP(IF(AND(LEN($A1533)=4,VALUE(RIGHT($A1533,2))&gt;60),$A1533&amp;"01 1",$A1533),IF(AND(LEN($A1533)=4,VALUE(RIGHT($A1533,2))&lt;60),GUS_tabl_2!$A$8:$B$464,GUS_tabl_21!$A$5:$B$4886),2,FALSE)))),TRIM(VLOOKUP(IF(AND(LEN($A1533)=4,VALUE(RIGHT($A1533,2))&gt;60),$A1533&amp;"01 1",$A1533),IF(AND(LEN($A1533)=4,VALUE(RIGHT($A1533,2))&lt;60),GUS_tabl_2!$A$8:$B$464,GUS_tabl_21!$A$5:$B$4886),2,FALSE)),LEFT(TRIM(VLOOKUP(IF(AND(LEN($A1533)=4,VALUE(RIGHT($A1533,2))&gt;60),$A1533&amp;"01 1",$A1533),IF(AND(LEN($A1533)=4,VALUE(RIGHT($A1533,2))&lt;60),GUS_tabl_2!$A$8:$B$464,GUS_tabl_21!$A$5:$B$4886),2,FALSE)),SUM(FIND("..",TRIM(VLOOKUP(IF(AND(LEN($A1533)=4,VALUE(RIGHT($A1533,2))&gt;60),$A1533&amp;"01 1",$A1533),IF(AND(LEN($A1533)=4,VALUE(RIGHT($A1533,2))&lt;60),GUS_tabl_2!$A$8:$B$464,GUS_tabl_21!$A$5:$B$4886),2,FALSE))),-1)))))</f>
        <v>Powiat głubczycki</v>
      </c>
      <c r="D1533" s="140">
        <f>IF(OR($A1533="",ISERROR(VALUE(LEFT($A1533,6)))),"",IF(LEN($A1533)=2,SUMIF($A1534:$A$2965,$A1533&amp;"??",$D1534:$D$2965),IF(AND(LEN($A1533)=4,VALUE(RIGHT($A1533,2))&lt;=60),SUMIF($A1534:$A$2965,$A1533&amp;"????",$D1534:$D$2965),VLOOKUP(IF(LEN($A1533)=4,$A1533&amp;"01 1",$A1533),GUS_tabl_21!$A$5:$F$4886,6,FALSE))))</f>
        <v>45552</v>
      </c>
      <c r="E1533" s="29"/>
    </row>
    <row r="1534" spans="1:5" ht="12" customHeight="1">
      <c r="A1534" s="155" t="str">
        <f>"160201 3"</f>
        <v>160201 3</v>
      </c>
      <c r="B1534" s="153" t="s">
        <v>74</v>
      </c>
      <c r="C1534" s="156" t="str">
        <f>IF(OR($A1534="",ISERROR(VALUE(LEFT($A1534,6)))),"",IF(LEN($A1534)=2,"WOJ. ",IF(LEN($A1534)=4,IF(VALUE(RIGHT($A1534,2))&gt;60,"","Powiat "),IF(VALUE(RIGHT($A1534,1))=1,"m. ",IF(VALUE(RIGHT($A1534,1))=2,"gm. w. ",IF(VALUE(RIGHT($A1534,1))=8,"dz. ","gm. m.-w. ")))))&amp;IF(LEN($A1534)=2,TRIM(UPPER(VLOOKUP($A1534,GUS_tabl_1!$A$7:$B$22,2,FALSE))),IF(ISERROR(FIND("..",TRIM(VLOOKUP(IF(AND(LEN($A1534)=4,VALUE(RIGHT($A1534,2))&gt;60),$A1534&amp;"01 1",$A1534),IF(AND(LEN($A1534)=4,VALUE(RIGHT($A1534,2))&lt;60),GUS_tabl_2!$A$8:$B$464,GUS_tabl_21!$A$5:$B$4886),2,FALSE)))),TRIM(VLOOKUP(IF(AND(LEN($A1534)=4,VALUE(RIGHT($A1534,2))&gt;60),$A1534&amp;"01 1",$A1534),IF(AND(LEN($A1534)=4,VALUE(RIGHT($A1534,2))&lt;60),GUS_tabl_2!$A$8:$B$464,GUS_tabl_21!$A$5:$B$4886),2,FALSE)),LEFT(TRIM(VLOOKUP(IF(AND(LEN($A1534)=4,VALUE(RIGHT($A1534,2))&gt;60),$A1534&amp;"01 1",$A1534),IF(AND(LEN($A1534)=4,VALUE(RIGHT($A1534,2))&lt;60),GUS_tabl_2!$A$8:$B$464,GUS_tabl_21!$A$5:$B$4886),2,FALSE)),SUM(FIND("..",TRIM(VLOOKUP(IF(AND(LEN($A1534)=4,VALUE(RIGHT($A1534,2))&gt;60),$A1534&amp;"01 1",$A1534),IF(AND(LEN($A1534)=4,VALUE(RIGHT($A1534,2))&lt;60),GUS_tabl_2!$A$8:$B$464,GUS_tabl_21!$A$5:$B$4886),2,FALSE))),-1)))))</f>
        <v>gm. m.-w. Baborów</v>
      </c>
      <c r="D1534" s="141">
        <f>IF(OR($A1534="",ISERROR(VALUE(LEFT($A1534,6)))),"",IF(LEN($A1534)=2,SUMIF($A1535:$A$2965,$A1534&amp;"??",$D1535:$D$2965),IF(AND(LEN($A1534)=4,VALUE(RIGHT($A1534,2))&lt;=60),SUMIF($A1535:$A$2965,$A1534&amp;"????",$D1535:$D$2965),VLOOKUP(IF(LEN($A1534)=4,$A1534&amp;"01 1",$A1534),GUS_tabl_21!$A$5:$F$4886,6,FALSE))))</f>
        <v>5976</v>
      </c>
      <c r="E1534" s="29"/>
    </row>
    <row r="1535" spans="1:5" ht="12" customHeight="1">
      <c r="A1535" s="155" t="str">
        <f>"160202 2"</f>
        <v>160202 2</v>
      </c>
      <c r="B1535" s="153" t="s">
        <v>74</v>
      </c>
      <c r="C1535" s="156" t="str">
        <f>IF(OR($A1535="",ISERROR(VALUE(LEFT($A1535,6)))),"",IF(LEN($A1535)=2,"WOJ. ",IF(LEN($A1535)=4,IF(VALUE(RIGHT($A1535,2))&gt;60,"","Powiat "),IF(VALUE(RIGHT($A1535,1))=1,"m. ",IF(VALUE(RIGHT($A1535,1))=2,"gm. w. ",IF(VALUE(RIGHT($A1535,1))=8,"dz. ","gm. m.-w. ")))))&amp;IF(LEN($A1535)=2,TRIM(UPPER(VLOOKUP($A1535,GUS_tabl_1!$A$7:$B$22,2,FALSE))),IF(ISERROR(FIND("..",TRIM(VLOOKUP(IF(AND(LEN($A1535)=4,VALUE(RIGHT($A1535,2))&gt;60),$A1535&amp;"01 1",$A1535),IF(AND(LEN($A1535)=4,VALUE(RIGHT($A1535,2))&lt;60),GUS_tabl_2!$A$8:$B$464,GUS_tabl_21!$A$5:$B$4886),2,FALSE)))),TRIM(VLOOKUP(IF(AND(LEN($A1535)=4,VALUE(RIGHT($A1535,2))&gt;60),$A1535&amp;"01 1",$A1535),IF(AND(LEN($A1535)=4,VALUE(RIGHT($A1535,2))&lt;60),GUS_tabl_2!$A$8:$B$464,GUS_tabl_21!$A$5:$B$4886),2,FALSE)),LEFT(TRIM(VLOOKUP(IF(AND(LEN($A1535)=4,VALUE(RIGHT($A1535,2))&gt;60),$A1535&amp;"01 1",$A1535),IF(AND(LEN($A1535)=4,VALUE(RIGHT($A1535,2))&lt;60),GUS_tabl_2!$A$8:$B$464,GUS_tabl_21!$A$5:$B$4886),2,FALSE)),SUM(FIND("..",TRIM(VLOOKUP(IF(AND(LEN($A1535)=4,VALUE(RIGHT($A1535,2))&gt;60),$A1535&amp;"01 1",$A1535),IF(AND(LEN($A1535)=4,VALUE(RIGHT($A1535,2))&lt;60),GUS_tabl_2!$A$8:$B$464,GUS_tabl_21!$A$5:$B$4886),2,FALSE))),-1)))))</f>
        <v>gm. w. Branice</v>
      </c>
      <c r="D1535" s="141">
        <f>IF(OR($A1535="",ISERROR(VALUE(LEFT($A1535,6)))),"",IF(LEN($A1535)=2,SUMIF($A1536:$A$2965,$A1535&amp;"??",$D1536:$D$2965),IF(AND(LEN($A1535)=4,VALUE(RIGHT($A1535,2))&lt;=60),SUMIF($A1536:$A$2965,$A1535&amp;"????",$D1536:$D$2965),VLOOKUP(IF(LEN($A1535)=4,$A1535&amp;"01 1",$A1535),GUS_tabl_21!$A$5:$F$4886,6,FALSE))))</f>
        <v>6474</v>
      </c>
      <c r="E1535" s="29"/>
    </row>
    <row r="1536" spans="1:5" ht="12" customHeight="1">
      <c r="A1536" s="155" t="str">
        <f>"160203 3"</f>
        <v>160203 3</v>
      </c>
      <c r="B1536" s="153" t="s">
        <v>74</v>
      </c>
      <c r="C1536" s="156" t="str">
        <f>IF(OR($A1536="",ISERROR(VALUE(LEFT($A1536,6)))),"",IF(LEN($A1536)=2,"WOJ. ",IF(LEN($A1536)=4,IF(VALUE(RIGHT($A1536,2))&gt;60,"","Powiat "),IF(VALUE(RIGHT($A1536,1))=1,"m. ",IF(VALUE(RIGHT($A1536,1))=2,"gm. w. ",IF(VALUE(RIGHT($A1536,1))=8,"dz. ","gm. m.-w. ")))))&amp;IF(LEN($A1536)=2,TRIM(UPPER(VLOOKUP($A1536,GUS_tabl_1!$A$7:$B$22,2,FALSE))),IF(ISERROR(FIND("..",TRIM(VLOOKUP(IF(AND(LEN($A1536)=4,VALUE(RIGHT($A1536,2))&gt;60),$A1536&amp;"01 1",$A1536),IF(AND(LEN($A1536)=4,VALUE(RIGHT($A1536,2))&lt;60),GUS_tabl_2!$A$8:$B$464,GUS_tabl_21!$A$5:$B$4886),2,FALSE)))),TRIM(VLOOKUP(IF(AND(LEN($A1536)=4,VALUE(RIGHT($A1536,2))&gt;60),$A1536&amp;"01 1",$A1536),IF(AND(LEN($A1536)=4,VALUE(RIGHT($A1536,2))&lt;60),GUS_tabl_2!$A$8:$B$464,GUS_tabl_21!$A$5:$B$4886),2,FALSE)),LEFT(TRIM(VLOOKUP(IF(AND(LEN($A1536)=4,VALUE(RIGHT($A1536,2))&gt;60),$A1536&amp;"01 1",$A1536),IF(AND(LEN($A1536)=4,VALUE(RIGHT($A1536,2))&lt;60),GUS_tabl_2!$A$8:$B$464,GUS_tabl_21!$A$5:$B$4886),2,FALSE)),SUM(FIND("..",TRIM(VLOOKUP(IF(AND(LEN($A1536)=4,VALUE(RIGHT($A1536,2))&gt;60),$A1536&amp;"01 1",$A1536),IF(AND(LEN($A1536)=4,VALUE(RIGHT($A1536,2))&lt;60),GUS_tabl_2!$A$8:$B$464,GUS_tabl_21!$A$5:$B$4886),2,FALSE))),-1)))))</f>
        <v>gm. m.-w. Głubczyce</v>
      </c>
      <c r="D1536" s="141">
        <f>IF(OR($A1536="",ISERROR(VALUE(LEFT($A1536,6)))),"",IF(LEN($A1536)=2,SUMIF($A1537:$A$2965,$A1536&amp;"??",$D1537:$D$2965),IF(AND(LEN($A1536)=4,VALUE(RIGHT($A1536,2))&lt;=60),SUMIF($A1537:$A$2965,$A1536&amp;"????",$D1537:$D$2965),VLOOKUP(IF(LEN($A1536)=4,$A1536&amp;"01 1",$A1536),GUS_tabl_21!$A$5:$F$4886,6,FALSE))))</f>
        <v>22280</v>
      </c>
      <c r="E1536" s="29"/>
    </row>
    <row r="1537" spans="1:5" ht="12" customHeight="1">
      <c r="A1537" s="155" t="str">
        <f>"160204 3"</f>
        <v>160204 3</v>
      </c>
      <c r="B1537" s="153" t="s">
        <v>74</v>
      </c>
      <c r="C1537" s="156" t="str">
        <f>IF(OR($A1537="",ISERROR(VALUE(LEFT($A1537,6)))),"",IF(LEN($A1537)=2,"WOJ. ",IF(LEN($A1537)=4,IF(VALUE(RIGHT($A1537,2))&gt;60,"","Powiat "),IF(VALUE(RIGHT($A1537,1))=1,"m. ",IF(VALUE(RIGHT($A1537,1))=2,"gm. w. ",IF(VALUE(RIGHT($A1537,1))=8,"dz. ","gm. m.-w. ")))))&amp;IF(LEN($A1537)=2,TRIM(UPPER(VLOOKUP($A1537,GUS_tabl_1!$A$7:$B$22,2,FALSE))),IF(ISERROR(FIND("..",TRIM(VLOOKUP(IF(AND(LEN($A1537)=4,VALUE(RIGHT($A1537,2))&gt;60),$A1537&amp;"01 1",$A1537),IF(AND(LEN($A1537)=4,VALUE(RIGHT($A1537,2))&lt;60),GUS_tabl_2!$A$8:$B$464,GUS_tabl_21!$A$5:$B$4886),2,FALSE)))),TRIM(VLOOKUP(IF(AND(LEN($A1537)=4,VALUE(RIGHT($A1537,2))&gt;60),$A1537&amp;"01 1",$A1537),IF(AND(LEN($A1537)=4,VALUE(RIGHT($A1537,2))&lt;60),GUS_tabl_2!$A$8:$B$464,GUS_tabl_21!$A$5:$B$4886),2,FALSE)),LEFT(TRIM(VLOOKUP(IF(AND(LEN($A1537)=4,VALUE(RIGHT($A1537,2))&gt;60),$A1537&amp;"01 1",$A1537),IF(AND(LEN($A1537)=4,VALUE(RIGHT($A1537,2))&lt;60),GUS_tabl_2!$A$8:$B$464,GUS_tabl_21!$A$5:$B$4886),2,FALSE)),SUM(FIND("..",TRIM(VLOOKUP(IF(AND(LEN($A1537)=4,VALUE(RIGHT($A1537,2))&gt;60),$A1537&amp;"01 1",$A1537),IF(AND(LEN($A1537)=4,VALUE(RIGHT($A1537,2))&lt;60),GUS_tabl_2!$A$8:$B$464,GUS_tabl_21!$A$5:$B$4886),2,FALSE))),-1)))))</f>
        <v>gm. m.-w. Kietrz</v>
      </c>
      <c r="D1537" s="141">
        <f>IF(OR($A1537="",ISERROR(VALUE(LEFT($A1537,6)))),"",IF(LEN($A1537)=2,SUMIF($A1538:$A$2965,$A1537&amp;"??",$D1538:$D$2965),IF(AND(LEN($A1537)=4,VALUE(RIGHT($A1537,2))&lt;=60),SUMIF($A1538:$A$2965,$A1537&amp;"????",$D1538:$D$2965),VLOOKUP(IF(LEN($A1537)=4,$A1537&amp;"01 1",$A1537),GUS_tabl_21!$A$5:$F$4886,6,FALSE))))</f>
        <v>10822</v>
      </c>
      <c r="E1537" s="29"/>
    </row>
    <row r="1538" spans="1:5" ht="12" customHeight="1">
      <c r="A1538" s="152" t="str">
        <f>"1603"</f>
        <v>1603</v>
      </c>
      <c r="B1538" s="153" t="s">
        <v>74</v>
      </c>
      <c r="C1538" s="154" t="str">
        <f>IF(OR($A1538="",ISERROR(VALUE(LEFT($A1538,6)))),"",IF(LEN($A1538)=2,"WOJ. ",IF(LEN($A1538)=4,IF(VALUE(RIGHT($A1538,2))&gt;60,"","Powiat "),IF(VALUE(RIGHT($A1538,1))=1,"m. ",IF(VALUE(RIGHT($A1538,1))=2,"gm. w. ",IF(VALUE(RIGHT($A1538,1))=8,"dz. ","gm. m.-w. ")))))&amp;IF(LEN($A1538)=2,TRIM(UPPER(VLOOKUP($A1538,GUS_tabl_1!$A$7:$B$22,2,FALSE))),IF(ISERROR(FIND("..",TRIM(VLOOKUP(IF(AND(LEN($A1538)=4,VALUE(RIGHT($A1538,2))&gt;60),$A1538&amp;"01 1",$A1538),IF(AND(LEN($A1538)=4,VALUE(RIGHT($A1538,2))&lt;60),GUS_tabl_2!$A$8:$B$464,GUS_tabl_21!$A$5:$B$4886),2,FALSE)))),TRIM(VLOOKUP(IF(AND(LEN($A1538)=4,VALUE(RIGHT($A1538,2))&gt;60),$A1538&amp;"01 1",$A1538),IF(AND(LEN($A1538)=4,VALUE(RIGHT($A1538,2))&lt;60),GUS_tabl_2!$A$8:$B$464,GUS_tabl_21!$A$5:$B$4886),2,FALSE)),LEFT(TRIM(VLOOKUP(IF(AND(LEN($A1538)=4,VALUE(RIGHT($A1538,2))&gt;60),$A1538&amp;"01 1",$A1538),IF(AND(LEN($A1538)=4,VALUE(RIGHT($A1538,2))&lt;60),GUS_tabl_2!$A$8:$B$464,GUS_tabl_21!$A$5:$B$4886),2,FALSE)),SUM(FIND("..",TRIM(VLOOKUP(IF(AND(LEN($A1538)=4,VALUE(RIGHT($A1538,2))&gt;60),$A1538&amp;"01 1",$A1538),IF(AND(LEN($A1538)=4,VALUE(RIGHT($A1538,2))&lt;60),GUS_tabl_2!$A$8:$B$464,GUS_tabl_21!$A$5:$B$4886),2,FALSE))),-1)))))</f>
        <v>Powiat kędzierzyńsko-kozielski</v>
      </c>
      <c r="D1538" s="140">
        <f>IF(OR($A1538="",ISERROR(VALUE(LEFT($A1538,6)))),"",IF(LEN($A1538)=2,SUMIF($A1539:$A$2965,$A1538&amp;"??",$D1539:$D$2965),IF(AND(LEN($A1538)=4,VALUE(RIGHT($A1538,2))&lt;=60),SUMIF($A1539:$A$2965,$A1538&amp;"????",$D1539:$D$2965),VLOOKUP(IF(LEN($A1538)=4,$A1538&amp;"01 1",$A1538),GUS_tabl_21!$A$5:$F$4886,6,FALSE))))</f>
        <v>93880</v>
      </c>
      <c r="E1538" s="29"/>
    </row>
    <row r="1539" spans="1:5" ht="12" customHeight="1">
      <c r="A1539" s="155" t="str">
        <f>"160301 1"</f>
        <v>160301 1</v>
      </c>
      <c r="B1539" s="153" t="s">
        <v>74</v>
      </c>
      <c r="C1539" s="156" t="str">
        <f>IF(OR($A1539="",ISERROR(VALUE(LEFT($A1539,6)))),"",IF(LEN($A1539)=2,"WOJ. ",IF(LEN($A1539)=4,IF(VALUE(RIGHT($A1539,2))&gt;60,"","Powiat "),IF(VALUE(RIGHT($A1539,1))=1,"m. ",IF(VALUE(RIGHT($A1539,1))=2,"gm. w. ",IF(VALUE(RIGHT($A1539,1))=8,"dz. ","gm. m.-w. ")))))&amp;IF(LEN($A1539)=2,TRIM(UPPER(VLOOKUP($A1539,GUS_tabl_1!$A$7:$B$22,2,FALSE))),IF(ISERROR(FIND("..",TRIM(VLOOKUP(IF(AND(LEN($A1539)=4,VALUE(RIGHT($A1539,2))&gt;60),$A1539&amp;"01 1",$A1539),IF(AND(LEN($A1539)=4,VALUE(RIGHT($A1539,2))&lt;60),GUS_tabl_2!$A$8:$B$464,GUS_tabl_21!$A$5:$B$4886),2,FALSE)))),TRIM(VLOOKUP(IF(AND(LEN($A1539)=4,VALUE(RIGHT($A1539,2))&gt;60),$A1539&amp;"01 1",$A1539),IF(AND(LEN($A1539)=4,VALUE(RIGHT($A1539,2))&lt;60),GUS_tabl_2!$A$8:$B$464,GUS_tabl_21!$A$5:$B$4886),2,FALSE)),LEFT(TRIM(VLOOKUP(IF(AND(LEN($A1539)=4,VALUE(RIGHT($A1539,2))&gt;60),$A1539&amp;"01 1",$A1539),IF(AND(LEN($A1539)=4,VALUE(RIGHT($A1539,2))&lt;60),GUS_tabl_2!$A$8:$B$464,GUS_tabl_21!$A$5:$B$4886),2,FALSE)),SUM(FIND("..",TRIM(VLOOKUP(IF(AND(LEN($A1539)=4,VALUE(RIGHT($A1539,2))&gt;60),$A1539&amp;"01 1",$A1539),IF(AND(LEN($A1539)=4,VALUE(RIGHT($A1539,2))&lt;60),GUS_tabl_2!$A$8:$B$464,GUS_tabl_21!$A$5:$B$4886),2,FALSE))),-1)))))</f>
        <v>m. Kędzierzyn-Koźle</v>
      </c>
      <c r="D1539" s="141">
        <f>IF(OR($A1539="",ISERROR(VALUE(LEFT($A1539,6)))),"",IF(LEN($A1539)=2,SUMIF($A1540:$A$2965,$A1539&amp;"??",$D1540:$D$2965),IF(AND(LEN($A1539)=4,VALUE(RIGHT($A1539,2))&lt;=60),SUMIF($A1540:$A$2965,$A1539&amp;"????",$D1540:$D$2965),VLOOKUP(IF(LEN($A1539)=4,$A1539&amp;"01 1",$A1539),GUS_tabl_21!$A$5:$F$4886,6,FALSE))))</f>
        <v>60641</v>
      </c>
      <c r="E1539" s="29"/>
    </row>
    <row r="1540" spans="1:5" ht="12" customHeight="1">
      <c r="A1540" s="155" t="str">
        <f>"160302 2"</f>
        <v>160302 2</v>
      </c>
      <c r="B1540" s="153" t="s">
        <v>74</v>
      </c>
      <c r="C1540" s="156" t="str">
        <f>IF(OR($A1540="",ISERROR(VALUE(LEFT($A1540,6)))),"",IF(LEN($A1540)=2,"WOJ. ",IF(LEN($A1540)=4,IF(VALUE(RIGHT($A1540,2))&gt;60,"","Powiat "),IF(VALUE(RIGHT($A1540,1))=1,"m. ",IF(VALUE(RIGHT($A1540,1))=2,"gm. w. ",IF(VALUE(RIGHT($A1540,1))=8,"dz. ","gm. m.-w. ")))))&amp;IF(LEN($A1540)=2,TRIM(UPPER(VLOOKUP($A1540,GUS_tabl_1!$A$7:$B$22,2,FALSE))),IF(ISERROR(FIND("..",TRIM(VLOOKUP(IF(AND(LEN($A1540)=4,VALUE(RIGHT($A1540,2))&gt;60),$A1540&amp;"01 1",$A1540),IF(AND(LEN($A1540)=4,VALUE(RIGHT($A1540,2))&lt;60),GUS_tabl_2!$A$8:$B$464,GUS_tabl_21!$A$5:$B$4886),2,FALSE)))),TRIM(VLOOKUP(IF(AND(LEN($A1540)=4,VALUE(RIGHT($A1540,2))&gt;60),$A1540&amp;"01 1",$A1540),IF(AND(LEN($A1540)=4,VALUE(RIGHT($A1540,2))&lt;60),GUS_tabl_2!$A$8:$B$464,GUS_tabl_21!$A$5:$B$4886),2,FALSE)),LEFT(TRIM(VLOOKUP(IF(AND(LEN($A1540)=4,VALUE(RIGHT($A1540,2))&gt;60),$A1540&amp;"01 1",$A1540),IF(AND(LEN($A1540)=4,VALUE(RIGHT($A1540,2))&lt;60),GUS_tabl_2!$A$8:$B$464,GUS_tabl_21!$A$5:$B$4886),2,FALSE)),SUM(FIND("..",TRIM(VLOOKUP(IF(AND(LEN($A1540)=4,VALUE(RIGHT($A1540,2))&gt;60),$A1540&amp;"01 1",$A1540),IF(AND(LEN($A1540)=4,VALUE(RIGHT($A1540,2))&lt;60),GUS_tabl_2!$A$8:$B$464,GUS_tabl_21!$A$5:$B$4886),2,FALSE))),-1)))))</f>
        <v>gm. w. Bierawa</v>
      </c>
      <c r="D1540" s="141">
        <f>IF(OR($A1540="",ISERROR(VALUE(LEFT($A1540,6)))),"",IF(LEN($A1540)=2,SUMIF($A1541:$A$2965,$A1540&amp;"??",$D1541:$D$2965),IF(AND(LEN($A1540)=4,VALUE(RIGHT($A1540,2))&lt;=60),SUMIF($A1541:$A$2965,$A1540&amp;"????",$D1541:$D$2965),VLOOKUP(IF(LEN($A1540)=4,$A1540&amp;"01 1",$A1540),GUS_tabl_21!$A$5:$F$4886,6,FALSE))))</f>
        <v>7912</v>
      </c>
      <c r="E1540" s="29"/>
    </row>
    <row r="1541" spans="1:5" ht="12" customHeight="1">
      <c r="A1541" s="155" t="str">
        <f>"160303 2"</f>
        <v>160303 2</v>
      </c>
      <c r="B1541" s="153" t="s">
        <v>74</v>
      </c>
      <c r="C1541" s="156" t="str">
        <f>IF(OR($A1541="",ISERROR(VALUE(LEFT($A1541,6)))),"",IF(LEN($A1541)=2,"WOJ. ",IF(LEN($A1541)=4,IF(VALUE(RIGHT($A1541,2))&gt;60,"","Powiat "),IF(VALUE(RIGHT($A1541,1))=1,"m. ",IF(VALUE(RIGHT($A1541,1))=2,"gm. w. ",IF(VALUE(RIGHT($A1541,1))=8,"dz. ","gm. m.-w. ")))))&amp;IF(LEN($A1541)=2,TRIM(UPPER(VLOOKUP($A1541,GUS_tabl_1!$A$7:$B$22,2,FALSE))),IF(ISERROR(FIND("..",TRIM(VLOOKUP(IF(AND(LEN($A1541)=4,VALUE(RIGHT($A1541,2))&gt;60),$A1541&amp;"01 1",$A1541),IF(AND(LEN($A1541)=4,VALUE(RIGHT($A1541,2))&lt;60),GUS_tabl_2!$A$8:$B$464,GUS_tabl_21!$A$5:$B$4886),2,FALSE)))),TRIM(VLOOKUP(IF(AND(LEN($A1541)=4,VALUE(RIGHT($A1541,2))&gt;60),$A1541&amp;"01 1",$A1541),IF(AND(LEN($A1541)=4,VALUE(RIGHT($A1541,2))&lt;60),GUS_tabl_2!$A$8:$B$464,GUS_tabl_21!$A$5:$B$4886),2,FALSE)),LEFT(TRIM(VLOOKUP(IF(AND(LEN($A1541)=4,VALUE(RIGHT($A1541,2))&gt;60),$A1541&amp;"01 1",$A1541),IF(AND(LEN($A1541)=4,VALUE(RIGHT($A1541,2))&lt;60),GUS_tabl_2!$A$8:$B$464,GUS_tabl_21!$A$5:$B$4886),2,FALSE)),SUM(FIND("..",TRIM(VLOOKUP(IF(AND(LEN($A1541)=4,VALUE(RIGHT($A1541,2))&gt;60),$A1541&amp;"01 1",$A1541),IF(AND(LEN($A1541)=4,VALUE(RIGHT($A1541,2))&lt;60),GUS_tabl_2!$A$8:$B$464,GUS_tabl_21!$A$5:$B$4886),2,FALSE))),-1)))))</f>
        <v>gm. w. Cisek</v>
      </c>
      <c r="D1541" s="141">
        <f>IF(OR($A1541="",ISERROR(VALUE(LEFT($A1541,6)))),"",IF(LEN($A1541)=2,SUMIF($A1542:$A$2965,$A1541&amp;"??",$D1542:$D$2965),IF(AND(LEN($A1541)=4,VALUE(RIGHT($A1541,2))&lt;=60),SUMIF($A1542:$A$2965,$A1541&amp;"????",$D1542:$D$2965),VLOOKUP(IF(LEN($A1541)=4,$A1541&amp;"01 1",$A1541),GUS_tabl_21!$A$5:$F$4886,6,FALSE))))</f>
        <v>5593</v>
      </c>
      <c r="E1541" s="29"/>
    </row>
    <row r="1542" spans="1:5" ht="12" customHeight="1">
      <c r="A1542" s="155" t="str">
        <f>"160304 2"</f>
        <v>160304 2</v>
      </c>
      <c r="B1542" s="153" t="s">
        <v>74</v>
      </c>
      <c r="C1542" s="156" t="str">
        <f>IF(OR($A1542="",ISERROR(VALUE(LEFT($A1542,6)))),"",IF(LEN($A1542)=2,"WOJ. ",IF(LEN($A1542)=4,IF(VALUE(RIGHT($A1542,2))&gt;60,"","Powiat "),IF(VALUE(RIGHT($A1542,1))=1,"m. ",IF(VALUE(RIGHT($A1542,1))=2,"gm. w. ",IF(VALUE(RIGHT($A1542,1))=8,"dz. ","gm. m.-w. ")))))&amp;IF(LEN($A1542)=2,TRIM(UPPER(VLOOKUP($A1542,GUS_tabl_1!$A$7:$B$22,2,FALSE))),IF(ISERROR(FIND("..",TRIM(VLOOKUP(IF(AND(LEN($A1542)=4,VALUE(RIGHT($A1542,2))&gt;60),$A1542&amp;"01 1",$A1542),IF(AND(LEN($A1542)=4,VALUE(RIGHT($A1542,2))&lt;60),GUS_tabl_2!$A$8:$B$464,GUS_tabl_21!$A$5:$B$4886),2,FALSE)))),TRIM(VLOOKUP(IF(AND(LEN($A1542)=4,VALUE(RIGHT($A1542,2))&gt;60),$A1542&amp;"01 1",$A1542),IF(AND(LEN($A1542)=4,VALUE(RIGHT($A1542,2))&lt;60),GUS_tabl_2!$A$8:$B$464,GUS_tabl_21!$A$5:$B$4886),2,FALSE)),LEFT(TRIM(VLOOKUP(IF(AND(LEN($A1542)=4,VALUE(RIGHT($A1542,2))&gt;60),$A1542&amp;"01 1",$A1542),IF(AND(LEN($A1542)=4,VALUE(RIGHT($A1542,2))&lt;60),GUS_tabl_2!$A$8:$B$464,GUS_tabl_21!$A$5:$B$4886),2,FALSE)),SUM(FIND("..",TRIM(VLOOKUP(IF(AND(LEN($A1542)=4,VALUE(RIGHT($A1542,2))&gt;60),$A1542&amp;"01 1",$A1542),IF(AND(LEN($A1542)=4,VALUE(RIGHT($A1542,2))&lt;60),GUS_tabl_2!$A$8:$B$464,GUS_tabl_21!$A$5:$B$4886),2,FALSE))),-1)))))</f>
        <v>gm. w. Pawłowiczki</v>
      </c>
      <c r="D1542" s="141">
        <f>IF(OR($A1542="",ISERROR(VALUE(LEFT($A1542,6)))),"",IF(LEN($A1542)=2,SUMIF($A1543:$A$2965,$A1542&amp;"??",$D1543:$D$2965),IF(AND(LEN($A1542)=4,VALUE(RIGHT($A1542,2))&lt;=60),SUMIF($A1543:$A$2965,$A1542&amp;"????",$D1543:$D$2965),VLOOKUP(IF(LEN($A1542)=4,$A1542&amp;"01 1",$A1542),GUS_tabl_21!$A$5:$F$4886,6,FALSE))))</f>
        <v>7426</v>
      </c>
      <c r="E1542" s="29"/>
    </row>
    <row r="1543" spans="1:5" ht="12" customHeight="1">
      <c r="A1543" s="155" t="str">
        <f>"160305 2"</f>
        <v>160305 2</v>
      </c>
      <c r="B1543" s="153" t="s">
        <v>74</v>
      </c>
      <c r="C1543" s="156" t="str">
        <f>IF(OR($A1543="",ISERROR(VALUE(LEFT($A1543,6)))),"",IF(LEN($A1543)=2,"WOJ. ",IF(LEN($A1543)=4,IF(VALUE(RIGHT($A1543,2))&gt;60,"","Powiat "),IF(VALUE(RIGHT($A1543,1))=1,"m. ",IF(VALUE(RIGHT($A1543,1))=2,"gm. w. ",IF(VALUE(RIGHT($A1543,1))=8,"dz. ","gm. m.-w. ")))))&amp;IF(LEN($A1543)=2,TRIM(UPPER(VLOOKUP($A1543,GUS_tabl_1!$A$7:$B$22,2,FALSE))),IF(ISERROR(FIND("..",TRIM(VLOOKUP(IF(AND(LEN($A1543)=4,VALUE(RIGHT($A1543,2))&gt;60),$A1543&amp;"01 1",$A1543),IF(AND(LEN($A1543)=4,VALUE(RIGHT($A1543,2))&lt;60),GUS_tabl_2!$A$8:$B$464,GUS_tabl_21!$A$5:$B$4886),2,FALSE)))),TRIM(VLOOKUP(IF(AND(LEN($A1543)=4,VALUE(RIGHT($A1543,2))&gt;60),$A1543&amp;"01 1",$A1543),IF(AND(LEN($A1543)=4,VALUE(RIGHT($A1543,2))&lt;60),GUS_tabl_2!$A$8:$B$464,GUS_tabl_21!$A$5:$B$4886),2,FALSE)),LEFT(TRIM(VLOOKUP(IF(AND(LEN($A1543)=4,VALUE(RIGHT($A1543,2))&gt;60),$A1543&amp;"01 1",$A1543),IF(AND(LEN($A1543)=4,VALUE(RIGHT($A1543,2))&lt;60),GUS_tabl_2!$A$8:$B$464,GUS_tabl_21!$A$5:$B$4886),2,FALSE)),SUM(FIND("..",TRIM(VLOOKUP(IF(AND(LEN($A1543)=4,VALUE(RIGHT($A1543,2))&gt;60),$A1543&amp;"01 1",$A1543),IF(AND(LEN($A1543)=4,VALUE(RIGHT($A1543,2))&lt;60),GUS_tabl_2!$A$8:$B$464,GUS_tabl_21!$A$5:$B$4886),2,FALSE))),-1)))))</f>
        <v>gm. w. Polska Cerekiew</v>
      </c>
      <c r="D1543" s="141">
        <f>IF(OR($A1543="",ISERROR(VALUE(LEFT($A1543,6)))),"",IF(LEN($A1543)=2,SUMIF($A1544:$A$2965,$A1543&amp;"??",$D1544:$D$2965),IF(AND(LEN($A1543)=4,VALUE(RIGHT($A1543,2))&lt;=60),SUMIF($A1544:$A$2965,$A1543&amp;"????",$D1544:$D$2965),VLOOKUP(IF(LEN($A1543)=4,$A1543&amp;"01 1",$A1543),GUS_tabl_21!$A$5:$F$4886,6,FALSE))))</f>
        <v>4013</v>
      </c>
      <c r="E1543" s="29"/>
    </row>
    <row r="1544" spans="1:5" ht="12" customHeight="1">
      <c r="A1544" s="155" t="str">
        <f>"160306 2"</f>
        <v>160306 2</v>
      </c>
      <c r="B1544" s="153" t="s">
        <v>74</v>
      </c>
      <c r="C1544" s="156" t="str">
        <f>IF(OR($A1544="",ISERROR(VALUE(LEFT($A1544,6)))),"",IF(LEN($A1544)=2,"WOJ. ",IF(LEN($A1544)=4,IF(VALUE(RIGHT($A1544,2))&gt;60,"","Powiat "),IF(VALUE(RIGHT($A1544,1))=1,"m. ",IF(VALUE(RIGHT($A1544,1))=2,"gm. w. ",IF(VALUE(RIGHT($A1544,1))=8,"dz. ","gm. m.-w. ")))))&amp;IF(LEN($A1544)=2,TRIM(UPPER(VLOOKUP($A1544,GUS_tabl_1!$A$7:$B$22,2,FALSE))),IF(ISERROR(FIND("..",TRIM(VLOOKUP(IF(AND(LEN($A1544)=4,VALUE(RIGHT($A1544,2))&gt;60),$A1544&amp;"01 1",$A1544),IF(AND(LEN($A1544)=4,VALUE(RIGHT($A1544,2))&lt;60),GUS_tabl_2!$A$8:$B$464,GUS_tabl_21!$A$5:$B$4886),2,FALSE)))),TRIM(VLOOKUP(IF(AND(LEN($A1544)=4,VALUE(RIGHT($A1544,2))&gt;60),$A1544&amp;"01 1",$A1544),IF(AND(LEN($A1544)=4,VALUE(RIGHT($A1544,2))&lt;60),GUS_tabl_2!$A$8:$B$464,GUS_tabl_21!$A$5:$B$4886),2,FALSE)),LEFT(TRIM(VLOOKUP(IF(AND(LEN($A1544)=4,VALUE(RIGHT($A1544,2))&gt;60),$A1544&amp;"01 1",$A1544),IF(AND(LEN($A1544)=4,VALUE(RIGHT($A1544,2))&lt;60),GUS_tabl_2!$A$8:$B$464,GUS_tabl_21!$A$5:$B$4886),2,FALSE)),SUM(FIND("..",TRIM(VLOOKUP(IF(AND(LEN($A1544)=4,VALUE(RIGHT($A1544,2))&gt;60),$A1544&amp;"01 1",$A1544),IF(AND(LEN($A1544)=4,VALUE(RIGHT($A1544,2))&lt;60),GUS_tabl_2!$A$8:$B$464,GUS_tabl_21!$A$5:$B$4886),2,FALSE))),-1)))))</f>
        <v>gm. w. Reńska Wieś</v>
      </c>
      <c r="D1544" s="141">
        <f>IF(OR($A1544="",ISERROR(VALUE(LEFT($A1544,6)))),"",IF(LEN($A1544)=2,SUMIF($A1545:$A$2965,$A1544&amp;"??",$D1545:$D$2965),IF(AND(LEN($A1544)=4,VALUE(RIGHT($A1544,2))&lt;=60),SUMIF($A1545:$A$2965,$A1544&amp;"????",$D1545:$D$2965),VLOOKUP(IF(LEN($A1544)=4,$A1544&amp;"01 1",$A1544),GUS_tabl_21!$A$5:$F$4886,6,FALSE))))</f>
        <v>8295</v>
      </c>
      <c r="E1544" s="29"/>
    </row>
    <row r="1545" spans="1:5" ht="12" customHeight="1">
      <c r="A1545" s="152" t="str">
        <f>"1604"</f>
        <v>1604</v>
      </c>
      <c r="B1545" s="153" t="s">
        <v>74</v>
      </c>
      <c r="C1545" s="154" t="str">
        <f>IF(OR($A1545="",ISERROR(VALUE(LEFT($A1545,6)))),"",IF(LEN($A1545)=2,"WOJ. ",IF(LEN($A1545)=4,IF(VALUE(RIGHT($A1545,2))&gt;60,"","Powiat "),IF(VALUE(RIGHT($A1545,1))=1,"m. ",IF(VALUE(RIGHT($A1545,1))=2,"gm. w. ",IF(VALUE(RIGHT($A1545,1))=8,"dz. ","gm. m.-w. ")))))&amp;IF(LEN($A1545)=2,TRIM(UPPER(VLOOKUP($A1545,GUS_tabl_1!$A$7:$B$22,2,FALSE))),IF(ISERROR(FIND("..",TRIM(VLOOKUP(IF(AND(LEN($A1545)=4,VALUE(RIGHT($A1545,2))&gt;60),$A1545&amp;"01 1",$A1545),IF(AND(LEN($A1545)=4,VALUE(RIGHT($A1545,2))&lt;60),GUS_tabl_2!$A$8:$B$464,GUS_tabl_21!$A$5:$B$4886),2,FALSE)))),TRIM(VLOOKUP(IF(AND(LEN($A1545)=4,VALUE(RIGHT($A1545,2))&gt;60),$A1545&amp;"01 1",$A1545),IF(AND(LEN($A1545)=4,VALUE(RIGHT($A1545,2))&lt;60),GUS_tabl_2!$A$8:$B$464,GUS_tabl_21!$A$5:$B$4886),2,FALSE)),LEFT(TRIM(VLOOKUP(IF(AND(LEN($A1545)=4,VALUE(RIGHT($A1545,2))&gt;60),$A1545&amp;"01 1",$A1545),IF(AND(LEN($A1545)=4,VALUE(RIGHT($A1545,2))&lt;60),GUS_tabl_2!$A$8:$B$464,GUS_tabl_21!$A$5:$B$4886),2,FALSE)),SUM(FIND("..",TRIM(VLOOKUP(IF(AND(LEN($A1545)=4,VALUE(RIGHT($A1545,2))&gt;60),$A1545&amp;"01 1",$A1545),IF(AND(LEN($A1545)=4,VALUE(RIGHT($A1545,2))&lt;60),GUS_tabl_2!$A$8:$B$464,GUS_tabl_21!$A$5:$B$4886),2,FALSE))),-1)))))</f>
        <v>Powiat kluczborski</v>
      </c>
      <c r="D1545" s="140">
        <f>IF(OR($A1545="",ISERROR(VALUE(LEFT($A1545,6)))),"",IF(LEN($A1545)=2,SUMIF($A1546:$A$2965,$A1545&amp;"??",$D1546:$D$2965),IF(AND(LEN($A1545)=4,VALUE(RIGHT($A1545,2))&lt;=60),SUMIF($A1546:$A$2965,$A1545&amp;"????",$D1546:$D$2965),VLOOKUP(IF(LEN($A1545)=4,$A1545&amp;"01 1",$A1545),GUS_tabl_21!$A$5:$F$4886,6,FALSE))))</f>
        <v>65470</v>
      </c>
      <c r="E1545" s="29"/>
    </row>
    <row r="1546" spans="1:5" ht="12" customHeight="1">
      <c r="A1546" s="155" t="str">
        <f>"160401 3"</f>
        <v>160401 3</v>
      </c>
      <c r="B1546" s="153" t="s">
        <v>74</v>
      </c>
      <c r="C1546" s="156" t="str">
        <f>IF(OR($A1546="",ISERROR(VALUE(LEFT($A1546,6)))),"",IF(LEN($A1546)=2,"WOJ. ",IF(LEN($A1546)=4,IF(VALUE(RIGHT($A1546,2))&gt;60,"","Powiat "),IF(VALUE(RIGHT($A1546,1))=1,"m. ",IF(VALUE(RIGHT($A1546,1))=2,"gm. w. ",IF(VALUE(RIGHT($A1546,1))=8,"dz. ","gm. m.-w. ")))))&amp;IF(LEN($A1546)=2,TRIM(UPPER(VLOOKUP($A1546,GUS_tabl_1!$A$7:$B$22,2,FALSE))),IF(ISERROR(FIND("..",TRIM(VLOOKUP(IF(AND(LEN($A1546)=4,VALUE(RIGHT($A1546,2))&gt;60),$A1546&amp;"01 1",$A1546),IF(AND(LEN($A1546)=4,VALUE(RIGHT($A1546,2))&lt;60),GUS_tabl_2!$A$8:$B$464,GUS_tabl_21!$A$5:$B$4886),2,FALSE)))),TRIM(VLOOKUP(IF(AND(LEN($A1546)=4,VALUE(RIGHT($A1546,2))&gt;60),$A1546&amp;"01 1",$A1546),IF(AND(LEN($A1546)=4,VALUE(RIGHT($A1546,2))&lt;60),GUS_tabl_2!$A$8:$B$464,GUS_tabl_21!$A$5:$B$4886),2,FALSE)),LEFT(TRIM(VLOOKUP(IF(AND(LEN($A1546)=4,VALUE(RIGHT($A1546,2))&gt;60),$A1546&amp;"01 1",$A1546),IF(AND(LEN($A1546)=4,VALUE(RIGHT($A1546,2))&lt;60),GUS_tabl_2!$A$8:$B$464,GUS_tabl_21!$A$5:$B$4886),2,FALSE)),SUM(FIND("..",TRIM(VLOOKUP(IF(AND(LEN($A1546)=4,VALUE(RIGHT($A1546,2))&gt;60),$A1546&amp;"01 1",$A1546),IF(AND(LEN($A1546)=4,VALUE(RIGHT($A1546,2))&lt;60),GUS_tabl_2!$A$8:$B$464,GUS_tabl_21!$A$5:$B$4886),2,FALSE))),-1)))))</f>
        <v>gm. m.-w. Byczyna</v>
      </c>
      <c r="D1546" s="141">
        <f>IF(OR($A1546="",ISERROR(VALUE(LEFT($A1546,6)))),"",IF(LEN($A1546)=2,SUMIF($A1547:$A$2965,$A1546&amp;"??",$D1547:$D$2965),IF(AND(LEN($A1546)=4,VALUE(RIGHT($A1546,2))&lt;=60),SUMIF($A1547:$A$2965,$A1546&amp;"????",$D1547:$D$2965),VLOOKUP(IF(LEN($A1546)=4,$A1546&amp;"01 1",$A1546),GUS_tabl_21!$A$5:$F$4886,6,FALSE))))</f>
        <v>9221</v>
      </c>
      <c r="E1546" s="29"/>
    </row>
    <row r="1547" spans="1:5" ht="12" customHeight="1">
      <c r="A1547" s="155" t="str">
        <f>"160402 3"</f>
        <v>160402 3</v>
      </c>
      <c r="B1547" s="153" t="s">
        <v>74</v>
      </c>
      <c r="C1547" s="156" t="str">
        <f>IF(OR($A1547="",ISERROR(VALUE(LEFT($A1547,6)))),"",IF(LEN($A1547)=2,"WOJ. ",IF(LEN($A1547)=4,IF(VALUE(RIGHT($A1547,2))&gt;60,"","Powiat "),IF(VALUE(RIGHT($A1547,1))=1,"m. ",IF(VALUE(RIGHT($A1547,1))=2,"gm. w. ",IF(VALUE(RIGHT($A1547,1))=8,"dz. ","gm. m.-w. ")))))&amp;IF(LEN($A1547)=2,TRIM(UPPER(VLOOKUP($A1547,GUS_tabl_1!$A$7:$B$22,2,FALSE))),IF(ISERROR(FIND("..",TRIM(VLOOKUP(IF(AND(LEN($A1547)=4,VALUE(RIGHT($A1547,2))&gt;60),$A1547&amp;"01 1",$A1547),IF(AND(LEN($A1547)=4,VALUE(RIGHT($A1547,2))&lt;60),GUS_tabl_2!$A$8:$B$464,GUS_tabl_21!$A$5:$B$4886),2,FALSE)))),TRIM(VLOOKUP(IF(AND(LEN($A1547)=4,VALUE(RIGHT($A1547,2))&gt;60),$A1547&amp;"01 1",$A1547),IF(AND(LEN($A1547)=4,VALUE(RIGHT($A1547,2))&lt;60),GUS_tabl_2!$A$8:$B$464,GUS_tabl_21!$A$5:$B$4886),2,FALSE)),LEFT(TRIM(VLOOKUP(IF(AND(LEN($A1547)=4,VALUE(RIGHT($A1547,2))&gt;60),$A1547&amp;"01 1",$A1547),IF(AND(LEN($A1547)=4,VALUE(RIGHT($A1547,2))&lt;60),GUS_tabl_2!$A$8:$B$464,GUS_tabl_21!$A$5:$B$4886),2,FALSE)),SUM(FIND("..",TRIM(VLOOKUP(IF(AND(LEN($A1547)=4,VALUE(RIGHT($A1547,2))&gt;60),$A1547&amp;"01 1",$A1547),IF(AND(LEN($A1547)=4,VALUE(RIGHT($A1547,2))&lt;60),GUS_tabl_2!$A$8:$B$464,GUS_tabl_21!$A$5:$B$4886),2,FALSE))),-1)))))</f>
        <v>gm. m.-w. Kluczbork</v>
      </c>
      <c r="D1547" s="141">
        <f>IF(OR($A1547="",ISERROR(VALUE(LEFT($A1547,6)))),"",IF(LEN($A1547)=2,SUMIF($A1548:$A$2965,$A1547&amp;"??",$D1548:$D$2965),IF(AND(LEN($A1547)=4,VALUE(RIGHT($A1547,2))&lt;=60),SUMIF($A1548:$A$2965,$A1547&amp;"????",$D1548:$D$2965),VLOOKUP(IF(LEN($A1547)=4,$A1547&amp;"01 1",$A1547),GUS_tabl_21!$A$5:$F$4886,6,FALSE))))</f>
        <v>35938</v>
      </c>
      <c r="E1547" s="29"/>
    </row>
    <row r="1548" spans="1:5" ht="12" customHeight="1">
      <c r="A1548" s="155" t="str">
        <f>"160403 2"</f>
        <v>160403 2</v>
      </c>
      <c r="B1548" s="153" t="s">
        <v>74</v>
      </c>
      <c r="C1548" s="156" t="str">
        <f>IF(OR($A1548="",ISERROR(VALUE(LEFT($A1548,6)))),"",IF(LEN($A1548)=2,"WOJ. ",IF(LEN($A1548)=4,IF(VALUE(RIGHT($A1548,2))&gt;60,"","Powiat "),IF(VALUE(RIGHT($A1548,1))=1,"m. ",IF(VALUE(RIGHT($A1548,1))=2,"gm. w. ",IF(VALUE(RIGHT($A1548,1))=8,"dz. ","gm. m.-w. ")))))&amp;IF(LEN($A1548)=2,TRIM(UPPER(VLOOKUP($A1548,GUS_tabl_1!$A$7:$B$22,2,FALSE))),IF(ISERROR(FIND("..",TRIM(VLOOKUP(IF(AND(LEN($A1548)=4,VALUE(RIGHT($A1548,2))&gt;60),$A1548&amp;"01 1",$A1548),IF(AND(LEN($A1548)=4,VALUE(RIGHT($A1548,2))&lt;60),GUS_tabl_2!$A$8:$B$464,GUS_tabl_21!$A$5:$B$4886),2,FALSE)))),TRIM(VLOOKUP(IF(AND(LEN($A1548)=4,VALUE(RIGHT($A1548,2))&gt;60),$A1548&amp;"01 1",$A1548),IF(AND(LEN($A1548)=4,VALUE(RIGHT($A1548,2))&lt;60),GUS_tabl_2!$A$8:$B$464,GUS_tabl_21!$A$5:$B$4886),2,FALSE)),LEFT(TRIM(VLOOKUP(IF(AND(LEN($A1548)=4,VALUE(RIGHT($A1548,2))&gt;60),$A1548&amp;"01 1",$A1548),IF(AND(LEN($A1548)=4,VALUE(RIGHT($A1548,2))&lt;60),GUS_tabl_2!$A$8:$B$464,GUS_tabl_21!$A$5:$B$4886),2,FALSE)),SUM(FIND("..",TRIM(VLOOKUP(IF(AND(LEN($A1548)=4,VALUE(RIGHT($A1548,2))&gt;60),$A1548&amp;"01 1",$A1548),IF(AND(LEN($A1548)=4,VALUE(RIGHT($A1548,2))&lt;60),GUS_tabl_2!$A$8:$B$464,GUS_tabl_21!$A$5:$B$4886),2,FALSE))),-1)))))</f>
        <v>gm. w. Lasowice Wielkie</v>
      </c>
      <c r="D1548" s="141">
        <f>IF(OR($A1548="",ISERROR(VALUE(LEFT($A1548,6)))),"",IF(LEN($A1548)=2,SUMIF($A1549:$A$2965,$A1548&amp;"??",$D1549:$D$2965),IF(AND(LEN($A1548)=4,VALUE(RIGHT($A1548,2))&lt;=60),SUMIF($A1549:$A$2965,$A1548&amp;"????",$D1549:$D$2965),VLOOKUP(IF(LEN($A1548)=4,$A1548&amp;"01 1",$A1548),GUS_tabl_21!$A$5:$F$4886,6,FALSE))))</f>
        <v>6827</v>
      </c>
      <c r="E1548" s="29"/>
    </row>
    <row r="1549" spans="1:5" ht="12" customHeight="1">
      <c r="A1549" s="155" t="str">
        <f>"160404 3"</f>
        <v>160404 3</v>
      </c>
      <c r="B1549" s="153" t="s">
        <v>74</v>
      </c>
      <c r="C1549" s="156" t="str">
        <f>IF(OR($A1549="",ISERROR(VALUE(LEFT($A1549,6)))),"",IF(LEN($A1549)=2,"WOJ. ",IF(LEN($A1549)=4,IF(VALUE(RIGHT($A1549,2))&gt;60,"","Powiat "),IF(VALUE(RIGHT($A1549,1))=1,"m. ",IF(VALUE(RIGHT($A1549,1))=2,"gm. w. ",IF(VALUE(RIGHT($A1549,1))=8,"dz. ","gm. m.-w. ")))))&amp;IF(LEN($A1549)=2,TRIM(UPPER(VLOOKUP($A1549,GUS_tabl_1!$A$7:$B$22,2,FALSE))),IF(ISERROR(FIND("..",TRIM(VLOOKUP(IF(AND(LEN($A1549)=4,VALUE(RIGHT($A1549,2))&gt;60),$A1549&amp;"01 1",$A1549),IF(AND(LEN($A1549)=4,VALUE(RIGHT($A1549,2))&lt;60),GUS_tabl_2!$A$8:$B$464,GUS_tabl_21!$A$5:$B$4886),2,FALSE)))),TRIM(VLOOKUP(IF(AND(LEN($A1549)=4,VALUE(RIGHT($A1549,2))&gt;60),$A1549&amp;"01 1",$A1549),IF(AND(LEN($A1549)=4,VALUE(RIGHT($A1549,2))&lt;60),GUS_tabl_2!$A$8:$B$464,GUS_tabl_21!$A$5:$B$4886),2,FALSE)),LEFT(TRIM(VLOOKUP(IF(AND(LEN($A1549)=4,VALUE(RIGHT($A1549,2))&gt;60),$A1549&amp;"01 1",$A1549),IF(AND(LEN($A1549)=4,VALUE(RIGHT($A1549,2))&lt;60),GUS_tabl_2!$A$8:$B$464,GUS_tabl_21!$A$5:$B$4886),2,FALSE)),SUM(FIND("..",TRIM(VLOOKUP(IF(AND(LEN($A1549)=4,VALUE(RIGHT($A1549,2))&gt;60),$A1549&amp;"01 1",$A1549),IF(AND(LEN($A1549)=4,VALUE(RIGHT($A1549,2))&lt;60),GUS_tabl_2!$A$8:$B$464,GUS_tabl_21!$A$5:$B$4886),2,FALSE))),-1)))))</f>
        <v>gm. m.-w. Wołczyn</v>
      </c>
      <c r="D1549" s="141">
        <f>IF(OR($A1549="",ISERROR(VALUE(LEFT($A1549,6)))),"",IF(LEN($A1549)=2,SUMIF($A1550:$A$2965,$A1549&amp;"??",$D1550:$D$2965),IF(AND(LEN($A1549)=4,VALUE(RIGHT($A1549,2))&lt;=60),SUMIF($A1550:$A$2965,$A1549&amp;"????",$D1550:$D$2965),VLOOKUP(IF(LEN($A1549)=4,$A1549&amp;"01 1",$A1549),GUS_tabl_21!$A$5:$F$4886,6,FALSE))))</f>
        <v>13484</v>
      </c>
      <c r="E1549" s="29"/>
    </row>
    <row r="1550" spans="1:5" ht="12" customHeight="1">
      <c r="A1550" s="152" t="str">
        <f>"1605"</f>
        <v>1605</v>
      </c>
      <c r="B1550" s="153" t="s">
        <v>74</v>
      </c>
      <c r="C1550" s="154" t="str">
        <f>IF(OR($A1550="",ISERROR(VALUE(LEFT($A1550,6)))),"",IF(LEN($A1550)=2,"WOJ. ",IF(LEN($A1550)=4,IF(VALUE(RIGHT($A1550,2))&gt;60,"","Powiat "),IF(VALUE(RIGHT($A1550,1))=1,"m. ",IF(VALUE(RIGHT($A1550,1))=2,"gm. w. ",IF(VALUE(RIGHT($A1550,1))=8,"dz. ","gm. m.-w. ")))))&amp;IF(LEN($A1550)=2,TRIM(UPPER(VLOOKUP($A1550,GUS_tabl_1!$A$7:$B$22,2,FALSE))),IF(ISERROR(FIND("..",TRIM(VLOOKUP(IF(AND(LEN($A1550)=4,VALUE(RIGHT($A1550,2))&gt;60),$A1550&amp;"01 1",$A1550),IF(AND(LEN($A1550)=4,VALUE(RIGHT($A1550,2))&lt;60),GUS_tabl_2!$A$8:$B$464,GUS_tabl_21!$A$5:$B$4886),2,FALSE)))),TRIM(VLOOKUP(IF(AND(LEN($A1550)=4,VALUE(RIGHT($A1550,2))&gt;60),$A1550&amp;"01 1",$A1550),IF(AND(LEN($A1550)=4,VALUE(RIGHT($A1550,2))&lt;60),GUS_tabl_2!$A$8:$B$464,GUS_tabl_21!$A$5:$B$4886),2,FALSE)),LEFT(TRIM(VLOOKUP(IF(AND(LEN($A1550)=4,VALUE(RIGHT($A1550,2))&gt;60),$A1550&amp;"01 1",$A1550),IF(AND(LEN($A1550)=4,VALUE(RIGHT($A1550,2))&lt;60),GUS_tabl_2!$A$8:$B$464,GUS_tabl_21!$A$5:$B$4886),2,FALSE)),SUM(FIND("..",TRIM(VLOOKUP(IF(AND(LEN($A1550)=4,VALUE(RIGHT($A1550,2))&gt;60),$A1550&amp;"01 1",$A1550),IF(AND(LEN($A1550)=4,VALUE(RIGHT($A1550,2))&lt;60),GUS_tabl_2!$A$8:$B$464,GUS_tabl_21!$A$5:$B$4886),2,FALSE))),-1)))))</f>
        <v>Powiat krapkowicki</v>
      </c>
      <c r="D1550" s="140">
        <f>IF(OR($A1550="",ISERROR(VALUE(LEFT($A1550,6)))),"",IF(LEN($A1550)=2,SUMIF($A1551:$A$2965,$A1550&amp;"??",$D1551:$D$2965),IF(AND(LEN($A1550)=4,VALUE(RIGHT($A1550,2))&lt;=60),SUMIF($A1551:$A$2965,$A1550&amp;"????",$D1551:$D$2965),VLOOKUP(IF(LEN($A1550)=4,$A1550&amp;"01 1",$A1550),GUS_tabl_21!$A$5:$F$4886,6,FALSE))))</f>
        <v>63747</v>
      </c>
      <c r="E1550" s="29"/>
    </row>
    <row r="1551" spans="1:5" ht="12" customHeight="1">
      <c r="A1551" s="155" t="str">
        <f>"160501 3"</f>
        <v>160501 3</v>
      </c>
      <c r="B1551" s="153" t="s">
        <v>74</v>
      </c>
      <c r="C1551" s="156" t="str">
        <f>IF(OR($A1551="",ISERROR(VALUE(LEFT($A1551,6)))),"",IF(LEN($A1551)=2,"WOJ. ",IF(LEN($A1551)=4,IF(VALUE(RIGHT($A1551,2))&gt;60,"","Powiat "),IF(VALUE(RIGHT($A1551,1))=1,"m. ",IF(VALUE(RIGHT($A1551,1))=2,"gm. w. ",IF(VALUE(RIGHT($A1551,1))=8,"dz. ","gm. m.-w. ")))))&amp;IF(LEN($A1551)=2,TRIM(UPPER(VLOOKUP($A1551,GUS_tabl_1!$A$7:$B$22,2,FALSE))),IF(ISERROR(FIND("..",TRIM(VLOOKUP(IF(AND(LEN($A1551)=4,VALUE(RIGHT($A1551,2))&gt;60),$A1551&amp;"01 1",$A1551),IF(AND(LEN($A1551)=4,VALUE(RIGHT($A1551,2))&lt;60),GUS_tabl_2!$A$8:$B$464,GUS_tabl_21!$A$5:$B$4886),2,FALSE)))),TRIM(VLOOKUP(IF(AND(LEN($A1551)=4,VALUE(RIGHT($A1551,2))&gt;60),$A1551&amp;"01 1",$A1551),IF(AND(LEN($A1551)=4,VALUE(RIGHT($A1551,2))&lt;60),GUS_tabl_2!$A$8:$B$464,GUS_tabl_21!$A$5:$B$4886),2,FALSE)),LEFT(TRIM(VLOOKUP(IF(AND(LEN($A1551)=4,VALUE(RIGHT($A1551,2))&gt;60),$A1551&amp;"01 1",$A1551),IF(AND(LEN($A1551)=4,VALUE(RIGHT($A1551,2))&lt;60),GUS_tabl_2!$A$8:$B$464,GUS_tabl_21!$A$5:$B$4886),2,FALSE)),SUM(FIND("..",TRIM(VLOOKUP(IF(AND(LEN($A1551)=4,VALUE(RIGHT($A1551,2))&gt;60),$A1551&amp;"01 1",$A1551),IF(AND(LEN($A1551)=4,VALUE(RIGHT($A1551,2))&lt;60),GUS_tabl_2!$A$8:$B$464,GUS_tabl_21!$A$5:$B$4886),2,FALSE))),-1)))))</f>
        <v>gm. m.-w. Gogolin</v>
      </c>
      <c r="D1551" s="141">
        <f>IF(OR($A1551="",ISERROR(VALUE(LEFT($A1551,6)))),"",IF(LEN($A1551)=2,SUMIF($A1552:$A$2965,$A1551&amp;"??",$D1552:$D$2965),IF(AND(LEN($A1551)=4,VALUE(RIGHT($A1551,2))&lt;=60),SUMIF($A1552:$A$2965,$A1551&amp;"????",$D1552:$D$2965),VLOOKUP(IF(LEN($A1551)=4,$A1551&amp;"01 1",$A1551),GUS_tabl_21!$A$5:$F$4886,6,FALSE))))</f>
        <v>12662</v>
      </c>
      <c r="E1551" s="29"/>
    </row>
    <row r="1552" spans="1:5" ht="12" customHeight="1">
      <c r="A1552" s="155" t="str">
        <f>"160502 3"</f>
        <v>160502 3</v>
      </c>
      <c r="B1552" s="153" t="s">
        <v>74</v>
      </c>
      <c r="C1552" s="156" t="str">
        <f>IF(OR($A1552="",ISERROR(VALUE(LEFT($A1552,6)))),"",IF(LEN($A1552)=2,"WOJ. ",IF(LEN($A1552)=4,IF(VALUE(RIGHT($A1552,2))&gt;60,"","Powiat "),IF(VALUE(RIGHT($A1552,1))=1,"m. ",IF(VALUE(RIGHT($A1552,1))=2,"gm. w. ",IF(VALUE(RIGHT($A1552,1))=8,"dz. ","gm. m.-w. ")))))&amp;IF(LEN($A1552)=2,TRIM(UPPER(VLOOKUP($A1552,GUS_tabl_1!$A$7:$B$22,2,FALSE))),IF(ISERROR(FIND("..",TRIM(VLOOKUP(IF(AND(LEN($A1552)=4,VALUE(RIGHT($A1552,2))&gt;60),$A1552&amp;"01 1",$A1552),IF(AND(LEN($A1552)=4,VALUE(RIGHT($A1552,2))&lt;60),GUS_tabl_2!$A$8:$B$464,GUS_tabl_21!$A$5:$B$4886),2,FALSE)))),TRIM(VLOOKUP(IF(AND(LEN($A1552)=4,VALUE(RIGHT($A1552,2))&gt;60),$A1552&amp;"01 1",$A1552),IF(AND(LEN($A1552)=4,VALUE(RIGHT($A1552,2))&lt;60),GUS_tabl_2!$A$8:$B$464,GUS_tabl_21!$A$5:$B$4886),2,FALSE)),LEFT(TRIM(VLOOKUP(IF(AND(LEN($A1552)=4,VALUE(RIGHT($A1552,2))&gt;60),$A1552&amp;"01 1",$A1552),IF(AND(LEN($A1552)=4,VALUE(RIGHT($A1552,2))&lt;60),GUS_tabl_2!$A$8:$B$464,GUS_tabl_21!$A$5:$B$4886),2,FALSE)),SUM(FIND("..",TRIM(VLOOKUP(IF(AND(LEN($A1552)=4,VALUE(RIGHT($A1552,2))&gt;60),$A1552&amp;"01 1",$A1552),IF(AND(LEN($A1552)=4,VALUE(RIGHT($A1552,2))&lt;60),GUS_tabl_2!$A$8:$B$464,GUS_tabl_21!$A$5:$B$4886),2,FALSE))),-1)))))</f>
        <v>gm. m.-w. Krapkowice</v>
      </c>
      <c r="D1552" s="141">
        <f>IF(OR($A1552="",ISERROR(VALUE(LEFT($A1552,6)))),"",IF(LEN($A1552)=2,SUMIF($A1553:$A$2965,$A1552&amp;"??",$D1553:$D$2965),IF(AND(LEN($A1552)=4,VALUE(RIGHT($A1552,2))&lt;=60),SUMIF($A1553:$A$2965,$A1552&amp;"????",$D1553:$D$2965),VLOOKUP(IF(LEN($A1552)=4,$A1552&amp;"01 1",$A1552),GUS_tabl_21!$A$5:$F$4886,6,FALSE))))</f>
        <v>22568</v>
      </c>
      <c r="E1552" s="29"/>
    </row>
    <row r="1553" spans="1:5" ht="12" customHeight="1">
      <c r="A1553" s="155" t="str">
        <f>"160503 2"</f>
        <v>160503 2</v>
      </c>
      <c r="B1553" s="153" t="s">
        <v>74</v>
      </c>
      <c r="C1553" s="156" t="str">
        <f>IF(OR($A1553="",ISERROR(VALUE(LEFT($A1553,6)))),"",IF(LEN($A1553)=2,"WOJ. ",IF(LEN($A1553)=4,IF(VALUE(RIGHT($A1553,2))&gt;60,"","Powiat "),IF(VALUE(RIGHT($A1553,1))=1,"m. ",IF(VALUE(RIGHT($A1553,1))=2,"gm. w. ",IF(VALUE(RIGHT($A1553,1))=8,"dz. ","gm. m.-w. ")))))&amp;IF(LEN($A1553)=2,TRIM(UPPER(VLOOKUP($A1553,GUS_tabl_1!$A$7:$B$22,2,FALSE))),IF(ISERROR(FIND("..",TRIM(VLOOKUP(IF(AND(LEN($A1553)=4,VALUE(RIGHT($A1553,2))&gt;60),$A1553&amp;"01 1",$A1553),IF(AND(LEN($A1553)=4,VALUE(RIGHT($A1553,2))&lt;60),GUS_tabl_2!$A$8:$B$464,GUS_tabl_21!$A$5:$B$4886),2,FALSE)))),TRIM(VLOOKUP(IF(AND(LEN($A1553)=4,VALUE(RIGHT($A1553,2))&gt;60),$A1553&amp;"01 1",$A1553),IF(AND(LEN($A1553)=4,VALUE(RIGHT($A1553,2))&lt;60),GUS_tabl_2!$A$8:$B$464,GUS_tabl_21!$A$5:$B$4886),2,FALSE)),LEFT(TRIM(VLOOKUP(IF(AND(LEN($A1553)=4,VALUE(RIGHT($A1553,2))&gt;60),$A1553&amp;"01 1",$A1553),IF(AND(LEN($A1553)=4,VALUE(RIGHT($A1553,2))&lt;60),GUS_tabl_2!$A$8:$B$464,GUS_tabl_21!$A$5:$B$4886),2,FALSE)),SUM(FIND("..",TRIM(VLOOKUP(IF(AND(LEN($A1553)=4,VALUE(RIGHT($A1553,2))&gt;60),$A1553&amp;"01 1",$A1553),IF(AND(LEN($A1553)=4,VALUE(RIGHT($A1553,2))&lt;60),GUS_tabl_2!$A$8:$B$464,GUS_tabl_21!$A$5:$B$4886),2,FALSE))),-1)))))</f>
        <v>gm. w. Strzeleczki</v>
      </c>
      <c r="D1553" s="141">
        <f>IF(OR($A1553="",ISERROR(VALUE(LEFT($A1553,6)))),"",IF(LEN($A1553)=2,SUMIF($A1554:$A$2965,$A1553&amp;"??",$D1554:$D$2965),IF(AND(LEN($A1553)=4,VALUE(RIGHT($A1553,2))&lt;=60),SUMIF($A1554:$A$2965,$A1553&amp;"????",$D1554:$D$2965),VLOOKUP(IF(LEN($A1553)=4,$A1553&amp;"01 1",$A1553),GUS_tabl_21!$A$5:$F$4886,6,FALSE))))</f>
        <v>7398</v>
      </c>
      <c r="E1553" s="29"/>
    </row>
    <row r="1554" spans="1:5" ht="12" customHeight="1">
      <c r="A1554" s="155" t="str">
        <f>"160504 2"</f>
        <v>160504 2</v>
      </c>
      <c r="B1554" s="153" t="s">
        <v>74</v>
      </c>
      <c r="C1554" s="156" t="str">
        <f>IF(OR($A1554="",ISERROR(VALUE(LEFT($A1554,6)))),"",IF(LEN($A1554)=2,"WOJ. ",IF(LEN($A1554)=4,IF(VALUE(RIGHT($A1554,2))&gt;60,"","Powiat "),IF(VALUE(RIGHT($A1554,1))=1,"m. ",IF(VALUE(RIGHT($A1554,1))=2,"gm. w. ",IF(VALUE(RIGHT($A1554,1))=8,"dz. ","gm. m.-w. ")))))&amp;IF(LEN($A1554)=2,TRIM(UPPER(VLOOKUP($A1554,GUS_tabl_1!$A$7:$B$22,2,FALSE))),IF(ISERROR(FIND("..",TRIM(VLOOKUP(IF(AND(LEN($A1554)=4,VALUE(RIGHT($A1554,2))&gt;60),$A1554&amp;"01 1",$A1554),IF(AND(LEN($A1554)=4,VALUE(RIGHT($A1554,2))&lt;60),GUS_tabl_2!$A$8:$B$464,GUS_tabl_21!$A$5:$B$4886),2,FALSE)))),TRIM(VLOOKUP(IF(AND(LEN($A1554)=4,VALUE(RIGHT($A1554,2))&gt;60),$A1554&amp;"01 1",$A1554),IF(AND(LEN($A1554)=4,VALUE(RIGHT($A1554,2))&lt;60),GUS_tabl_2!$A$8:$B$464,GUS_tabl_21!$A$5:$B$4886),2,FALSE)),LEFT(TRIM(VLOOKUP(IF(AND(LEN($A1554)=4,VALUE(RIGHT($A1554,2))&gt;60),$A1554&amp;"01 1",$A1554),IF(AND(LEN($A1554)=4,VALUE(RIGHT($A1554,2))&lt;60),GUS_tabl_2!$A$8:$B$464,GUS_tabl_21!$A$5:$B$4886),2,FALSE)),SUM(FIND("..",TRIM(VLOOKUP(IF(AND(LEN($A1554)=4,VALUE(RIGHT($A1554,2))&gt;60),$A1554&amp;"01 1",$A1554),IF(AND(LEN($A1554)=4,VALUE(RIGHT($A1554,2))&lt;60),GUS_tabl_2!$A$8:$B$464,GUS_tabl_21!$A$5:$B$4886),2,FALSE))),-1)))))</f>
        <v>gm. w. Walce</v>
      </c>
      <c r="D1554" s="141">
        <f>IF(OR($A1554="",ISERROR(VALUE(LEFT($A1554,6)))),"",IF(LEN($A1554)=2,SUMIF($A1555:$A$2965,$A1554&amp;"??",$D1555:$D$2965),IF(AND(LEN($A1554)=4,VALUE(RIGHT($A1554,2))&lt;=60),SUMIF($A1555:$A$2965,$A1554&amp;"????",$D1555:$D$2965),VLOOKUP(IF(LEN($A1554)=4,$A1554&amp;"01 1",$A1554),GUS_tabl_21!$A$5:$F$4886,6,FALSE))))</f>
        <v>5397</v>
      </c>
      <c r="E1554" s="29"/>
    </row>
    <row r="1555" spans="1:5" ht="12" customHeight="1">
      <c r="A1555" s="155" t="str">
        <f>"160505 3"</f>
        <v>160505 3</v>
      </c>
      <c r="B1555" s="153" t="s">
        <v>74</v>
      </c>
      <c r="C1555" s="156" t="str">
        <f>IF(OR($A1555="",ISERROR(VALUE(LEFT($A1555,6)))),"",IF(LEN($A1555)=2,"WOJ. ",IF(LEN($A1555)=4,IF(VALUE(RIGHT($A1555,2))&gt;60,"","Powiat "),IF(VALUE(RIGHT($A1555,1))=1,"m. ",IF(VALUE(RIGHT($A1555,1))=2,"gm. w. ",IF(VALUE(RIGHT($A1555,1))=8,"dz. ","gm. m.-w. ")))))&amp;IF(LEN($A1555)=2,TRIM(UPPER(VLOOKUP($A1555,GUS_tabl_1!$A$7:$B$22,2,FALSE))),IF(ISERROR(FIND("..",TRIM(VLOOKUP(IF(AND(LEN($A1555)=4,VALUE(RIGHT($A1555,2))&gt;60),$A1555&amp;"01 1",$A1555),IF(AND(LEN($A1555)=4,VALUE(RIGHT($A1555,2))&lt;60),GUS_tabl_2!$A$8:$B$464,GUS_tabl_21!$A$5:$B$4886),2,FALSE)))),TRIM(VLOOKUP(IF(AND(LEN($A1555)=4,VALUE(RIGHT($A1555,2))&gt;60),$A1555&amp;"01 1",$A1555),IF(AND(LEN($A1555)=4,VALUE(RIGHT($A1555,2))&lt;60),GUS_tabl_2!$A$8:$B$464,GUS_tabl_21!$A$5:$B$4886),2,FALSE)),LEFT(TRIM(VLOOKUP(IF(AND(LEN($A1555)=4,VALUE(RIGHT($A1555,2))&gt;60),$A1555&amp;"01 1",$A1555),IF(AND(LEN($A1555)=4,VALUE(RIGHT($A1555,2))&lt;60),GUS_tabl_2!$A$8:$B$464,GUS_tabl_21!$A$5:$B$4886),2,FALSE)),SUM(FIND("..",TRIM(VLOOKUP(IF(AND(LEN($A1555)=4,VALUE(RIGHT($A1555,2))&gt;60),$A1555&amp;"01 1",$A1555),IF(AND(LEN($A1555)=4,VALUE(RIGHT($A1555,2))&lt;60),GUS_tabl_2!$A$8:$B$464,GUS_tabl_21!$A$5:$B$4886),2,FALSE))),-1)))))</f>
        <v>gm. m.-w. Zdzieszowice</v>
      </c>
      <c r="D1555" s="141">
        <f>IF(OR($A1555="",ISERROR(VALUE(LEFT($A1555,6)))),"",IF(LEN($A1555)=2,SUMIF($A1556:$A$2965,$A1555&amp;"??",$D1556:$D$2965),IF(AND(LEN($A1555)=4,VALUE(RIGHT($A1555,2))&lt;=60),SUMIF($A1556:$A$2965,$A1555&amp;"????",$D1556:$D$2965),VLOOKUP(IF(LEN($A1555)=4,$A1555&amp;"01 1",$A1555),GUS_tabl_21!$A$5:$F$4886,6,FALSE))))</f>
        <v>15722</v>
      </c>
      <c r="E1555" s="29"/>
    </row>
    <row r="1556" spans="1:5" ht="12" customHeight="1">
      <c r="A1556" s="152" t="str">
        <f>"1606"</f>
        <v>1606</v>
      </c>
      <c r="B1556" s="153" t="s">
        <v>74</v>
      </c>
      <c r="C1556" s="154" t="str">
        <f>IF(OR($A1556="",ISERROR(VALUE(LEFT($A1556,6)))),"",IF(LEN($A1556)=2,"WOJ. ",IF(LEN($A1556)=4,IF(VALUE(RIGHT($A1556,2))&gt;60,"","Powiat "),IF(VALUE(RIGHT($A1556,1))=1,"m. ",IF(VALUE(RIGHT($A1556,1))=2,"gm. w. ",IF(VALUE(RIGHT($A1556,1))=8,"dz. ","gm. m.-w. ")))))&amp;IF(LEN($A1556)=2,TRIM(UPPER(VLOOKUP($A1556,GUS_tabl_1!$A$7:$B$22,2,FALSE))),IF(ISERROR(FIND("..",TRIM(VLOOKUP(IF(AND(LEN($A1556)=4,VALUE(RIGHT($A1556,2))&gt;60),$A1556&amp;"01 1",$A1556),IF(AND(LEN($A1556)=4,VALUE(RIGHT($A1556,2))&lt;60),GUS_tabl_2!$A$8:$B$464,GUS_tabl_21!$A$5:$B$4886),2,FALSE)))),TRIM(VLOOKUP(IF(AND(LEN($A1556)=4,VALUE(RIGHT($A1556,2))&gt;60),$A1556&amp;"01 1",$A1556),IF(AND(LEN($A1556)=4,VALUE(RIGHT($A1556,2))&lt;60),GUS_tabl_2!$A$8:$B$464,GUS_tabl_21!$A$5:$B$4886),2,FALSE)),LEFT(TRIM(VLOOKUP(IF(AND(LEN($A1556)=4,VALUE(RIGHT($A1556,2))&gt;60),$A1556&amp;"01 1",$A1556),IF(AND(LEN($A1556)=4,VALUE(RIGHT($A1556,2))&lt;60),GUS_tabl_2!$A$8:$B$464,GUS_tabl_21!$A$5:$B$4886),2,FALSE)),SUM(FIND("..",TRIM(VLOOKUP(IF(AND(LEN($A1556)=4,VALUE(RIGHT($A1556,2))&gt;60),$A1556&amp;"01 1",$A1556),IF(AND(LEN($A1556)=4,VALUE(RIGHT($A1556,2))&lt;60),GUS_tabl_2!$A$8:$B$464,GUS_tabl_21!$A$5:$B$4886),2,FALSE))),-1)))))</f>
        <v>Powiat namysłowski</v>
      </c>
      <c r="D1556" s="140">
        <f>IF(OR($A1556="",ISERROR(VALUE(LEFT($A1556,6)))),"",IF(LEN($A1556)=2,SUMIF($A1557:$A$2965,$A1556&amp;"??",$D1557:$D$2965),IF(AND(LEN($A1556)=4,VALUE(RIGHT($A1556,2))&lt;=60),SUMIF($A1557:$A$2965,$A1556&amp;"????",$D1557:$D$2965),VLOOKUP(IF(LEN($A1556)=4,$A1556&amp;"01 1",$A1556),GUS_tabl_21!$A$5:$F$4886,6,FALSE))))</f>
        <v>42634</v>
      </c>
      <c r="E1556" s="29"/>
    </row>
    <row r="1557" spans="1:5" ht="12" customHeight="1">
      <c r="A1557" s="155" t="str">
        <f>"160601 2"</f>
        <v>160601 2</v>
      </c>
      <c r="B1557" s="153" t="s">
        <v>74</v>
      </c>
      <c r="C1557" s="156" t="str">
        <f>IF(OR($A1557="",ISERROR(VALUE(LEFT($A1557,6)))),"",IF(LEN($A1557)=2,"WOJ. ",IF(LEN($A1557)=4,IF(VALUE(RIGHT($A1557,2))&gt;60,"","Powiat "),IF(VALUE(RIGHT($A1557,1))=1,"m. ",IF(VALUE(RIGHT($A1557,1))=2,"gm. w. ",IF(VALUE(RIGHT($A1557,1))=8,"dz. ","gm. m.-w. ")))))&amp;IF(LEN($A1557)=2,TRIM(UPPER(VLOOKUP($A1557,GUS_tabl_1!$A$7:$B$22,2,FALSE))),IF(ISERROR(FIND("..",TRIM(VLOOKUP(IF(AND(LEN($A1557)=4,VALUE(RIGHT($A1557,2))&gt;60),$A1557&amp;"01 1",$A1557),IF(AND(LEN($A1557)=4,VALUE(RIGHT($A1557,2))&lt;60),GUS_tabl_2!$A$8:$B$464,GUS_tabl_21!$A$5:$B$4886),2,FALSE)))),TRIM(VLOOKUP(IF(AND(LEN($A1557)=4,VALUE(RIGHT($A1557,2))&gt;60),$A1557&amp;"01 1",$A1557),IF(AND(LEN($A1557)=4,VALUE(RIGHT($A1557,2))&lt;60),GUS_tabl_2!$A$8:$B$464,GUS_tabl_21!$A$5:$B$4886),2,FALSE)),LEFT(TRIM(VLOOKUP(IF(AND(LEN($A1557)=4,VALUE(RIGHT($A1557,2))&gt;60),$A1557&amp;"01 1",$A1557),IF(AND(LEN($A1557)=4,VALUE(RIGHT($A1557,2))&lt;60),GUS_tabl_2!$A$8:$B$464,GUS_tabl_21!$A$5:$B$4886),2,FALSE)),SUM(FIND("..",TRIM(VLOOKUP(IF(AND(LEN($A1557)=4,VALUE(RIGHT($A1557,2))&gt;60),$A1557&amp;"01 1",$A1557),IF(AND(LEN($A1557)=4,VALUE(RIGHT($A1557,2))&lt;60),GUS_tabl_2!$A$8:$B$464,GUS_tabl_21!$A$5:$B$4886),2,FALSE))),-1)))))</f>
        <v>gm. w. Domaszowice</v>
      </c>
      <c r="D1557" s="141">
        <f>IF(OR($A1557="",ISERROR(VALUE(LEFT($A1557,6)))),"",IF(LEN($A1557)=2,SUMIF($A1558:$A$2965,$A1557&amp;"??",$D1558:$D$2965),IF(AND(LEN($A1557)=4,VALUE(RIGHT($A1557,2))&lt;=60),SUMIF($A1558:$A$2965,$A1557&amp;"????",$D1558:$D$2965),VLOOKUP(IF(LEN($A1557)=4,$A1557&amp;"01 1",$A1557),GUS_tabl_21!$A$5:$F$4886,6,FALSE))))</f>
        <v>3569</v>
      </c>
      <c r="E1557" s="29"/>
    </row>
    <row r="1558" spans="1:5" ht="12" customHeight="1">
      <c r="A1558" s="155" t="str">
        <f>"160602 3"</f>
        <v>160602 3</v>
      </c>
      <c r="B1558" s="153" t="s">
        <v>74</v>
      </c>
      <c r="C1558" s="156" t="str">
        <f>IF(OR($A1558="",ISERROR(VALUE(LEFT($A1558,6)))),"",IF(LEN($A1558)=2,"WOJ. ",IF(LEN($A1558)=4,IF(VALUE(RIGHT($A1558,2))&gt;60,"","Powiat "),IF(VALUE(RIGHT($A1558,1))=1,"m. ",IF(VALUE(RIGHT($A1558,1))=2,"gm. w. ",IF(VALUE(RIGHT($A1558,1))=8,"dz. ","gm. m.-w. ")))))&amp;IF(LEN($A1558)=2,TRIM(UPPER(VLOOKUP($A1558,GUS_tabl_1!$A$7:$B$22,2,FALSE))),IF(ISERROR(FIND("..",TRIM(VLOOKUP(IF(AND(LEN($A1558)=4,VALUE(RIGHT($A1558,2))&gt;60),$A1558&amp;"01 1",$A1558),IF(AND(LEN($A1558)=4,VALUE(RIGHT($A1558,2))&lt;60),GUS_tabl_2!$A$8:$B$464,GUS_tabl_21!$A$5:$B$4886),2,FALSE)))),TRIM(VLOOKUP(IF(AND(LEN($A1558)=4,VALUE(RIGHT($A1558,2))&gt;60),$A1558&amp;"01 1",$A1558),IF(AND(LEN($A1558)=4,VALUE(RIGHT($A1558,2))&lt;60),GUS_tabl_2!$A$8:$B$464,GUS_tabl_21!$A$5:$B$4886),2,FALSE)),LEFT(TRIM(VLOOKUP(IF(AND(LEN($A1558)=4,VALUE(RIGHT($A1558,2))&gt;60),$A1558&amp;"01 1",$A1558),IF(AND(LEN($A1558)=4,VALUE(RIGHT($A1558,2))&lt;60),GUS_tabl_2!$A$8:$B$464,GUS_tabl_21!$A$5:$B$4886),2,FALSE)),SUM(FIND("..",TRIM(VLOOKUP(IF(AND(LEN($A1558)=4,VALUE(RIGHT($A1558,2))&gt;60),$A1558&amp;"01 1",$A1558),IF(AND(LEN($A1558)=4,VALUE(RIGHT($A1558,2))&lt;60),GUS_tabl_2!$A$8:$B$464,GUS_tabl_21!$A$5:$B$4886),2,FALSE))),-1)))))</f>
        <v>gm. m.-w. Namysłów</v>
      </c>
      <c r="D1558" s="141">
        <f>IF(OR($A1558="",ISERROR(VALUE(LEFT($A1558,6)))),"",IF(LEN($A1558)=2,SUMIF($A1559:$A$2965,$A1558&amp;"??",$D1559:$D$2965),IF(AND(LEN($A1558)=4,VALUE(RIGHT($A1558,2))&lt;=60),SUMIF($A1559:$A$2965,$A1558&amp;"????",$D1559:$D$2965),VLOOKUP(IF(LEN($A1558)=4,$A1558&amp;"01 1",$A1558),GUS_tabl_21!$A$5:$F$4886,6,FALSE))))</f>
        <v>26172</v>
      </c>
      <c r="E1558" s="29"/>
    </row>
    <row r="1559" spans="1:5" ht="12" customHeight="1">
      <c r="A1559" s="155" t="str">
        <f>"160603 2"</f>
        <v>160603 2</v>
      </c>
      <c r="B1559" s="153" t="s">
        <v>74</v>
      </c>
      <c r="C1559" s="156" t="str">
        <f>IF(OR($A1559="",ISERROR(VALUE(LEFT($A1559,6)))),"",IF(LEN($A1559)=2,"WOJ. ",IF(LEN($A1559)=4,IF(VALUE(RIGHT($A1559,2))&gt;60,"","Powiat "),IF(VALUE(RIGHT($A1559,1))=1,"m. ",IF(VALUE(RIGHT($A1559,1))=2,"gm. w. ",IF(VALUE(RIGHT($A1559,1))=8,"dz. ","gm. m.-w. ")))))&amp;IF(LEN($A1559)=2,TRIM(UPPER(VLOOKUP($A1559,GUS_tabl_1!$A$7:$B$22,2,FALSE))),IF(ISERROR(FIND("..",TRIM(VLOOKUP(IF(AND(LEN($A1559)=4,VALUE(RIGHT($A1559,2))&gt;60),$A1559&amp;"01 1",$A1559),IF(AND(LEN($A1559)=4,VALUE(RIGHT($A1559,2))&lt;60),GUS_tabl_2!$A$8:$B$464,GUS_tabl_21!$A$5:$B$4886),2,FALSE)))),TRIM(VLOOKUP(IF(AND(LEN($A1559)=4,VALUE(RIGHT($A1559,2))&gt;60),$A1559&amp;"01 1",$A1559),IF(AND(LEN($A1559)=4,VALUE(RIGHT($A1559,2))&lt;60),GUS_tabl_2!$A$8:$B$464,GUS_tabl_21!$A$5:$B$4886),2,FALSE)),LEFT(TRIM(VLOOKUP(IF(AND(LEN($A1559)=4,VALUE(RIGHT($A1559,2))&gt;60),$A1559&amp;"01 1",$A1559),IF(AND(LEN($A1559)=4,VALUE(RIGHT($A1559,2))&lt;60),GUS_tabl_2!$A$8:$B$464,GUS_tabl_21!$A$5:$B$4886),2,FALSE)),SUM(FIND("..",TRIM(VLOOKUP(IF(AND(LEN($A1559)=4,VALUE(RIGHT($A1559,2))&gt;60),$A1559&amp;"01 1",$A1559),IF(AND(LEN($A1559)=4,VALUE(RIGHT($A1559,2))&lt;60),GUS_tabl_2!$A$8:$B$464,GUS_tabl_21!$A$5:$B$4886),2,FALSE))),-1)))))</f>
        <v>gm. w. Pokój</v>
      </c>
      <c r="D1559" s="141">
        <f>IF(OR($A1559="",ISERROR(VALUE(LEFT($A1559,6)))),"",IF(LEN($A1559)=2,SUMIF($A1560:$A$2965,$A1559&amp;"??",$D1560:$D$2965),IF(AND(LEN($A1559)=4,VALUE(RIGHT($A1559,2))&lt;=60),SUMIF($A1560:$A$2965,$A1559&amp;"????",$D1560:$D$2965),VLOOKUP(IF(LEN($A1559)=4,$A1559&amp;"01 1",$A1559),GUS_tabl_21!$A$5:$F$4886,6,FALSE))))</f>
        <v>5178</v>
      </c>
      <c r="E1559" s="29"/>
    </row>
    <row r="1560" spans="1:5" ht="12" customHeight="1">
      <c r="A1560" s="155" t="str">
        <f>"160604 2"</f>
        <v>160604 2</v>
      </c>
      <c r="B1560" s="153" t="s">
        <v>74</v>
      </c>
      <c r="C1560" s="156" t="str">
        <f>IF(OR($A1560="",ISERROR(VALUE(LEFT($A1560,6)))),"",IF(LEN($A1560)=2,"WOJ. ",IF(LEN($A1560)=4,IF(VALUE(RIGHT($A1560,2))&gt;60,"","Powiat "),IF(VALUE(RIGHT($A1560,1))=1,"m. ",IF(VALUE(RIGHT($A1560,1))=2,"gm. w. ",IF(VALUE(RIGHT($A1560,1))=8,"dz. ","gm. m.-w. ")))))&amp;IF(LEN($A1560)=2,TRIM(UPPER(VLOOKUP($A1560,GUS_tabl_1!$A$7:$B$22,2,FALSE))),IF(ISERROR(FIND("..",TRIM(VLOOKUP(IF(AND(LEN($A1560)=4,VALUE(RIGHT($A1560,2))&gt;60),$A1560&amp;"01 1",$A1560),IF(AND(LEN($A1560)=4,VALUE(RIGHT($A1560,2))&lt;60),GUS_tabl_2!$A$8:$B$464,GUS_tabl_21!$A$5:$B$4886),2,FALSE)))),TRIM(VLOOKUP(IF(AND(LEN($A1560)=4,VALUE(RIGHT($A1560,2))&gt;60),$A1560&amp;"01 1",$A1560),IF(AND(LEN($A1560)=4,VALUE(RIGHT($A1560,2))&lt;60),GUS_tabl_2!$A$8:$B$464,GUS_tabl_21!$A$5:$B$4886),2,FALSE)),LEFT(TRIM(VLOOKUP(IF(AND(LEN($A1560)=4,VALUE(RIGHT($A1560,2))&gt;60),$A1560&amp;"01 1",$A1560),IF(AND(LEN($A1560)=4,VALUE(RIGHT($A1560,2))&lt;60),GUS_tabl_2!$A$8:$B$464,GUS_tabl_21!$A$5:$B$4886),2,FALSE)),SUM(FIND("..",TRIM(VLOOKUP(IF(AND(LEN($A1560)=4,VALUE(RIGHT($A1560,2))&gt;60),$A1560&amp;"01 1",$A1560),IF(AND(LEN($A1560)=4,VALUE(RIGHT($A1560,2))&lt;60),GUS_tabl_2!$A$8:$B$464,GUS_tabl_21!$A$5:$B$4886),2,FALSE))),-1)))))</f>
        <v>gm. w. Świerczów</v>
      </c>
      <c r="D1560" s="141">
        <f>IF(OR($A1560="",ISERROR(VALUE(LEFT($A1560,6)))),"",IF(LEN($A1560)=2,SUMIF($A1561:$A$2965,$A1560&amp;"??",$D1561:$D$2965),IF(AND(LEN($A1560)=4,VALUE(RIGHT($A1560,2))&lt;=60),SUMIF($A1561:$A$2965,$A1560&amp;"????",$D1561:$D$2965),VLOOKUP(IF(LEN($A1560)=4,$A1560&amp;"01 1",$A1560),GUS_tabl_21!$A$5:$F$4886,6,FALSE))))</f>
        <v>3330</v>
      </c>
      <c r="E1560" s="29"/>
    </row>
    <row r="1561" spans="1:5" ht="12" customHeight="1">
      <c r="A1561" s="155" t="str">
        <f>"160605 2"</f>
        <v>160605 2</v>
      </c>
      <c r="B1561" s="153" t="s">
        <v>74</v>
      </c>
      <c r="C1561" s="156" t="str">
        <f>IF(OR($A1561="",ISERROR(VALUE(LEFT($A1561,6)))),"",IF(LEN($A1561)=2,"WOJ. ",IF(LEN($A1561)=4,IF(VALUE(RIGHT($A1561,2))&gt;60,"","Powiat "),IF(VALUE(RIGHT($A1561,1))=1,"m. ",IF(VALUE(RIGHT($A1561,1))=2,"gm. w. ",IF(VALUE(RIGHT($A1561,1))=8,"dz. ","gm. m.-w. ")))))&amp;IF(LEN($A1561)=2,TRIM(UPPER(VLOOKUP($A1561,GUS_tabl_1!$A$7:$B$22,2,FALSE))),IF(ISERROR(FIND("..",TRIM(VLOOKUP(IF(AND(LEN($A1561)=4,VALUE(RIGHT($A1561,2))&gt;60),$A1561&amp;"01 1",$A1561),IF(AND(LEN($A1561)=4,VALUE(RIGHT($A1561,2))&lt;60),GUS_tabl_2!$A$8:$B$464,GUS_tabl_21!$A$5:$B$4886),2,FALSE)))),TRIM(VLOOKUP(IF(AND(LEN($A1561)=4,VALUE(RIGHT($A1561,2))&gt;60),$A1561&amp;"01 1",$A1561),IF(AND(LEN($A1561)=4,VALUE(RIGHT($A1561,2))&lt;60),GUS_tabl_2!$A$8:$B$464,GUS_tabl_21!$A$5:$B$4886),2,FALSE)),LEFT(TRIM(VLOOKUP(IF(AND(LEN($A1561)=4,VALUE(RIGHT($A1561,2))&gt;60),$A1561&amp;"01 1",$A1561),IF(AND(LEN($A1561)=4,VALUE(RIGHT($A1561,2))&lt;60),GUS_tabl_2!$A$8:$B$464,GUS_tabl_21!$A$5:$B$4886),2,FALSE)),SUM(FIND("..",TRIM(VLOOKUP(IF(AND(LEN($A1561)=4,VALUE(RIGHT($A1561,2))&gt;60),$A1561&amp;"01 1",$A1561),IF(AND(LEN($A1561)=4,VALUE(RIGHT($A1561,2))&lt;60),GUS_tabl_2!$A$8:$B$464,GUS_tabl_21!$A$5:$B$4886),2,FALSE))),-1)))))</f>
        <v>gm. w. Wilków</v>
      </c>
      <c r="D1561" s="141">
        <f>IF(OR($A1561="",ISERROR(VALUE(LEFT($A1561,6)))),"",IF(LEN($A1561)=2,SUMIF($A1562:$A$2965,$A1561&amp;"??",$D1562:$D$2965),IF(AND(LEN($A1561)=4,VALUE(RIGHT($A1561,2))&lt;=60),SUMIF($A1562:$A$2965,$A1561&amp;"????",$D1562:$D$2965),VLOOKUP(IF(LEN($A1561)=4,$A1561&amp;"01 1",$A1561),GUS_tabl_21!$A$5:$F$4886,6,FALSE))))</f>
        <v>4385</v>
      </c>
      <c r="E1561" s="29"/>
    </row>
    <row r="1562" spans="1:5" ht="12" customHeight="1">
      <c r="A1562" s="152" t="str">
        <f>"1607"</f>
        <v>1607</v>
      </c>
      <c r="B1562" s="153" t="s">
        <v>74</v>
      </c>
      <c r="C1562" s="154" t="str">
        <f>IF(OR($A1562="",ISERROR(VALUE(LEFT($A1562,6)))),"",IF(LEN($A1562)=2,"WOJ. ",IF(LEN($A1562)=4,IF(VALUE(RIGHT($A1562,2))&gt;60,"","Powiat "),IF(VALUE(RIGHT($A1562,1))=1,"m. ",IF(VALUE(RIGHT($A1562,1))=2,"gm. w. ",IF(VALUE(RIGHT($A1562,1))=8,"dz. ","gm. m.-w. ")))))&amp;IF(LEN($A1562)=2,TRIM(UPPER(VLOOKUP($A1562,GUS_tabl_1!$A$7:$B$22,2,FALSE))),IF(ISERROR(FIND("..",TRIM(VLOOKUP(IF(AND(LEN($A1562)=4,VALUE(RIGHT($A1562,2))&gt;60),$A1562&amp;"01 1",$A1562),IF(AND(LEN($A1562)=4,VALUE(RIGHT($A1562,2))&lt;60),GUS_tabl_2!$A$8:$B$464,GUS_tabl_21!$A$5:$B$4886),2,FALSE)))),TRIM(VLOOKUP(IF(AND(LEN($A1562)=4,VALUE(RIGHT($A1562,2))&gt;60),$A1562&amp;"01 1",$A1562),IF(AND(LEN($A1562)=4,VALUE(RIGHT($A1562,2))&lt;60),GUS_tabl_2!$A$8:$B$464,GUS_tabl_21!$A$5:$B$4886),2,FALSE)),LEFT(TRIM(VLOOKUP(IF(AND(LEN($A1562)=4,VALUE(RIGHT($A1562,2))&gt;60),$A1562&amp;"01 1",$A1562),IF(AND(LEN($A1562)=4,VALUE(RIGHT($A1562,2))&lt;60),GUS_tabl_2!$A$8:$B$464,GUS_tabl_21!$A$5:$B$4886),2,FALSE)),SUM(FIND("..",TRIM(VLOOKUP(IF(AND(LEN($A1562)=4,VALUE(RIGHT($A1562,2))&gt;60),$A1562&amp;"01 1",$A1562),IF(AND(LEN($A1562)=4,VALUE(RIGHT($A1562,2))&lt;60),GUS_tabl_2!$A$8:$B$464,GUS_tabl_21!$A$5:$B$4886),2,FALSE))),-1)))))</f>
        <v>Powiat nyski</v>
      </c>
      <c r="D1562" s="140">
        <f>IF(OR($A1562="",ISERROR(VALUE(LEFT($A1562,6)))),"",IF(LEN($A1562)=2,SUMIF($A1563:$A$2965,$A1562&amp;"??",$D1563:$D$2965),IF(AND(LEN($A1562)=4,VALUE(RIGHT($A1562,2))&lt;=60),SUMIF($A1563:$A$2965,$A1562&amp;"????",$D1563:$D$2965),VLOOKUP(IF(LEN($A1562)=4,$A1562&amp;"01 1",$A1562),GUS_tabl_21!$A$5:$F$4886,6,FALSE))))</f>
        <v>135948</v>
      </c>
      <c r="E1562" s="29"/>
    </row>
    <row r="1563" spans="1:5" ht="12" customHeight="1">
      <c r="A1563" s="155" t="str">
        <f>"160701 3"</f>
        <v>160701 3</v>
      </c>
      <c r="B1563" s="153" t="s">
        <v>74</v>
      </c>
      <c r="C1563" s="156" t="str">
        <f>IF(OR($A1563="",ISERROR(VALUE(LEFT($A1563,6)))),"",IF(LEN($A1563)=2,"WOJ. ",IF(LEN($A1563)=4,IF(VALUE(RIGHT($A1563,2))&gt;60,"","Powiat "),IF(VALUE(RIGHT($A1563,1))=1,"m. ",IF(VALUE(RIGHT($A1563,1))=2,"gm. w. ",IF(VALUE(RIGHT($A1563,1))=8,"dz. ","gm. m.-w. ")))))&amp;IF(LEN($A1563)=2,TRIM(UPPER(VLOOKUP($A1563,GUS_tabl_1!$A$7:$B$22,2,FALSE))),IF(ISERROR(FIND("..",TRIM(VLOOKUP(IF(AND(LEN($A1563)=4,VALUE(RIGHT($A1563,2))&gt;60),$A1563&amp;"01 1",$A1563),IF(AND(LEN($A1563)=4,VALUE(RIGHT($A1563,2))&lt;60),GUS_tabl_2!$A$8:$B$464,GUS_tabl_21!$A$5:$B$4886),2,FALSE)))),TRIM(VLOOKUP(IF(AND(LEN($A1563)=4,VALUE(RIGHT($A1563,2))&gt;60),$A1563&amp;"01 1",$A1563),IF(AND(LEN($A1563)=4,VALUE(RIGHT($A1563,2))&lt;60),GUS_tabl_2!$A$8:$B$464,GUS_tabl_21!$A$5:$B$4886),2,FALSE)),LEFT(TRIM(VLOOKUP(IF(AND(LEN($A1563)=4,VALUE(RIGHT($A1563,2))&gt;60),$A1563&amp;"01 1",$A1563),IF(AND(LEN($A1563)=4,VALUE(RIGHT($A1563,2))&lt;60),GUS_tabl_2!$A$8:$B$464,GUS_tabl_21!$A$5:$B$4886),2,FALSE)),SUM(FIND("..",TRIM(VLOOKUP(IF(AND(LEN($A1563)=4,VALUE(RIGHT($A1563,2))&gt;60),$A1563&amp;"01 1",$A1563),IF(AND(LEN($A1563)=4,VALUE(RIGHT($A1563,2))&lt;60),GUS_tabl_2!$A$8:$B$464,GUS_tabl_21!$A$5:$B$4886),2,FALSE))),-1)))))</f>
        <v>gm. m.-w. Głuchołazy</v>
      </c>
      <c r="D1563" s="141">
        <f>IF(OR($A1563="",ISERROR(VALUE(LEFT($A1563,6)))),"",IF(LEN($A1563)=2,SUMIF($A1564:$A$2965,$A1563&amp;"??",$D1564:$D$2965),IF(AND(LEN($A1563)=4,VALUE(RIGHT($A1563,2))&lt;=60),SUMIF($A1564:$A$2965,$A1563&amp;"????",$D1564:$D$2965),VLOOKUP(IF(LEN($A1563)=4,$A1563&amp;"01 1",$A1563),GUS_tabl_21!$A$5:$F$4886,6,FALSE))))</f>
        <v>23643</v>
      </c>
      <c r="E1563" s="29"/>
    </row>
    <row r="1564" spans="1:5" ht="12" customHeight="1">
      <c r="A1564" s="155" t="str">
        <f>"160702 2"</f>
        <v>160702 2</v>
      </c>
      <c r="B1564" s="153" t="s">
        <v>74</v>
      </c>
      <c r="C1564" s="156" t="str">
        <f>IF(OR($A1564="",ISERROR(VALUE(LEFT($A1564,6)))),"",IF(LEN($A1564)=2,"WOJ. ",IF(LEN($A1564)=4,IF(VALUE(RIGHT($A1564,2))&gt;60,"","Powiat "),IF(VALUE(RIGHT($A1564,1))=1,"m. ",IF(VALUE(RIGHT($A1564,1))=2,"gm. w. ",IF(VALUE(RIGHT($A1564,1))=8,"dz. ","gm. m.-w. ")))))&amp;IF(LEN($A1564)=2,TRIM(UPPER(VLOOKUP($A1564,GUS_tabl_1!$A$7:$B$22,2,FALSE))),IF(ISERROR(FIND("..",TRIM(VLOOKUP(IF(AND(LEN($A1564)=4,VALUE(RIGHT($A1564,2))&gt;60),$A1564&amp;"01 1",$A1564),IF(AND(LEN($A1564)=4,VALUE(RIGHT($A1564,2))&lt;60),GUS_tabl_2!$A$8:$B$464,GUS_tabl_21!$A$5:$B$4886),2,FALSE)))),TRIM(VLOOKUP(IF(AND(LEN($A1564)=4,VALUE(RIGHT($A1564,2))&gt;60),$A1564&amp;"01 1",$A1564),IF(AND(LEN($A1564)=4,VALUE(RIGHT($A1564,2))&lt;60),GUS_tabl_2!$A$8:$B$464,GUS_tabl_21!$A$5:$B$4886),2,FALSE)),LEFT(TRIM(VLOOKUP(IF(AND(LEN($A1564)=4,VALUE(RIGHT($A1564,2))&gt;60),$A1564&amp;"01 1",$A1564),IF(AND(LEN($A1564)=4,VALUE(RIGHT($A1564,2))&lt;60),GUS_tabl_2!$A$8:$B$464,GUS_tabl_21!$A$5:$B$4886),2,FALSE)),SUM(FIND("..",TRIM(VLOOKUP(IF(AND(LEN($A1564)=4,VALUE(RIGHT($A1564,2))&gt;60),$A1564&amp;"01 1",$A1564),IF(AND(LEN($A1564)=4,VALUE(RIGHT($A1564,2))&lt;60),GUS_tabl_2!$A$8:$B$464,GUS_tabl_21!$A$5:$B$4886),2,FALSE))),-1)))))</f>
        <v>gm. w. Kamiennik</v>
      </c>
      <c r="D1564" s="141">
        <f>IF(OR($A1564="",ISERROR(VALUE(LEFT($A1564,6)))),"",IF(LEN($A1564)=2,SUMIF($A1565:$A$2965,$A1564&amp;"??",$D1565:$D$2965),IF(AND(LEN($A1564)=4,VALUE(RIGHT($A1564,2))&lt;=60),SUMIF($A1565:$A$2965,$A1564&amp;"????",$D1565:$D$2965),VLOOKUP(IF(LEN($A1564)=4,$A1564&amp;"01 1",$A1564),GUS_tabl_21!$A$5:$F$4886,6,FALSE))))</f>
        <v>3444</v>
      </c>
      <c r="E1564" s="29"/>
    </row>
    <row r="1565" spans="1:5" ht="12" customHeight="1">
      <c r="A1565" s="155" t="str">
        <f>"160703 3"</f>
        <v>160703 3</v>
      </c>
      <c r="B1565" s="153" t="s">
        <v>74</v>
      </c>
      <c r="C1565" s="156" t="str">
        <f>IF(OR($A1565="",ISERROR(VALUE(LEFT($A1565,6)))),"",IF(LEN($A1565)=2,"WOJ. ",IF(LEN($A1565)=4,IF(VALUE(RIGHT($A1565,2))&gt;60,"","Powiat "),IF(VALUE(RIGHT($A1565,1))=1,"m. ",IF(VALUE(RIGHT($A1565,1))=2,"gm. w. ",IF(VALUE(RIGHT($A1565,1))=8,"dz. ","gm. m.-w. ")))))&amp;IF(LEN($A1565)=2,TRIM(UPPER(VLOOKUP($A1565,GUS_tabl_1!$A$7:$B$22,2,FALSE))),IF(ISERROR(FIND("..",TRIM(VLOOKUP(IF(AND(LEN($A1565)=4,VALUE(RIGHT($A1565,2))&gt;60),$A1565&amp;"01 1",$A1565),IF(AND(LEN($A1565)=4,VALUE(RIGHT($A1565,2))&lt;60),GUS_tabl_2!$A$8:$B$464,GUS_tabl_21!$A$5:$B$4886),2,FALSE)))),TRIM(VLOOKUP(IF(AND(LEN($A1565)=4,VALUE(RIGHT($A1565,2))&gt;60),$A1565&amp;"01 1",$A1565),IF(AND(LEN($A1565)=4,VALUE(RIGHT($A1565,2))&lt;60),GUS_tabl_2!$A$8:$B$464,GUS_tabl_21!$A$5:$B$4886),2,FALSE)),LEFT(TRIM(VLOOKUP(IF(AND(LEN($A1565)=4,VALUE(RIGHT($A1565,2))&gt;60),$A1565&amp;"01 1",$A1565),IF(AND(LEN($A1565)=4,VALUE(RIGHT($A1565,2))&lt;60),GUS_tabl_2!$A$8:$B$464,GUS_tabl_21!$A$5:$B$4886),2,FALSE)),SUM(FIND("..",TRIM(VLOOKUP(IF(AND(LEN($A1565)=4,VALUE(RIGHT($A1565,2))&gt;60),$A1565&amp;"01 1",$A1565),IF(AND(LEN($A1565)=4,VALUE(RIGHT($A1565,2))&lt;60),GUS_tabl_2!$A$8:$B$464,GUS_tabl_21!$A$5:$B$4886),2,FALSE))),-1)))))</f>
        <v>gm. m.-w. Korfantów</v>
      </c>
      <c r="D1565" s="141">
        <f>IF(OR($A1565="",ISERROR(VALUE(LEFT($A1565,6)))),"",IF(LEN($A1565)=2,SUMIF($A1566:$A$2965,$A1565&amp;"??",$D1566:$D$2965),IF(AND(LEN($A1565)=4,VALUE(RIGHT($A1565,2))&lt;=60),SUMIF($A1566:$A$2965,$A1565&amp;"????",$D1566:$D$2965),VLOOKUP(IF(LEN($A1565)=4,$A1565&amp;"01 1",$A1565),GUS_tabl_21!$A$5:$F$4886,6,FALSE))))</f>
        <v>8734</v>
      </c>
      <c r="E1565" s="29"/>
    </row>
    <row r="1566" spans="1:5" ht="12" customHeight="1">
      <c r="A1566" s="155" t="str">
        <f>"160704 2"</f>
        <v>160704 2</v>
      </c>
      <c r="B1566" s="153" t="s">
        <v>74</v>
      </c>
      <c r="C1566" s="156" t="str">
        <f>IF(OR($A1566="",ISERROR(VALUE(LEFT($A1566,6)))),"",IF(LEN($A1566)=2,"WOJ. ",IF(LEN($A1566)=4,IF(VALUE(RIGHT($A1566,2))&gt;60,"","Powiat "),IF(VALUE(RIGHT($A1566,1))=1,"m. ",IF(VALUE(RIGHT($A1566,1))=2,"gm. w. ",IF(VALUE(RIGHT($A1566,1))=8,"dz. ","gm. m.-w. ")))))&amp;IF(LEN($A1566)=2,TRIM(UPPER(VLOOKUP($A1566,GUS_tabl_1!$A$7:$B$22,2,FALSE))),IF(ISERROR(FIND("..",TRIM(VLOOKUP(IF(AND(LEN($A1566)=4,VALUE(RIGHT($A1566,2))&gt;60),$A1566&amp;"01 1",$A1566),IF(AND(LEN($A1566)=4,VALUE(RIGHT($A1566,2))&lt;60),GUS_tabl_2!$A$8:$B$464,GUS_tabl_21!$A$5:$B$4886),2,FALSE)))),TRIM(VLOOKUP(IF(AND(LEN($A1566)=4,VALUE(RIGHT($A1566,2))&gt;60),$A1566&amp;"01 1",$A1566),IF(AND(LEN($A1566)=4,VALUE(RIGHT($A1566,2))&lt;60),GUS_tabl_2!$A$8:$B$464,GUS_tabl_21!$A$5:$B$4886),2,FALSE)),LEFT(TRIM(VLOOKUP(IF(AND(LEN($A1566)=4,VALUE(RIGHT($A1566,2))&gt;60),$A1566&amp;"01 1",$A1566),IF(AND(LEN($A1566)=4,VALUE(RIGHT($A1566,2))&lt;60),GUS_tabl_2!$A$8:$B$464,GUS_tabl_21!$A$5:$B$4886),2,FALSE)),SUM(FIND("..",TRIM(VLOOKUP(IF(AND(LEN($A1566)=4,VALUE(RIGHT($A1566,2))&gt;60),$A1566&amp;"01 1",$A1566),IF(AND(LEN($A1566)=4,VALUE(RIGHT($A1566,2))&lt;60),GUS_tabl_2!$A$8:$B$464,GUS_tabl_21!$A$5:$B$4886),2,FALSE))),-1)))))</f>
        <v>gm. w. Łambinowice</v>
      </c>
      <c r="D1566" s="141">
        <f>IF(OR($A1566="",ISERROR(VALUE(LEFT($A1566,6)))),"",IF(LEN($A1566)=2,SUMIF($A1567:$A$2965,$A1566&amp;"??",$D1567:$D$2965),IF(AND(LEN($A1566)=4,VALUE(RIGHT($A1566,2))&lt;=60),SUMIF($A1567:$A$2965,$A1566&amp;"????",$D1567:$D$2965),VLOOKUP(IF(LEN($A1566)=4,$A1566&amp;"01 1",$A1566),GUS_tabl_21!$A$5:$F$4886,6,FALSE))))</f>
        <v>7441</v>
      </c>
      <c r="E1566" s="29"/>
    </row>
    <row r="1567" spans="1:5" ht="12" customHeight="1">
      <c r="A1567" s="155" t="str">
        <f>"160705 3"</f>
        <v>160705 3</v>
      </c>
      <c r="B1567" s="153" t="s">
        <v>74</v>
      </c>
      <c r="C1567" s="156" t="str">
        <f>IF(OR($A1567="",ISERROR(VALUE(LEFT($A1567,6)))),"",IF(LEN($A1567)=2,"WOJ. ",IF(LEN($A1567)=4,IF(VALUE(RIGHT($A1567,2))&gt;60,"","Powiat "),IF(VALUE(RIGHT($A1567,1))=1,"m. ",IF(VALUE(RIGHT($A1567,1))=2,"gm. w. ",IF(VALUE(RIGHT($A1567,1))=8,"dz. ","gm. m.-w. ")))))&amp;IF(LEN($A1567)=2,TRIM(UPPER(VLOOKUP($A1567,GUS_tabl_1!$A$7:$B$22,2,FALSE))),IF(ISERROR(FIND("..",TRIM(VLOOKUP(IF(AND(LEN($A1567)=4,VALUE(RIGHT($A1567,2))&gt;60),$A1567&amp;"01 1",$A1567),IF(AND(LEN($A1567)=4,VALUE(RIGHT($A1567,2))&lt;60),GUS_tabl_2!$A$8:$B$464,GUS_tabl_21!$A$5:$B$4886),2,FALSE)))),TRIM(VLOOKUP(IF(AND(LEN($A1567)=4,VALUE(RIGHT($A1567,2))&gt;60),$A1567&amp;"01 1",$A1567),IF(AND(LEN($A1567)=4,VALUE(RIGHT($A1567,2))&lt;60),GUS_tabl_2!$A$8:$B$464,GUS_tabl_21!$A$5:$B$4886),2,FALSE)),LEFT(TRIM(VLOOKUP(IF(AND(LEN($A1567)=4,VALUE(RIGHT($A1567,2))&gt;60),$A1567&amp;"01 1",$A1567),IF(AND(LEN($A1567)=4,VALUE(RIGHT($A1567,2))&lt;60),GUS_tabl_2!$A$8:$B$464,GUS_tabl_21!$A$5:$B$4886),2,FALSE)),SUM(FIND("..",TRIM(VLOOKUP(IF(AND(LEN($A1567)=4,VALUE(RIGHT($A1567,2))&gt;60),$A1567&amp;"01 1",$A1567),IF(AND(LEN($A1567)=4,VALUE(RIGHT($A1567,2))&lt;60),GUS_tabl_2!$A$8:$B$464,GUS_tabl_21!$A$5:$B$4886),2,FALSE))),-1)))))</f>
        <v>gm. m.-w. Nysa</v>
      </c>
      <c r="D1567" s="141">
        <f>IF(OR($A1567="",ISERROR(VALUE(LEFT($A1567,6)))),"",IF(LEN($A1567)=2,SUMIF($A1568:$A$2965,$A1567&amp;"??",$D1568:$D$2965),IF(AND(LEN($A1567)=4,VALUE(RIGHT($A1567,2))&lt;=60),SUMIF($A1568:$A$2965,$A1567&amp;"????",$D1568:$D$2965),VLOOKUP(IF(LEN($A1567)=4,$A1567&amp;"01 1",$A1567),GUS_tabl_21!$A$5:$F$4886,6,FALSE))))</f>
        <v>56951</v>
      </c>
      <c r="E1567" s="29"/>
    </row>
    <row r="1568" spans="1:5" ht="12" customHeight="1">
      <c r="A1568" s="155" t="str">
        <f>"160706 3"</f>
        <v>160706 3</v>
      </c>
      <c r="B1568" s="153" t="s">
        <v>74</v>
      </c>
      <c r="C1568" s="156" t="str">
        <f>IF(OR($A1568="",ISERROR(VALUE(LEFT($A1568,6)))),"",IF(LEN($A1568)=2,"WOJ. ",IF(LEN($A1568)=4,IF(VALUE(RIGHT($A1568,2))&gt;60,"","Powiat "),IF(VALUE(RIGHT($A1568,1))=1,"m. ",IF(VALUE(RIGHT($A1568,1))=2,"gm. w. ",IF(VALUE(RIGHT($A1568,1))=8,"dz. ","gm. m.-w. ")))))&amp;IF(LEN($A1568)=2,TRIM(UPPER(VLOOKUP($A1568,GUS_tabl_1!$A$7:$B$22,2,FALSE))),IF(ISERROR(FIND("..",TRIM(VLOOKUP(IF(AND(LEN($A1568)=4,VALUE(RIGHT($A1568,2))&gt;60),$A1568&amp;"01 1",$A1568),IF(AND(LEN($A1568)=4,VALUE(RIGHT($A1568,2))&lt;60),GUS_tabl_2!$A$8:$B$464,GUS_tabl_21!$A$5:$B$4886),2,FALSE)))),TRIM(VLOOKUP(IF(AND(LEN($A1568)=4,VALUE(RIGHT($A1568,2))&gt;60),$A1568&amp;"01 1",$A1568),IF(AND(LEN($A1568)=4,VALUE(RIGHT($A1568,2))&lt;60),GUS_tabl_2!$A$8:$B$464,GUS_tabl_21!$A$5:$B$4886),2,FALSE)),LEFT(TRIM(VLOOKUP(IF(AND(LEN($A1568)=4,VALUE(RIGHT($A1568,2))&gt;60),$A1568&amp;"01 1",$A1568),IF(AND(LEN($A1568)=4,VALUE(RIGHT($A1568,2))&lt;60),GUS_tabl_2!$A$8:$B$464,GUS_tabl_21!$A$5:$B$4886),2,FALSE)),SUM(FIND("..",TRIM(VLOOKUP(IF(AND(LEN($A1568)=4,VALUE(RIGHT($A1568,2))&gt;60),$A1568&amp;"01 1",$A1568),IF(AND(LEN($A1568)=4,VALUE(RIGHT($A1568,2))&lt;60),GUS_tabl_2!$A$8:$B$464,GUS_tabl_21!$A$5:$B$4886),2,FALSE))),-1)))))</f>
        <v>gm. m.-w. Otmuchów</v>
      </c>
      <c r="D1568" s="141">
        <f>IF(OR($A1568="",ISERROR(VALUE(LEFT($A1568,6)))),"",IF(LEN($A1568)=2,SUMIF($A1569:$A$2965,$A1568&amp;"??",$D1569:$D$2965),IF(AND(LEN($A1568)=4,VALUE(RIGHT($A1568,2))&lt;=60),SUMIF($A1569:$A$2965,$A1568&amp;"????",$D1569:$D$2965),VLOOKUP(IF(LEN($A1568)=4,$A1568&amp;"01 1",$A1568),GUS_tabl_21!$A$5:$F$4886,6,FALSE))))</f>
        <v>13501</v>
      </c>
      <c r="E1568" s="29"/>
    </row>
    <row r="1569" spans="1:5" ht="12" customHeight="1">
      <c r="A1569" s="155" t="str">
        <f>"160707 3"</f>
        <v>160707 3</v>
      </c>
      <c r="B1569" s="153" t="s">
        <v>74</v>
      </c>
      <c r="C1569" s="156" t="str">
        <f>IF(OR($A1569="",ISERROR(VALUE(LEFT($A1569,6)))),"",IF(LEN($A1569)=2,"WOJ. ",IF(LEN($A1569)=4,IF(VALUE(RIGHT($A1569,2))&gt;60,"","Powiat "),IF(VALUE(RIGHT($A1569,1))=1,"m. ",IF(VALUE(RIGHT($A1569,1))=2,"gm. w. ",IF(VALUE(RIGHT($A1569,1))=8,"dz. ","gm. m.-w. ")))))&amp;IF(LEN($A1569)=2,TRIM(UPPER(VLOOKUP($A1569,GUS_tabl_1!$A$7:$B$22,2,FALSE))),IF(ISERROR(FIND("..",TRIM(VLOOKUP(IF(AND(LEN($A1569)=4,VALUE(RIGHT($A1569,2))&gt;60),$A1569&amp;"01 1",$A1569),IF(AND(LEN($A1569)=4,VALUE(RIGHT($A1569,2))&lt;60),GUS_tabl_2!$A$8:$B$464,GUS_tabl_21!$A$5:$B$4886),2,FALSE)))),TRIM(VLOOKUP(IF(AND(LEN($A1569)=4,VALUE(RIGHT($A1569,2))&gt;60),$A1569&amp;"01 1",$A1569),IF(AND(LEN($A1569)=4,VALUE(RIGHT($A1569,2))&lt;60),GUS_tabl_2!$A$8:$B$464,GUS_tabl_21!$A$5:$B$4886),2,FALSE)),LEFT(TRIM(VLOOKUP(IF(AND(LEN($A1569)=4,VALUE(RIGHT($A1569,2))&gt;60),$A1569&amp;"01 1",$A1569),IF(AND(LEN($A1569)=4,VALUE(RIGHT($A1569,2))&lt;60),GUS_tabl_2!$A$8:$B$464,GUS_tabl_21!$A$5:$B$4886),2,FALSE)),SUM(FIND("..",TRIM(VLOOKUP(IF(AND(LEN($A1569)=4,VALUE(RIGHT($A1569,2))&gt;60),$A1569&amp;"01 1",$A1569),IF(AND(LEN($A1569)=4,VALUE(RIGHT($A1569,2))&lt;60),GUS_tabl_2!$A$8:$B$464,GUS_tabl_21!$A$5:$B$4886),2,FALSE))),-1)))))</f>
        <v>gm. m.-w. Paczków</v>
      </c>
      <c r="D1569" s="141">
        <f>IF(OR($A1569="",ISERROR(VALUE(LEFT($A1569,6)))),"",IF(LEN($A1569)=2,SUMIF($A1570:$A$2965,$A1569&amp;"??",$D1570:$D$2965),IF(AND(LEN($A1569)=4,VALUE(RIGHT($A1569,2))&lt;=60),SUMIF($A1570:$A$2965,$A1569&amp;"????",$D1570:$D$2965),VLOOKUP(IF(LEN($A1569)=4,$A1569&amp;"01 1",$A1569),GUS_tabl_21!$A$5:$F$4886,6,FALSE))))</f>
        <v>12535</v>
      </c>
      <c r="E1569" s="29"/>
    </row>
    <row r="1570" spans="1:5" ht="12" customHeight="1">
      <c r="A1570" s="155" t="str">
        <f>"160708 2"</f>
        <v>160708 2</v>
      </c>
      <c r="B1570" s="153" t="s">
        <v>74</v>
      </c>
      <c r="C1570" s="156" t="str">
        <f>IF(OR($A1570="",ISERROR(VALUE(LEFT($A1570,6)))),"",IF(LEN($A1570)=2,"WOJ. ",IF(LEN($A1570)=4,IF(VALUE(RIGHT($A1570,2))&gt;60,"","Powiat "),IF(VALUE(RIGHT($A1570,1))=1,"m. ",IF(VALUE(RIGHT($A1570,1))=2,"gm. w. ",IF(VALUE(RIGHT($A1570,1))=8,"dz. ","gm. m.-w. ")))))&amp;IF(LEN($A1570)=2,TRIM(UPPER(VLOOKUP($A1570,GUS_tabl_1!$A$7:$B$22,2,FALSE))),IF(ISERROR(FIND("..",TRIM(VLOOKUP(IF(AND(LEN($A1570)=4,VALUE(RIGHT($A1570,2))&gt;60),$A1570&amp;"01 1",$A1570),IF(AND(LEN($A1570)=4,VALUE(RIGHT($A1570,2))&lt;60),GUS_tabl_2!$A$8:$B$464,GUS_tabl_21!$A$5:$B$4886),2,FALSE)))),TRIM(VLOOKUP(IF(AND(LEN($A1570)=4,VALUE(RIGHT($A1570,2))&gt;60),$A1570&amp;"01 1",$A1570),IF(AND(LEN($A1570)=4,VALUE(RIGHT($A1570,2))&lt;60),GUS_tabl_2!$A$8:$B$464,GUS_tabl_21!$A$5:$B$4886),2,FALSE)),LEFT(TRIM(VLOOKUP(IF(AND(LEN($A1570)=4,VALUE(RIGHT($A1570,2))&gt;60),$A1570&amp;"01 1",$A1570),IF(AND(LEN($A1570)=4,VALUE(RIGHT($A1570,2))&lt;60),GUS_tabl_2!$A$8:$B$464,GUS_tabl_21!$A$5:$B$4886),2,FALSE)),SUM(FIND("..",TRIM(VLOOKUP(IF(AND(LEN($A1570)=4,VALUE(RIGHT($A1570,2))&gt;60),$A1570&amp;"01 1",$A1570),IF(AND(LEN($A1570)=4,VALUE(RIGHT($A1570,2))&lt;60),GUS_tabl_2!$A$8:$B$464,GUS_tabl_21!$A$5:$B$4886),2,FALSE))),-1)))))</f>
        <v>gm. w. Pakosławice</v>
      </c>
      <c r="D1570" s="141">
        <f>IF(OR($A1570="",ISERROR(VALUE(LEFT($A1570,6)))),"",IF(LEN($A1570)=2,SUMIF($A1571:$A$2965,$A1570&amp;"??",$D1571:$D$2965),IF(AND(LEN($A1570)=4,VALUE(RIGHT($A1570,2))&lt;=60),SUMIF($A1571:$A$2965,$A1570&amp;"????",$D1571:$D$2965),VLOOKUP(IF(LEN($A1570)=4,$A1570&amp;"01 1",$A1570),GUS_tabl_21!$A$5:$F$4886,6,FALSE))))</f>
        <v>3500</v>
      </c>
      <c r="E1570" s="29"/>
    </row>
    <row r="1571" spans="1:5" ht="12" customHeight="1">
      <c r="A1571" s="155" t="str">
        <f>"160709 2"</f>
        <v>160709 2</v>
      </c>
      <c r="B1571" s="153" t="s">
        <v>74</v>
      </c>
      <c r="C1571" s="156" t="str">
        <f>IF(OR($A1571="",ISERROR(VALUE(LEFT($A1571,6)))),"",IF(LEN($A1571)=2,"WOJ. ",IF(LEN($A1571)=4,IF(VALUE(RIGHT($A1571,2))&gt;60,"","Powiat "),IF(VALUE(RIGHT($A1571,1))=1,"m. ",IF(VALUE(RIGHT($A1571,1))=2,"gm. w. ",IF(VALUE(RIGHT($A1571,1))=8,"dz. ","gm. m.-w. ")))))&amp;IF(LEN($A1571)=2,TRIM(UPPER(VLOOKUP($A1571,GUS_tabl_1!$A$7:$B$22,2,FALSE))),IF(ISERROR(FIND("..",TRIM(VLOOKUP(IF(AND(LEN($A1571)=4,VALUE(RIGHT($A1571,2))&gt;60),$A1571&amp;"01 1",$A1571),IF(AND(LEN($A1571)=4,VALUE(RIGHT($A1571,2))&lt;60),GUS_tabl_2!$A$8:$B$464,GUS_tabl_21!$A$5:$B$4886),2,FALSE)))),TRIM(VLOOKUP(IF(AND(LEN($A1571)=4,VALUE(RIGHT($A1571,2))&gt;60),$A1571&amp;"01 1",$A1571),IF(AND(LEN($A1571)=4,VALUE(RIGHT($A1571,2))&lt;60),GUS_tabl_2!$A$8:$B$464,GUS_tabl_21!$A$5:$B$4886),2,FALSE)),LEFT(TRIM(VLOOKUP(IF(AND(LEN($A1571)=4,VALUE(RIGHT($A1571,2))&gt;60),$A1571&amp;"01 1",$A1571),IF(AND(LEN($A1571)=4,VALUE(RIGHT($A1571,2))&lt;60),GUS_tabl_2!$A$8:$B$464,GUS_tabl_21!$A$5:$B$4886),2,FALSE)),SUM(FIND("..",TRIM(VLOOKUP(IF(AND(LEN($A1571)=4,VALUE(RIGHT($A1571,2))&gt;60),$A1571&amp;"01 1",$A1571),IF(AND(LEN($A1571)=4,VALUE(RIGHT($A1571,2))&lt;60),GUS_tabl_2!$A$8:$B$464,GUS_tabl_21!$A$5:$B$4886),2,FALSE))),-1)))))</f>
        <v>gm. w. Skoroszyce</v>
      </c>
      <c r="D1571" s="141">
        <f>IF(OR($A1571="",ISERROR(VALUE(LEFT($A1571,6)))),"",IF(LEN($A1571)=2,SUMIF($A1572:$A$2965,$A1571&amp;"??",$D1572:$D$2965),IF(AND(LEN($A1571)=4,VALUE(RIGHT($A1571,2))&lt;=60),SUMIF($A1572:$A$2965,$A1571&amp;"????",$D1572:$D$2965),VLOOKUP(IF(LEN($A1571)=4,$A1571&amp;"01 1",$A1571),GUS_tabl_21!$A$5:$F$4886,6,FALSE))))</f>
        <v>6199</v>
      </c>
      <c r="E1571" s="29"/>
    </row>
    <row r="1572" spans="1:5" ht="12" customHeight="1">
      <c r="A1572" s="152" t="str">
        <f>"1608"</f>
        <v>1608</v>
      </c>
      <c r="B1572" s="153" t="s">
        <v>74</v>
      </c>
      <c r="C1572" s="154" t="str">
        <f>IF(OR($A1572="",ISERROR(VALUE(LEFT($A1572,6)))),"",IF(LEN($A1572)=2,"WOJ. ",IF(LEN($A1572)=4,IF(VALUE(RIGHT($A1572,2))&gt;60,"","Powiat "),IF(VALUE(RIGHT($A1572,1))=1,"m. ",IF(VALUE(RIGHT($A1572,1))=2,"gm. w. ",IF(VALUE(RIGHT($A1572,1))=8,"dz. ","gm. m.-w. ")))))&amp;IF(LEN($A1572)=2,TRIM(UPPER(VLOOKUP($A1572,GUS_tabl_1!$A$7:$B$22,2,FALSE))),IF(ISERROR(FIND("..",TRIM(VLOOKUP(IF(AND(LEN($A1572)=4,VALUE(RIGHT($A1572,2))&gt;60),$A1572&amp;"01 1",$A1572),IF(AND(LEN($A1572)=4,VALUE(RIGHT($A1572,2))&lt;60),GUS_tabl_2!$A$8:$B$464,GUS_tabl_21!$A$5:$B$4886),2,FALSE)))),TRIM(VLOOKUP(IF(AND(LEN($A1572)=4,VALUE(RIGHT($A1572,2))&gt;60),$A1572&amp;"01 1",$A1572),IF(AND(LEN($A1572)=4,VALUE(RIGHT($A1572,2))&lt;60),GUS_tabl_2!$A$8:$B$464,GUS_tabl_21!$A$5:$B$4886),2,FALSE)),LEFT(TRIM(VLOOKUP(IF(AND(LEN($A1572)=4,VALUE(RIGHT($A1572,2))&gt;60),$A1572&amp;"01 1",$A1572),IF(AND(LEN($A1572)=4,VALUE(RIGHT($A1572,2))&lt;60),GUS_tabl_2!$A$8:$B$464,GUS_tabl_21!$A$5:$B$4886),2,FALSE)),SUM(FIND("..",TRIM(VLOOKUP(IF(AND(LEN($A1572)=4,VALUE(RIGHT($A1572,2))&gt;60),$A1572&amp;"01 1",$A1572),IF(AND(LEN($A1572)=4,VALUE(RIGHT($A1572,2))&lt;60),GUS_tabl_2!$A$8:$B$464,GUS_tabl_21!$A$5:$B$4886),2,FALSE))),-1)))))</f>
        <v>Powiat oleski</v>
      </c>
      <c r="D1572" s="140">
        <f>IF(OR($A1572="",ISERROR(VALUE(LEFT($A1572,6)))),"",IF(LEN($A1572)=2,SUMIF($A1573:$A$2965,$A1572&amp;"??",$D1573:$D$2965),IF(AND(LEN($A1572)=4,VALUE(RIGHT($A1572,2))&lt;=60),SUMIF($A1573:$A$2965,$A1572&amp;"????",$D1573:$D$2965),VLOOKUP(IF(LEN($A1572)=4,$A1572&amp;"01 1",$A1572),GUS_tabl_21!$A$5:$F$4886,6,FALSE))))</f>
        <v>64293</v>
      </c>
      <c r="E1572" s="29"/>
    </row>
    <row r="1573" spans="1:5" ht="12" customHeight="1">
      <c r="A1573" s="155" t="str">
        <f>"160801 3"</f>
        <v>160801 3</v>
      </c>
      <c r="B1573" s="153" t="s">
        <v>74</v>
      </c>
      <c r="C1573" s="156" t="str">
        <f>IF(OR($A1573="",ISERROR(VALUE(LEFT($A1573,6)))),"",IF(LEN($A1573)=2,"WOJ. ",IF(LEN($A1573)=4,IF(VALUE(RIGHT($A1573,2))&gt;60,"","Powiat "),IF(VALUE(RIGHT($A1573,1))=1,"m. ",IF(VALUE(RIGHT($A1573,1))=2,"gm. w. ",IF(VALUE(RIGHT($A1573,1))=8,"dz. ","gm. m.-w. ")))))&amp;IF(LEN($A1573)=2,TRIM(UPPER(VLOOKUP($A1573,GUS_tabl_1!$A$7:$B$22,2,FALSE))),IF(ISERROR(FIND("..",TRIM(VLOOKUP(IF(AND(LEN($A1573)=4,VALUE(RIGHT($A1573,2))&gt;60),$A1573&amp;"01 1",$A1573),IF(AND(LEN($A1573)=4,VALUE(RIGHT($A1573,2))&lt;60),GUS_tabl_2!$A$8:$B$464,GUS_tabl_21!$A$5:$B$4886),2,FALSE)))),TRIM(VLOOKUP(IF(AND(LEN($A1573)=4,VALUE(RIGHT($A1573,2))&gt;60),$A1573&amp;"01 1",$A1573),IF(AND(LEN($A1573)=4,VALUE(RIGHT($A1573,2))&lt;60),GUS_tabl_2!$A$8:$B$464,GUS_tabl_21!$A$5:$B$4886),2,FALSE)),LEFT(TRIM(VLOOKUP(IF(AND(LEN($A1573)=4,VALUE(RIGHT($A1573,2))&gt;60),$A1573&amp;"01 1",$A1573),IF(AND(LEN($A1573)=4,VALUE(RIGHT($A1573,2))&lt;60),GUS_tabl_2!$A$8:$B$464,GUS_tabl_21!$A$5:$B$4886),2,FALSE)),SUM(FIND("..",TRIM(VLOOKUP(IF(AND(LEN($A1573)=4,VALUE(RIGHT($A1573,2))&gt;60),$A1573&amp;"01 1",$A1573),IF(AND(LEN($A1573)=4,VALUE(RIGHT($A1573,2))&lt;60),GUS_tabl_2!$A$8:$B$464,GUS_tabl_21!$A$5:$B$4886),2,FALSE))),-1)))))</f>
        <v>gm. m.-w. Dobrodzień</v>
      </c>
      <c r="D1573" s="141">
        <f>IF(OR($A1573="",ISERROR(VALUE(LEFT($A1573,6)))),"",IF(LEN($A1573)=2,SUMIF($A1574:$A$2965,$A1573&amp;"??",$D1574:$D$2965),IF(AND(LEN($A1573)=4,VALUE(RIGHT($A1573,2))&lt;=60),SUMIF($A1574:$A$2965,$A1573&amp;"????",$D1574:$D$2965),VLOOKUP(IF(LEN($A1573)=4,$A1573&amp;"01 1",$A1573),GUS_tabl_21!$A$5:$F$4886,6,FALSE))))</f>
        <v>9838</v>
      </c>
      <c r="E1573" s="29"/>
    </row>
    <row r="1574" spans="1:5" ht="12" customHeight="1">
      <c r="A1574" s="155" t="str">
        <f>"160802 3"</f>
        <v>160802 3</v>
      </c>
      <c r="B1574" s="153" t="s">
        <v>74</v>
      </c>
      <c r="C1574" s="156" t="str">
        <f>IF(OR($A1574="",ISERROR(VALUE(LEFT($A1574,6)))),"",IF(LEN($A1574)=2,"WOJ. ",IF(LEN($A1574)=4,IF(VALUE(RIGHT($A1574,2))&gt;60,"","Powiat "),IF(VALUE(RIGHT($A1574,1))=1,"m. ",IF(VALUE(RIGHT($A1574,1))=2,"gm. w. ",IF(VALUE(RIGHT($A1574,1))=8,"dz. ","gm. m.-w. ")))))&amp;IF(LEN($A1574)=2,TRIM(UPPER(VLOOKUP($A1574,GUS_tabl_1!$A$7:$B$22,2,FALSE))),IF(ISERROR(FIND("..",TRIM(VLOOKUP(IF(AND(LEN($A1574)=4,VALUE(RIGHT($A1574,2))&gt;60),$A1574&amp;"01 1",$A1574),IF(AND(LEN($A1574)=4,VALUE(RIGHT($A1574,2))&lt;60),GUS_tabl_2!$A$8:$B$464,GUS_tabl_21!$A$5:$B$4886),2,FALSE)))),TRIM(VLOOKUP(IF(AND(LEN($A1574)=4,VALUE(RIGHT($A1574,2))&gt;60),$A1574&amp;"01 1",$A1574),IF(AND(LEN($A1574)=4,VALUE(RIGHT($A1574,2))&lt;60),GUS_tabl_2!$A$8:$B$464,GUS_tabl_21!$A$5:$B$4886),2,FALSE)),LEFT(TRIM(VLOOKUP(IF(AND(LEN($A1574)=4,VALUE(RIGHT($A1574,2))&gt;60),$A1574&amp;"01 1",$A1574),IF(AND(LEN($A1574)=4,VALUE(RIGHT($A1574,2))&lt;60),GUS_tabl_2!$A$8:$B$464,GUS_tabl_21!$A$5:$B$4886),2,FALSE)),SUM(FIND("..",TRIM(VLOOKUP(IF(AND(LEN($A1574)=4,VALUE(RIGHT($A1574,2))&gt;60),$A1574&amp;"01 1",$A1574),IF(AND(LEN($A1574)=4,VALUE(RIGHT($A1574,2))&lt;60),GUS_tabl_2!$A$8:$B$464,GUS_tabl_21!$A$5:$B$4886),2,FALSE))),-1)))))</f>
        <v>gm. m.-w. Gorzów Śląski</v>
      </c>
      <c r="D1574" s="141">
        <f>IF(OR($A1574="",ISERROR(VALUE(LEFT($A1574,6)))),"",IF(LEN($A1574)=2,SUMIF($A1575:$A$2965,$A1574&amp;"??",$D1575:$D$2965),IF(AND(LEN($A1574)=4,VALUE(RIGHT($A1574,2))&lt;=60),SUMIF($A1575:$A$2965,$A1574&amp;"????",$D1575:$D$2965),VLOOKUP(IF(LEN($A1574)=4,$A1574&amp;"01 1",$A1574),GUS_tabl_21!$A$5:$F$4886,6,FALSE))))</f>
        <v>7131</v>
      </c>
      <c r="E1574" s="29"/>
    </row>
    <row r="1575" spans="1:5" ht="12" customHeight="1">
      <c r="A1575" s="155" t="str">
        <f>"160803 3"</f>
        <v>160803 3</v>
      </c>
      <c r="B1575" s="153" t="s">
        <v>74</v>
      </c>
      <c r="C1575" s="156" t="str">
        <f>IF(OR($A1575="",ISERROR(VALUE(LEFT($A1575,6)))),"",IF(LEN($A1575)=2,"WOJ. ",IF(LEN($A1575)=4,IF(VALUE(RIGHT($A1575,2))&gt;60,"","Powiat "),IF(VALUE(RIGHT($A1575,1))=1,"m. ",IF(VALUE(RIGHT($A1575,1))=2,"gm. w. ",IF(VALUE(RIGHT($A1575,1))=8,"dz. ","gm. m.-w. ")))))&amp;IF(LEN($A1575)=2,TRIM(UPPER(VLOOKUP($A1575,GUS_tabl_1!$A$7:$B$22,2,FALSE))),IF(ISERROR(FIND("..",TRIM(VLOOKUP(IF(AND(LEN($A1575)=4,VALUE(RIGHT($A1575,2))&gt;60),$A1575&amp;"01 1",$A1575),IF(AND(LEN($A1575)=4,VALUE(RIGHT($A1575,2))&lt;60),GUS_tabl_2!$A$8:$B$464,GUS_tabl_21!$A$5:$B$4886),2,FALSE)))),TRIM(VLOOKUP(IF(AND(LEN($A1575)=4,VALUE(RIGHT($A1575,2))&gt;60),$A1575&amp;"01 1",$A1575),IF(AND(LEN($A1575)=4,VALUE(RIGHT($A1575,2))&lt;60),GUS_tabl_2!$A$8:$B$464,GUS_tabl_21!$A$5:$B$4886),2,FALSE)),LEFT(TRIM(VLOOKUP(IF(AND(LEN($A1575)=4,VALUE(RIGHT($A1575,2))&gt;60),$A1575&amp;"01 1",$A1575),IF(AND(LEN($A1575)=4,VALUE(RIGHT($A1575,2))&lt;60),GUS_tabl_2!$A$8:$B$464,GUS_tabl_21!$A$5:$B$4886),2,FALSE)),SUM(FIND("..",TRIM(VLOOKUP(IF(AND(LEN($A1575)=4,VALUE(RIGHT($A1575,2))&gt;60),$A1575&amp;"01 1",$A1575),IF(AND(LEN($A1575)=4,VALUE(RIGHT($A1575,2))&lt;60),GUS_tabl_2!$A$8:$B$464,GUS_tabl_21!$A$5:$B$4886),2,FALSE))),-1)))))</f>
        <v>gm. m.-w. Olesno</v>
      </c>
      <c r="D1575" s="141">
        <f>IF(OR($A1575="",ISERROR(VALUE(LEFT($A1575,6)))),"",IF(LEN($A1575)=2,SUMIF($A1576:$A$2965,$A1575&amp;"??",$D1576:$D$2965),IF(AND(LEN($A1575)=4,VALUE(RIGHT($A1575,2))&lt;=60),SUMIF($A1576:$A$2965,$A1575&amp;"????",$D1576:$D$2965),VLOOKUP(IF(LEN($A1575)=4,$A1575&amp;"01 1",$A1575),GUS_tabl_21!$A$5:$F$4886,6,FALSE))))</f>
        <v>17763</v>
      </c>
      <c r="E1575" s="29"/>
    </row>
    <row r="1576" spans="1:5" ht="12" customHeight="1">
      <c r="A1576" s="155" t="str">
        <f>"160804 3"</f>
        <v>160804 3</v>
      </c>
      <c r="B1576" s="153" t="s">
        <v>74</v>
      </c>
      <c r="C1576" s="156" t="str">
        <f>IF(OR($A1576="",ISERROR(VALUE(LEFT($A1576,6)))),"",IF(LEN($A1576)=2,"WOJ. ",IF(LEN($A1576)=4,IF(VALUE(RIGHT($A1576,2))&gt;60,"","Powiat "),IF(VALUE(RIGHT($A1576,1))=1,"m. ",IF(VALUE(RIGHT($A1576,1))=2,"gm. w. ",IF(VALUE(RIGHT($A1576,1))=8,"dz. ","gm. m.-w. ")))))&amp;IF(LEN($A1576)=2,TRIM(UPPER(VLOOKUP($A1576,GUS_tabl_1!$A$7:$B$22,2,FALSE))),IF(ISERROR(FIND("..",TRIM(VLOOKUP(IF(AND(LEN($A1576)=4,VALUE(RIGHT($A1576,2))&gt;60),$A1576&amp;"01 1",$A1576),IF(AND(LEN($A1576)=4,VALUE(RIGHT($A1576,2))&lt;60),GUS_tabl_2!$A$8:$B$464,GUS_tabl_21!$A$5:$B$4886),2,FALSE)))),TRIM(VLOOKUP(IF(AND(LEN($A1576)=4,VALUE(RIGHT($A1576,2))&gt;60),$A1576&amp;"01 1",$A1576),IF(AND(LEN($A1576)=4,VALUE(RIGHT($A1576,2))&lt;60),GUS_tabl_2!$A$8:$B$464,GUS_tabl_21!$A$5:$B$4886),2,FALSE)),LEFT(TRIM(VLOOKUP(IF(AND(LEN($A1576)=4,VALUE(RIGHT($A1576,2))&gt;60),$A1576&amp;"01 1",$A1576),IF(AND(LEN($A1576)=4,VALUE(RIGHT($A1576,2))&lt;60),GUS_tabl_2!$A$8:$B$464,GUS_tabl_21!$A$5:$B$4886),2,FALSE)),SUM(FIND("..",TRIM(VLOOKUP(IF(AND(LEN($A1576)=4,VALUE(RIGHT($A1576,2))&gt;60),$A1576&amp;"01 1",$A1576),IF(AND(LEN($A1576)=4,VALUE(RIGHT($A1576,2))&lt;60),GUS_tabl_2!$A$8:$B$464,GUS_tabl_21!$A$5:$B$4886),2,FALSE))),-1)))))</f>
        <v>gm. m.-w. Praszka</v>
      </c>
      <c r="D1576" s="141">
        <f>IF(OR($A1576="",ISERROR(VALUE(LEFT($A1576,6)))),"",IF(LEN($A1576)=2,SUMIF($A1577:$A$2965,$A1576&amp;"??",$D1577:$D$2965),IF(AND(LEN($A1576)=4,VALUE(RIGHT($A1576,2))&lt;=60),SUMIF($A1577:$A$2965,$A1576&amp;"????",$D1577:$D$2965),VLOOKUP(IF(LEN($A1576)=4,$A1576&amp;"01 1",$A1576),GUS_tabl_21!$A$5:$F$4886,6,FALSE))))</f>
        <v>13472</v>
      </c>
      <c r="E1576" s="29"/>
    </row>
    <row r="1577" spans="1:5" ht="12" customHeight="1">
      <c r="A1577" s="155" t="str">
        <f>"160805 2"</f>
        <v>160805 2</v>
      </c>
      <c r="B1577" s="153" t="s">
        <v>74</v>
      </c>
      <c r="C1577" s="156" t="str">
        <f>IF(OR($A1577="",ISERROR(VALUE(LEFT($A1577,6)))),"",IF(LEN($A1577)=2,"WOJ. ",IF(LEN($A1577)=4,IF(VALUE(RIGHT($A1577,2))&gt;60,"","Powiat "),IF(VALUE(RIGHT($A1577,1))=1,"m. ",IF(VALUE(RIGHT($A1577,1))=2,"gm. w. ",IF(VALUE(RIGHT($A1577,1))=8,"dz. ","gm. m.-w. ")))))&amp;IF(LEN($A1577)=2,TRIM(UPPER(VLOOKUP($A1577,GUS_tabl_1!$A$7:$B$22,2,FALSE))),IF(ISERROR(FIND("..",TRIM(VLOOKUP(IF(AND(LEN($A1577)=4,VALUE(RIGHT($A1577,2))&gt;60),$A1577&amp;"01 1",$A1577),IF(AND(LEN($A1577)=4,VALUE(RIGHT($A1577,2))&lt;60),GUS_tabl_2!$A$8:$B$464,GUS_tabl_21!$A$5:$B$4886),2,FALSE)))),TRIM(VLOOKUP(IF(AND(LEN($A1577)=4,VALUE(RIGHT($A1577,2))&gt;60),$A1577&amp;"01 1",$A1577),IF(AND(LEN($A1577)=4,VALUE(RIGHT($A1577,2))&lt;60),GUS_tabl_2!$A$8:$B$464,GUS_tabl_21!$A$5:$B$4886),2,FALSE)),LEFT(TRIM(VLOOKUP(IF(AND(LEN($A1577)=4,VALUE(RIGHT($A1577,2))&gt;60),$A1577&amp;"01 1",$A1577),IF(AND(LEN($A1577)=4,VALUE(RIGHT($A1577,2))&lt;60),GUS_tabl_2!$A$8:$B$464,GUS_tabl_21!$A$5:$B$4886),2,FALSE)),SUM(FIND("..",TRIM(VLOOKUP(IF(AND(LEN($A1577)=4,VALUE(RIGHT($A1577,2))&gt;60),$A1577&amp;"01 1",$A1577),IF(AND(LEN($A1577)=4,VALUE(RIGHT($A1577,2))&lt;60),GUS_tabl_2!$A$8:$B$464,GUS_tabl_21!$A$5:$B$4886),2,FALSE))),-1)))))</f>
        <v>gm. w. Radłów</v>
      </c>
      <c r="D1577" s="141">
        <f>IF(OR($A1577="",ISERROR(VALUE(LEFT($A1577,6)))),"",IF(LEN($A1577)=2,SUMIF($A1578:$A$2965,$A1577&amp;"??",$D1578:$D$2965),IF(AND(LEN($A1577)=4,VALUE(RIGHT($A1577,2))&lt;=60),SUMIF($A1578:$A$2965,$A1577&amp;"????",$D1578:$D$2965),VLOOKUP(IF(LEN($A1577)=4,$A1577&amp;"01 1",$A1577),GUS_tabl_21!$A$5:$F$4886,6,FALSE))))</f>
        <v>4299</v>
      </c>
      <c r="E1577" s="29"/>
    </row>
    <row r="1578" spans="1:5" ht="12" customHeight="1">
      <c r="A1578" s="155" t="str">
        <f>"160806 2"</f>
        <v>160806 2</v>
      </c>
      <c r="B1578" s="153" t="s">
        <v>74</v>
      </c>
      <c r="C1578" s="156" t="str">
        <f>IF(OR($A1578="",ISERROR(VALUE(LEFT($A1578,6)))),"",IF(LEN($A1578)=2,"WOJ. ",IF(LEN($A1578)=4,IF(VALUE(RIGHT($A1578,2))&gt;60,"","Powiat "),IF(VALUE(RIGHT($A1578,1))=1,"m. ",IF(VALUE(RIGHT($A1578,1))=2,"gm. w. ",IF(VALUE(RIGHT($A1578,1))=8,"dz. ","gm. m.-w. ")))))&amp;IF(LEN($A1578)=2,TRIM(UPPER(VLOOKUP($A1578,GUS_tabl_1!$A$7:$B$22,2,FALSE))),IF(ISERROR(FIND("..",TRIM(VLOOKUP(IF(AND(LEN($A1578)=4,VALUE(RIGHT($A1578,2))&gt;60),$A1578&amp;"01 1",$A1578),IF(AND(LEN($A1578)=4,VALUE(RIGHT($A1578,2))&lt;60),GUS_tabl_2!$A$8:$B$464,GUS_tabl_21!$A$5:$B$4886),2,FALSE)))),TRIM(VLOOKUP(IF(AND(LEN($A1578)=4,VALUE(RIGHT($A1578,2))&gt;60),$A1578&amp;"01 1",$A1578),IF(AND(LEN($A1578)=4,VALUE(RIGHT($A1578,2))&lt;60),GUS_tabl_2!$A$8:$B$464,GUS_tabl_21!$A$5:$B$4886),2,FALSE)),LEFT(TRIM(VLOOKUP(IF(AND(LEN($A1578)=4,VALUE(RIGHT($A1578,2))&gt;60),$A1578&amp;"01 1",$A1578),IF(AND(LEN($A1578)=4,VALUE(RIGHT($A1578,2))&lt;60),GUS_tabl_2!$A$8:$B$464,GUS_tabl_21!$A$5:$B$4886),2,FALSE)),SUM(FIND("..",TRIM(VLOOKUP(IF(AND(LEN($A1578)=4,VALUE(RIGHT($A1578,2))&gt;60),$A1578&amp;"01 1",$A1578),IF(AND(LEN($A1578)=4,VALUE(RIGHT($A1578,2))&lt;60),GUS_tabl_2!$A$8:$B$464,GUS_tabl_21!$A$5:$B$4886),2,FALSE))),-1)))))</f>
        <v>gm. w. Rudniki</v>
      </c>
      <c r="D1578" s="141">
        <f>IF(OR($A1578="",ISERROR(VALUE(LEFT($A1578,6)))),"",IF(LEN($A1578)=2,SUMIF($A1579:$A$2965,$A1578&amp;"??",$D1579:$D$2965),IF(AND(LEN($A1578)=4,VALUE(RIGHT($A1578,2))&lt;=60),SUMIF($A1579:$A$2965,$A1578&amp;"????",$D1579:$D$2965),VLOOKUP(IF(LEN($A1578)=4,$A1578&amp;"01 1",$A1578),GUS_tabl_21!$A$5:$F$4886,6,FALSE))))</f>
        <v>8159</v>
      </c>
      <c r="E1578" s="29"/>
    </row>
    <row r="1579" spans="1:5" ht="12" customHeight="1">
      <c r="A1579" s="155" t="str">
        <f>"160807 2"</f>
        <v>160807 2</v>
      </c>
      <c r="B1579" s="153" t="s">
        <v>74</v>
      </c>
      <c r="C1579" s="156" t="str">
        <f>IF(OR($A1579="",ISERROR(VALUE(LEFT($A1579,6)))),"",IF(LEN($A1579)=2,"WOJ. ",IF(LEN($A1579)=4,IF(VALUE(RIGHT($A1579,2))&gt;60,"","Powiat "),IF(VALUE(RIGHT($A1579,1))=1,"m. ",IF(VALUE(RIGHT($A1579,1))=2,"gm. w. ",IF(VALUE(RIGHT($A1579,1))=8,"dz. ","gm. m.-w. ")))))&amp;IF(LEN($A1579)=2,TRIM(UPPER(VLOOKUP($A1579,GUS_tabl_1!$A$7:$B$22,2,FALSE))),IF(ISERROR(FIND("..",TRIM(VLOOKUP(IF(AND(LEN($A1579)=4,VALUE(RIGHT($A1579,2))&gt;60),$A1579&amp;"01 1",$A1579),IF(AND(LEN($A1579)=4,VALUE(RIGHT($A1579,2))&lt;60),GUS_tabl_2!$A$8:$B$464,GUS_tabl_21!$A$5:$B$4886),2,FALSE)))),TRIM(VLOOKUP(IF(AND(LEN($A1579)=4,VALUE(RIGHT($A1579,2))&gt;60),$A1579&amp;"01 1",$A1579),IF(AND(LEN($A1579)=4,VALUE(RIGHT($A1579,2))&lt;60),GUS_tabl_2!$A$8:$B$464,GUS_tabl_21!$A$5:$B$4886),2,FALSE)),LEFT(TRIM(VLOOKUP(IF(AND(LEN($A1579)=4,VALUE(RIGHT($A1579,2))&gt;60),$A1579&amp;"01 1",$A1579),IF(AND(LEN($A1579)=4,VALUE(RIGHT($A1579,2))&lt;60),GUS_tabl_2!$A$8:$B$464,GUS_tabl_21!$A$5:$B$4886),2,FALSE)),SUM(FIND("..",TRIM(VLOOKUP(IF(AND(LEN($A1579)=4,VALUE(RIGHT($A1579,2))&gt;60),$A1579&amp;"01 1",$A1579),IF(AND(LEN($A1579)=4,VALUE(RIGHT($A1579,2))&lt;60),GUS_tabl_2!$A$8:$B$464,GUS_tabl_21!$A$5:$B$4886),2,FALSE))),-1)))))</f>
        <v>gm. w. Zębowice</v>
      </c>
      <c r="D1579" s="141">
        <f>IF(OR($A1579="",ISERROR(VALUE(LEFT($A1579,6)))),"",IF(LEN($A1579)=2,SUMIF($A1580:$A$2965,$A1579&amp;"??",$D1580:$D$2965),IF(AND(LEN($A1579)=4,VALUE(RIGHT($A1579,2))&lt;=60),SUMIF($A1580:$A$2965,$A1579&amp;"????",$D1580:$D$2965),VLOOKUP(IF(LEN($A1579)=4,$A1579&amp;"01 1",$A1579),GUS_tabl_21!$A$5:$F$4886,6,FALSE))))</f>
        <v>3631</v>
      </c>
      <c r="E1579" s="29"/>
    </row>
    <row r="1580" spans="1:5" ht="12" customHeight="1">
      <c r="A1580" s="152" t="str">
        <f>"1609"</f>
        <v>1609</v>
      </c>
      <c r="B1580" s="153" t="s">
        <v>74</v>
      </c>
      <c r="C1580" s="154" t="str">
        <f>IF(OR($A1580="",ISERROR(VALUE(LEFT($A1580,6)))),"",IF(LEN($A1580)=2,"WOJ. ",IF(LEN($A1580)=4,IF(VALUE(RIGHT($A1580,2))&gt;60,"","Powiat "),IF(VALUE(RIGHT($A1580,1))=1,"m. ",IF(VALUE(RIGHT($A1580,1))=2,"gm. w. ",IF(VALUE(RIGHT($A1580,1))=8,"dz. ","gm. m.-w. ")))))&amp;IF(LEN($A1580)=2,TRIM(UPPER(VLOOKUP($A1580,GUS_tabl_1!$A$7:$B$22,2,FALSE))),IF(ISERROR(FIND("..",TRIM(VLOOKUP(IF(AND(LEN($A1580)=4,VALUE(RIGHT($A1580,2))&gt;60),$A1580&amp;"01 1",$A1580),IF(AND(LEN($A1580)=4,VALUE(RIGHT($A1580,2))&lt;60),GUS_tabl_2!$A$8:$B$464,GUS_tabl_21!$A$5:$B$4886),2,FALSE)))),TRIM(VLOOKUP(IF(AND(LEN($A1580)=4,VALUE(RIGHT($A1580,2))&gt;60),$A1580&amp;"01 1",$A1580),IF(AND(LEN($A1580)=4,VALUE(RIGHT($A1580,2))&lt;60),GUS_tabl_2!$A$8:$B$464,GUS_tabl_21!$A$5:$B$4886),2,FALSE)),LEFT(TRIM(VLOOKUP(IF(AND(LEN($A1580)=4,VALUE(RIGHT($A1580,2))&gt;60),$A1580&amp;"01 1",$A1580),IF(AND(LEN($A1580)=4,VALUE(RIGHT($A1580,2))&lt;60),GUS_tabl_2!$A$8:$B$464,GUS_tabl_21!$A$5:$B$4886),2,FALSE)),SUM(FIND("..",TRIM(VLOOKUP(IF(AND(LEN($A1580)=4,VALUE(RIGHT($A1580,2))&gt;60),$A1580&amp;"01 1",$A1580),IF(AND(LEN($A1580)=4,VALUE(RIGHT($A1580,2))&lt;60),GUS_tabl_2!$A$8:$B$464,GUS_tabl_21!$A$5:$B$4886),2,FALSE))),-1)))))</f>
        <v>Powiat opolski</v>
      </c>
      <c r="D1580" s="140">
        <f>IF(OR($A1580="",ISERROR(VALUE(LEFT($A1580,6)))),"",IF(LEN($A1580)=2,SUMIF($A1581:$A$2965,$A1580&amp;"??",$D1581:$D$2965),IF(AND(LEN($A1580)=4,VALUE(RIGHT($A1580,2))&lt;=60),SUMIF($A1581:$A$2965,$A1580&amp;"????",$D1581:$D$2965),VLOOKUP(IF(LEN($A1580)=4,$A1580&amp;"01 1",$A1580),GUS_tabl_21!$A$5:$F$4886,6,FALSE))))</f>
        <v>123726</v>
      </c>
      <c r="E1580" s="29"/>
    </row>
    <row r="1581" spans="1:5" ht="12" customHeight="1">
      <c r="A1581" s="155" t="str">
        <f>"160901 2"</f>
        <v>160901 2</v>
      </c>
      <c r="B1581" s="153" t="s">
        <v>74</v>
      </c>
      <c r="C1581" s="156" t="str">
        <f>IF(OR($A1581="",ISERROR(VALUE(LEFT($A1581,6)))),"",IF(LEN($A1581)=2,"WOJ. ",IF(LEN($A1581)=4,IF(VALUE(RIGHT($A1581,2))&gt;60,"","Powiat "),IF(VALUE(RIGHT($A1581,1))=1,"m. ",IF(VALUE(RIGHT($A1581,1))=2,"gm. w. ",IF(VALUE(RIGHT($A1581,1))=8,"dz. ","gm. m.-w. ")))))&amp;IF(LEN($A1581)=2,TRIM(UPPER(VLOOKUP($A1581,GUS_tabl_1!$A$7:$B$22,2,FALSE))),IF(ISERROR(FIND("..",TRIM(VLOOKUP(IF(AND(LEN($A1581)=4,VALUE(RIGHT($A1581,2))&gt;60),$A1581&amp;"01 1",$A1581),IF(AND(LEN($A1581)=4,VALUE(RIGHT($A1581,2))&lt;60),GUS_tabl_2!$A$8:$B$464,GUS_tabl_21!$A$5:$B$4886),2,FALSE)))),TRIM(VLOOKUP(IF(AND(LEN($A1581)=4,VALUE(RIGHT($A1581,2))&gt;60),$A1581&amp;"01 1",$A1581),IF(AND(LEN($A1581)=4,VALUE(RIGHT($A1581,2))&lt;60),GUS_tabl_2!$A$8:$B$464,GUS_tabl_21!$A$5:$B$4886),2,FALSE)),LEFT(TRIM(VLOOKUP(IF(AND(LEN($A1581)=4,VALUE(RIGHT($A1581,2))&gt;60),$A1581&amp;"01 1",$A1581),IF(AND(LEN($A1581)=4,VALUE(RIGHT($A1581,2))&lt;60),GUS_tabl_2!$A$8:$B$464,GUS_tabl_21!$A$5:$B$4886),2,FALSE)),SUM(FIND("..",TRIM(VLOOKUP(IF(AND(LEN($A1581)=4,VALUE(RIGHT($A1581,2))&gt;60),$A1581&amp;"01 1",$A1581),IF(AND(LEN($A1581)=4,VALUE(RIGHT($A1581,2))&lt;60),GUS_tabl_2!$A$8:$B$464,GUS_tabl_21!$A$5:$B$4886),2,FALSE))),-1)))))</f>
        <v>gm. w. Chrząstowice</v>
      </c>
      <c r="D1581" s="141">
        <f>IF(OR($A1581="",ISERROR(VALUE(LEFT($A1581,6)))),"",IF(LEN($A1581)=2,SUMIF($A1582:$A$2965,$A1581&amp;"??",$D1582:$D$2965),IF(AND(LEN($A1581)=4,VALUE(RIGHT($A1581,2))&lt;=60),SUMIF($A1582:$A$2965,$A1581&amp;"????",$D1582:$D$2965),VLOOKUP(IF(LEN($A1581)=4,$A1581&amp;"01 1",$A1581),GUS_tabl_21!$A$5:$F$4886,6,FALSE))))</f>
        <v>7013</v>
      </c>
      <c r="E1581" s="29"/>
    </row>
    <row r="1582" spans="1:5" ht="12" customHeight="1">
      <c r="A1582" s="155" t="str">
        <f>"160902 2"</f>
        <v>160902 2</v>
      </c>
      <c r="B1582" s="153" t="s">
        <v>74</v>
      </c>
      <c r="C1582" s="156" t="str">
        <f>IF(OR($A1582="",ISERROR(VALUE(LEFT($A1582,6)))),"",IF(LEN($A1582)=2,"WOJ. ",IF(LEN($A1582)=4,IF(VALUE(RIGHT($A1582,2))&gt;60,"","Powiat "),IF(VALUE(RIGHT($A1582,1))=1,"m. ",IF(VALUE(RIGHT($A1582,1))=2,"gm. w. ",IF(VALUE(RIGHT($A1582,1))=8,"dz. ","gm. m.-w. ")))))&amp;IF(LEN($A1582)=2,TRIM(UPPER(VLOOKUP($A1582,GUS_tabl_1!$A$7:$B$22,2,FALSE))),IF(ISERROR(FIND("..",TRIM(VLOOKUP(IF(AND(LEN($A1582)=4,VALUE(RIGHT($A1582,2))&gt;60),$A1582&amp;"01 1",$A1582),IF(AND(LEN($A1582)=4,VALUE(RIGHT($A1582,2))&lt;60),GUS_tabl_2!$A$8:$B$464,GUS_tabl_21!$A$5:$B$4886),2,FALSE)))),TRIM(VLOOKUP(IF(AND(LEN($A1582)=4,VALUE(RIGHT($A1582,2))&gt;60),$A1582&amp;"01 1",$A1582),IF(AND(LEN($A1582)=4,VALUE(RIGHT($A1582,2))&lt;60),GUS_tabl_2!$A$8:$B$464,GUS_tabl_21!$A$5:$B$4886),2,FALSE)),LEFT(TRIM(VLOOKUP(IF(AND(LEN($A1582)=4,VALUE(RIGHT($A1582,2))&gt;60),$A1582&amp;"01 1",$A1582),IF(AND(LEN($A1582)=4,VALUE(RIGHT($A1582,2))&lt;60),GUS_tabl_2!$A$8:$B$464,GUS_tabl_21!$A$5:$B$4886),2,FALSE)),SUM(FIND("..",TRIM(VLOOKUP(IF(AND(LEN($A1582)=4,VALUE(RIGHT($A1582,2))&gt;60),$A1582&amp;"01 1",$A1582),IF(AND(LEN($A1582)=4,VALUE(RIGHT($A1582,2))&lt;60),GUS_tabl_2!$A$8:$B$464,GUS_tabl_21!$A$5:$B$4886),2,FALSE))),-1)))))</f>
        <v>gm. w. Dąbrowa</v>
      </c>
      <c r="D1582" s="141">
        <f>IF(OR($A1582="",ISERROR(VALUE(LEFT($A1582,6)))),"",IF(LEN($A1582)=2,SUMIF($A1583:$A$2965,$A1582&amp;"??",$D1583:$D$2965),IF(AND(LEN($A1582)=4,VALUE(RIGHT($A1582,2))&lt;=60),SUMIF($A1583:$A$2965,$A1582&amp;"????",$D1583:$D$2965),VLOOKUP(IF(LEN($A1582)=4,$A1582&amp;"01 1",$A1582),GUS_tabl_21!$A$5:$F$4886,6,FALSE))))</f>
        <v>8269</v>
      </c>
      <c r="E1582" s="29"/>
    </row>
    <row r="1583" spans="1:5" ht="12" customHeight="1">
      <c r="A1583" s="155" t="str">
        <f>"160903 2"</f>
        <v>160903 2</v>
      </c>
      <c r="B1583" s="153" t="s">
        <v>74</v>
      </c>
      <c r="C1583" s="156" t="str">
        <f>IF(OR($A1583="",ISERROR(VALUE(LEFT($A1583,6)))),"",IF(LEN($A1583)=2,"WOJ. ",IF(LEN($A1583)=4,IF(VALUE(RIGHT($A1583,2))&gt;60,"","Powiat "),IF(VALUE(RIGHT($A1583,1))=1,"m. ",IF(VALUE(RIGHT($A1583,1))=2,"gm. w. ",IF(VALUE(RIGHT($A1583,1))=8,"dz. ","gm. m.-w. ")))))&amp;IF(LEN($A1583)=2,TRIM(UPPER(VLOOKUP($A1583,GUS_tabl_1!$A$7:$B$22,2,FALSE))),IF(ISERROR(FIND("..",TRIM(VLOOKUP(IF(AND(LEN($A1583)=4,VALUE(RIGHT($A1583,2))&gt;60),$A1583&amp;"01 1",$A1583),IF(AND(LEN($A1583)=4,VALUE(RIGHT($A1583,2))&lt;60),GUS_tabl_2!$A$8:$B$464,GUS_tabl_21!$A$5:$B$4886),2,FALSE)))),TRIM(VLOOKUP(IF(AND(LEN($A1583)=4,VALUE(RIGHT($A1583,2))&gt;60),$A1583&amp;"01 1",$A1583),IF(AND(LEN($A1583)=4,VALUE(RIGHT($A1583,2))&lt;60),GUS_tabl_2!$A$8:$B$464,GUS_tabl_21!$A$5:$B$4886),2,FALSE)),LEFT(TRIM(VLOOKUP(IF(AND(LEN($A1583)=4,VALUE(RIGHT($A1583,2))&gt;60),$A1583&amp;"01 1",$A1583),IF(AND(LEN($A1583)=4,VALUE(RIGHT($A1583,2))&lt;60),GUS_tabl_2!$A$8:$B$464,GUS_tabl_21!$A$5:$B$4886),2,FALSE)),SUM(FIND("..",TRIM(VLOOKUP(IF(AND(LEN($A1583)=4,VALUE(RIGHT($A1583,2))&gt;60),$A1583&amp;"01 1",$A1583),IF(AND(LEN($A1583)=4,VALUE(RIGHT($A1583,2))&lt;60),GUS_tabl_2!$A$8:$B$464,GUS_tabl_21!$A$5:$B$4886),2,FALSE))),-1)))))</f>
        <v>gm. w. Dobrzeń Wielki</v>
      </c>
      <c r="D1583" s="141">
        <f>IF(OR($A1583="",ISERROR(VALUE(LEFT($A1583,6)))),"",IF(LEN($A1583)=2,SUMIF($A1584:$A$2965,$A1583&amp;"??",$D1584:$D$2965),IF(AND(LEN($A1583)=4,VALUE(RIGHT($A1583,2))&lt;=60),SUMIF($A1584:$A$2965,$A1583&amp;"????",$D1584:$D$2965),VLOOKUP(IF(LEN($A1583)=4,$A1583&amp;"01 1",$A1583),GUS_tabl_21!$A$5:$F$4886,6,FALSE))))</f>
        <v>9478</v>
      </c>
      <c r="E1583" s="29"/>
    </row>
    <row r="1584" spans="1:5" ht="12" customHeight="1">
      <c r="A1584" s="155" t="str">
        <f>"160904 2"</f>
        <v>160904 2</v>
      </c>
      <c r="B1584" s="153" t="s">
        <v>74</v>
      </c>
      <c r="C1584" s="156" t="str">
        <f>IF(OR($A1584="",ISERROR(VALUE(LEFT($A1584,6)))),"",IF(LEN($A1584)=2,"WOJ. ",IF(LEN($A1584)=4,IF(VALUE(RIGHT($A1584,2))&gt;60,"","Powiat "),IF(VALUE(RIGHT($A1584,1))=1,"m. ",IF(VALUE(RIGHT($A1584,1))=2,"gm. w. ",IF(VALUE(RIGHT($A1584,1))=8,"dz. ","gm. m.-w. ")))))&amp;IF(LEN($A1584)=2,TRIM(UPPER(VLOOKUP($A1584,GUS_tabl_1!$A$7:$B$22,2,FALSE))),IF(ISERROR(FIND("..",TRIM(VLOOKUP(IF(AND(LEN($A1584)=4,VALUE(RIGHT($A1584,2))&gt;60),$A1584&amp;"01 1",$A1584),IF(AND(LEN($A1584)=4,VALUE(RIGHT($A1584,2))&lt;60),GUS_tabl_2!$A$8:$B$464,GUS_tabl_21!$A$5:$B$4886),2,FALSE)))),TRIM(VLOOKUP(IF(AND(LEN($A1584)=4,VALUE(RIGHT($A1584,2))&gt;60),$A1584&amp;"01 1",$A1584),IF(AND(LEN($A1584)=4,VALUE(RIGHT($A1584,2))&lt;60),GUS_tabl_2!$A$8:$B$464,GUS_tabl_21!$A$5:$B$4886),2,FALSE)),LEFT(TRIM(VLOOKUP(IF(AND(LEN($A1584)=4,VALUE(RIGHT($A1584,2))&gt;60),$A1584&amp;"01 1",$A1584),IF(AND(LEN($A1584)=4,VALUE(RIGHT($A1584,2))&lt;60),GUS_tabl_2!$A$8:$B$464,GUS_tabl_21!$A$5:$B$4886),2,FALSE)),SUM(FIND("..",TRIM(VLOOKUP(IF(AND(LEN($A1584)=4,VALUE(RIGHT($A1584,2))&gt;60),$A1584&amp;"01 1",$A1584),IF(AND(LEN($A1584)=4,VALUE(RIGHT($A1584,2))&lt;60),GUS_tabl_2!$A$8:$B$464,GUS_tabl_21!$A$5:$B$4886),2,FALSE))),-1)))))</f>
        <v>gm. w. Komprachcice</v>
      </c>
      <c r="D1584" s="141">
        <f>IF(OR($A1584="",ISERROR(VALUE(LEFT($A1584,6)))),"",IF(LEN($A1584)=2,SUMIF($A1585:$A$2965,$A1584&amp;"??",$D1585:$D$2965),IF(AND(LEN($A1584)=4,VALUE(RIGHT($A1584,2))&lt;=60),SUMIF($A1585:$A$2965,$A1584&amp;"????",$D1585:$D$2965),VLOOKUP(IF(LEN($A1584)=4,$A1584&amp;"01 1",$A1584),GUS_tabl_21!$A$5:$F$4886,6,FALSE))))</f>
        <v>9120</v>
      </c>
      <c r="E1584" s="29"/>
    </row>
    <row r="1585" spans="1:5" ht="12" customHeight="1">
      <c r="A1585" s="155" t="str">
        <f>"160905 2"</f>
        <v>160905 2</v>
      </c>
      <c r="B1585" s="153" t="s">
        <v>74</v>
      </c>
      <c r="C1585" s="156" t="str">
        <f>IF(OR($A1585="",ISERROR(VALUE(LEFT($A1585,6)))),"",IF(LEN($A1585)=2,"WOJ. ",IF(LEN($A1585)=4,IF(VALUE(RIGHT($A1585,2))&gt;60,"","Powiat "),IF(VALUE(RIGHT($A1585,1))=1,"m. ",IF(VALUE(RIGHT($A1585,1))=2,"gm. w. ",IF(VALUE(RIGHT($A1585,1))=8,"dz. ","gm. m.-w. ")))))&amp;IF(LEN($A1585)=2,TRIM(UPPER(VLOOKUP($A1585,GUS_tabl_1!$A$7:$B$22,2,FALSE))),IF(ISERROR(FIND("..",TRIM(VLOOKUP(IF(AND(LEN($A1585)=4,VALUE(RIGHT($A1585,2))&gt;60),$A1585&amp;"01 1",$A1585),IF(AND(LEN($A1585)=4,VALUE(RIGHT($A1585,2))&lt;60),GUS_tabl_2!$A$8:$B$464,GUS_tabl_21!$A$5:$B$4886),2,FALSE)))),TRIM(VLOOKUP(IF(AND(LEN($A1585)=4,VALUE(RIGHT($A1585,2))&gt;60),$A1585&amp;"01 1",$A1585),IF(AND(LEN($A1585)=4,VALUE(RIGHT($A1585,2))&lt;60),GUS_tabl_2!$A$8:$B$464,GUS_tabl_21!$A$5:$B$4886),2,FALSE)),LEFT(TRIM(VLOOKUP(IF(AND(LEN($A1585)=4,VALUE(RIGHT($A1585,2))&gt;60),$A1585&amp;"01 1",$A1585),IF(AND(LEN($A1585)=4,VALUE(RIGHT($A1585,2))&lt;60),GUS_tabl_2!$A$8:$B$464,GUS_tabl_21!$A$5:$B$4886),2,FALSE)),SUM(FIND("..",TRIM(VLOOKUP(IF(AND(LEN($A1585)=4,VALUE(RIGHT($A1585,2))&gt;60),$A1585&amp;"01 1",$A1585),IF(AND(LEN($A1585)=4,VALUE(RIGHT($A1585,2))&lt;60),GUS_tabl_2!$A$8:$B$464,GUS_tabl_21!$A$5:$B$4886),2,FALSE))),-1)))))</f>
        <v>gm. w. Łubniany</v>
      </c>
      <c r="D1585" s="141">
        <f>IF(OR($A1585="",ISERROR(VALUE(LEFT($A1585,6)))),"",IF(LEN($A1585)=2,SUMIF($A1586:$A$2965,$A1585&amp;"??",$D1586:$D$2965),IF(AND(LEN($A1585)=4,VALUE(RIGHT($A1585,2))&lt;=60),SUMIF($A1586:$A$2965,$A1585&amp;"????",$D1586:$D$2965),VLOOKUP(IF(LEN($A1585)=4,$A1585&amp;"01 1",$A1585),GUS_tabl_21!$A$5:$F$4886,6,FALSE))))</f>
        <v>9872</v>
      </c>
      <c r="E1585" s="29"/>
    </row>
    <row r="1586" spans="1:5" ht="12" customHeight="1">
      <c r="A1586" s="155" t="str">
        <f>"160906 2"</f>
        <v>160906 2</v>
      </c>
      <c r="B1586" s="153" t="s">
        <v>74</v>
      </c>
      <c r="C1586" s="156" t="str">
        <f>IF(OR($A1586="",ISERROR(VALUE(LEFT($A1586,6)))),"",IF(LEN($A1586)=2,"WOJ. ",IF(LEN($A1586)=4,IF(VALUE(RIGHT($A1586,2))&gt;60,"","Powiat "),IF(VALUE(RIGHT($A1586,1))=1,"m. ",IF(VALUE(RIGHT($A1586,1))=2,"gm. w. ",IF(VALUE(RIGHT($A1586,1))=8,"dz. ","gm. m.-w. ")))))&amp;IF(LEN($A1586)=2,TRIM(UPPER(VLOOKUP($A1586,GUS_tabl_1!$A$7:$B$22,2,FALSE))),IF(ISERROR(FIND("..",TRIM(VLOOKUP(IF(AND(LEN($A1586)=4,VALUE(RIGHT($A1586,2))&gt;60),$A1586&amp;"01 1",$A1586),IF(AND(LEN($A1586)=4,VALUE(RIGHT($A1586,2))&lt;60),GUS_tabl_2!$A$8:$B$464,GUS_tabl_21!$A$5:$B$4886),2,FALSE)))),TRIM(VLOOKUP(IF(AND(LEN($A1586)=4,VALUE(RIGHT($A1586,2))&gt;60),$A1586&amp;"01 1",$A1586),IF(AND(LEN($A1586)=4,VALUE(RIGHT($A1586,2))&lt;60),GUS_tabl_2!$A$8:$B$464,GUS_tabl_21!$A$5:$B$4886),2,FALSE)),LEFT(TRIM(VLOOKUP(IF(AND(LEN($A1586)=4,VALUE(RIGHT($A1586,2))&gt;60),$A1586&amp;"01 1",$A1586),IF(AND(LEN($A1586)=4,VALUE(RIGHT($A1586,2))&lt;60),GUS_tabl_2!$A$8:$B$464,GUS_tabl_21!$A$5:$B$4886),2,FALSE)),SUM(FIND("..",TRIM(VLOOKUP(IF(AND(LEN($A1586)=4,VALUE(RIGHT($A1586,2))&gt;60),$A1586&amp;"01 1",$A1586),IF(AND(LEN($A1586)=4,VALUE(RIGHT($A1586,2))&lt;60),GUS_tabl_2!$A$8:$B$464,GUS_tabl_21!$A$5:$B$4886),2,FALSE))),-1)))))</f>
        <v>gm. w. Murów</v>
      </c>
      <c r="D1586" s="141">
        <f>IF(OR($A1586="",ISERROR(VALUE(LEFT($A1586,6)))),"",IF(LEN($A1586)=2,SUMIF($A1587:$A$2965,$A1586&amp;"??",$D1587:$D$2965),IF(AND(LEN($A1586)=4,VALUE(RIGHT($A1586,2))&lt;=60),SUMIF($A1587:$A$2965,$A1586&amp;"????",$D1587:$D$2965),VLOOKUP(IF(LEN($A1586)=4,$A1586&amp;"01 1",$A1586),GUS_tabl_21!$A$5:$F$4886,6,FALSE))))</f>
        <v>5298</v>
      </c>
      <c r="E1586" s="29"/>
    </row>
    <row r="1587" spans="1:5" ht="12" customHeight="1">
      <c r="A1587" s="155" t="str">
        <f>"160907 3"</f>
        <v>160907 3</v>
      </c>
      <c r="B1587" s="153" t="s">
        <v>74</v>
      </c>
      <c r="C1587" s="156" t="str">
        <f>IF(OR($A1587="",ISERROR(VALUE(LEFT($A1587,6)))),"",IF(LEN($A1587)=2,"WOJ. ",IF(LEN($A1587)=4,IF(VALUE(RIGHT($A1587,2))&gt;60,"","Powiat "),IF(VALUE(RIGHT($A1587,1))=1,"m. ",IF(VALUE(RIGHT($A1587,1))=2,"gm. w. ",IF(VALUE(RIGHT($A1587,1))=8,"dz. ","gm. m.-w. ")))))&amp;IF(LEN($A1587)=2,TRIM(UPPER(VLOOKUP($A1587,GUS_tabl_1!$A$7:$B$22,2,FALSE))),IF(ISERROR(FIND("..",TRIM(VLOOKUP(IF(AND(LEN($A1587)=4,VALUE(RIGHT($A1587,2))&gt;60),$A1587&amp;"01 1",$A1587),IF(AND(LEN($A1587)=4,VALUE(RIGHT($A1587,2))&lt;60),GUS_tabl_2!$A$8:$B$464,GUS_tabl_21!$A$5:$B$4886),2,FALSE)))),TRIM(VLOOKUP(IF(AND(LEN($A1587)=4,VALUE(RIGHT($A1587,2))&gt;60),$A1587&amp;"01 1",$A1587),IF(AND(LEN($A1587)=4,VALUE(RIGHT($A1587,2))&lt;60),GUS_tabl_2!$A$8:$B$464,GUS_tabl_21!$A$5:$B$4886),2,FALSE)),LEFT(TRIM(VLOOKUP(IF(AND(LEN($A1587)=4,VALUE(RIGHT($A1587,2))&gt;60),$A1587&amp;"01 1",$A1587),IF(AND(LEN($A1587)=4,VALUE(RIGHT($A1587,2))&lt;60),GUS_tabl_2!$A$8:$B$464,GUS_tabl_21!$A$5:$B$4886),2,FALSE)),SUM(FIND("..",TRIM(VLOOKUP(IF(AND(LEN($A1587)=4,VALUE(RIGHT($A1587,2))&gt;60),$A1587&amp;"01 1",$A1587),IF(AND(LEN($A1587)=4,VALUE(RIGHT($A1587,2))&lt;60),GUS_tabl_2!$A$8:$B$464,GUS_tabl_21!$A$5:$B$4886),2,FALSE))),-1)))))</f>
        <v>gm. m.-w. Niemodlin</v>
      </c>
      <c r="D1587" s="141">
        <f>IF(OR($A1587="",ISERROR(VALUE(LEFT($A1587,6)))),"",IF(LEN($A1587)=2,SUMIF($A1588:$A$2965,$A1587&amp;"??",$D1588:$D$2965),IF(AND(LEN($A1587)=4,VALUE(RIGHT($A1587,2))&lt;=60),SUMIF($A1588:$A$2965,$A1587&amp;"????",$D1588:$D$2965),VLOOKUP(IF(LEN($A1587)=4,$A1587&amp;"01 1",$A1587),GUS_tabl_21!$A$5:$F$4886,6,FALSE))))</f>
        <v>13162</v>
      </c>
      <c r="E1587" s="29"/>
    </row>
    <row r="1588" spans="1:5" ht="12" customHeight="1">
      <c r="A1588" s="155" t="str">
        <f>"160908 3"</f>
        <v>160908 3</v>
      </c>
      <c r="B1588" s="153" t="s">
        <v>74</v>
      </c>
      <c r="C1588" s="156" t="str">
        <f>IF(OR($A1588="",ISERROR(VALUE(LEFT($A1588,6)))),"",IF(LEN($A1588)=2,"WOJ. ",IF(LEN($A1588)=4,IF(VALUE(RIGHT($A1588,2))&gt;60,"","Powiat "),IF(VALUE(RIGHT($A1588,1))=1,"m. ",IF(VALUE(RIGHT($A1588,1))=2,"gm. w. ",IF(VALUE(RIGHT($A1588,1))=8,"dz. ","gm. m.-w. ")))))&amp;IF(LEN($A1588)=2,TRIM(UPPER(VLOOKUP($A1588,GUS_tabl_1!$A$7:$B$22,2,FALSE))),IF(ISERROR(FIND("..",TRIM(VLOOKUP(IF(AND(LEN($A1588)=4,VALUE(RIGHT($A1588,2))&gt;60),$A1588&amp;"01 1",$A1588),IF(AND(LEN($A1588)=4,VALUE(RIGHT($A1588,2))&lt;60),GUS_tabl_2!$A$8:$B$464,GUS_tabl_21!$A$5:$B$4886),2,FALSE)))),TRIM(VLOOKUP(IF(AND(LEN($A1588)=4,VALUE(RIGHT($A1588,2))&gt;60),$A1588&amp;"01 1",$A1588),IF(AND(LEN($A1588)=4,VALUE(RIGHT($A1588,2))&lt;60),GUS_tabl_2!$A$8:$B$464,GUS_tabl_21!$A$5:$B$4886),2,FALSE)),LEFT(TRIM(VLOOKUP(IF(AND(LEN($A1588)=4,VALUE(RIGHT($A1588,2))&gt;60),$A1588&amp;"01 1",$A1588),IF(AND(LEN($A1588)=4,VALUE(RIGHT($A1588,2))&lt;60),GUS_tabl_2!$A$8:$B$464,GUS_tabl_21!$A$5:$B$4886),2,FALSE)),SUM(FIND("..",TRIM(VLOOKUP(IF(AND(LEN($A1588)=4,VALUE(RIGHT($A1588,2))&gt;60),$A1588&amp;"01 1",$A1588),IF(AND(LEN($A1588)=4,VALUE(RIGHT($A1588,2))&lt;60),GUS_tabl_2!$A$8:$B$464,GUS_tabl_21!$A$5:$B$4886),2,FALSE))),-1)))))</f>
        <v>gm. m.-w. Ozimek</v>
      </c>
      <c r="D1588" s="141">
        <f>IF(OR($A1588="",ISERROR(VALUE(LEFT($A1588,6)))),"",IF(LEN($A1588)=2,SUMIF($A1589:$A$2965,$A1588&amp;"??",$D1589:$D$2965),IF(AND(LEN($A1588)=4,VALUE(RIGHT($A1588,2))&lt;=60),SUMIF($A1589:$A$2965,$A1588&amp;"????",$D1589:$D$2965),VLOOKUP(IF(LEN($A1588)=4,$A1588&amp;"01 1",$A1588),GUS_tabl_21!$A$5:$F$4886,6,FALSE))))</f>
        <v>19543</v>
      </c>
      <c r="E1588" s="29"/>
    </row>
    <row r="1589" spans="1:5" ht="12" customHeight="1">
      <c r="A1589" s="155" t="str">
        <f>"160909 2"</f>
        <v>160909 2</v>
      </c>
      <c r="B1589" s="153" t="s">
        <v>74</v>
      </c>
      <c r="C1589" s="156" t="str">
        <f>IF(OR($A1589="",ISERROR(VALUE(LEFT($A1589,6)))),"",IF(LEN($A1589)=2,"WOJ. ",IF(LEN($A1589)=4,IF(VALUE(RIGHT($A1589,2))&gt;60,"","Powiat "),IF(VALUE(RIGHT($A1589,1))=1,"m. ",IF(VALUE(RIGHT($A1589,1))=2,"gm. w. ",IF(VALUE(RIGHT($A1589,1))=8,"dz. ","gm. m.-w. ")))))&amp;IF(LEN($A1589)=2,TRIM(UPPER(VLOOKUP($A1589,GUS_tabl_1!$A$7:$B$22,2,FALSE))),IF(ISERROR(FIND("..",TRIM(VLOOKUP(IF(AND(LEN($A1589)=4,VALUE(RIGHT($A1589,2))&gt;60),$A1589&amp;"01 1",$A1589),IF(AND(LEN($A1589)=4,VALUE(RIGHT($A1589,2))&lt;60),GUS_tabl_2!$A$8:$B$464,GUS_tabl_21!$A$5:$B$4886),2,FALSE)))),TRIM(VLOOKUP(IF(AND(LEN($A1589)=4,VALUE(RIGHT($A1589,2))&gt;60),$A1589&amp;"01 1",$A1589),IF(AND(LEN($A1589)=4,VALUE(RIGHT($A1589,2))&lt;60),GUS_tabl_2!$A$8:$B$464,GUS_tabl_21!$A$5:$B$4886),2,FALSE)),LEFT(TRIM(VLOOKUP(IF(AND(LEN($A1589)=4,VALUE(RIGHT($A1589,2))&gt;60),$A1589&amp;"01 1",$A1589),IF(AND(LEN($A1589)=4,VALUE(RIGHT($A1589,2))&lt;60),GUS_tabl_2!$A$8:$B$464,GUS_tabl_21!$A$5:$B$4886),2,FALSE)),SUM(FIND("..",TRIM(VLOOKUP(IF(AND(LEN($A1589)=4,VALUE(RIGHT($A1589,2))&gt;60),$A1589&amp;"01 1",$A1589),IF(AND(LEN($A1589)=4,VALUE(RIGHT($A1589,2))&lt;60),GUS_tabl_2!$A$8:$B$464,GUS_tabl_21!$A$5:$B$4886),2,FALSE))),-1)))))</f>
        <v>gm. w. Popielów</v>
      </c>
      <c r="D1589" s="141">
        <f>IF(OR($A1589="",ISERROR(VALUE(LEFT($A1589,6)))),"",IF(LEN($A1589)=2,SUMIF($A1590:$A$2965,$A1589&amp;"??",$D1590:$D$2965),IF(AND(LEN($A1589)=4,VALUE(RIGHT($A1589,2))&lt;=60),SUMIF($A1590:$A$2965,$A1589&amp;"????",$D1590:$D$2965),VLOOKUP(IF(LEN($A1589)=4,$A1589&amp;"01 1",$A1589),GUS_tabl_21!$A$5:$F$4886,6,FALSE))))</f>
        <v>8029</v>
      </c>
      <c r="E1589" s="29"/>
    </row>
    <row r="1590" spans="1:5" ht="12" customHeight="1">
      <c r="A1590" s="155" t="str">
        <f>"160910 3"</f>
        <v>160910 3</v>
      </c>
      <c r="B1590" s="153" t="s">
        <v>74</v>
      </c>
      <c r="C1590" s="156" t="str">
        <f>IF(OR($A1590="",ISERROR(VALUE(LEFT($A1590,6)))),"",IF(LEN($A1590)=2,"WOJ. ",IF(LEN($A1590)=4,IF(VALUE(RIGHT($A1590,2))&gt;60,"","Powiat "),IF(VALUE(RIGHT($A1590,1))=1,"m. ",IF(VALUE(RIGHT($A1590,1))=2,"gm. w. ",IF(VALUE(RIGHT($A1590,1))=8,"dz. ","gm. m.-w. ")))))&amp;IF(LEN($A1590)=2,TRIM(UPPER(VLOOKUP($A1590,GUS_tabl_1!$A$7:$B$22,2,FALSE))),IF(ISERROR(FIND("..",TRIM(VLOOKUP(IF(AND(LEN($A1590)=4,VALUE(RIGHT($A1590,2))&gt;60),$A1590&amp;"01 1",$A1590),IF(AND(LEN($A1590)=4,VALUE(RIGHT($A1590,2))&lt;60),GUS_tabl_2!$A$8:$B$464,GUS_tabl_21!$A$5:$B$4886),2,FALSE)))),TRIM(VLOOKUP(IF(AND(LEN($A1590)=4,VALUE(RIGHT($A1590,2))&gt;60),$A1590&amp;"01 1",$A1590),IF(AND(LEN($A1590)=4,VALUE(RIGHT($A1590,2))&lt;60),GUS_tabl_2!$A$8:$B$464,GUS_tabl_21!$A$5:$B$4886),2,FALSE)),LEFT(TRIM(VLOOKUP(IF(AND(LEN($A1590)=4,VALUE(RIGHT($A1590,2))&gt;60),$A1590&amp;"01 1",$A1590),IF(AND(LEN($A1590)=4,VALUE(RIGHT($A1590,2))&lt;60),GUS_tabl_2!$A$8:$B$464,GUS_tabl_21!$A$5:$B$4886),2,FALSE)),SUM(FIND("..",TRIM(VLOOKUP(IF(AND(LEN($A1590)=4,VALUE(RIGHT($A1590,2))&gt;60),$A1590&amp;"01 1",$A1590),IF(AND(LEN($A1590)=4,VALUE(RIGHT($A1590,2))&lt;60),GUS_tabl_2!$A$8:$B$464,GUS_tabl_21!$A$5:$B$4886),2,FALSE))),-1)))))</f>
        <v>gm. m.-w. Prószków</v>
      </c>
      <c r="D1590" s="141">
        <f>IF(OR($A1590="",ISERROR(VALUE(LEFT($A1590,6)))),"",IF(LEN($A1590)=2,SUMIF($A1591:$A$2965,$A1590&amp;"??",$D1591:$D$2965),IF(AND(LEN($A1590)=4,VALUE(RIGHT($A1590,2))&lt;=60),SUMIF($A1591:$A$2965,$A1590&amp;"????",$D1591:$D$2965),VLOOKUP(IF(LEN($A1590)=4,$A1590&amp;"01 1",$A1590),GUS_tabl_21!$A$5:$F$4886,6,FALSE))))</f>
        <v>9091</v>
      </c>
      <c r="E1590" s="29"/>
    </row>
    <row r="1591" spans="1:5" ht="12" customHeight="1">
      <c r="A1591" s="155" t="str">
        <f>"160911 2"</f>
        <v>160911 2</v>
      </c>
      <c r="B1591" s="153" t="s">
        <v>74</v>
      </c>
      <c r="C1591" s="156" t="str">
        <f>IF(OR($A1591="",ISERROR(VALUE(LEFT($A1591,6)))),"",IF(LEN($A1591)=2,"WOJ. ",IF(LEN($A1591)=4,IF(VALUE(RIGHT($A1591,2))&gt;60,"","Powiat "),IF(VALUE(RIGHT($A1591,1))=1,"m. ",IF(VALUE(RIGHT($A1591,1))=2,"gm. w. ",IF(VALUE(RIGHT($A1591,1))=8,"dz. ","gm. m.-w. ")))))&amp;IF(LEN($A1591)=2,TRIM(UPPER(VLOOKUP($A1591,GUS_tabl_1!$A$7:$B$22,2,FALSE))),IF(ISERROR(FIND("..",TRIM(VLOOKUP(IF(AND(LEN($A1591)=4,VALUE(RIGHT($A1591,2))&gt;60),$A1591&amp;"01 1",$A1591),IF(AND(LEN($A1591)=4,VALUE(RIGHT($A1591,2))&lt;60),GUS_tabl_2!$A$8:$B$464,GUS_tabl_21!$A$5:$B$4886),2,FALSE)))),TRIM(VLOOKUP(IF(AND(LEN($A1591)=4,VALUE(RIGHT($A1591,2))&gt;60),$A1591&amp;"01 1",$A1591),IF(AND(LEN($A1591)=4,VALUE(RIGHT($A1591,2))&lt;60),GUS_tabl_2!$A$8:$B$464,GUS_tabl_21!$A$5:$B$4886),2,FALSE)),LEFT(TRIM(VLOOKUP(IF(AND(LEN($A1591)=4,VALUE(RIGHT($A1591,2))&gt;60),$A1591&amp;"01 1",$A1591),IF(AND(LEN($A1591)=4,VALUE(RIGHT($A1591,2))&lt;60),GUS_tabl_2!$A$8:$B$464,GUS_tabl_21!$A$5:$B$4886),2,FALSE)),SUM(FIND("..",TRIM(VLOOKUP(IF(AND(LEN($A1591)=4,VALUE(RIGHT($A1591,2))&gt;60),$A1591&amp;"01 1",$A1591),IF(AND(LEN($A1591)=4,VALUE(RIGHT($A1591,2))&lt;60),GUS_tabl_2!$A$8:$B$464,GUS_tabl_21!$A$5:$B$4886),2,FALSE))),-1)))))</f>
        <v>gm. w. Tarnów Opolski</v>
      </c>
      <c r="D1591" s="141">
        <f>IF(OR($A1591="",ISERROR(VALUE(LEFT($A1591,6)))),"",IF(LEN($A1591)=2,SUMIF($A1592:$A$2965,$A1591&amp;"??",$D1592:$D$2965),IF(AND(LEN($A1591)=4,VALUE(RIGHT($A1591,2))&lt;=60),SUMIF($A1592:$A$2965,$A1591&amp;"????",$D1592:$D$2965),VLOOKUP(IF(LEN($A1591)=4,$A1591&amp;"01 1",$A1591),GUS_tabl_21!$A$5:$F$4886,6,FALSE))))</f>
        <v>9628</v>
      </c>
      <c r="E1591" s="29"/>
    </row>
    <row r="1592" spans="1:5" ht="12" customHeight="1">
      <c r="A1592" s="155" t="str">
        <f>"160912 3"</f>
        <v>160912 3</v>
      </c>
      <c r="B1592" s="153" t="s">
        <v>74</v>
      </c>
      <c r="C1592" s="156" t="str">
        <f>IF(OR($A1592="",ISERROR(VALUE(LEFT($A1592,6)))),"",IF(LEN($A1592)=2,"WOJ. ",IF(LEN($A1592)=4,IF(VALUE(RIGHT($A1592,2))&gt;60,"","Powiat "),IF(VALUE(RIGHT($A1592,1))=1,"m. ",IF(VALUE(RIGHT($A1592,1))=2,"gm. w. ",IF(VALUE(RIGHT($A1592,1))=8,"dz. ","gm. m.-w. ")))))&amp;IF(LEN($A1592)=2,TRIM(UPPER(VLOOKUP($A1592,GUS_tabl_1!$A$7:$B$22,2,FALSE))),IF(ISERROR(FIND("..",TRIM(VLOOKUP(IF(AND(LEN($A1592)=4,VALUE(RIGHT($A1592,2))&gt;60),$A1592&amp;"01 1",$A1592),IF(AND(LEN($A1592)=4,VALUE(RIGHT($A1592,2))&lt;60),GUS_tabl_2!$A$8:$B$464,GUS_tabl_21!$A$5:$B$4886),2,FALSE)))),TRIM(VLOOKUP(IF(AND(LEN($A1592)=4,VALUE(RIGHT($A1592,2))&gt;60),$A1592&amp;"01 1",$A1592),IF(AND(LEN($A1592)=4,VALUE(RIGHT($A1592,2))&lt;60),GUS_tabl_2!$A$8:$B$464,GUS_tabl_21!$A$5:$B$4886),2,FALSE)),LEFT(TRIM(VLOOKUP(IF(AND(LEN($A1592)=4,VALUE(RIGHT($A1592,2))&gt;60),$A1592&amp;"01 1",$A1592),IF(AND(LEN($A1592)=4,VALUE(RIGHT($A1592,2))&lt;60),GUS_tabl_2!$A$8:$B$464,GUS_tabl_21!$A$5:$B$4886),2,FALSE)),SUM(FIND("..",TRIM(VLOOKUP(IF(AND(LEN($A1592)=4,VALUE(RIGHT($A1592,2))&gt;60),$A1592&amp;"01 1",$A1592),IF(AND(LEN($A1592)=4,VALUE(RIGHT($A1592,2))&lt;60),GUS_tabl_2!$A$8:$B$464,GUS_tabl_21!$A$5:$B$4886),2,FALSE))),-1)))))</f>
        <v>gm. m.-w. Tułowice</v>
      </c>
      <c r="D1592" s="141">
        <f>IF(OR($A1592="",ISERROR(VALUE(LEFT($A1592,6)))),"",IF(LEN($A1592)=2,SUMIF($A1593:$A$2965,$A1592&amp;"??",$D1593:$D$2965),IF(AND(LEN($A1592)=4,VALUE(RIGHT($A1592,2))&lt;=60),SUMIF($A1593:$A$2965,$A1592&amp;"????",$D1593:$D$2965),VLOOKUP(IF(LEN($A1592)=4,$A1592&amp;"01 1",$A1592),GUS_tabl_21!$A$5:$F$4886,6,FALSE))))</f>
        <v>5205</v>
      </c>
      <c r="E1592" s="29"/>
    </row>
    <row r="1593" spans="1:5" ht="12" customHeight="1">
      <c r="A1593" s="155" t="str">
        <f>"160913 2"</f>
        <v>160913 2</v>
      </c>
      <c r="B1593" s="153" t="s">
        <v>74</v>
      </c>
      <c r="C1593" s="156" t="str">
        <f>IF(OR($A1593="",ISERROR(VALUE(LEFT($A1593,6)))),"",IF(LEN($A1593)=2,"WOJ. ",IF(LEN($A1593)=4,IF(VALUE(RIGHT($A1593,2))&gt;60,"","Powiat "),IF(VALUE(RIGHT($A1593,1))=1,"m. ",IF(VALUE(RIGHT($A1593,1))=2,"gm. w. ",IF(VALUE(RIGHT($A1593,1))=8,"dz. ","gm. m.-w. ")))))&amp;IF(LEN($A1593)=2,TRIM(UPPER(VLOOKUP($A1593,GUS_tabl_1!$A$7:$B$22,2,FALSE))),IF(ISERROR(FIND("..",TRIM(VLOOKUP(IF(AND(LEN($A1593)=4,VALUE(RIGHT($A1593,2))&gt;60),$A1593&amp;"01 1",$A1593),IF(AND(LEN($A1593)=4,VALUE(RIGHT($A1593,2))&lt;60),GUS_tabl_2!$A$8:$B$464,GUS_tabl_21!$A$5:$B$4886),2,FALSE)))),TRIM(VLOOKUP(IF(AND(LEN($A1593)=4,VALUE(RIGHT($A1593,2))&gt;60),$A1593&amp;"01 1",$A1593),IF(AND(LEN($A1593)=4,VALUE(RIGHT($A1593,2))&lt;60),GUS_tabl_2!$A$8:$B$464,GUS_tabl_21!$A$5:$B$4886),2,FALSE)),LEFT(TRIM(VLOOKUP(IF(AND(LEN($A1593)=4,VALUE(RIGHT($A1593,2))&gt;60),$A1593&amp;"01 1",$A1593),IF(AND(LEN($A1593)=4,VALUE(RIGHT($A1593,2))&lt;60),GUS_tabl_2!$A$8:$B$464,GUS_tabl_21!$A$5:$B$4886),2,FALSE)),SUM(FIND("..",TRIM(VLOOKUP(IF(AND(LEN($A1593)=4,VALUE(RIGHT($A1593,2))&gt;60),$A1593&amp;"01 1",$A1593),IF(AND(LEN($A1593)=4,VALUE(RIGHT($A1593,2))&lt;60),GUS_tabl_2!$A$8:$B$464,GUS_tabl_21!$A$5:$B$4886),2,FALSE))),-1)))))</f>
        <v>gm. w. Turawa</v>
      </c>
      <c r="D1593" s="141">
        <f>IF(OR($A1593="",ISERROR(VALUE(LEFT($A1593,6)))),"",IF(LEN($A1593)=2,SUMIF($A1594:$A$2965,$A1593&amp;"??",$D1594:$D$2965),IF(AND(LEN($A1593)=4,VALUE(RIGHT($A1593,2))&lt;=60),SUMIF($A1594:$A$2965,$A1593&amp;"????",$D1594:$D$2965),VLOOKUP(IF(LEN($A1593)=4,$A1593&amp;"01 1",$A1593),GUS_tabl_21!$A$5:$F$4886,6,FALSE))))</f>
        <v>10018</v>
      </c>
      <c r="E1593" s="29"/>
    </row>
    <row r="1594" spans="1:5" ht="12" customHeight="1">
      <c r="A1594" s="152" t="str">
        <f>"1610"</f>
        <v>1610</v>
      </c>
      <c r="B1594" s="153" t="s">
        <v>74</v>
      </c>
      <c r="C1594" s="154" t="str">
        <f>IF(OR($A1594="",ISERROR(VALUE(LEFT($A1594,6)))),"",IF(LEN($A1594)=2,"WOJ. ",IF(LEN($A1594)=4,IF(VALUE(RIGHT($A1594,2))&gt;60,"","Powiat "),IF(VALUE(RIGHT($A1594,1))=1,"m. ",IF(VALUE(RIGHT($A1594,1))=2,"gm. w. ",IF(VALUE(RIGHT($A1594,1))=8,"dz. ","gm. m.-w. ")))))&amp;IF(LEN($A1594)=2,TRIM(UPPER(VLOOKUP($A1594,GUS_tabl_1!$A$7:$B$22,2,FALSE))),IF(ISERROR(FIND("..",TRIM(VLOOKUP(IF(AND(LEN($A1594)=4,VALUE(RIGHT($A1594,2))&gt;60),$A1594&amp;"01 1",$A1594),IF(AND(LEN($A1594)=4,VALUE(RIGHT($A1594,2))&lt;60),GUS_tabl_2!$A$8:$B$464,GUS_tabl_21!$A$5:$B$4886),2,FALSE)))),TRIM(VLOOKUP(IF(AND(LEN($A1594)=4,VALUE(RIGHT($A1594,2))&gt;60),$A1594&amp;"01 1",$A1594),IF(AND(LEN($A1594)=4,VALUE(RIGHT($A1594,2))&lt;60),GUS_tabl_2!$A$8:$B$464,GUS_tabl_21!$A$5:$B$4886),2,FALSE)),LEFT(TRIM(VLOOKUP(IF(AND(LEN($A1594)=4,VALUE(RIGHT($A1594,2))&gt;60),$A1594&amp;"01 1",$A1594),IF(AND(LEN($A1594)=4,VALUE(RIGHT($A1594,2))&lt;60),GUS_tabl_2!$A$8:$B$464,GUS_tabl_21!$A$5:$B$4886),2,FALSE)),SUM(FIND("..",TRIM(VLOOKUP(IF(AND(LEN($A1594)=4,VALUE(RIGHT($A1594,2))&gt;60),$A1594&amp;"01 1",$A1594),IF(AND(LEN($A1594)=4,VALUE(RIGHT($A1594,2))&lt;60),GUS_tabl_2!$A$8:$B$464,GUS_tabl_21!$A$5:$B$4886),2,FALSE))),-1)))))</f>
        <v>Powiat prudnicki</v>
      </c>
      <c r="D1594" s="140">
        <f>IF(OR($A1594="",ISERROR(VALUE(LEFT($A1594,6)))),"",IF(LEN($A1594)=2,SUMIF($A1595:$A$2965,$A1594&amp;"??",$D1595:$D$2965),IF(AND(LEN($A1594)=4,VALUE(RIGHT($A1594,2))&lt;=60),SUMIF($A1595:$A$2965,$A1594&amp;"????",$D1595:$D$2965),VLOOKUP(IF(LEN($A1594)=4,$A1594&amp;"01 1",$A1594),GUS_tabl_21!$A$5:$F$4886,6,FALSE))))</f>
        <v>55237</v>
      </c>
      <c r="E1594" s="29"/>
    </row>
    <row r="1595" spans="1:5" ht="12" customHeight="1">
      <c r="A1595" s="155" t="str">
        <f>"161001 3"</f>
        <v>161001 3</v>
      </c>
      <c r="B1595" s="153" t="s">
        <v>74</v>
      </c>
      <c r="C1595" s="156" t="str">
        <f>IF(OR($A1595="",ISERROR(VALUE(LEFT($A1595,6)))),"",IF(LEN($A1595)=2,"WOJ. ",IF(LEN($A1595)=4,IF(VALUE(RIGHT($A1595,2))&gt;60,"","Powiat "),IF(VALUE(RIGHT($A1595,1))=1,"m. ",IF(VALUE(RIGHT($A1595,1))=2,"gm. w. ",IF(VALUE(RIGHT($A1595,1))=8,"dz. ","gm. m.-w. ")))))&amp;IF(LEN($A1595)=2,TRIM(UPPER(VLOOKUP($A1595,GUS_tabl_1!$A$7:$B$22,2,FALSE))),IF(ISERROR(FIND("..",TRIM(VLOOKUP(IF(AND(LEN($A1595)=4,VALUE(RIGHT($A1595,2))&gt;60),$A1595&amp;"01 1",$A1595),IF(AND(LEN($A1595)=4,VALUE(RIGHT($A1595,2))&lt;60),GUS_tabl_2!$A$8:$B$464,GUS_tabl_21!$A$5:$B$4886),2,FALSE)))),TRIM(VLOOKUP(IF(AND(LEN($A1595)=4,VALUE(RIGHT($A1595,2))&gt;60),$A1595&amp;"01 1",$A1595),IF(AND(LEN($A1595)=4,VALUE(RIGHT($A1595,2))&lt;60),GUS_tabl_2!$A$8:$B$464,GUS_tabl_21!$A$5:$B$4886),2,FALSE)),LEFT(TRIM(VLOOKUP(IF(AND(LEN($A1595)=4,VALUE(RIGHT($A1595,2))&gt;60),$A1595&amp;"01 1",$A1595),IF(AND(LEN($A1595)=4,VALUE(RIGHT($A1595,2))&lt;60),GUS_tabl_2!$A$8:$B$464,GUS_tabl_21!$A$5:$B$4886),2,FALSE)),SUM(FIND("..",TRIM(VLOOKUP(IF(AND(LEN($A1595)=4,VALUE(RIGHT($A1595,2))&gt;60),$A1595&amp;"01 1",$A1595),IF(AND(LEN($A1595)=4,VALUE(RIGHT($A1595,2))&lt;60),GUS_tabl_2!$A$8:$B$464,GUS_tabl_21!$A$5:$B$4886),2,FALSE))),-1)))))</f>
        <v>gm. m.-w. Biała</v>
      </c>
      <c r="D1595" s="141">
        <f>IF(OR($A1595="",ISERROR(VALUE(LEFT($A1595,6)))),"",IF(LEN($A1595)=2,SUMIF($A1596:$A$2965,$A1595&amp;"??",$D1596:$D$2965),IF(AND(LEN($A1595)=4,VALUE(RIGHT($A1595,2))&lt;=60),SUMIF($A1596:$A$2965,$A1595&amp;"????",$D1596:$D$2965),VLOOKUP(IF(LEN($A1595)=4,$A1595&amp;"01 1",$A1595),GUS_tabl_21!$A$5:$F$4886,6,FALSE))))</f>
        <v>10565</v>
      </c>
      <c r="E1595" s="29"/>
    </row>
    <row r="1596" spans="1:5" ht="12" customHeight="1">
      <c r="A1596" s="155" t="str">
        <f>"161002 3"</f>
        <v>161002 3</v>
      </c>
      <c r="B1596" s="153" t="s">
        <v>74</v>
      </c>
      <c r="C1596" s="156" t="str">
        <f>IF(OR($A1596="",ISERROR(VALUE(LEFT($A1596,6)))),"",IF(LEN($A1596)=2,"WOJ. ",IF(LEN($A1596)=4,IF(VALUE(RIGHT($A1596,2))&gt;60,"","Powiat "),IF(VALUE(RIGHT($A1596,1))=1,"m. ",IF(VALUE(RIGHT($A1596,1))=2,"gm. w. ",IF(VALUE(RIGHT($A1596,1))=8,"dz. ","gm. m.-w. ")))))&amp;IF(LEN($A1596)=2,TRIM(UPPER(VLOOKUP($A1596,GUS_tabl_1!$A$7:$B$22,2,FALSE))),IF(ISERROR(FIND("..",TRIM(VLOOKUP(IF(AND(LEN($A1596)=4,VALUE(RIGHT($A1596,2))&gt;60),$A1596&amp;"01 1",$A1596),IF(AND(LEN($A1596)=4,VALUE(RIGHT($A1596,2))&lt;60),GUS_tabl_2!$A$8:$B$464,GUS_tabl_21!$A$5:$B$4886),2,FALSE)))),TRIM(VLOOKUP(IF(AND(LEN($A1596)=4,VALUE(RIGHT($A1596,2))&gt;60),$A1596&amp;"01 1",$A1596),IF(AND(LEN($A1596)=4,VALUE(RIGHT($A1596,2))&lt;60),GUS_tabl_2!$A$8:$B$464,GUS_tabl_21!$A$5:$B$4886),2,FALSE)),LEFT(TRIM(VLOOKUP(IF(AND(LEN($A1596)=4,VALUE(RIGHT($A1596,2))&gt;60),$A1596&amp;"01 1",$A1596),IF(AND(LEN($A1596)=4,VALUE(RIGHT($A1596,2))&lt;60),GUS_tabl_2!$A$8:$B$464,GUS_tabl_21!$A$5:$B$4886),2,FALSE)),SUM(FIND("..",TRIM(VLOOKUP(IF(AND(LEN($A1596)=4,VALUE(RIGHT($A1596,2))&gt;60),$A1596&amp;"01 1",$A1596),IF(AND(LEN($A1596)=4,VALUE(RIGHT($A1596,2))&lt;60),GUS_tabl_2!$A$8:$B$464,GUS_tabl_21!$A$5:$B$4886),2,FALSE))),-1)))))</f>
        <v>gm. m.-w. Głogówek</v>
      </c>
      <c r="D1596" s="141">
        <f>IF(OR($A1596="",ISERROR(VALUE(LEFT($A1596,6)))),"",IF(LEN($A1596)=2,SUMIF($A1597:$A$2965,$A1596&amp;"??",$D1597:$D$2965),IF(AND(LEN($A1596)=4,VALUE(RIGHT($A1596,2))&lt;=60),SUMIF($A1597:$A$2965,$A1596&amp;"????",$D1597:$D$2965),VLOOKUP(IF(LEN($A1596)=4,$A1596&amp;"01 1",$A1596),GUS_tabl_21!$A$5:$F$4886,6,FALSE))))</f>
        <v>13221</v>
      </c>
      <c r="E1596" s="29"/>
    </row>
    <row r="1597" spans="1:5" ht="12" customHeight="1">
      <c r="A1597" s="155" t="str">
        <f>"161003 2"</f>
        <v>161003 2</v>
      </c>
      <c r="B1597" s="153" t="s">
        <v>74</v>
      </c>
      <c r="C1597" s="156" t="str">
        <f>IF(OR($A1597="",ISERROR(VALUE(LEFT($A1597,6)))),"",IF(LEN($A1597)=2,"WOJ. ",IF(LEN($A1597)=4,IF(VALUE(RIGHT($A1597,2))&gt;60,"","Powiat "),IF(VALUE(RIGHT($A1597,1))=1,"m. ",IF(VALUE(RIGHT($A1597,1))=2,"gm. w. ",IF(VALUE(RIGHT($A1597,1))=8,"dz. ","gm. m.-w. ")))))&amp;IF(LEN($A1597)=2,TRIM(UPPER(VLOOKUP($A1597,GUS_tabl_1!$A$7:$B$22,2,FALSE))),IF(ISERROR(FIND("..",TRIM(VLOOKUP(IF(AND(LEN($A1597)=4,VALUE(RIGHT($A1597,2))&gt;60),$A1597&amp;"01 1",$A1597),IF(AND(LEN($A1597)=4,VALUE(RIGHT($A1597,2))&lt;60),GUS_tabl_2!$A$8:$B$464,GUS_tabl_21!$A$5:$B$4886),2,FALSE)))),TRIM(VLOOKUP(IF(AND(LEN($A1597)=4,VALUE(RIGHT($A1597,2))&gt;60),$A1597&amp;"01 1",$A1597),IF(AND(LEN($A1597)=4,VALUE(RIGHT($A1597,2))&lt;60),GUS_tabl_2!$A$8:$B$464,GUS_tabl_21!$A$5:$B$4886),2,FALSE)),LEFT(TRIM(VLOOKUP(IF(AND(LEN($A1597)=4,VALUE(RIGHT($A1597,2))&gt;60),$A1597&amp;"01 1",$A1597),IF(AND(LEN($A1597)=4,VALUE(RIGHT($A1597,2))&lt;60),GUS_tabl_2!$A$8:$B$464,GUS_tabl_21!$A$5:$B$4886),2,FALSE)),SUM(FIND("..",TRIM(VLOOKUP(IF(AND(LEN($A1597)=4,VALUE(RIGHT($A1597,2))&gt;60),$A1597&amp;"01 1",$A1597),IF(AND(LEN($A1597)=4,VALUE(RIGHT($A1597,2))&lt;60),GUS_tabl_2!$A$8:$B$464,GUS_tabl_21!$A$5:$B$4886),2,FALSE))),-1)))))</f>
        <v>gm. w. Lubrza</v>
      </c>
      <c r="D1597" s="141">
        <f>IF(OR($A1597="",ISERROR(VALUE(LEFT($A1597,6)))),"",IF(LEN($A1597)=2,SUMIF($A1598:$A$2965,$A1597&amp;"??",$D1598:$D$2965),IF(AND(LEN($A1597)=4,VALUE(RIGHT($A1597,2))&lt;=60),SUMIF($A1598:$A$2965,$A1597&amp;"????",$D1598:$D$2965),VLOOKUP(IF(LEN($A1597)=4,$A1597&amp;"01 1",$A1597),GUS_tabl_21!$A$5:$F$4886,6,FALSE))))</f>
        <v>4342</v>
      </c>
      <c r="E1597" s="29"/>
    </row>
    <row r="1598" spans="1:5" ht="12" customHeight="1">
      <c r="A1598" s="155" t="str">
        <f>"161004 3"</f>
        <v>161004 3</v>
      </c>
      <c r="B1598" s="153" t="s">
        <v>74</v>
      </c>
      <c r="C1598" s="156" t="str">
        <f>IF(OR($A1598="",ISERROR(VALUE(LEFT($A1598,6)))),"",IF(LEN($A1598)=2,"WOJ. ",IF(LEN($A1598)=4,IF(VALUE(RIGHT($A1598,2))&gt;60,"","Powiat "),IF(VALUE(RIGHT($A1598,1))=1,"m. ",IF(VALUE(RIGHT($A1598,1))=2,"gm. w. ",IF(VALUE(RIGHT($A1598,1))=8,"dz. ","gm. m.-w. ")))))&amp;IF(LEN($A1598)=2,TRIM(UPPER(VLOOKUP($A1598,GUS_tabl_1!$A$7:$B$22,2,FALSE))),IF(ISERROR(FIND("..",TRIM(VLOOKUP(IF(AND(LEN($A1598)=4,VALUE(RIGHT($A1598,2))&gt;60),$A1598&amp;"01 1",$A1598),IF(AND(LEN($A1598)=4,VALUE(RIGHT($A1598,2))&lt;60),GUS_tabl_2!$A$8:$B$464,GUS_tabl_21!$A$5:$B$4886),2,FALSE)))),TRIM(VLOOKUP(IF(AND(LEN($A1598)=4,VALUE(RIGHT($A1598,2))&gt;60),$A1598&amp;"01 1",$A1598),IF(AND(LEN($A1598)=4,VALUE(RIGHT($A1598,2))&lt;60),GUS_tabl_2!$A$8:$B$464,GUS_tabl_21!$A$5:$B$4886),2,FALSE)),LEFT(TRIM(VLOOKUP(IF(AND(LEN($A1598)=4,VALUE(RIGHT($A1598,2))&gt;60),$A1598&amp;"01 1",$A1598),IF(AND(LEN($A1598)=4,VALUE(RIGHT($A1598,2))&lt;60),GUS_tabl_2!$A$8:$B$464,GUS_tabl_21!$A$5:$B$4886),2,FALSE)),SUM(FIND("..",TRIM(VLOOKUP(IF(AND(LEN($A1598)=4,VALUE(RIGHT($A1598,2))&gt;60),$A1598&amp;"01 1",$A1598),IF(AND(LEN($A1598)=4,VALUE(RIGHT($A1598,2))&lt;60),GUS_tabl_2!$A$8:$B$464,GUS_tabl_21!$A$5:$B$4886),2,FALSE))),-1)))))</f>
        <v>gm. m.-w. Prudnik</v>
      </c>
      <c r="D1598" s="141">
        <f>IF(OR($A1598="",ISERROR(VALUE(LEFT($A1598,6)))),"",IF(LEN($A1598)=2,SUMIF($A1599:$A$2965,$A1598&amp;"??",$D1599:$D$2965),IF(AND(LEN($A1598)=4,VALUE(RIGHT($A1598,2))&lt;=60),SUMIF($A1599:$A$2965,$A1598&amp;"????",$D1599:$D$2965),VLOOKUP(IF(LEN($A1598)=4,$A1598&amp;"01 1",$A1598),GUS_tabl_21!$A$5:$F$4886,6,FALSE))))</f>
        <v>27109</v>
      </c>
      <c r="E1598" s="29"/>
    </row>
    <row r="1599" spans="1:5" ht="12" customHeight="1">
      <c r="A1599" s="152" t="str">
        <f>"1611"</f>
        <v>1611</v>
      </c>
      <c r="B1599" s="153" t="s">
        <v>74</v>
      </c>
      <c r="C1599" s="154" t="str">
        <f>IF(OR($A1599="",ISERROR(VALUE(LEFT($A1599,6)))),"",IF(LEN($A1599)=2,"WOJ. ",IF(LEN($A1599)=4,IF(VALUE(RIGHT($A1599,2))&gt;60,"","Powiat "),IF(VALUE(RIGHT($A1599,1))=1,"m. ",IF(VALUE(RIGHT($A1599,1))=2,"gm. w. ",IF(VALUE(RIGHT($A1599,1))=8,"dz. ","gm. m.-w. ")))))&amp;IF(LEN($A1599)=2,TRIM(UPPER(VLOOKUP($A1599,GUS_tabl_1!$A$7:$B$22,2,FALSE))),IF(ISERROR(FIND("..",TRIM(VLOOKUP(IF(AND(LEN($A1599)=4,VALUE(RIGHT($A1599,2))&gt;60),$A1599&amp;"01 1",$A1599),IF(AND(LEN($A1599)=4,VALUE(RIGHT($A1599,2))&lt;60),GUS_tabl_2!$A$8:$B$464,GUS_tabl_21!$A$5:$B$4886),2,FALSE)))),TRIM(VLOOKUP(IF(AND(LEN($A1599)=4,VALUE(RIGHT($A1599,2))&gt;60),$A1599&amp;"01 1",$A1599),IF(AND(LEN($A1599)=4,VALUE(RIGHT($A1599,2))&lt;60),GUS_tabl_2!$A$8:$B$464,GUS_tabl_21!$A$5:$B$4886),2,FALSE)),LEFT(TRIM(VLOOKUP(IF(AND(LEN($A1599)=4,VALUE(RIGHT($A1599,2))&gt;60),$A1599&amp;"01 1",$A1599),IF(AND(LEN($A1599)=4,VALUE(RIGHT($A1599,2))&lt;60),GUS_tabl_2!$A$8:$B$464,GUS_tabl_21!$A$5:$B$4886),2,FALSE)),SUM(FIND("..",TRIM(VLOOKUP(IF(AND(LEN($A1599)=4,VALUE(RIGHT($A1599,2))&gt;60),$A1599&amp;"01 1",$A1599),IF(AND(LEN($A1599)=4,VALUE(RIGHT($A1599,2))&lt;60),GUS_tabl_2!$A$8:$B$464,GUS_tabl_21!$A$5:$B$4886),2,FALSE))),-1)))))</f>
        <v>Powiat strzelecki</v>
      </c>
      <c r="D1599" s="140">
        <f>IF(OR($A1599="",ISERROR(VALUE(LEFT($A1599,6)))),"",IF(LEN($A1599)=2,SUMIF($A1600:$A$2965,$A1599&amp;"??",$D1600:$D$2965),IF(AND(LEN($A1599)=4,VALUE(RIGHT($A1599,2))&lt;=60),SUMIF($A1600:$A$2965,$A1599&amp;"????",$D1600:$D$2965),VLOOKUP(IF(LEN($A1599)=4,$A1599&amp;"01 1",$A1599),GUS_tabl_21!$A$5:$F$4886,6,FALSE))))</f>
        <v>74300</v>
      </c>
      <c r="E1599" s="29"/>
    </row>
    <row r="1600" spans="1:5" ht="12" customHeight="1">
      <c r="A1600" s="155" t="str">
        <f>"161101 2"</f>
        <v>161101 2</v>
      </c>
      <c r="B1600" s="153" t="s">
        <v>74</v>
      </c>
      <c r="C1600" s="156" t="str">
        <f>IF(OR($A1600="",ISERROR(VALUE(LEFT($A1600,6)))),"",IF(LEN($A1600)=2,"WOJ. ",IF(LEN($A1600)=4,IF(VALUE(RIGHT($A1600,2))&gt;60,"","Powiat "),IF(VALUE(RIGHT($A1600,1))=1,"m. ",IF(VALUE(RIGHT($A1600,1))=2,"gm. w. ",IF(VALUE(RIGHT($A1600,1))=8,"dz. ","gm. m.-w. ")))))&amp;IF(LEN($A1600)=2,TRIM(UPPER(VLOOKUP($A1600,GUS_tabl_1!$A$7:$B$22,2,FALSE))),IF(ISERROR(FIND("..",TRIM(VLOOKUP(IF(AND(LEN($A1600)=4,VALUE(RIGHT($A1600,2))&gt;60),$A1600&amp;"01 1",$A1600),IF(AND(LEN($A1600)=4,VALUE(RIGHT($A1600,2))&lt;60),GUS_tabl_2!$A$8:$B$464,GUS_tabl_21!$A$5:$B$4886),2,FALSE)))),TRIM(VLOOKUP(IF(AND(LEN($A1600)=4,VALUE(RIGHT($A1600,2))&gt;60),$A1600&amp;"01 1",$A1600),IF(AND(LEN($A1600)=4,VALUE(RIGHT($A1600,2))&lt;60),GUS_tabl_2!$A$8:$B$464,GUS_tabl_21!$A$5:$B$4886),2,FALSE)),LEFT(TRIM(VLOOKUP(IF(AND(LEN($A1600)=4,VALUE(RIGHT($A1600,2))&gt;60),$A1600&amp;"01 1",$A1600),IF(AND(LEN($A1600)=4,VALUE(RIGHT($A1600,2))&lt;60),GUS_tabl_2!$A$8:$B$464,GUS_tabl_21!$A$5:$B$4886),2,FALSE)),SUM(FIND("..",TRIM(VLOOKUP(IF(AND(LEN($A1600)=4,VALUE(RIGHT($A1600,2))&gt;60),$A1600&amp;"01 1",$A1600),IF(AND(LEN($A1600)=4,VALUE(RIGHT($A1600,2))&lt;60),GUS_tabl_2!$A$8:$B$464,GUS_tabl_21!$A$5:$B$4886),2,FALSE))),-1)))))</f>
        <v>gm. w. Izbicko</v>
      </c>
      <c r="D1600" s="141">
        <f>IF(OR($A1600="",ISERROR(VALUE(LEFT($A1600,6)))),"",IF(LEN($A1600)=2,SUMIF($A1601:$A$2965,$A1600&amp;"??",$D1601:$D$2965),IF(AND(LEN($A1600)=4,VALUE(RIGHT($A1600,2))&lt;=60),SUMIF($A1601:$A$2965,$A1600&amp;"????",$D1601:$D$2965),VLOOKUP(IF(LEN($A1600)=4,$A1600&amp;"01 1",$A1600),GUS_tabl_21!$A$5:$F$4886,6,FALSE))))</f>
        <v>5412</v>
      </c>
      <c r="E1600" s="29"/>
    </row>
    <row r="1601" spans="1:5" ht="12" customHeight="1">
      <c r="A1601" s="155" t="str">
        <f>"161102 2"</f>
        <v>161102 2</v>
      </c>
      <c r="B1601" s="153" t="s">
        <v>74</v>
      </c>
      <c r="C1601" s="156" t="str">
        <f>IF(OR($A1601="",ISERROR(VALUE(LEFT($A1601,6)))),"",IF(LEN($A1601)=2,"WOJ. ",IF(LEN($A1601)=4,IF(VALUE(RIGHT($A1601,2))&gt;60,"","Powiat "),IF(VALUE(RIGHT($A1601,1))=1,"m. ",IF(VALUE(RIGHT($A1601,1))=2,"gm. w. ",IF(VALUE(RIGHT($A1601,1))=8,"dz. ","gm. m.-w. ")))))&amp;IF(LEN($A1601)=2,TRIM(UPPER(VLOOKUP($A1601,GUS_tabl_1!$A$7:$B$22,2,FALSE))),IF(ISERROR(FIND("..",TRIM(VLOOKUP(IF(AND(LEN($A1601)=4,VALUE(RIGHT($A1601,2))&gt;60),$A1601&amp;"01 1",$A1601),IF(AND(LEN($A1601)=4,VALUE(RIGHT($A1601,2))&lt;60),GUS_tabl_2!$A$8:$B$464,GUS_tabl_21!$A$5:$B$4886),2,FALSE)))),TRIM(VLOOKUP(IF(AND(LEN($A1601)=4,VALUE(RIGHT($A1601,2))&gt;60),$A1601&amp;"01 1",$A1601),IF(AND(LEN($A1601)=4,VALUE(RIGHT($A1601,2))&lt;60),GUS_tabl_2!$A$8:$B$464,GUS_tabl_21!$A$5:$B$4886),2,FALSE)),LEFT(TRIM(VLOOKUP(IF(AND(LEN($A1601)=4,VALUE(RIGHT($A1601,2))&gt;60),$A1601&amp;"01 1",$A1601),IF(AND(LEN($A1601)=4,VALUE(RIGHT($A1601,2))&lt;60),GUS_tabl_2!$A$8:$B$464,GUS_tabl_21!$A$5:$B$4886),2,FALSE)),SUM(FIND("..",TRIM(VLOOKUP(IF(AND(LEN($A1601)=4,VALUE(RIGHT($A1601,2))&gt;60),$A1601&amp;"01 1",$A1601),IF(AND(LEN($A1601)=4,VALUE(RIGHT($A1601,2))&lt;60),GUS_tabl_2!$A$8:$B$464,GUS_tabl_21!$A$5:$B$4886),2,FALSE))),-1)))))</f>
        <v>gm. w. Jemielnica</v>
      </c>
      <c r="D1601" s="141">
        <f>IF(OR($A1601="",ISERROR(VALUE(LEFT($A1601,6)))),"",IF(LEN($A1601)=2,SUMIF($A1602:$A$2965,$A1601&amp;"??",$D1602:$D$2965),IF(AND(LEN($A1601)=4,VALUE(RIGHT($A1601,2))&lt;=60),SUMIF($A1602:$A$2965,$A1601&amp;"????",$D1602:$D$2965),VLOOKUP(IF(LEN($A1601)=4,$A1601&amp;"01 1",$A1601),GUS_tabl_21!$A$5:$F$4886,6,FALSE))))</f>
        <v>7236</v>
      </c>
      <c r="E1601" s="29"/>
    </row>
    <row r="1602" spans="1:5" ht="12" customHeight="1">
      <c r="A1602" s="155" t="str">
        <f>"161103 3"</f>
        <v>161103 3</v>
      </c>
      <c r="B1602" s="153" t="s">
        <v>74</v>
      </c>
      <c r="C1602" s="156" t="str">
        <f>IF(OR($A1602="",ISERROR(VALUE(LEFT($A1602,6)))),"",IF(LEN($A1602)=2,"WOJ. ",IF(LEN($A1602)=4,IF(VALUE(RIGHT($A1602,2))&gt;60,"","Powiat "),IF(VALUE(RIGHT($A1602,1))=1,"m. ",IF(VALUE(RIGHT($A1602,1))=2,"gm. w. ",IF(VALUE(RIGHT($A1602,1))=8,"dz. ","gm. m.-w. ")))))&amp;IF(LEN($A1602)=2,TRIM(UPPER(VLOOKUP($A1602,GUS_tabl_1!$A$7:$B$22,2,FALSE))),IF(ISERROR(FIND("..",TRIM(VLOOKUP(IF(AND(LEN($A1602)=4,VALUE(RIGHT($A1602,2))&gt;60),$A1602&amp;"01 1",$A1602),IF(AND(LEN($A1602)=4,VALUE(RIGHT($A1602,2))&lt;60),GUS_tabl_2!$A$8:$B$464,GUS_tabl_21!$A$5:$B$4886),2,FALSE)))),TRIM(VLOOKUP(IF(AND(LEN($A1602)=4,VALUE(RIGHT($A1602,2))&gt;60),$A1602&amp;"01 1",$A1602),IF(AND(LEN($A1602)=4,VALUE(RIGHT($A1602,2))&lt;60),GUS_tabl_2!$A$8:$B$464,GUS_tabl_21!$A$5:$B$4886),2,FALSE)),LEFT(TRIM(VLOOKUP(IF(AND(LEN($A1602)=4,VALUE(RIGHT($A1602,2))&gt;60),$A1602&amp;"01 1",$A1602),IF(AND(LEN($A1602)=4,VALUE(RIGHT($A1602,2))&lt;60),GUS_tabl_2!$A$8:$B$464,GUS_tabl_21!$A$5:$B$4886),2,FALSE)),SUM(FIND("..",TRIM(VLOOKUP(IF(AND(LEN($A1602)=4,VALUE(RIGHT($A1602,2))&gt;60),$A1602&amp;"01 1",$A1602),IF(AND(LEN($A1602)=4,VALUE(RIGHT($A1602,2))&lt;60),GUS_tabl_2!$A$8:$B$464,GUS_tabl_21!$A$5:$B$4886),2,FALSE))),-1)))))</f>
        <v>gm. m.-w. Kolonowskie</v>
      </c>
      <c r="D1602" s="141">
        <f>IF(OR($A1602="",ISERROR(VALUE(LEFT($A1602,6)))),"",IF(LEN($A1602)=2,SUMIF($A1603:$A$2965,$A1602&amp;"??",$D1603:$D$2965),IF(AND(LEN($A1602)=4,VALUE(RIGHT($A1602,2))&lt;=60),SUMIF($A1603:$A$2965,$A1602&amp;"????",$D1603:$D$2965),VLOOKUP(IF(LEN($A1602)=4,$A1602&amp;"01 1",$A1602),GUS_tabl_21!$A$5:$F$4886,6,FALSE))))</f>
        <v>5874</v>
      </c>
      <c r="E1602" s="29"/>
    </row>
    <row r="1603" spans="1:5" ht="12" customHeight="1">
      <c r="A1603" s="155" t="str">
        <f>"161104 3"</f>
        <v>161104 3</v>
      </c>
      <c r="B1603" s="153" t="s">
        <v>74</v>
      </c>
      <c r="C1603" s="156" t="str">
        <f>IF(OR($A1603="",ISERROR(VALUE(LEFT($A1603,6)))),"",IF(LEN($A1603)=2,"WOJ. ",IF(LEN($A1603)=4,IF(VALUE(RIGHT($A1603,2))&gt;60,"","Powiat "),IF(VALUE(RIGHT($A1603,1))=1,"m. ",IF(VALUE(RIGHT($A1603,1))=2,"gm. w. ",IF(VALUE(RIGHT($A1603,1))=8,"dz. ","gm. m.-w. ")))))&amp;IF(LEN($A1603)=2,TRIM(UPPER(VLOOKUP($A1603,GUS_tabl_1!$A$7:$B$22,2,FALSE))),IF(ISERROR(FIND("..",TRIM(VLOOKUP(IF(AND(LEN($A1603)=4,VALUE(RIGHT($A1603,2))&gt;60),$A1603&amp;"01 1",$A1603),IF(AND(LEN($A1603)=4,VALUE(RIGHT($A1603,2))&lt;60),GUS_tabl_2!$A$8:$B$464,GUS_tabl_21!$A$5:$B$4886),2,FALSE)))),TRIM(VLOOKUP(IF(AND(LEN($A1603)=4,VALUE(RIGHT($A1603,2))&gt;60),$A1603&amp;"01 1",$A1603),IF(AND(LEN($A1603)=4,VALUE(RIGHT($A1603,2))&lt;60),GUS_tabl_2!$A$8:$B$464,GUS_tabl_21!$A$5:$B$4886),2,FALSE)),LEFT(TRIM(VLOOKUP(IF(AND(LEN($A1603)=4,VALUE(RIGHT($A1603,2))&gt;60),$A1603&amp;"01 1",$A1603),IF(AND(LEN($A1603)=4,VALUE(RIGHT($A1603,2))&lt;60),GUS_tabl_2!$A$8:$B$464,GUS_tabl_21!$A$5:$B$4886),2,FALSE)),SUM(FIND("..",TRIM(VLOOKUP(IF(AND(LEN($A1603)=4,VALUE(RIGHT($A1603,2))&gt;60),$A1603&amp;"01 1",$A1603),IF(AND(LEN($A1603)=4,VALUE(RIGHT($A1603,2))&lt;60),GUS_tabl_2!$A$8:$B$464,GUS_tabl_21!$A$5:$B$4886),2,FALSE))),-1)))))</f>
        <v>gm. m.-w. Leśnica</v>
      </c>
      <c r="D1603" s="141">
        <f>IF(OR($A1603="",ISERROR(VALUE(LEFT($A1603,6)))),"",IF(LEN($A1603)=2,SUMIF($A1604:$A$2965,$A1603&amp;"??",$D1604:$D$2965),IF(AND(LEN($A1603)=4,VALUE(RIGHT($A1603,2))&lt;=60),SUMIF($A1604:$A$2965,$A1603&amp;"????",$D1604:$D$2965),VLOOKUP(IF(LEN($A1603)=4,$A1603&amp;"01 1",$A1603),GUS_tabl_21!$A$5:$F$4886,6,FALSE))))</f>
        <v>7550</v>
      </c>
      <c r="E1603" s="29"/>
    </row>
    <row r="1604" spans="1:5" ht="12" customHeight="1">
      <c r="A1604" s="155" t="str">
        <f>"161105 3"</f>
        <v>161105 3</v>
      </c>
      <c r="B1604" s="153" t="s">
        <v>74</v>
      </c>
      <c r="C1604" s="156" t="str">
        <f>IF(OR($A1604="",ISERROR(VALUE(LEFT($A1604,6)))),"",IF(LEN($A1604)=2,"WOJ. ",IF(LEN($A1604)=4,IF(VALUE(RIGHT($A1604,2))&gt;60,"","Powiat "),IF(VALUE(RIGHT($A1604,1))=1,"m. ",IF(VALUE(RIGHT($A1604,1))=2,"gm. w. ",IF(VALUE(RIGHT($A1604,1))=8,"dz. ","gm. m.-w. ")))))&amp;IF(LEN($A1604)=2,TRIM(UPPER(VLOOKUP($A1604,GUS_tabl_1!$A$7:$B$22,2,FALSE))),IF(ISERROR(FIND("..",TRIM(VLOOKUP(IF(AND(LEN($A1604)=4,VALUE(RIGHT($A1604,2))&gt;60),$A1604&amp;"01 1",$A1604),IF(AND(LEN($A1604)=4,VALUE(RIGHT($A1604,2))&lt;60),GUS_tabl_2!$A$8:$B$464,GUS_tabl_21!$A$5:$B$4886),2,FALSE)))),TRIM(VLOOKUP(IF(AND(LEN($A1604)=4,VALUE(RIGHT($A1604,2))&gt;60),$A1604&amp;"01 1",$A1604),IF(AND(LEN($A1604)=4,VALUE(RIGHT($A1604,2))&lt;60),GUS_tabl_2!$A$8:$B$464,GUS_tabl_21!$A$5:$B$4886),2,FALSE)),LEFT(TRIM(VLOOKUP(IF(AND(LEN($A1604)=4,VALUE(RIGHT($A1604,2))&gt;60),$A1604&amp;"01 1",$A1604),IF(AND(LEN($A1604)=4,VALUE(RIGHT($A1604,2))&lt;60),GUS_tabl_2!$A$8:$B$464,GUS_tabl_21!$A$5:$B$4886),2,FALSE)),SUM(FIND("..",TRIM(VLOOKUP(IF(AND(LEN($A1604)=4,VALUE(RIGHT($A1604,2))&gt;60),$A1604&amp;"01 1",$A1604),IF(AND(LEN($A1604)=4,VALUE(RIGHT($A1604,2))&lt;60),GUS_tabl_2!$A$8:$B$464,GUS_tabl_21!$A$5:$B$4886),2,FALSE))),-1)))))</f>
        <v>gm. m.-w. Strzelce Opolskie</v>
      </c>
      <c r="D1604" s="141">
        <f>IF(OR($A1604="",ISERROR(VALUE(LEFT($A1604,6)))),"",IF(LEN($A1604)=2,SUMIF($A1605:$A$2965,$A1604&amp;"??",$D1605:$D$2965),IF(AND(LEN($A1604)=4,VALUE(RIGHT($A1604,2))&lt;=60),SUMIF($A1605:$A$2965,$A1604&amp;"????",$D1605:$D$2965),VLOOKUP(IF(LEN($A1604)=4,$A1604&amp;"01 1",$A1604),GUS_tabl_21!$A$5:$F$4886,6,FALSE))))</f>
        <v>30515</v>
      </c>
      <c r="E1604" s="29"/>
    </row>
    <row r="1605" spans="1:5" ht="12" customHeight="1">
      <c r="A1605" s="155" t="str">
        <f>"161106 3"</f>
        <v>161106 3</v>
      </c>
      <c r="B1605" s="153" t="s">
        <v>74</v>
      </c>
      <c r="C1605" s="156" t="str">
        <f>IF(OR($A1605="",ISERROR(VALUE(LEFT($A1605,6)))),"",IF(LEN($A1605)=2,"WOJ. ",IF(LEN($A1605)=4,IF(VALUE(RIGHT($A1605,2))&gt;60,"","Powiat "),IF(VALUE(RIGHT($A1605,1))=1,"m. ",IF(VALUE(RIGHT($A1605,1))=2,"gm. w. ",IF(VALUE(RIGHT($A1605,1))=8,"dz. ","gm. m.-w. ")))))&amp;IF(LEN($A1605)=2,TRIM(UPPER(VLOOKUP($A1605,GUS_tabl_1!$A$7:$B$22,2,FALSE))),IF(ISERROR(FIND("..",TRIM(VLOOKUP(IF(AND(LEN($A1605)=4,VALUE(RIGHT($A1605,2))&gt;60),$A1605&amp;"01 1",$A1605),IF(AND(LEN($A1605)=4,VALUE(RIGHT($A1605,2))&lt;60),GUS_tabl_2!$A$8:$B$464,GUS_tabl_21!$A$5:$B$4886),2,FALSE)))),TRIM(VLOOKUP(IF(AND(LEN($A1605)=4,VALUE(RIGHT($A1605,2))&gt;60),$A1605&amp;"01 1",$A1605),IF(AND(LEN($A1605)=4,VALUE(RIGHT($A1605,2))&lt;60),GUS_tabl_2!$A$8:$B$464,GUS_tabl_21!$A$5:$B$4886),2,FALSE)),LEFT(TRIM(VLOOKUP(IF(AND(LEN($A1605)=4,VALUE(RIGHT($A1605,2))&gt;60),$A1605&amp;"01 1",$A1605),IF(AND(LEN($A1605)=4,VALUE(RIGHT($A1605,2))&lt;60),GUS_tabl_2!$A$8:$B$464,GUS_tabl_21!$A$5:$B$4886),2,FALSE)),SUM(FIND("..",TRIM(VLOOKUP(IF(AND(LEN($A1605)=4,VALUE(RIGHT($A1605,2))&gt;60),$A1605&amp;"01 1",$A1605),IF(AND(LEN($A1605)=4,VALUE(RIGHT($A1605,2))&lt;60),GUS_tabl_2!$A$8:$B$464,GUS_tabl_21!$A$5:$B$4886),2,FALSE))),-1)))))</f>
        <v>gm. m.-w. Ujazd</v>
      </c>
      <c r="D1605" s="141">
        <f>IF(OR($A1605="",ISERROR(VALUE(LEFT($A1605,6)))),"",IF(LEN($A1605)=2,SUMIF($A1606:$A$2965,$A1605&amp;"??",$D1606:$D$2965),IF(AND(LEN($A1605)=4,VALUE(RIGHT($A1605,2))&lt;=60),SUMIF($A1606:$A$2965,$A1605&amp;"????",$D1606:$D$2965),VLOOKUP(IF(LEN($A1605)=4,$A1605&amp;"01 1",$A1605),GUS_tabl_21!$A$5:$F$4886,6,FALSE))))</f>
        <v>6409</v>
      </c>
      <c r="E1605" s="29"/>
    </row>
    <row r="1606" spans="1:5" ht="12" customHeight="1">
      <c r="A1606" s="155" t="str">
        <f>"161107 3"</f>
        <v>161107 3</v>
      </c>
      <c r="B1606" s="153" t="s">
        <v>74</v>
      </c>
      <c r="C1606" s="156" t="str">
        <f>IF(OR($A1606="",ISERROR(VALUE(LEFT($A1606,6)))),"",IF(LEN($A1606)=2,"WOJ. ",IF(LEN($A1606)=4,IF(VALUE(RIGHT($A1606,2))&gt;60,"","Powiat "),IF(VALUE(RIGHT($A1606,1))=1,"m. ",IF(VALUE(RIGHT($A1606,1))=2,"gm. w. ",IF(VALUE(RIGHT($A1606,1))=8,"dz. ","gm. m.-w. ")))))&amp;IF(LEN($A1606)=2,TRIM(UPPER(VLOOKUP($A1606,GUS_tabl_1!$A$7:$B$22,2,FALSE))),IF(ISERROR(FIND("..",TRIM(VLOOKUP(IF(AND(LEN($A1606)=4,VALUE(RIGHT($A1606,2))&gt;60),$A1606&amp;"01 1",$A1606),IF(AND(LEN($A1606)=4,VALUE(RIGHT($A1606,2))&lt;60),GUS_tabl_2!$A$8:$B$464,GUS_tabl_21!$A$5:$B$4886),2,FALSE)))),TRIM(VLOOKUP(IF(AND(LEN($A1606)=4,VALUE(RIGHT($A1606,2))&gt;60),$A1606&amp;"01 1",$A1606),IF(AND(LEN($A1606)=4,VALUE(RIGHT($A1606,2))&lt;60),GUS_tabl_2!$A$8:$B$464,GUS_tabl_21!$A$5:$B$4886),2,FALSE)),LEFT(TRIM(VLOOKUP(IF(AND(LEN($A1606)=4,VALUE(RIGHT($A1606,2))&gt;60),$A1606&amp;"01 1",$A1606),IF(AND(LEN($A1606)=4,VALUE(RIGHT($A1606,2))&lt;60),GUS_tabl_2!$A$8:$B$464,GUS_tabl_21!$A$5:$B$4886),2,FALSE)),SUM(FIND("..",TRIM(VLOOKUP(IF(AND(LEN($A1606)=4,VALUE(RIGHT($A1606,2))&gt;60),$A1606&amp;"01 1",$A1606),IF(AND(LEN($A1606)=4,VALUE(RIGHT($A1606,2))&lt;60),GUS_tabl_2!$A$8:$B$464,GUS_tabl_21!$A$5:$B$4886),2,FALSE))),-1)))))</f>
        <v>gm. m.-w. Zawadzkie</v>
      </c>
      <c r="D1606" s="141">
        <f>IF(OR($A1606="",ISERROR(VALUE(LEFT($A1606,6)))),"",IF(LEN($A1606)=2,SUMIF($A1607:$A$2965,$A1606&amp;"??",$D1607:$D$2965),IF(AND(LEN($A1606)=4,VALUE(RIGHT($A1606,2))&lt;=60),SUMIF($A1607:$A$2965,$A1606&amp;"????",$D1607:$D$2965),VLOOKUP(IF(LEN($A1606)=4,$A1606&amp;"01 1",$A1606),GUS_tabl_21!$A$5:$F$4886,6,FALSE))))</f>
        <v>11304</v>
      </c>
      <c r="E1606" s="29"/>
    </row>
    <row r="1607" spans="1:5" ht="12" customHeight="1">
      <c r="A1607" s="152"/>
      <c r="B1607" s="153" t="s">
        <v>74</v>
      </c>
      <c r="C1607" s="154" t="s">
        <v>14</v>
      </c>
      <c r="D1607" s="141" t="str">
        <f>IF(OR($A1607="",ISERROR(VALUE(LEFT($A1607,6)))),"",IF(LEN($A1607)=2,SUMIF($A1608:$A$2965,$A1607&amp;"??",$D1608:$D$2965),IF(AND(LEN($A1607)=4,VALUE(RIGHT($A1607,2))&lt;=60),SUMIF($A1608:$A$2965,$A1607&amp;"????",$D1608:$D$2965),VLOOKUP(IF(LEN($A1607)=4,$A1607&amp;"01 1",$A1607),GUS_tabl_21!$A$5:$F$4886,6,FALSE))))</f>
        <v/>
      </c>
      <c r="E1607" s="29"/>
    </row>
    <row r="1608" spans="1:5" ht="12" customHeight="1">
      <c r="A1608" s="152"/>
      <c r="B1608" s="153" t="s">
        <v>74</v>
      </c>
      <c r="C1608" s="162" t="s">
        <v>15</v>
      </c>
      <c r="D1608" s="141" t="str">
        <f>IF(OR($A1608="",ISERROR(VALUE(LEFT($A1608,6)))),"",IF(LEN($A1608)=2,SUMIF($A1609:$A$2965,$A1608&amp;"??",$D1609:$D$2965),IF(AND(LEN($A1608)=4,VALUE(RIGHT($A1608,2))&lt;=60),SUMIF($A1609:$A$2965,$A1608&amp;"????",$D1609:$D$2965),VLOOKUP(IF(LEN($A1608)=4,$A1608&amp;"01 1",$A1608),GUS_tabl_21!$A$5:$F$4886,6,FALSE))))</f>
        <v/>
      </c>
      <c r="E1608" s="29"/>
    </row>
    <row r="1609" spans="1:5" ht="12" customHeight="1">
      <c r="A1609" s="152" t="str">
        <f>"1661"</f>
        <v>1661</v>
      </c>
      <c r="B1609" s="153" t="s">
        <v>74</v>
      </c>
      <c r="C1609" s="154" t="str">
        <f>IF(OR($A1609="",ISERROR(VALUE(LEFT($A1609,6)))),"",IF(LEN($A1609)=2,"WOJ. ",IF(LEN($A1609)=4,IF(VALUE(RIGHT($A1609,2))&gt;60,"","Powiat "),IF(VALUE(RIGHT($A1609,1))=1,"m. ",IF(VALUE(RIGHT($A1609,1))=2,"gm. w. ",IF(VALUE(RIGHT($A1609,1))=8,"dz. ","gm. m.-w. ")))))&amp;IF(LEN($A1609)=2,TRIM(UPPER(VLOOKUP($A1609,GUS_tabl_1!$A$7:$B$22,2,FALSE))),IF(ISERROR(FIND("..",TRIM(VLOOKUP(IF(AND(LEN($A1609)=4,VALUE(RIGHT($A1609,2))&gt;60),$A1609&amp;"01 1",$A1609),IF(AND(LEN($A1609)=4,VALUE(RIGHT($A1609,2))&lt;60),GUS_tabl_2!$A$8:$B$464,GUS_tabl_21!$A$5:$B$4886),2,FALSE)))),TRIM(VLOOKUP(IF(AND(LEN($A1609)=4,VALUE(RIGHT($A1609,2))&gt;60),$A1609&amp;"01 1",$A1609),IF(AND(LEN($A1609)=4,VALUE(RIGHT($A1609,2))&lt;60),GUS_tabl_2!$A$8:$B$464,GUS_tabl_21!$A$5:$B$4886),2,FALSE)),LEFT(TRIM(VLOOKUP(IF(AND(LEN($A1609)=4,VALUE(RIGHT($A1609,2))&gt;60),$A1609&amp;"01 1",$A1609),IF(AND(LEN($A1609)=4,VALUE(RIGHT($A1609,2))&lt;60),GUS_tabl_2!$A$8:$B$464,GUS_tabl_21!$A$5:$B$4886),2,FALSE)),SUM(FIND("..",TRIM(VLOOKUP(IF(AND(LEN($A1609)=4,VALUE(RIGHT($A1609,2))&gt;60),$A1609&amp;"01 1",$A1609),IF(AND(LEN($A1609)=4,VALUE(RIGHT($A1609,2))&lt;60),GUS_tabl_2!$A$8:$B$464,GUS_tabl_21!$A$5:$B$4886),2,FALSE))),-1)))))</f>
        <v>Opole</v>
      </c>
      <c r="D1609" s="140">
        <f>IF(OR($A1609="",ISERROR(VALUE(LEFT($A1609,6)))),"",IF(LEN($A1609)=2,SUMIF($A1610:$A$2965,$A1609&amp;"??",$D1610:$D$2965),IF(AND(LEN($A1609)=4,VALUE(RIGHT($A1609,2))&lt;=60),SUMIF($A1610:$A$2965,$A1609&amp;"????",$D1610:$D$2965),VLOOKUP(IF(LEN($A1609)=4,$A1609&amp;"01 1",$A1609),GUS_tabl_21!$A$5:$F$4886,6,FALSE))))</f>
        <v>128035</v>
      </c>
      <c r="E1609" s="29"/>
    </row>
    <row r="1610" spans="1:5" ht="12" customHeight="1" thickBot="1">
      <c r="B1610" s="153"/>
      <c r="C1610" s="156"/>
      <c r="D1610" s="64"/>
      <c r="E1610" s="29"/>
    </row>
    <row r="1611" spans="1:5" ht="27.75" customHeight="1" thickTop="1">
      <c r="A1611" s="241" t="s">
        <v>97</v>
      </c>
      <c r="B1611" s="247" t="s">
        <v>60</v>
      </c>
      <c r="C1611" s="243" t="s">
        <v>7311</v>
      </c>
      <c r="D1611" s="257" t="s">
        <v>7</v>
      </c>
    </row>
    <row r="1612" spans="1:5" ht="25.5" customHeight="1" thickBot="1">
      <c r="A1612" s="242"/>
      <c r="B1612" s="254"/>
      <c r="C1612" s="244"/>
      <c r="D1612" s="258"/>
    </row>
    <row r="1613" spans="1:5" ht="12" customHeight="1" thickTop="1">
      <c r="A1613" s="158"/>
      <c r="B1613" s="153"/>
      <c r="C1613" s="154" t="str">
        <f>IF(OR($A1613="",ISERROR(VALUE(LEFT($A1613,6)))),"",IF(LEN($A1613)=2,"WOJ. ",IF(LEN($A1613)=4,IF(VALUE(RIGHT($A1613,2))&gt;60,"","Powiat "),IF(VALUE(RIGHT($A1613,1))=1,"m. ",IF(VALUE(RIGHT($A1613,1))=2,"gm. w. ",IF(VALUE(RIGHT($A1613,1))=8,"dz. ","gm. m.-w. ")))))&amp;IF(LEN($A1613)=2,TRIM(UPPER(VLOOKUP($A1613,GUS_tabl_1!$A$7:$B$22,2,FALSE))),IF(ISERROR(FIND("..",TRIM(VLOOKUP(IF(AND(LEN($A1613)=4,VALUE(RIGHT($A1613,2))&gt;60),$A1613&amp;"01 1",$A1613),IF(AND(LEN($A1613)=4,VALUE(RIGHT($A1613,2))&lt;60),GUS_tabl_2!$A$8:$B$464,GUS_tabl_21!$A$5:$B$4886),2,FALSE)))),TRIM(VLOOKUP(IF(AND(LEN($A1613)=4,VALUE(RIGHT($A1613,2))&gt;60),$A1613&amp;"01 1",$A1613),IF(AND(LEN($A1613)=4,VALUE(RIGHT($A1613,2))&lt;60),GUS_tabl_2!$A$8:$B$464,GUS_tabl_21!$A$5:$B$4886),2,FALSE)),LEFT(TRIM(VLOOKUP(IF(AND(LEN($A1613)=4,VALUE(RIGHT($A1613,2))&gt;60),$A1613&amp;"01 1",$A1613),IF(AND(LEN($A1613)=4,VALUE(RIGHT($A1613,2))&lt;60),GUS_tabl_2!$A$8:$B$464,GUS_tabl_21!$A$5:$B$4886),2,FALSE)),SUM(FIND("..",TRIM(VLOOKUP(IF(AND(LEN($A1613)=4,VALUE(RIGHT($A1613,2))&gt;60),$A1613&amp;"01 1",$A1613),IF(AND(LEN($A1613)=4,VALUE(RIGHT($A1613,2))&lt;60),GUS_tabl_2!$A$8:$B$464,GUS_tabl_21!$A$5:$B$4886),2,FALSE))),-1)))))</f>
        <v/>
      </c>
      <c r="D1613" s="140" t="str">
        <f>IF(OR($A1613="",ISERROR(VALUE(LEFT($A1613,6)))),"",IF(LEN($A1613)=2,SUMIF($A1614:$A$2965,$A1613&amp;"??",$D1614:$D$2965),IF(AND(LEN($A1613)=4,VALUE(RIGHT($A1613,2))&lt;=60),SUMIF($A1614:$A$2965,$A1613&amp;"????",$D1614:$D$2965),VLOOKUP(IF(LEN($A1613)=4,$A1613&amp;"01 1",$A1613),GUS_tabl_21!$A$5:$F$4886,6,FALSE))))</f>
        <v/>
      </c>
      <c r="E1613" s="29"/>
    </row>
    <row r="1614" spans="1:5" ht="12" customHeight="1">
      <c r="A1614" s="152" t="str">
        <f>"18"</f>
        <v>18</v>
      </c>
      <c r="B1614" s="153" t="s">
        <v>76</v>
      </c>
      <c r="C1614" s="154" t="str">
        <f>IF(OR($A1614="",ISERROR(VALUE(LEFT($A1614,6)))),"",IF(LEN($A1614)=2,"WOJ. ",IF(LEN($A1614)=4,IF(VALUE(RIGHT($A1614,2))&gt;60,"","Powiat "),IF(VALUE(RIGHT($A1614,1))=1,"m. ",IF(VALUE(RIGHT($A1614,1))=2,"gm. w. ",IF(VALUE(RIGHT($A1614,1))=8,"dz. ","gm. m.-w. ")))))&amp;IF(LEN($A1614)=2,TRIM(UPPER(VLOOKUP($A1614,GUS_tabl_1!$A$7:$B$22,2,FALSE))),IF(ISERROR(FIND("..",TRIM(VLOOKUP(IF(AND(LEN($A1614)=4,VALUE(RIGHT($A1614,2))&gt;60),$A1614&amp;"01 1",$A1614),IF(AND(LEN($A1614)=4,VALUE(RIGHT($A1614,2))&lt;60),GUS_tabl_2!$A$8:$B$464,GUS_tabl_21!$A$5:$B$4886),2,FALSE)))),TRIM(VLOOKUP(IF(AND(LEN($A1614)=4,VALUE(RIGHT($A1614,2))&gt;60),$A1614&amp;"01 1",$A1614),IF(AND(LEN($A1614)=4,VALUE(RIGHT($A1614,2))&lt;60),GUS_tabl_2!$A$8:$B$464,GUS_tabl_21!$A$5:$B$4886),2,FALSE)),LEFT(TRIM(VLOOKUP(IF(AND(LEN($A1614)=4,VALUE(RIGHT($A1614,2))&gt;60),$A1614&amp;"01 1",$A1614),IF(AND(LEN($A1614)=4,VALUE(RIGHT($A1614,2))&lt;60),GUS_tabl_2!$A$8:$B$464,GUS_tabl_21!$A$5:$B$4886),2,FALSE)),SUM(FIND("..",TRIM(VLOOKUP(IF(AND(LEN($A1614)=4,VALUE(RIGHT($A1614,2))&gt;60),$A1614&amp;"01 1",$A1614),IF(AND(LEN($A1614)=4,VALUE(RIGHT($A1614,2))&lt;60),GUS_tabl_2!$A$8:$B$464,GUS_tabl_21!$A$5:$B$4886),2,FALSE))),-1)))))</f>
        <v>WOJ. PODKARPACKIE</v>
      </c>
      <c r="D1614" s="140">
        <f>IF(OR($A1614="",ISERROR(VALUE(LEFT($A1614,6)))),"",IF(LEN($A1614)=2,SUMIF($A1615:$A$2965,$A1614&amp;"??",$D1615:$D$2965),IF(AND(LEN($A1614)=4,VALUE(RIGHT($A1614,2))&lt;=60),SUMIF($A1615:$A$2965,$A1614&amp;"????",$D1615:$D$2965),VLOOKUP(IF(LEN($A1614)=4,$A1614&amp;"01 1",$A1614),GUS_tabl_21!$A$5:$F$4886,6,FALSE))))</f>
        <v>2127164</v>
      </c>
      <c r="E1614" s="29"/>
    </row>
    <row r="1615" spans="1:5" ht="12" customHeight="1">
      <c r="A1615" s="152"/>
      <c r="B1615" s="153" t="s">
        <v>76</v>
      </c>
      <c r="C1615" s="156" t="str">
        <f>IF(OR($A1615="",ISERROR(VALUE(LEFT($A1615,6)))),"",IF(LEN($A1615)=2,"WOJ. ",IF(LEN($A1615)=4,IF(VALUE(RIGHT($A1615,2))&gt;60,"","Powiat "),IF(VALUE(RIGHT($A1615,1))=1,"m. ",IF(VALUE(RIGHT($A1615,1))=2,"gm. w. ",IF(VALUE(RIGHT($A1615,1))=8,"dz. ","gm. m.-w. ")))))&amp;IF(LEN($A1615)=2,TRIM(UPPER(VLOOKUP($A1615,GUS_tabl_1!$A$7:$B$22,2,FALSE))),IF(ISERROR(FIND("..",TRIM(VLOOKUP(IF(AND(LEN($A1615)=4,VALUE(RIGHT($A1615,2))&gt;60),$A1615&amp;"01 1",$A1615),IF(AND(LEN($A1615)=4,VALUE(RIGHT($A1615,2))&lt;60),GUS_tabl_2!$A$8:$B$464,GUS_tabl_21!$A$5:$B$4886),2,FALSE)))),TRIM(VLOOKUP(IF(AND(LEN($A1615)=4,VALUE(RIGHT($A1615,2))&gt;60),$A1615&amp;"01 1",$A1615),IF(AND(LEN($A1615)=4,VALUE(RIGHT($A1615,2))&lt;60),GUS_tabl_2!$A$8:$B$464,GUS_tabl_21!$A$5:$B$4886),2,FALSE)),LEFT(TRIM(VLOOKUP(IF(AND(LEN($A1615)=4,VALUE(RIGHT($A1615,2))&gt;60),$A1615&amp;"01 1",$A1615),IF(AND(LEN($A1615)=4,VALUE(RIGHT($A1615,2))&lt;60),GUS_tabl_2!$A$8:$B$464,GUS_tabl_21!$A$5:$B$4886),2,FALSE)),SUM(FIND("..",TRIM(VLOOKUP(IF(AND(LEN($A1615)=4,VALUE(RIGHT($A1615,2))&gt;60),$A1615&amp;"01 1",$A1615),IF(AND(LEN($A1615)=4,VALUE(RIGHT($A1615,2))&lt;60),GUS_tabl_2!$A$8:$B$464,GUS_tabl_21!$A$5:$B$4886),2,FALSE))),-1)))))</f>
        <v/>
      </c>
      <c r="D1615" s="140" t="str">
        <f>IF(OR($A1615="",ISERROR(VALUE(LEFT($A1615,6)))),"",IF(LEN($A1615)=2,SUMIF($A1616:$A$2965,$A1615&amp;"??",$D1616:$D$2965),IF(AND(LEN($A1615)=4,VALUE(RIGHT($A1615,2))&lt;=60),SUMIF($A1616:$A$2965,$A1615&amp;"????",$D1616:$D$2965),VLOOKUP(IF(LEN($A1615)=4,$A1615&amp;"01 1",$A1615),GUS_tabl_21!$A$5:$F$4886,6,FALSE))))</f>
        <v/>
      </c>
      <c r="E1615" s="29"/>
    </row>
    <row r="1616" spans="1:5" ht="12" customHeight="1">
      <c r="A1616" s="152" t="str">
        <f>"1801"</f>
        <v>1801</v>
      </c>
      <c r="B1616" s="153" t="s">
        <v>76</v>
      </c>
      <c r="C1616" s="154" t="str">
        <f>IF(OR($A1616="",ISERROR(VALUE(LEFT($A1616,6)))),"",IF(LEN($A1616)=2,"WOJ. ",IF(LEN($A1616)=4,IF(VALUE(RIGHT($A1616,2))&gt;60,"","Powiat "),IF(VALUE(RIGHT($A1616,1))=1,"m. ",IF(VALUE(RIGHT($A1616,1))=2,"gm. w. ",IF(VALUE(RIGHT($A1616,1))=8,"dz. ","gm. m.-w. ")))))&amp;IF(LEN($A1616)=2,TRIM(UPPER(VLOOKUP($A1616,GUS_tabl_1!$A$7:$B$22,2,FALSE))),IF(ISERROR(FIND("..",TRIM(VLOOKUP(IF(AND(LEN($A1616)=4,VALUE(RIGHT($A1616,2))&gt;60),$A1616&amp;"01 1",$A1616),IF(AND(LEN($A1616)=4,VALUE(RIGHT($A1616,2))&lt;60),GUS_tabl_2!$A$8:$B$464,GUS_tabl_21!$A$5:$B$4886),2,FALSE)))),TRIM(VLOOKUP(IF(AND(LEN($A1616)=4,VALUE(RIGHT($A1616,2))&gt;60),$A1616&amp;"01 1",$A1616),IF(AND(LEN($A1616)=4,VALUE(RIGHT($A1616,2))&lt;60),GUS_tabl_2!$A$8:$B$464,GUS_tabl_21!$A$5:$B$4886),2,FALSE)),LEFT(TRIM(VLOOKUP(IF(AND(LEN($A1616)=4,VALUE(RIGHT($A1616,2))&gt;60),$A1616&amp;"01 1",$A1616),IF(AND(LEN($A1616)=4,VALUE(RIGHT($A1616,2))&lt;60),GUS_tabl_2!$A$8:$B$464,GUS_tabl_21!$A$5:$B$4886),2,FALSE)),SUM(FIND("..",TRIM(VLOOKUP(IF(AND(LEN($A1616)=4,VALUE(RIGHT($A1616,2))&gt;60),$A1616&amp;"01 1",$A1616),IF(AND(LEN($A1616)=4,VALUE(RIGHT($A1616,2))&lt;60),GUS_tabl_2!$A$8:$B$464,GUS_tabl_21!$A$5:$B$4886),2,FALSE))),-1)))))</f>
        <v>Powiat bieszczadzki</v>
      </c>
      <c r="D1616" s="140">
        <f>IF(OR($A1616="",ISERROR(VALUE(LEFT($A1616,6)))),"",IF(LEN($A1616)=2,SUMIF($A1617:$A$2965,$A1616&amp;"??",$D1617:$D$2965),IF(AND(LEN($A1616)=4,VALUE(RIGHT($A1616,2))&lt;=60),SUMIF($A1617:$A$2965,$A1616&amp;"????",$D1617:$D$2965),VLOOKUP(IF(LEN($A1616)=4,$A1616&amp;"01 1",$A1616),GUS_tabl_21!$A$5:$F$4886,6,FALSE))))</f>
        <v>21664</v>
      </c>
      <c r="E1616" s="29"/>
    </row>
    <row r="1617" spans="1:5" ht="12" customHeight="1">
      <c r="A1617" s="155" t="str">
        <f>"180103 2"</f>
        <v>180103 2</v>
      </c>
      <c r="B1617" s="153" t="s">
        <v>76</v>
      </c>
      <c r="C1617" s="156" t="str">
        <f>IF(OR($A1617="",ISERROR(VALUE(LEFT($A1617,6)))),"",IF(LEN($A1617)=2,"WOJ. ",IF(LEN($A1617)=4,IF(VALUE(RIGHT($A1617,2))&gt;60,"","Powiat "),IF(VALUE(RIGHT($A1617,1))=1,"m. ",IF(VALUE(RIGHT($A1617,1))=2,"gm. w. ",IF(VALUE(RIGHT($A1617,1))=8,"dz. ","gm. m.-w. ")))))&amp;IF(LEN($A1617)=2,TRIM(UPPER(VLOOKUP($A1617,GUS_tabl_1!$A$7:$B$22,2,FALSE))),IF(ISERROR(FIND("..",TRIM(VLOOKUP(IF(AND(LEN($A1617)=4,VALUE(RIGHT($A1617,2))&gt;60),$A1617&amp;"01 1",$A1617),IF(AND(LEN($A1617)=4,VALUE(RIGHT($A1617,2))&lt;60),GUS_tabl_2!$A$8:$B$464,GUS_tabl_21!$A$5:$B$4886),2,FALSE)))),TRIM(VLOOKUP(IF(AND(LEN($A1617)=4,VALUE(RIGHT($A1617,2))&gt;60),$A1617&amp;"01 1",$A1617),IF(AND(LEN($A1617)=4,VALUE(RIGHT($A1617,2))&lt;60),GUS_tabl_2!$A$8:$B$464,GUS_tabl_21!$A$5:$B$4886),2,FALSE)),LEFT(TRIM(VLOOKUP(IF(AND(LEN($A1617)=4,VALUE(RIGHT($A1617,2))&gt;60),$A1617&amp;"01 1",$A1617),IF(AND(LEN($A1617)=4,VALUE(RIGHT($A1617,2))&lt;60),GUS_tabl_2!$A$8:$B$464,GUS_tabl_21!$A$5:$B$4886),2,FALSE)),SUM(FIND("..",TRIM(VLOOKUP(IF(AND(LEN($A1617)=4,VALUE(RIGHT($A1617,2))&gt;60),$A1617&amp;"01 1",$A1617),IF(AND(LEN($A1617)=4,VALUE(RIGHT($A1617,2))&lt;60),GUS_tabl_2!$A$8:$B$464,GUS_tabl_21!$A$5:$B$4886),2,FALSE))),-1)))))</f>
        <v>gm. w. Czarna</v>
      </c>
      <c r="D1617" s="141">
        <f>IF(OR($A1617="",ISERROR(VALUE(LEFT($A1617,6)))),"",IF(LEN($A1617)=2,SUMIF($A1618:$A$2965,$A1617&amp;"??",$D1618:$D$2965),IF(AND(LEN($A1617)=4,VALUE(RIGHT($A1617,2))&lt;=60),SUMIF($A1618:$A$2965,$A1617&amp;"????",$D1618:$D$2965),VLOOKUP(IF(LEN($A1617)=4,$A1617&amp;"01 1",$A1617),GUS_tabl_21!$A$5:$F$4886,6,FALSE))))</f>
        <v>2389</v>
      </c>
      <c r="E1617" s="29"/>
    </row>
    <row r="1618" spans="1:5" ht="12" customHeight="1">
      <c r="A1618" s="155" t="str">
        <f>"180105 2"</f>
        <v>180105 2</v>
      </c>
      <c r="B1618" s="153" t="s">
        <v>76</v>
      </c>
      <c r="C1618" s="156" t="str">
        <f>IF(OR($A1618="",ISERROR(VALUE(LEFT($A1618,6)))),"",IF(LEN($A1618)=2,"WOJ. ",IF(LEN($A1618)=4,IF(VALUE(RIGHT($A1618,2))&gt;60,"","Powiat "),IF(VALUE(RIGHT($A1618,1))=1,"m. ",IF(VALUE(RIGHT($A1618,1))=2,"gm. w. ",IF(VALUE(RIGHT($A1618,1))=8,"dz. ","gm. m.-w. ")))))&amp;IF(LEN($A1618)=2,TRIM(UPPER(VLOOKUP($A1618,GUS_tabl_1!$A$7:$B$22,2,FALSE))),IF(ISERROR(FIND("..",TRIM(VLOOKUP(IF(AND(LEN($A1618)=4,VALUE(RIGHT($A1618,2))&gt;60),$A1618&amp;"01 1",$A1618),IF(AND(LEN($A1618)=4,VALUE(RIGHT($A1618,2))&lt;60),GUS_tabl_2!$A$8:$B$464,GUS_tabl_21!$A$5:$B$4886),2,FALSE)))),TRIM(VLOOKUP(IF(AND(LEN($A1618)=4,VALUE(RIGHT($A1618,2))&gt;60),$A1618&amp;"01 1",$A1618),IF(AND(LEN($A1618)=4,VALUE(RIGHT($A1618,2))&lt;60),GUS_tabl_2!$A$8:$B$464,GUS_tabl_21!$A$5:$B$4886),2,FALSE)),LEFT(TRIM(VLOOKUP(IF(AND(LEN($A1618)=4,VALUE(RIGHT($A1618,2))&gt;60),$A1618&amp;"01 1",$A1618),IF(AND(LEN($A1618)=4,VALUE(RIGHT($A1618,2))&lt;60),GUS_tabl_2!$A$8:$B$464,GUS_tabl_21!$A$5:$B$4886),2,FALSE)),SUM(FIND("..",TRIM(VLOOKUP(IF(AND(LEN($A1618)=4,VALUE(RIGHT($A1618,2))&gt;60),$A1618&amp;"01 1",$A1618),IF(AND(LEN($A1618)=4,VALUE(RIGHT($A1618,2))&lt;60),GUS_tabl_2!$A$8:$B$464,GUS_tabl_21!$A$5:$B$4886),2,FALSE))),-1)))))</f>
        <v>gm. w. Lutowiska</v>
      </c>
      <c r="D1618" s="141">
        <f>IF(OR($A1618="",ISERROR(VALUE(LEFT($A1618,6)))),"",IF(LEN($A1618)=2,SUMIF($A1619:$A$2965,$A1618&amp;"??",$D1619:$D$2965),IF(AND(LEN($A1618)=4,VALUE(RIGHT($A1618,2))&lt;=60),SUMIF($A1619:$A$2965,$A1618&amp;"????",$D1619:$D$2965),VLOOKUP(IF(LEN($A1618)=4,$A1618&amp;"01 1",$A1618),GUS_tabl_21!$A$5:$F$4886,6,FALSE))))</f>
        <v>2060</v>
      </c>
      <c r="E1618" s="29"/>
    </row>
    <row r="1619" spans="1:5" ht="12" customHeight="1">
      <c r="A1619" s="155" t="str">
        <f>"180108 3"</f>
        <v>180108 3</v>
      </c>
      <c r="B1619" s="153" t="s">
        <v>76</v>
      </c>
      <c r="C1619" s="156" t="str">
        <f>IF(OR($A1619="",ISERROR(VALUE(LEFT($A1619,6)))),"",IF(LEN($A1619)=2,"WOJ. ",IF(LEN($A1619)=4,IF(VALUE(RIGHT($A1619,2))&gt;60,"","Powiat "),IF(VALUE(RIGHT($A1619,1))=1,"m. ",IF(VALUE(RIGHT($A1619,1))=2,"gm. w. ",IF(VALUE(RIGHT($A1619,1))=8,"dz. ","gm. m.-w. ")))))&amp;IF(LEN($A1619)=2,TRIM(UPPER(VLOOKUP($A1619,GUS_tabl_1!$A$7:$B$22,2,FALSE))),IF(ISERROR(FIND("..",TRIM(VLOOKUP(IF(AND(LEN($A1619)=4,VALUE(RIGHT($A1619,2))&gt;60),$A1619&amp;"01 1",$A1619),IF(AND(LEN($A1619)=4,VALUE(RIGHT($A1619,2))&lt;60),GUS_tabl_2!$A$8:$B$464,GUS_tabl_21!$A$5:$B$4886),2,FALSE)))),TRIM(VLOOKUP(IF(AND(LEN($A1619)=4,VALUE(RIGHT($A1619,2))&gt;60),$A1619&amp;"01 1",$A1619),IF(AND(LEN($A1619)=4,VALUE(RIGHT($A1619,2))&lt;60),GUS_tabl_2!$A$8:$B$464,GUS_tabl_21!$A$5:$B$4886),2,FALSE)),LEFT(TRIM(VLOOKUP(IF(AND(LEN($A1619)=4,VALUE(RIGHT($A1619,2))&gt;60),$A1619&amp;"01 1",$A1619),IF(AND(LEN($A1619)=4,VALUE(RIGHT($A1619,2))&lt;60),GUS_tabl_2!$A$8:$B$464,GUS_tabl_21!$A$5:$B$4886),2,FALSE)),SUM(FIND("..",TRIM(VLOOKUP(IF(AND(LEN($A1619)=4,VALUE(RIGHT($A1619,2))&gt;60),$A1619&amp;"01 1",$A1619),IF(AND(LEN($A1619)=4,VALUE(RIGHT($A1619,2))&lt;60),GUS_tabl_2!$A$8:$B$464,GUS_tabl_21!$A$5:$B$4886),2,FALSE))),-1)))))</f>
        <v>gm. m.-w. Ustrzyki Dolne</v>
      </c>
      <c r="D1619" s="141">
        <f>IF(OR($A1619="",ISERROR(VALUE(LEFT($A1619,6)))),"",IF(LEN($A1619)=2,SUMIF($A1620:$A$2965,$A1619&amp;"??",$D1620:$D$2965),IF(AND(LEN($A1619)=4,VALUE(RIGHT($A1619,2))&lt;=60),SUMIF($A1620:$A$2965,$A1619&amp;"????",$D1620:$D$2965),VLOOKUP(IF(LEN($A1619)=4,$A1619&amp;"01 1",$A1619),GUS_tabl_21!$A$5:$F$4886,6,FALSE))))</f>
        <v>17215</v>
      </c>
      <c r="E1619" s="29"/>
    </row>
    <row r="1620" spans="1:5" ht="12" customHeight="1">
      <c r="A1620" s="152" t="str">
        <f>"1802"</f>
        <v>1802</v>
      </c>
      <c r="B1620" s="153" t="s">
        <v>76</v>
      </c>
      <c r="C1620" s="154" t="str">
        <f>IF(OR($A1620="",ISERROR(VALUE(LEFT($A1620,6)))),"",IF(LEN($A1620)=2,"WOJ. ",IF(LEN($A1620)=4,IF(VALUE(RIGHT($A1620,2))&gt;60,"","Powiat "),IF(VALUE(RIGHT($A1620,1))=1,"m. ",IF(VALUE(RIGHT($A1620,1))=2,"gm. w. ",IF(VALUE(RIGHT($A1620,1))=8,"dz. ","gm. m.-w. ")))))&amp;IF(LEN($A1620)=2,TRIM(UPPER(VLOOKUP($A1620,GUS_tabl_1!$A$7:$B$22,2,FALSE))),IF(ISERROR(FIND("..",TRIM(VLOOKUP(IF(AND(LEN($A1620)=4,VALUE(RIGHT($A1620,2))&gt;60),$A1620&amp;"01 1",$A1620),IF(AND(LEN($A1620)=4,VALUE(RIGHT($A1620,2))&lt;60),GUS_tabl_2!$A$8:$B$464,GUS_tabl_21!$A$5:$B$4886),2,FALSE)))),TRIM(VLOOKUP(IF(AND(LEN($A1620)=4,VALUE(RIGHT($A1620,2))&gt;60),$A1620&amp;"01 1",$A1620),IF(AND(LEN($A1620)=4,VALUE(RIGHT($A1620,2))&lt;60),GUS_tabl_2!$A$8:$B$464,GUS_tabl_21!$A$5:$B$4886),2,FALSE)),LEFT(TRIM(VLOOKUP(IF(AND(LEN($A1620)=4,VALUE(RIGHT($A1620,2))&gt;60),$A1620&amp;"01 1",$A1620),IF(AND(LEN($A1620)=4,VALUE(RIGHT($A1620,2))&lt;60),GUS_tabl_2!$A$8:$B$464,GUS_tabl_21!$A$5:$B$4886),2,FALSE)),SUM(FIND("..",TRIM(VLOOKUP(IF(AND(LEN($A1620)=4,VALUE(RIGHT($A1620,2))&gt;60),$A1620&amp;"01 1",$A1620),IF(AND(LEN($A1620)=4,VALUE(RIGHT($A1620,2))&lt;60),GUS_tabl_2!$A$8:$B$464,GUS_tabl_21!$A$5:$B$4886),2,FALSE))),-1)))))</f>
        <v>Powiat brzozowski</v>
      </c>
      <c r="D1620" s="140">
        <f>IF(OR($A1620="",ISERROR(VALUE(LEFT($A1620,6)))),"",IF(LEN($A1620)=2,SUMIF($A1621:$A$2965,$A1620&amp;"??",$D1621:$D$2965),IF(AND(LEN($A1620)=4,VALUE(RIGHT($A1620,2))&lt;=60),SUMIF($A1621:$A$2965,$A1620&amp;"????",$D1621:$D$2965),VLOOKUP(IF(LEN($A1620)=4,$A1620&amp;"01 1",$A1620),GUS_tabl_21!$A$5:$F$4886,6,FALSE))))</f>
        <v>65567</v>
      </c>
      <c r="E1620" s="29"/>
    </row>
    <row r="1621" spans="1:5" ht="12" customHeight="1">
      <c r="A1621" s="155" t="str">
        <f>"180201 3"</f>
        <v>180201 3</v>
      </c>
      <c r="B1621" s="153" t="s">
        <v>76</v>
      </c>
      <c r="C1621" s="156" t="str">
        <f>IF(OR($A1621="",ISERROR(VALUE(LEFT($A1621,6)))),"",IF(LEN($A1621)=2,"WOJ. ",IF(LEN($A1621)=4,IF(VALUE(RIGHT($A1621,2))&gt;60,"","Powiat "),IF(VALUE(RIGHT($A1621,1))=1,"m. ",IF(VALUE(RIGHT($A1621,1))=2,"gm. w. ",IF(VALUE(RIGHT($A1621,1))=8,"dz. ","gm. m.-w. ")))))&amp;IF(LEN($A1621)=2,TRIM(UPPER(VLOOKUP($A1621,GUS_tabl_1!$A$7:$B$22,2,FALSE))),IF(ISERROR(FIND("..",TRIM(VLOOKUP(IF(AND(LEN($A1621)=4,VALUE(RIGHT($A1621,2))&gt;60),$A1621&amp;"01 1",$A1621),IF(AND(LEN($A1621)=4,VALUE(RIGHT($A1621,2))&lt;60),GUS_tabl_2!$A$8:$B$464,GUS_tabl_21!$A$5:$B$4886),2,FALSE)))),TRIM(VLOOKUP(IF(AND(LEN($A1621)=4,VALUE(RIGHT($A1621,2))&gt;60),$A1621&amp;"01 1",$A1621),IF(AND(LEN($A1621)=4,VALUE(RIGHT($A1621,2))&lt;60),GUS_tabl_2!$A$8:$B$464,GUS_tabl_21!$A$5:$B$4886),2,FALSE)),LEFT(TRIM(VLOOKUP(IF(AND(LEN($A1621)=4,VALUE(RIGHT($A1621,2))&gt;60),$A1621&amp;"01 1",$A1621),IF(AND(LEN($A1621)=4,VALUE(RIGHT($A1621,2))&lt;60),GUS_tabl_2!$A$8:$B$464,GUS_tabl_21!$A$5:$B$4886),2,FALSE)),SUM(FIND("..",TRIM(VLOOKUP(IF(AND(LEN($A1621)=4,VALUE(RIGHT($A1621,2))&gt;60),$A1621&amp;"01 1",$A1621),IF(AND(LEN($A1621)=4,VALUE(RIGHT($A1621,2))&lt;60),GUS_tabl_2!$A$8:$B$464,GUS_tabl_21!$A$5:$B$4886),2,FALSE))),-1)))))</f>
        <v>gm. m.-w. Brzozów</v>
      </c>
      <c r="D1621" s="141">
        <f>IF(OR($A1621="",ISERROR(VALUE(LEFT($A1621,6)))),"",IF(LEN($A1621)=2,SUMIF($A1622:$A$2965,$A1621&amp;"??",$D1622:$D$2965),IF(AND(LEN($A1621)=4,VALUE(RIGHT($A1621,2))&lt;=60),SUMIF($A1622:$A$2965,$A1621&amp;"????",$D1622:$D$2965),VLOOKUP(IF(LEN($A1621)=4,$A1621&amp;"01 1",$A1621),GUS_tabl_21!$A$5:$F$4886,6,FALSE))))</f>
        <v>26599</v>
      </c>
      <c r="E1621" s="29"/>
    </row>
    <row r="1622" spans="1:5" ht="12" customHeight="1">
      <c r="A1622" s="155" t="str">
        <f>"180202 2"</f>
        <v>180202 2</v>
      </c>
      <c r="B1622" s="153" t="s">
        <v>76</v>
      </c>
      <c r="C1622" s="156" t="str">
        <f>IF(OR($A1622="",ISERROR(VALUE(LEFT($A1622,6)))),"",IF(LEN($A1622)=2,"WOJ. ",IF(LEN($A1622)=4,IF(VALUE(RIGHT($A1622,2))&gt;60,"","Powiat "),IF(VALUE(RIGHT($A1622,1))=1,"m. ",IF(VALUE(RIGHT($A1622,1))=2,"gm. w. ",IF(VALUE(RIGHT($A1622,1))=8,"dz. ","gm. m.-w. ")))))&amp;IF(LEN($A1622)=2,TRIM(UPPER(VLOOKUP($A1622,GUS_tabl_1!$A$7:$B$22,2,FALSE))),IF(ISERROR(FIND("..",TRIM(VLOOKUP(IF(AND(LEN($A1622)=4,VALUE(RIGHT($A1622,2))&gt;60),$A1622&amp;"01 1",$A1622),IF(AND(LEN($A1622)=4,VALUE(RIGHT($A1622,2))&lt;60),GUS_tabl_2!$A$8:$B$464,GUS_tabl_21!$A$5:$B$4886),2,FALSE)))),TRIM(VLOOKUP(IF(AND(LEN($A1622)=4,VALUE(RIGHT($A1622,2))&gt;60),$A1622&amp;"01 1",$A1622),IF(AND(LEN($A1622)=4,VALUE(RIGHT($A1622,2))&lt;60),GUS_tabl_2!$A$8:$B$464,GUS_tabl_21!$A$5:$B$4886),2,FALSE)),LEFT(TRIM(VLOOKUP(IF(AND(LEN($A1622)=4,VALUE(RIGHT($A1622,2))&gt;60),$A1622&amp;"01 1",$A1622),IF(AND(LEN($A1622)=4,VALUE(RIGHT($A1622,2))&lt;60),GUS_tabl_2!$A$8:$B$464,GUS_tabl_21!$A$5:$B$4886),2,FALSE)),SUM(FIND("..",TRIM(VLOOKUP(IF(AND(LEN($A1622)=4,VALUE(RIGHT($A1622,2))&gt;60),$A1622&amp;"01 1",$A1622),IF(AND(LEN($A1622)=4,VALUE(RIGHT($A1622,2))&lt;60),GUS_tabl_2!$A$8:$B$464,GUS_tabl_21!$A$5:$B$4886),2,FALSE))),-1)))))</f>
        <v>gm. w. Domaradz</v>
      </c>
      <c r="D1622" s="141">
        <f>IF(OR($A1622="",ISERROR(VALUE(LEFT($A1622,6)))),"",IF(LEN($A1622)=2,SUMIF($A1623:$A$2965,$A1622&amp;"??",$D1623:$D$2965),IF(AND(LEN($A1622)=4,VALUE(RIGHT($A1622,2))&lt;=60),SUMIF($A1623:$A$2965,$A1622&amp;"????",$D1623:$D$2965),VLOOKUP(IF(LEN($A1622)=4,$A1622&amp;"01 1",$A1622),GUS_tabl_21!$A$5:$F$4886,6,FALSE))))</f>
        <v>6100</v>
      </c>
      <c r="E1622" s="29"/>
    </row>
    <row r="1623" spans="1:5" ht="12" customHeight="1">
      <c r="A1623" s="155" t="str">
        <f>"180203 2"</f>
        <v>180203 2</v>
      </c>
      <c r="B1623" s="153" t="s">
        <v>76</v>
      </c>
      <c r="C1623" s="156" t="str">
        <f>IF(OR($A1623="",ISERROR(VALUE(LEFT($A1623,6)))),"",IF(LEN($A1623)=2,"WOJ. ",IF(LEN($A1623)=4,IF(VALUE(RIGHT($A1623,2))&gt;60,"","Powiat "),IF(VALUE(RIGHT($A1623,1))=1,"m. ",IF(VALUE(RIGHT($A1623,1))=2,"gm. w. ",IF(VALUE(RIGHT($A1623,1))=8,"dz. ","gm. m.-w. ")))))&amp;IF(LEN($A1623)=2,TRIM(UPPER(VLOOKUP($A1623,GUS_tabl_1!$A$7:$B$22,2,FALSE))),IF(ISERROR(FIND("..",TRIM(VLOOKUP(IF(AND(LEN($A1623)=4,VALUE(RIGHT($A1623,2))&gt;60),$A1623&amp;"01 1",$A1623),IF(AND(LEN($A1623)=4,VALUE(RIGHT($A1623,2))&lt;60),GUS_tabl_2!$A$8:$B$464,GUS_tabl_21!$A$5:$B$4886),2,FALSE)))),TRIM(VLOOKUP(IF(AND(LEN($A1623)=4,VALUE(RIGHT($A1623,2))&gt;60),$A1623&amp;"01 1",$A1623),IF(AND(LEN($A1623)=4,VALUE(RIGHT($A1623,2))&lt;60),GUS_tabl_2!$A$8:$B$464,GUS_tabl_21!$A$5:$B$4886),2,FALSE)),LEFT(TRIM(VLOOKUP(IF(AND(LEN($A1623)=4,VALUE(RIGHT($A1623,2))&gt;60),$A1623&amp;"01 1",$A1623),IF(AND(LEN($A1623)=4,VALUE(RIGHT($A1623,2))&lt;60),GUS_tabl_2!$A$8:$B$464,GUS_tabl_21!$A$5:$B$4886),2,FALSE)),SUM(FIND("..",TRIM(VLOOKUP(IF(AND(LEN($A1623)=4,VALUE(RIGHT($A1623,2))&gt;60),$A1623&amp;"01 1",$A1623),IF(AND(LEN($A1623)=4,VALUE(RIGHT($A1623,2))&lt;60),GUS_tabl_2!$A$8:$B$464,GUS_tabl_21!$A$5:$B$4886),2,FALSE))),-1)))))</f>
        <v>gm. w. Dydnia</v>
      </c>
      <c r="D1623" s="141">
        <f>IF(OR($A1623="",ISERROR(VALUE(LEFT($A1623,6)))),"",IF(LEN($A1623)=2,SUMIF($A1624:$A$2965,$A1623&amp;"??",$D1624:$D$2965),IF(AND(LEN($A1623)=4,VALUE(RIGHT($A1623,2))&lt;=60),SUMIF($A1624:$A$2965,$A1623&amp;"????",$D1624:$D$2965),VLOOKUP(IF(LEN($A1623)=4,$A1623&amp;"01 1",$A1623),GUS_tabl_21!$A$5:$F$4886,6,FALSE))))</f>
        <v>7914</v>
      </c>
      <c r="E1623" s="29"/>
    </row>
    <row r="1624" spans="1:5" ht="12" customHeight="1">
      <c r="A1624" s="155" t="str">
        <f>"180204 2"</f>
        <v>180204 2</v>
      </c>
      <c r="B1624" s="153" t="s">
        <v>76</v>
      </c>
      <c r="C1624" s="156" t="str">
        <f>IF(OR($A1624="",ISERROR(VALUE(LEFT($A1624,6)))),"",IF(LEN($A1624)=2,"WOJ. ",IF(LEN($A1624)=4,IF(VALUE(RIGHT($A1624,2))&gt;60,"","Powiat "),IF(VALUE(RIGHT($A1624,1))=1,"m. ",IF(VALUE(RIGHT($A1624,1))=2,"gm. w. ",IF(VALUE(RIGHT($A1624,1))=8,"dz. ","gm. m.-w. ")))))&amp;IF(LEN($A1624)=2,TRIM(UPPER(VLOOKUP($A1624,GUS_tabl_1!$A$7:$B$22,2,FALSE))),IF(ISERROR(FIND("..",TRIM(VLOOKUP(IF(AND(LEN($A1624)=4,VALUE(RIGHT($A1624,2))&gt;60),$A1624&amp;"01 1",$A1624),IF(AND(LEN($A1624)=4,VALUE(RIGHT($A1624,2))&lt;60),GUS_tabl_2!$A$8:$B$464,GUS_tabl_21!$A$5:$B$4886),2,FALSE)))),TRIM(VLOOKUP(IF(AND(LEN($A1624)=4,VALUE(RIGHT($A1624,2))&gt;60),$A1624&amp;"01 1",$A1624),IF(AND(LEN($A1624)=4,VALUE(RIGHT($A1624,2))&lt;60),GUS_tabl_2!$A$8:$B$464,GUS_tabl_21!$A$5:$B$4886),2,FALSE)),LEFT(TRIM(VLOOKUP(IF(AND(LEN($A1624)=4,VALUE(RIGHT($A1624,2))&gt;60),$A1624&amp;"01 1",$A1624),IF(AND(LEN($A1624)=4,VALUE(RIGHT($A1624,2))&lt;60),GUS_tabl_2!$A$8:$B$464,GUS_tabl_21!$A$5:$B$4886),2,FALSE)),SUM(FIND("..",TRIM(VLOOKUP(IF(AND(LEN($A1624)=4,VALUE(RIGHT($A1624,2))&gt;60),$A1624&amp;"01 1",$A1624),IF(AND(LEN($A1624)=4,VALUE(RIGHT($A1624,2))&lt;60),GUS_tabl_2!$A$8:$B$464,GUS_tabl_21!$A$5:$B$4886),2,FALSE))),-1)))))</f>
        <v>gm. w. Haczów</v>
      </c>
      <c r="D1624" s="141">
        <f>IF(OR($A1624="",ISERROR(VALUE(LEFT($A1624,6)))),"",IF(LEN($A1624)=2,SUMIF($A1625:$A$2965,$A1624&amp;"??",$D1625:$D$2965),IF(AND(LEN($A1624)=4,VALUE(RIGHT($A1624,2))&lt;=60),SUMIF($A1625:$A$2965,$A1624&amp;"????",$D1625:$D$2965),VLOOKUP(IF(LEN($A1624)=4,$A1624&amp;"01 1",$A1624),GUS_tabl_21!$A$5:$F$4886,6,FALSE))))</f>
        <v>9113</v>
      </c>
      <c r="E1624" s="29"/>
    </row>
    <row r="1625" spans="1:5" ht="12" customHeight="1">
      <c r="A1625" s="155" t="str">
        <f>"180205 2"</f>
        <v>180205 2</v>
      </c>
      <c r="B1625" s="153" t="s">
        <v>76</v>
      </c>
      <c r="C1625" s="156" t="str">
        <f>IF(OR($A1625="",ISERROR(VALUE(LEFT($A1625,6)))),"",IF(LEN($A1625)=2,"WOJ. ",IF(LEN($A1625)=4,IF(VALUE(RIGHT($A1625,2))&gt;60,"","Powiat "),IF(VALUE(RIGHT($A1625,1))=1,"m. ",IF(VALUE(RIGHT($A1625,1))=2,"gm. w. ",IF(VALUE(RIGHT($A1625,1))=8,"dz. ","gm. m.-w. ")))))&amp;IF(LEN($A1625)=2,TRIM(UPPER(VLOOKUP($A1625,GUS_tabl_1!$A$7:$B$22,2,FALSE))),IF(ISERROR(FIND("..",TRIM(VLOOKUP(IF(AND(LEN($A1625)=4,VALUE(RIGHT($A1625,2))&gt;60),$A1625&amp;"01 1",$A1625),IF(AND(LEN($A1625)=4,VALUE(RIGHT($A1625,2))&lt;60),GUS_tabl_2!$A$8:$B$464,GUS_tabl_21!$A$5:$B$4886),2,FALSE)))),TRIM(VLOOKUP(IF(AND(LEN($A1625)=4,VALUE(RIGHT($A1625,2))&gt;60),$A1625&amp;"01 1",$A1625),IF(AND(LEN($A1625)=4,VALUE(RIGHT($A1625,2))&lt;60),GUS_tabl_2!$A$8:$B$464,GUS_tabl_21!$A$5:$B$4886),2,FALSE)),LEFT(TRIM(VLOOKUP(IF(AND(LEN($A1625)=4,VALUE(RIGHT($A1625,2))&gt;60),$A1625&amp;"01 1",$A1625),IF(AND(LEN($A1625)=4,VALUE(RIGHT($A1625,2))&lt;60),GUS_tabl_2!$A$8:$B$464,GUS_tabl_21!$A$5:$B$4886),2,FALSE)),SUM(FIND("..",TRIM(VLOOKUP(IF(AND(LEN($A1625)=4,VALUE(RIGHT($A1625,2))&gt;60),$A1625&amp;"01 1",$A1625),IF(AND(LEN($A1625)=4,VALUE(RIGHT($A1625,2))&lt;60),GUS_tabl_2!$A$8:$B$464,GUS_tabl_21!$A$5:$B$4886),2,FALSE))),-1)))))</f>
        <v>gm. w. Jasienica Rosielna</v>
      </c>
      <c r="D1625" s="141">
        <f>IF(OR($A1625="",ISERROR(VALUE(LEFT($A1625,6)))),"",IF(LEN($A1625)=2,SUMIF($A1626:$A$2965,$A1625&amp;"??",$D1626:$D$2965),IF(AND(LEN($A1625)=4,VALUE(RIGHT($A1625,2))&lt;=60),SUMIF($A1626:$A$2965,$A1625&amp;"????",$D1626:$D$2965),VLOOKUP(IF(LEN($A1625)=4,$A1625&amp;"01 1",$A1625),GUS_tabl_21!$A$5:$F$4886,6,FALSE))))</f>
        <v>7845</v>
      </c>
      <c r="E1625" s="29"/>
    </row>
    <row r="1626" spans="1:5" ht="12" customHeight="1">
      <c r="A1626" s="155" t="str">
        <f>"180206 2"</f>
        <v>180206 2</v>
      </c>
      <c r="B1626" s="153" t="s">
        <v>76</v>
      </c>
      <c r="C1626" s="156" t="str">
        <f>IF(OR($A1626="",ISERROR(VALUE(LEFT($A1626,6)))),"",IF(LEN($A1626)=2,"WOJ. ",IF(LEN($A1626)=4,IF(VALUE(RIGHT($A1626,2))&gt;60,"","Powiat "),IF(VALUE(RIGHT($A1626,1))=1,"m. ",IF(VALUE(RIGHT($A1626,1))=2,"gm. w. ",IF(VALUE(RIGHT($A1626,1))=8,"dz. ","gm. m.-w. ")))))&amp;IF(LEN($A1626)=2,TRIM(UPPER(VLOOKUP($A1626,GUS_tabl_1!$A$7:$B$22,2,FALSE))),IF(ISERROR(FIND("..",TRIM(VLOOKUP(IF(AND(LEN($A1626)=4,VALUE(RIGHT($A1626,2))&gt;60),$A1626&amp;"01 1",$A1626),IF(AND(LEN($A1626)=4,VALUE(RIGHT($A1626,2))&lt;60),GUS_tabl_2!$A$8:$B$464,GUS_tabl_21!$A$5:$B$4886),2,FALSE)))),TRIM(VLOOKUP(IF(AND(LEN($A1626)=4,VALUE(RIGHT($A1626,2))&gt;60),$A1626&amp;"01 1",$A1626),IF(AND(LEN($A1626)=4,VALUE(RIGHT($A1626,2))&lt;60),GUS_tabl_2!$A$8:$B$464,GUS_tabl_21!$A$5:$B$4886),2,FALSE)),LEFT(TRIM(VLOOKUP(IF(AND(LEN($A1626)=4,VALUE(RIGHT($A1626,2))&gt;60),$A1626&amp;"01 1",$A1626),IF(AND(LEN($A1626)=4,VALUE(RIGHT($A1626,2))&lt;60),GUS_tabl_2!$A$8:$B$464,GUS_tabl_21!$A$5:$B$4886),2,FALSE)),SUM(FIND("..",TRIM(VLOOKUP(IF(AND(LEN($A1626)=4,VALUE(RIGHT($A1626,2))&gt;60),$A1626&amp;"01 1",$A1626),IF(AND(LEN($A1626)=4,VALUE(RIGHT($A1626,2))&lt;60),GUS_tabl_2!$A$8:$B$464,GUS_tabl_21!$A$5:$B$4886),2,FALSE))),-1)))))</f>
        <v>gm. w. Nozdrzec</v>
      </c>
      <c r="D1626" s="141">
        <f>IF(OR($A1626="",ISERROR(VALUE(LEFT($A1626,6)))),"",IF(LEN($A1626)=2,SUMIF($A1627:$A$2965,$A1626&amp;"??",$D1627:$D$2965),IF(AND(LEN($A1626)=4,VALUE(RIGHT($A1626,2))&lt;=60),SUMIF($A1627:$A$2965,$A1626&amp;"????",$D1627:$D$2965),VLOOKUP(IF(LEN($A1626)=4,$A1626&amp;"01 1",$A1626),GUS_tabl_21!$A$5:$F$4886,6,FALSE))))</f>
        <v>7996</v>
      </c>
      <c r="E1626" s="29"/>
    </row>
    <row r="1627" spans="1:5" ht="12" customHeight="1">
      <c r="A1627" s="152" t="str">
        <f>"1803"</f>
        <v>1803</v>
      </c>
      <c r="B1627" s="153" t="s">
        <v>76</v>
      </c>
      <c r="C1627" s="154" t="str">
        <f>IF(OR($A1627="",ISERROR(VALUE(LEFT($A1627,6)))),"",IF(LEN($A1627)=2,"WOJ. ",IF(LEN($A1627)=4,IF(VALUE(RIGHT($A1627,2))&gt;60,"","Powiat "),IF(VALUE(RIGHT($A1627,1))=1,"m. ",IF(VALUE(RIGHT($A1627,1))=2,"gm. w. ",IF(VALUE(RIGHT($A1627,1))=8,"dz. ","gm. m.-w. ")))))&amp;IF(LEN($A1627)=2,TRIM(UPPER(VLOOKUP($A1627,GUS_tabl_1!$A$7:$B$22,2,FALSE))),IF(ISERROR(FIND("..",TRIM(VLOOKUP(IF(AND(LEN($A1627)=4,VALUE(RIGHT($A1627,2))&gt;60),$A1627&amp;"01 1",$A1627),IF(AND(LEN($A1627)=4,VALUE(RIGHT($A1627,2))&lt;60),GUS_tabl_2!$A$8:$B$464,GUS_tabl_21!$A$5:$B$4886),2,FALSE)))),TRIM(VLOOKUP(IF(AND(LEN($A1627)=4,VALUE(RIGHT($A1627,2))&gt;60),$A1627&amp;"01 1",$A1627),IF(AND(LEN($A1627)=4,VALUE(RIGHT($A1627,2))&lt;60),GUS_tabl_2!$A$8:$B$464,GUS_tabl_21!$A$5:$B$4886),2,FALSE)),LEFT(TRIM(VLOOKUP(IF(AND(LEN($A1627)=4,VALUE(RIGHT($A1627,2))&gt;60),$A1627&amp;"01 1",$A1627),IF(AND(LEN($A1627)=4,VALUE(RIGHT($A1627,2))&lt;60),GUS_tabl_2!$A$8:$B$464,GUS_tabl_21!$A$5:$B$4886),2,FALSE)),SUM(FIND("..",TRIM(VLOOKUP(IF(AND(LEN($A1627)=4,VALUE(RIGHT($A1627,2))&gt;60),$A1627&amp;"01 1",$A1627),IF(AND(LEN($A1627)=4,VALUE(RIGHT($A1627,2))&lt;60),GUS_tabl_2!$A$8:$B$464,GUS_tabl_21!$A$5:$B$4886),2,FALSE))),-1)))))</f>
        <v>Powiat dębicki</v>
      </c>
      <c r="D1627" s="140">
        <f>IF(OR($A1627="",ISERROR(VALUE(LEFT($A1627,6)))),"",IF(LEN($A1627)=2,SUMIF($A1628:$A$2965,$A1627&amp;"??",$D1628:$D$2965),IF(AND(LEN($A1627)=4,VALUE(RIGHT($A1627,2))&lt;=60),SUMIF($A1628:$A$2965,$A1627&amp;"????",$D1628:$D$2965),VLOOKUP(IF(LEN($A1627)=4,$A1627&amp;"01 1",$A1627),GUS_tabl_21!$A$5:$F$4886,6,FALSE))))</f>
        <v>135299</v>
      </c>
      <c r="E1627" s="29"/>
    </row>
    <row r="1628" spans="1:5" ht="12" customHeight="1">
      <c r="A1628" s="155" t="str">
        <f>"180301 1"</f>
        <v>180301 1</v>
      </c>
      <c r="B1628" s="153" t="s">
        <v>76</v>
      </c>
      <c r="C1628" s="156" t="str">
        <f>IF(OR($A1628="",ISERROR(VALUE(LEFT($A1628,6)))),"",IF(LEN($A1628)=2,"WOJ. ",IF(LEN($A1628)=4,IF(VALUE(RIGHT($A1628,2))&gt;60,"","Powiat "),IF(VALUE(RIGHT($A1628,1))=1,"m. ",IF(VALUE(RIGHT($A1628,1))=2,"gm. w. ",IF(VALUE(RIGHT($A1628,1))=8,"dz. ","gm. m.-w. ")))))&amp;IF(LEN($A1628)=2,TRIM(UPPER(VLOOKUP($A1628,GUS_tabl_1!$A$7:$B$22,2,FALSE))),IF(ISERROR(FIND("..",TRIM(VLOOKUP(IF(AND(LEN($A1628)=4,VALUE(RIGHT($A1628,2))&gt;60),$A1628&amp;"01 1",$A1628),IF(AND(LEN($A1628)=4,VALUE(RIGHT($A1628,2))&lt;60),GUS_tabl_2!$A$8:$B$464,GUS_tabl_21!$A$5:$B$4886),2,FALSE)))),TRIM(VLOOKUP(IF(AND(LEN($A1628)=4,VALUE(RIGHT($A1628,2))&gt;60),$A1628&amp;"01 1",$A1628),IF(AND(LEN($A1628)=4,VALUE(RIGHT($A1628,2))&lt;60),GUS_tabl_2!$A$8:$B$464,GUS_tabl_21!$A$5:$B$4886),2,FALSE)),LEFT(TRIM(VLOOKUP(IF(AND(LEN($A1628)=4,VALUE(RIGHT($A1628,2))&gt;60),$A1628&amp;"01 1",$A1628),IF(AND(LEN($A1628)=4,VALUE(RIGHT($A1628,2))&lt;60),GUS_tabl_2!$A$8:$B$464,GUS_tabl_21!$A$5:$B$4886),2,FALSE)),SUM(FIND("..",TRIM(VLOOKUP(IF(AND(LEN($A1628)=4,VALUE(RIGHT($A1628,2))&gt;60),$A1628&amp;"01 1",$A1628),IF(AND(LEN($A1628)=4,VALUE(RIGHT($A1628,2))&lt;60),GUS_tabl_2!$A$8:$B$464,GUS_tabl_21!$A$5:$B$4886),2,FALSE))),-1)))))</f>
        <v>m. Dębica</v>
      </c>
      <c r="D1628" s="141">
        <f>IF(OR($A1628="",ISERROR(VALUE(LEFT($A1628,6)))),"",IF(LEN($A1628)=2,SUMIF($A1629:$A$2965,$A1628&amp;"??",$D1629:$D$2965),IF(AND(LEN($A1628)=4,VALUE(RIGHT($A1628,2))&lt;=60),SUMIF($A1629:$A$2965,$A1628&amp;"????",$D1629:$D$2965),VLOOKUP(IF(LEN($A1628)=4,$A1628&amp;"01 1",$A1628),GUS_tabl_21!$A$5:$F$4886,6,FALSE))))</f>
        <v>45504</v>
      </c>
      <c r="E1628" s="29"/>
    </row>
    <row r="1629" spans="1:5" ht="12" customHeight="1">
      <c r="A1629" s="155" t="str">
        <f>"180302 3"</f>
        <v>180302 3</v>
      </c>
      <c r="B1629" s="153" t="s">
        <v>76</v>
      </c>
      <c r="C1629" s="156" t="str">
        <f>IF(OR($A1629="",ISERROR(VALUE(LEFT($A1629,6)))),"",IF(LEN($A1629)=2,"WOJ. ",IF(LEN($A1629)=4,IF(VALUE(RIGHT($A1629,2))&gt;60,"","Powiat "),IF(VALUE(RIGHT($A1629,1))=1,"m. ",IF(VALUE(RIGHT($A1629,1))=2,"gm. w. ",IF(VALUE(RIGHT($A1629,1))=8,"dz. ","gm. m.-w. ")))))&amp;IF(LEN($A1629)=2,TRIM(UPPER(VLOOKUP($A1629,GUS_tabl_1!$A$7:$B$22,2,FALSE))),IF(ISERROR(FIND("..",TRIM(VLOOKUP(IF(AND(LEN($A1629)=4,VALUE(RIGHT($A1629,2))&gt;60),$A1629&amp;"01 1",$A1629),IF(AND(LEN($A1629)=4,VALUE(RIGHT($A1629,2))&lt;60),GUS_tabl_2!$A$8:$B$464,GUS_tabl_21!$A$5:$B$4886),2,FALSE)))),TRIM(VLOOKUP(IF(AND(LEN($A1629)=4,VALUE(RIGHT($A1629,2))&gt;60),$A1629&amp;"01 1",$A1629),IF(AND(LEN($A1629)=4,VALUE(RIGHT($A1629,2))&lt;60),GUS_tabl_2!$A$8:$B$464,GUS_tabl_21!$A$5:$B$4886),2,FALSE)),LEFT(TRIM(VLOOKUP(IF(AND(LEN($A1629)=4,VALUE(RIGHT($A1629,2))&gt;60),$A1629&amp;"01 1",$A1629),IF(AND(LEN($A1629)=4,VALUE(RIGHT($A1629,2))&lt;60),GUS_tabl_2!$A$8:$B$464,GUS_tabl_21!$A$5:$B$4886),2,FALSE)),SUM(FIND("..",TRIM(VLOOKUP(IF(AND(LEN($A1629)=4,VALUE(RIGHT($A1629,2))&gt;60),$A1629&amp;"01 1",$A1629),IF(AND(LEN($A1629)=4,VALUE(RIGHT($A1629,2))&lt;60),GUS_tabl_2!$A$8:$B$464,GUS_tabl_21!$A$5:$B$4886),2,FALSE))),-1)))))</f>
        <v>gm. m.-w. Brzostek</v>
      </c>
      <c r="D1629" s="141">
        <f>IF(OR($A1629="",ISERROR(VALUE(LEFT($A1629,6)))),"",IF(LEN($A1629)=2,SUMIF($A1630:$A$2965,$A1629&amp;"??",$D1630:$D$2965),IF(AND(LEN($A1629)=4,VALUE(RIGHT($A1629,2))&lt;=60),SUMIF($A1630:$A$2965,$A1629&amp;"????",$D1630:$D$2965),VLOOKUP(IF(LEN($A1629)=4,$A1629&amp;"01 1",$A1629),GUS_tabl_21!$A$5:$F$4886,6,FALSE))))</f>
        <v>13010</v>
      </c>
      <c r="E1629" s="29"/>
    </row>
    <row r="1630" spans="1:5" ht="12" customHeight="1">
      <c r="A1630" s="155" t="str">
        <f>"180303 2"</f>
        <v>180303 2</v>
      </c>
      <c r="B1630" s="153" t="s">
        <v>76</v>
      </c>
      <c r="C1630" s="156" t="str">
        <f>IF(OR($A1630="",ISERROR(VALUE(LEFT($A1630,6)))),"",IF(LEN($A1630)=2,"WOJ. ",IF(LEN($A1630)=4,IF(VALUE(RIGHT($A1630,2))&gt;60,"","Powiat "),IF(VALUE(RIGHT($A1630,1))=1,"m. ",IF(VALUE(RIGHT($A1630,1))=2,"gm. w. ",IF(VALUE(RIGHT($A1630,1))=8,"dz. ","gm. m.-w. ")))))&amp;IF(LEN($A1630)=2,TRIM(UPPER(VLOOKUP($A1630,GUS_tabl_1!$A$7:$B$22,2,FALSE))),IF(ISERROR(FIND("..",TRIM(VLOOKUP(IF(AND(LEN($A1630)=4,VALUE(RIGHT($A1630,2))&gt;60),$A1630&amp;"01 1",$A1630),IF(AND(LEN($A1630)=4,VALUE(RIGHT($A1630,2))&lt;60),GUS_tabl_2!$A$8:$B$464,GUS_tabl_21!$A$5:$B$4886),2,FALSE)))),TRIM(VLOOKUP(IF(AND(LEN($A1630)=4,VALUE(RIGHT($A1630,2))&gt;60),$A1630&amp;"01 1",$A1630),IF(AND(LEN($A1630)=4,VALUE(RIGHT($A1630,2))&lt;60),GUS_tabl_2!$A$8:$B$464,GUS_tabl_21!$A$5:$B$4886),2,FALSE)),LEFT(TRIM(VLOOKUP(IF(AND(LEN($A1630)=4,VALUE(RIGHT($A1630,2))&gt;60),$A1630&amp;"01 1",$A1630),IF(AND(LEN($A1630)=4,VALUE(RIGHT($A1630,2))&lt;60),GUS_tabl_2!$A$8:$B$464,GUS_tabl_21!$A$5:$B$4886),2,FALSE)),SUM(FIND("..",TRIM(VLOOKUP(IF(AND(LEN($A1630)=4,VALUE(RIGHT($A1630,2))&gt;60),$A1630&amp;"01 1",$A1630),IF(AND(LEN($A1630)=4,VALUE(RIGHT($A1630,2))&lt;60),GUS_tabl_2!$A$8:$B$464,GUS_tabl_21!$A$5:$B$4886),2,FALSE))),-1)))))</f>
        <v>gm. w. Czarna</v>
      </c>
      <c r="D1630" s="141">
        <f>IF(OR($A1630="",ISERROR(VALUE(LEFT($A1630,6)))),"",IF(LEN($A1630)=2,SUMIF($A1631:$A$2965,$A1630&amp;"??",$D1631:$D$2965),IF(AND(LEN($A1630)=4,VALUE(RIGHT($A1630,2))&lt;=60),SUMIF($A1631:$A$2965,$A1630&amp;"????",$D1631:$D$2965),VLOOKUP(IF(LEN($A1630)=4,$A1630&amp;"01 1",$A1630),GUS_tabl_21!$A$5:$F$4886,6,FALSE))))</f>
        <v>13137</v>
      </c>
      <c r="E1630" s="29"/>
    </row>
    <row r="1631" spans="1:5" ht="12" customHeight="1">
      <c r="A1631" s="155" t="str">
        <f>"180304 2"</f>
        <v>180304 2</v>
      </c>
      <c r="B1631" s="153" t="s">
        <v>76</v>
      </c>
      <c r="C1631" s="156" t="str">
        <f>IF(OR($A1631="",ISERROR(VALUE(LEFT($A1631,6)))),"",IF(LEN($A1631)=2,"WOJ. ",IF(LEN($A1631)=4,IF(VALUE(RIGHT($A1631,2))&gt;60,"","Powiat "),IF(VALUE(RIGHT($A1631,1))=1,"m. ",IF(VALUE(RIGHT($A1631,1))=2,"gm. w. ",IF(VALUE(RIGHT($A1631,1))=8,"dz. ","gm. m.-w. ")))))&amp;IF(LEN($A1631)=2,TRIM(UPPER(VLOOKUP($A1631,GUS_tabl_1!$A$7:$B$22,2,FALSE))),IF(ISERROR(FIND("..",TRIM(VLOOKUP(IF(AND(LEN($A1631)=4,VALUE(RIGHT($A1631,2))&gt;60),$A1631&amp;"01 1",$A1631),IF(AND(LEN($A1631)=4,VALUE(RIGHT($A1631,2))&lt;60),GUS_tabl_2!$A$8:$B$464,GUS_tabl_21!$A$5:$B$4886),2,FALSE)))),TRIM(VLOOKUP(IF(AND(LEN($A1631)=4,VALUE(RIGHT($A1631,2))&gt;60),$A1631&amp;"01 1",$A1631),IF(AND(LEN($A1631)=4,VALUE(RIGHT($A1631,2))&lt;60),GUS_tabl_2!$A$8:$B$464,GUS_tabl_21!$A$5:$B$4886),2,FALSE)),LEFT(TRIM(VLOOKUP(IF(AND(LEN($A1631)=4,VALUE(RIGHT($A1631,2))&gt;60),$A1631&amp;"01 1",$A1631),IF(AND(LEN($A1631)=4,VALUE(RIGHT($A1631,2))&lt;60),GUS_tabl_2!$A$8:$B$464,GUS_tabl_21!$A$5:$B$4886),2,FALSE)),SUM(FIND("..",TRIM(VLOOKUP(IF(AND(LEN($A1631)=4,VALUE(RIGHT($A1631,2))&gt;60),$A1631&amp;"01 1",$A1631),IF(AND(LEN($A1631)=4,VALUE(RIGHT($A1631,2))&lt;60),GUS_tabl_2!$A$8:$B$464,GUS_tabl_21!$A$5:$B$4886),2,FALSE))),-1)))))</f>
        <v>gm. w. Dębica</v>
      </c>
      <c r="D1631" s="141">
        <f>IF(OR($A1631="",ISERROR(VALUE(LEFT($A1631,6)))),"",IF(LEN($A1631)=2,SUMIF($A1632:$A$2965,$A1631&amp;"??",$D1632:$D$2965),IF(AND(LEN($A1631)=4,VALUE(RIGHT($A1631,2))&lt;=60),SUMIF($A1632:$A$2965,$A1631&amp;"????",$D1632:$D$2965),VLOOKUP(IF(LEN($A1631)=4,$A1631&amp;"01 1",$A1631),GUS_tabl_21!$A$5:$F$4886,6,FALSE))))</f>
        <v>25849</v>
      </c>
      <c r="E1631" s="29"/>
    </row>
    <row r="1632" spans="1:5" ht="12" customHeight="1">
      <c r="A1632" s="155" t="str">
        <f>"180305 2"</f>
        <v>180305 2</v>
      </c>
      <c r="B1632" s="153" t="s">
        <v>76</v>
      </c>
      <c r="C1632" s="156" t="str">
        <f>IF(OR($A1632="",ISERROR(VALUE(LEFT($A1632,6)))),"",IF(LEN($A1632)=2,"WOJ. ",IF(LEN($A1632)=4,IF(VALUE(RIGHT($A1632,2))&gt;60,"","Powiat "),IF(VALUE(RIGHT($A1632,1))=1,"m. ",IF(VALUE(RIGHT($A1632,1))=2,"gm. w. ",IF(VALUE(RIGHT($A1632,1))=8,"dz. ","gm. m.-w. ")))))&amp;IF(LEN($A1632)=2,TRIM(UPPER(VLOOKUP($A1632,GUS_tabl_1!$A$7:$B$22,2,FALSE))),IF(ISERROR(FIND("..",TRIM(VLOOKUP(IF(AND(LEN($A1632)=4,VALUE(RIGHT($A1632,2))&gt;60),$A1632&amp;"01 1",$A1632),IF(AND(LEN($A1632)=4,VALUE(RIGHT($A1632,2))&lt;60),GUS_tabl_2!$A$8:$B$464,GUS_tabl_21!$A$5:$B$4886),2,FALSE)))),TRIM(VLOOKUP(IF(AND(LEN($A1632)=4,VALUE(RIGHT($A1632,2))&gt;60),$A1632&amp;"01 1",$A1632),IF(AND(LEN($A1632)=4,VALUE(RIGHT($A1632,2))&lt;60),GUS_tabl_2!$A$8:$B$464,GUS_tabl_21!$A$5:$B$4886),2,FALSE)),LEFT(TRIM(VLOOKUP(IF(AND(LEN($A1632)=4,VALUE(RIGHT($A1632,2))&gt;60),$A1632&amp;"01 1",$A1632),IF(AND(LEN($A1632)=4,VALUE(RIGHT($A1632,2))&lt;60),GUS_tabl_2!$A$8:$B$464,GUS_tabl_21!$A$5:$B$4886),2,FALSE)),SUM(FIND("..",TRIM(VLOOKUP(IF(AND(LEN($A1632)=4,VALUE(RIGHT($A1632,2))&gt;60),$A1632&amp;"01 1",$A1632),IF(AND(LEN($A1632)=4,VALUE(RIGHT($A1632,2))&lt;60),GUS_tabl_2!$A$8:$B$464,GUS_tabl_21!$A$5:$B$4886),2,FALSE))),-1)))))</f>
        <v>gm. w. Jodłowa</v>
      </c>
      <c r="D1632" s="141">
        <f>IF(OR($A1632="",ISERROR(VALUE(LEFT($A1632,6)))),"",IF(LEN($A1632)=2,SUMIF($A1633:$A$2965,$A1632&amp;"??",$D1633:$D$2965),IF(AND(LEN($A1632)=4,VALUE(RIGHT($A1632,2))&lt;=60),SUMIF($A1633:$A$2965,$A1632&amp;"????",$D1633:$D$2965),VLOOKUP(IF(LEN($A1632)=4,$A1632&amp;"01 1",$A1632),GUS_tabl_21!$A$5:$F$4886,6,FALSE))))</f>
        <v>5359</v>
      </c>
      <c r="E1632" s="29"/>
    </row>
    <row r="1633" spans="1:5" ht="12" customHeight="1">
      <c r="A1633" s="155" t="str">
        <f>"180306 3"</f>
        <v>180306 3</v>
      </c>
      <c r="B1633" s="153" t="s">
        <v>76</v>
      </c>
      <c r="C1633" s="156" t="str">
        <f>IF(OR($A1633="",ISERROR(VALUE(LEFT($A1633,6)))),"",IF(LEN($A1633)=2,"WOJ. ",IF(LEN($A1633)=4,IF(VALUE(RIGHT($A1633,2))&gt;60,"","Powiat "),IF(VALUE(RIGHT($A1633,1))=1,"m. ",IF(VALUE(RIGHT($A1633,1))=2,"gm. w. ",IF(VALUE(RIGHT($A1633,1))=8,"dz. ","gm. m.-w. ")))))&amp;IF(LEN($A1633)=2,TRIM(UPPER(VLOOKUP($A1633,GUS_tabl_1!$A$7:$B$22,2,FALSE))),IF(ISERROR(FIND("..",TRIM(VLOOKUP(IF(AND(LEN($A1633)=4,VALUE(RIGHT($A1633,2))&gt;60),$A1633&amp;"01 1",$A1633),IF(AND(LEN($A1633)=4,VALUE(RIGHT($A1633,2))&lt;60),GUS_tabl_2!$A$8:$B$464,GUS_tabl_21!$A$5:$B$4886),2,FALSE)))),TRIM(VLOOKUP(IF(AND(LEN($A1633)=4,VALUE(RIGHT($A1633,2))&gt;60),$A1633&amp;"01 1",$A1633),IF(AND(LEN($A1633)=4,VALUE(RIGHT($A1633,2))&lt;60),GUS_tabl_2!$A$8:$B$464,GUS_tabl_21!$A$5:$B$4886),2,FALSE)),LEFT(TRIM(VLOOKUP(IF(AND(LEN($A1633)=4,VALUE(RIGHT($A1633,2))&gt;60),$A1633&amp;"01 1",$A1633),IF(AND(LEN($A1633)=4,VALUE(RIGHT($A1633,2))&lt;60),GUS_tabl_2!$A$8:$B$464,GUS_tabl_21!$A$5:$B$4886),2,FALSE)),SUM(FIND("..",TRIM(VLOOKUP(IF(AND(LEN($A1633)=4,VALUE(RIGHT($A1633,2))&gt;60),$A1633&amp;"01 1",$A1633),IF(AND(LEN($A1633)=4,VALUE(RIGHT($A1633,2))&lt;60),GUS_tabl_2!$A$8:$B$464,GUS_tabl_21!$A$5:$B$4886),2,FALSE))),-1)))))</f>
        <v>gm. m.-w. Pilzno</v>
      </c>
      <c r="D1633" s="141">
        <f>IF(OR($A1633="",ISERROR(VALUE(LEFT($A1633,6)))),"",IF(LEN($A1633)=2,SUMIF($A1634:$A$2965,$A1633&amp;"??",$D1634:$D$2965),IF(AND(LEN($A1633)=4,VALUE(RIGHT($A1633,2))&lt;=60),SUMIF($A1634:$A$2965,$A1633&amp;"????",$D1634:$D$2965),VLOOKUP(IF(LEN($A1633)=4,$A1633&amp;"01 1",$A1633),GUS_tabl_21!$A$5:$F$4886,6,FALSE))))</f>
        <v>18250</v>
      </c>
      <c r="E1633" s="29"/>
    </row>
    <row r="1634" spans="1:5" ht="12" customHeight="1">
      <c r="A1634" s="155" t="str">
        <f>"180307 2"</f>
        <v>180307 2</v>
      </c>
      <c r="B1634" s="153" t="s">
        <v>76</v>
      </c>
      <c r="C1634" s="156" t="str">
        <f>IF(OR($A1634="",ISERROR(VALUE(LEFT($A1634,6)))),"",IF(LEN($A1634)=2,"WOJ. ",IF(LEN($A1634)=4,IF(VALUE(RIGHT($A1634,2))&gt;60,"","Powiat "),IF(VALUE(RIGHT($A1634,1))=1,"m. ",IF(VALUE(RIGHT($A1634,1))=2,"gm. w. ",IF(VALUE(RIGHT($A1634,1))=8,"dz. ","gm. m.-w. ")))))&amp;IF(LEN($A1634)=2,TRIM(UPPER(VLOOKUP($A1634,GUS_tabl_1!$A$7:$B$22,2,FALSE))),IF(ISERROR(FIND("..",TRIM(VLOOKUP(IF(AND(LEN($A1634)=4,VALUE(RIGHT($A1634,2))&gt;60),$A1634&amp;"01 1",$A1634),IF(AND(LEN($A1634)=4,VALUE(RIGHT($A1634,2))&lt;60),GUS_tabl_2!$A$8:$B$464,GUS_tabl_21!$A$5:$B$4886),2,FALSE)))),TRIM(VLOOKUP(IF(AND(LEN($A1634)=4,VALUE(RIGHT($A1634,2))&gt;60),$A1634&amp;"01 1",$A1634),IF(AND(LEN($A1634)=4,VALUE(RIGHT($A1634,2))&lt;60),GUS_tabl_2!$A$8:$B$464,GUS_tabl_21!$A$5:$B$4886),2,FALSE)),LEFT(TRIM(VLOOKUP(IF(AND(LEN($A1634)=4,VALUE(RIGHT($A1634,2))&gt;60),$A1634&amp;"01 1",$A1634),IF(AND(LEN($A1634)=4,VALUE(RIGHT($A1634,2))&lt;60),GUS_tabl_2!$A$8:$B$464,GUS_tabl_21!$A$5:$B$4886),2,FALSE)),SUM(FIND("..",TRIM(VLOOKUP(IF(AND(LEN($A1634)=4,VALUE(RIGHT($A1634,2))&gt;60),$A1634&amp;"01 1",$A1634),IF(AND(LEN($A1634)=4,VALUE(RIGHT($A1634,2))&lt;60),GUS_tabl_2!$A$8:$B$464,GUS_tabl_21!$A$5:$B$4886),2,FALSE))),-1)))))</f>
        <v>gm. w. Żyraków</v>
      </c>
      <c r="D1634" s="141">
        <f>IF(OR($A1634="",ISERROR(VALUE(LEFT($A1634,6)))),"",IF(LEN($A1634)=2,SUMIF($A1635:$A$2965,$A1634&amp;"??",$D1635:$D$2965),IF(AND(LEN($A1634)=4,VALUE(RIGHT($A1634,2))&lt;=60),SUMIF($A1635:$A$2965,$A1634&amp;"????",$D1635:$D$2965),VLOOKUP(IF(LEN($A1634)=4,$A1634&amp;"01 1",$A1634),GUS_tabl_21!$A$5:$F$4886,6,FALSE))))</f>
        <v>14190</v>
      </c>
      <c r="E1634" s="29"/>
    </row>
    <row r="1635" spans="1:5" ht="12" customHeight="1">
      <c r="A1635" s="152" t="str">
        <f>"1804"</f>
        <v>1804</v>
      </c>
      <c r="B1635" s="153" t="s">
        <v>76</v>
      </c>
      <c r="C1635" s="154" t="str">
        <f>IF(OR($A1635="",ISERROR(VALUE(LEFT($A1635,6)))),"",IF(LEN($A1635)=2,"WOJ. ",IF(LEN($A1635)=4,IF(VALUE(RIGHT($A1635,2))&gt;60,"","Powiat "),IF(VALUE(RIGHT($A1635,1))=1,"m. ",IF(VALUE(RIGHT($A1635,1))=2,"gm. w. ",IF(VALUE(RIGHT($A1635,1))=8,"dz. ","gm. m.-w. ")))))&amp;IF(LEN($A1635)=2,TRIM(UPPER(VLOOKUP($A1635,GUS_tabl_1!$A$7:$B$22,2,FALSE))),IF(ISERROR(FIND("..",TRIM(VLOOKUP(IF(AND(LEN($A1635)=4,VALUE(RIGHT($A1635,2))&gt;60),$A1635&amp;"01 1",$A1635),IF(AND(LEN($A1635)=4,VALUE(RIGHT($A1635,2))&lt;60),GUS_tabl_2!$A$8:$B$464,GUS_tabl_21!$A$5:$B$4886),2,FALSE)))),TRIM(VLOOKUP(IF(AND(LEN($A1635)=4,VALUE(RIGHT($A1635,2))&gt;60),$A1635&amp;"01 1",$A1635),IF(AND(LEN($A1635)=4,VALUE(RIGHT($A1635,2))&lt;60),GUS_tabl_2!$A$8:$B$464,GUS_tabl_21!$A$5:$B$4886),2,FALSE)),LEFT(TRIM(VLOOKUP(IF(AND(LEN($A1635)=4,VALUE(RIGHT($A1635,2))&gt;60),$A1635&amp;"01 1",$A1635),IF(AND(LEN($A1635)=4,VALUE(RIGHT($A1635,2))&lt;60),GUS_tabl_2!$A$8:$B$464,GUS_tabl_21!$A$5:$B$4886),2,FALSE)),SUM(FIND("..",TRIM(VLOOKUP(IF(AND(LEN($A1635)=4,VALUE(RIGHT($A1635,2))&gt;60),$A1635&amp;"01 1",$A1635),IF(AND(LEN($A1635)=4,VALUE(RIGHT($A1635,2))&lt;60),GUS_tabl_2!$A$8:$B$464,GUS_tabl_21!$A$5:$B$4886),2,FALSE))),-1)))))</f>
        <v>Powiat jarosławski</v>
      </c>
      <c r="D1635" s="140">
        <f>IF(OR($A1635="",ISERROR(VALUE(LEFT($A1635,6)))),"",IF(LEN($A1635)=2,SUMIF($A1636:$A$2965,$A1635&amp;"??",$D1636:$D$2965),IF(AND(LEN($A1635)=4,VALUE(RIGHT($A1635,2))&lt;=60),SUMIF($A1636:$A$2965,$A1635&amp;"????",$D1636:$D$2965),VLOOKUP(IF(LEN($A1635)=4,$A1635&amp;"01 1",$A1635),GUS_tabl_21!$A$5:$F$4886,6,FALSE))))</f>
        <v>120247</v>
      </c>
      <c r="E1635" s="29"/>
    </row>
    <row r="1636" spans="1:5" ht="12" customHeight="1">
      <c r="A1636" s="155" t="str">
        <f>"180401 1"</f>
        <v>180401 1</v>
      </c>
      <c r="B1636" s="153" t="s">
        <v>76</v>
      </c>
      <c r="C1636" s="156" t="str">
        <f>IF(OR($A1636="",ISERROR(VALUE(LEFT($A1636,6)))),"",IF(LEN($A1636)=2,"WOJ. ",IF(LEN($A1636)=4,IF(VALUE(RIGHT($A1636,2))&gt;60,"","Powiat "),IF(VALUE(RIGHT($A1636,1))=1,"m. ",IF(VALUE(RIGHT($A1636,1))=2,"gm. w. ",IF(VALUE(RIGHT($A1636,1))=8,"dz. ","gm. m.-w. ")))))&amp;IF(LEN($A1636)=2,TRIM(UPPER(VLOOKUP($A1636,GUS_tabl_1!$A$7:$B$22,2,FALSE))),IF(ISERROR(FIND("..",TRIM(VLOOKUP(IF(AND(LEN($A1636)=4,VALUE(RIGHT($A1636,2))&gt;60),$A1636&amp;"01 1",$A1636),IF(AND(LEN($A1636)=4,VALUE(RIGHT($A1636,2))&lt;60),GUS_tabl_2!$A$8:$B$464,GUS_tabl_21!$A$5:$B$4886),2,FALSE)))),TRIM(VLOOKUP(IF(AND(LEN($A1636)=4,VALUE(RIGHT($A1636,2))&gt;60),$A1636&amp;"01 1",$A1636),IF(AND(LEN($A1636)=4,VALUE(RIGHT($A1636,2))&lt;60),GUS_tabl_2!$A$8:$B$464,GUS_tabl_21!$A$5:$B$4886),2,FALSE)),LEFT(TRIM(VLOOKUP(IF(AND(LEN($A1636)=4,VALUE(RIGHT($A1636,2))&gt;60),$A1636&amp;"01 1",$A1636),IF(AND(LEN($A1636)=4,VALUE(RIGHT($A1636,2))&lt;60),GUS_tabl_2!$A$8:$B$464,GUS_tabl_21!$A$5:$B$4886),2,FALSE)),SUM(FIND("..",TRIM(VLOOKUP(IF(AND(LEN($A1636)=4,VALUE(RIGHT($A1636,2))&gt;60),$A1636&amp;"01 1",$A1636),IF(AND(LEN($A1636)=4,VALUE(RIGHT($A1636,2))&lt;60),GUS_tabl_2!$A$8:$B$464,GUS_tabl_21!$A$5:$B$4886),2,FALSE))),-1)))))</f>
        <v>m. Jarosław</v>
      </c>
      <c r="D1636" s="141">
        <f>IF(OR($A1636="",ISERROR(VALUE(LEFT($A1636,6)))),"",IF(LEN($A1636)=2,SUMIF($A1637:$A$2965,$A1636&amp;"??",$D1637:$D$2965),IF(AND(LEN($A1636)=4,VALUE(RIGHT($A1636,2))&lt;=60),SUMIF($A1637:$A$2965,$A1636&amp;"????",$D1637:$D$2965),VLOOKUP(IF(LEN($A1636)=4,$A1636&amp;"01 1",$A1636),GUS_tabl_21!$A$5:$F$4886,6,FALSE))))</f>
        <v>37479</v>
      </c>
      <c r="E1636" s="29"/>
    </row>
    <row r="1637" spans="1:5" ht="12" customHeight="1">
      <c r="A1637" s="155" t="str">
        <f>"180402 1"</f>
        <v>180402 1</v>
      </c>
      <c r="B1637" s="153" t="s">
        <v>76</v>
      </c>
      <c r="C1637" s="156" t="str">
        <f>IF(OR($A1637="",ISERROR(VALUE(LEFT($A1637,6)))),"",IF(LEN($A1637)=2,"WOJ. ",IF(LEN($A1637)=4,IF(VALUE(RIGHT($A1637,2))&gt;60,"","Powiat "),IF(VALUE(RIGHT($A1637,1))=1,"m. ",IF(VALUE(RIGHT($A1637,1))=2,"gm. w. ",IF(VALUE(RIGHT($A1637,1))=8,"dz. ","gm. m.-w. ")))))&amp;IF(LEN($A1637)=2,TRIM(UPPER(VLOOKUP($A1637,GUS_tabl_1!$A$7:$B$22,2,FALSE))),IF(ISERROR(FIND("..",TRIM(VLOOKUP(IF(AND(LEN($A1637)=4,VALUE(RIGHT($A1637,2))&gt;60),$A1637&amp;"01 1",$A1637),IF(AND(LEN($A1637)=4,VALUE(RIGHT($A1637,2))&lt;60),GUS_tabl_2!$A$8:$B$464,GUS_tabl_21!$A$5:$B$4886),2,FALSE)))),TRIM(VLOOKUP(IF(AND(LEN($A1637)=4,VALUE(RIGHT($A1637,2))&gt;60),$A1637&amp;"01 1",$A1637),IF(AND(LEN($A1637)=4,VALUE(RIGHT($A1637,2))&lt;60),GUS_tabl_2!$A$8:$B$464,GUS_tabl_21!$A$5:$B$4886),2,FALSE)),LEFT(TRIM(VLOOKUP(IF(AND(LEN($A1637)=4,VALUE(RIGHT($A1637,2))&gt;60),$A1637&amp;"01 1",$A1637),IF(AND(LEN($A1637)=4,VALUE(RIGHT($A1637,2))&lt;60),GUS_tabl_2!$A$8:$B$464,GUS_tabl_21!$A$5:$B$4886),2,FALSE)),SUM(FIND("..",TRIM(VLOOKUP(IF(AND(LEN($A1637)=4,VALUE(RIGHT($A1637,2))&gt;60),$A1637&amp;"01 1",$A1637),IF(AND(LEN($A1637)=4,VALUE(RIGHT($A1637,2))&lt;60),GUS_tabl_2!$A$8:$B$464,GUS_tabl_21!$A$5:$B$4886),2,FALSE))),-1)))))</f>
        <v>m. Radymno</v>
      </c>
      <c r="D1637" s="141">
        <f>IF(OR($A1637="",ISERROR(VALUE(LEFT($A1637,6)))),"",IF(LEN($A1637)=2,SUMIF($A1638:$A$2965,$A1637&amp;"??",$D1638:$D$2965),IF(AND(LEN($A1637)=4,VALUE(RIGHT($A1637,2))&lt;=60),SUMIF($A1638:$A$2965,$A1637&amp;"????",$D1638:$D$2965),VLOOKUP(IF(LEN($A1637)=4,$A1637&amp;"01 1",$A1637),GUS_tabl_21!$A$5:$F$4886,6,FALSE))))</f>
        <v>5273</v>
      </c>
      <c r="E1637" s="29"/>
    </row>
    <row r="1638" spans="1:5" ht="12" customHeight="1">
      <c r="A1638" s="155" t="str">
        <f>"180403 2"</f>
        <v>180403 2</v>
      </c>
      <c r="B1638" s="153" t="s">
        <v>76</v>
      </c>
      <c r="C1638" s="156" t="str">
        <f>IF(OR($A1638="",ISERROR(VALUE(LEFT($A1638,6)))),"",IF(LEN($A1638)=2,"WOJ. ",IF(LEN($A1638)=4,IF(VALUE(RIGHT($A1638,2))&gt;60,"","Powiat "),IF(VALUE(RIGHT($A1638,1))=1,"m. ",IF(VALUE(RIGHT($A1638,1))=2,"gm. w. ",IF(VALUE(RIGHT($A1638,1))=8,"dz. ","gm. m.-w. ")))))&amp;IF(LEN($A1638)=2,TRIM(UPPER(VLOOKUP($A1638,GUS_tabl_1!$A$7:$B$22,2,FALSE))),IF(ISERROR(FIND("..",TRIM(VLOOKUP(IF(AND(LEN($A1638)=4,VALUE(RIGHT($A1638,2))&gt;60),$A1638&amp;"01 1",$A1638),IF(AND(LEN($A1638)=4,VALUE(RIGHT($A1638,2))&lt;60),GUS_tabl_2!$A$8:$B$464,GUS_tabl_21!$A$5:$B$4886),2,FALSE)))),TRIM(VLOOKUP(IF(AND(LEN($A1638)=4,VALUE(RIGHT($A1638,2))&gt;60),$A1638&amp;"01 1",$A1638),IF(AND(LEN($A1638)=4,VALUE(RIGHT($A1638,2))&lt;60),GUS_tabl_2!$A$8:$B$464,GUS_tabl_21!$A$5:$B$4886),2,FALSE)),LEFT(TRIM(VLOOKUP(IF(AND(LEN($A1638)=4,VALUE(RIGHT($A1638,2))&gt;60),$A1638&amp;"01 1",$A1638),IF(AND(LEN($A1638)=4,VALUE(RIGHT($A1638,2))&lt;60),GUS_tabl_2!$A$8:$B$464,GUS_tabl_21!$A$5:$B$4886),2,FALSE)),SUM(FIND("..",TRIM(VLOOKUP(IF(AND(LEN($A1638)=4,VALUE(RIGHT($A1638,2))&gt;60),$A1638&amp;"01 1",$A1638),IF(AND(LEN($A1638)=4,VALUE(RIGHT($A1638,2))&lt;60),GUS_tabl_2!$A$8:$B$464,GUS_tabl_21!$A$5:$B$4886),2,FALSE))),-1)))))</f>
        <v>gm. w. Chłopice</v>
      </c>
      <c r="D1638" s="141">
        <f>IF(OR($A1638="",ISERROR(VALUE(LEFT($A1638,6)))),"",IF(LEN($A1638)=2,SUMIF($A1639:$A$2965,$A1638&amp;"??",$D1639:$D$2965),IF(AND(LEN($A1638)=4,VALUE(RIGHT($A1638,2))&lt;=60),SUMIF($A1639:$A$2965,$A1638&amp;"????",$D1639:$D$2965),VLOOKUP(IF(LEN($A1638)=4,$A1638&amp;"01 1",$A1638),GUS_tabl_21!$A$5:$F$4886,6,FALSE))))</f>
        <v>5535</v>
      </c>
      <c r="E1638" s="29"/>
    </row>
    <row r="1639" spans="1:5" ht="12" customHeight="1">
      <c r="A1639" s="155" t="str">
        <f>"180404 2"</f>
        <v>180404 2</v>
      </c>
      <c r="B1639" s="153" t="s">
        <v>76</v>
      </c>
      <c r="C1639" s="156" t="str">
        <f>IF(OR($A1639="",ISERROR(VALUE(LEFT($A1639,6)))),"",IF(LEN($A1639)=2,"WOJ. ",IF(LEN($A1639)=4,IF(VALUE(RIGHT($A1639,2))&gt;60,"","Powiat "),IF(VALUE(RIGHT($A1639,1))=1,"m. ",IF(VALUE(RIGHT($A1639,1))=2,"gm. w. ",IF(VALUE(RIGHT($A1639,1))=8,"dz. ","gm. m.-w. ")))))&amp;IF(LEN($A1639)=2,TRIM(UPPER(VLOOKUP($A1639,GUS_tabl_1!$A$7:$B$22,2,FALSE))),IF(ISERROR(FIND("..",TRIM(VLOOKUP(IF(AND(LEN($A1639)=4,VALUE(RIGHT($A1639,2))&gt;60),$A1639&amp;"01 1",$A1639),IF(AND(LEN($A1639)=4,VALUE(RIGHT($A1639,2))&lt;60),GUS_tabl_2!$A$8:$B$464,GUS_tabl_21!$A$5:$B$4886),2,FALSE)))),TRIM(VLOOKUP(IF(AND(LEN($A1639)=4,VALUE(RIGHT($A1639,2))&gt;60),$A1639&amp;"01 1",$A1639),IF(AND(LEN($A1639)=4,VALUE(RIGHT($A1639,2))&lt;60),GUS_tabl_2!$A$8:$B$464,GUS_tabl_21!$A$5:$B$4886),2,FALSE)),LEFT(TRIM(VLOOKUP(IF(AND(LEN($A1639)=4,VALUE(RIGHT($A1639,2))&gt;60),$A1639&amp;"01 1",$A1639),IF(AND(LEN($A1639)=4,VALUE(RIGHT($A1639,2))&lt;60),GUS_tabl_2!$A$8:$B$464,GUS_tabl_21!$A$5:$B$4886),2,FALSE)),SUM(FIND("..",TRIM(VLOOKUP(IF(AND(LEN($A1639)=4,VALUE(RIGHT($A1639,2))&gt;60),$A1639&amp;"01 1",$A1639),IF(AND(LEN($A1639)=4,VALUE(RIGHT($A1639,2))&lt;60),GUS_tabl_2!$A$8:$B$464,GUS_tabl_21!$A$5:$B$4886),2,FALSE))),-1)))))</f>
        <v>gm. w. Jarosław</v>
      </c>
      <c r="D1639" s="141">
        <f>IF(OR($A1639="",ISERROR(VALUE(LEFT($A1639,6)))),"",IF(LEN($A1639)=2,SUMIF($A1640:$A$2965,$A1639&amp;"??",$D1640:$D$2965),IF(AND(LEN($A1639)=4,VALUE(RIGHT($A1639,2))&lt;=60),SUMIF($A1640:$A$2965,$A1639&amp;"????",$D1640:$D$2965),VLOOKUP(IF(LEN($A1639)=4,$A1639&amp;"01 1",$A1639),GUS_tabl_21!$A$5:$F$4886,6,FALSE))))</f>
        <v>13213</v>
      </c>
      <c r="E1639" s="29"/>
    </row>
    <row r="1640" spans="1:5" ht="12" customHeight="1">
      <c r="A1640" s="155" t="str">
        <f>"180405 2"</f>
        <v>180405 2</v>
      </c>
      <c r="B1640" s="153" t="s">
        <v>76</v>
      </c>
      <c r="C1640" s="156" t="str">
        <f>IF(OR($A1640="",ISERROR(VALUE(LEFT($A1640,6)))),"",IF(LEN($A1640)=2,"WOJ. ",IF(LEN($A1640)=4,IF(VALUE(RIGHT($A1640,2))&gt;60,"","Powiat "),IF(VALUE(RIGHT($A1640,1))=1,"m. ",IF(VALUE(RIGHT($A1640,1))=2,"gm. w. ",IF(VALUE(RIGHT($A1640,1))=8,"dz. ","gm. m.-w. ")))))&amp;IF(LEN($A1640)=2,TRIM(UPPER(VLOOKUP($A1640,GUS_tabl_1!$A$7:$B$22,2,FALSE))),IF(ISERROR(FIND("..",TRIM(VLOOKUP(IF(AND(LEN($A1640)=4,VALUE(RIGHT($A1640,2))&gt;60),$A1640&amp;"01 1",$A1640),IF(AND(LEN($A1640)=4,VALUE(RIGHT($A1640,2))&lt;60),GUS_tabl_2!$A$8:$B$464,GUS_tabl_21!$A$5:$B$4886),2,FALSE)))),TRIM(VLOOKUP(IF(AND(LEN($A1640)=4,VALUE(RIGHT($A1640,2))&gt;60),$A1640&amp;"01 1",$A1640),IF(AND(LEN($A1640)=4,VALUE(RIGHT($A1640,2))&lt;60),GUS_tabl_2!$A$8:$B$464,GUS_tabl_21!$A$5:$B$4886),2,FALSE)),LEFT(TRIM(VLOOKUP(IF(AND(LEN($A1640)=4,VALUE(RIGHT($A1640,2))&gt;60),$A1640&amp;"01 1",$A1640),IF(AND(LEN($A1640)=4,VALUE(RIGHT($A1640,2))&lt;60),GUS_tabl_2!$A$8:$B$464,GUS_tabl_21!$A$5:$B$4886),2,FALSE)),SUM(FIND("..",TRIM(VLOOKUP(IF(AND(LEN($A1640)=4,VALUE(RIGHT($A1640,2))&gt;60),$A1640&amp;"01 1",$A1640),IF(AND(LEN($A1640)=4,VALUE(RIGHT($A1640,2))&lt;60),GUS_tabl_2!$A$8:$B$464,GUS_tabl_21!$A$5:$B$4886),2,FALSE))),-1)))))</f>
        <v>gm. w. Laszki</v>
      </c>
      <c r="D1640" s="141">
        <f>IF(OR($A1640="",ISERROR(VALUE(LEFT($A1640,6)))),"",IF(LEN($A1640)=2,SUMIF($A1641:$A$2965,$A1640&amp;"??",$D1641:$D$2965),IF(AND(LEN($A1640)=4,VALUE(RIGHT($A1640,2))&lt;=60),SUMIF($A1641:$A$2965,$A1640&amp;"????",$D1641:$D$2965),VLOOKUP(IF(LEN($A1640)=4,$A1640&amp;"01 1",$A1640),GUS_tabl_21!$A$5:$F$4886,6,FALSE))))</f>
        <v>6922</v>
      </c>
      <c r="E1640" s="29"/>
    </row>
    <row r="1641" spans="1:5" ht="12" customHeight="1">
      <c r="A1641" s="155" t="str">
        <f>"180406 2"</f>
        <v>180406 2</v>
      </c>
      <c r="B1641" s="153" t="s">
        <v>76</v>
      </c>
      <c r="C1641" s="156" t="str">
        <f>IF(OR($A1641="",ISERROR(VALUE(LEFT($A1641,6)))),"",IF(LEN($A1641)=2,"WOJ. ",IF(LEN($A1641)=4,IF(VALUE(RIGHT($A1641,2))&gt;60,"","Powiat "),IF(VALUE(RIGHT($A1641,1))=1,"m. ",IF(VALUE(RIGHT($A1641,1))=2,"gm. w. ",IF(VALUE(RIGHT($A1641,1))=8,"dz. ","gm. m.-w. ")))))&amp;IF(LEN($A1641)=2,TRIM(UPPER(VLOOKUP($A1641,GUS_tabl_1!$A$7:$B$22,2,FALSE))),IF(ISERROR(FIND("..",TRIM(VLOOKUP(IF(AND(LEN($A1641)=4,VALUE(RIGHT($A1641,2))&gt;60),$A1641&amp;"01 1",$A1641),IF(AND(LEN($A1641)=4,VALUE(RIGHT($A1641,2))&lt;60),GUS_tabl_2!$A$8:$B$464,GUS_tabl_21!$A$5:$B$4886),2,FALSE)))),TRIM(VLOOKUP(IF(AND(LEN($A1641)=4,VALUE(RIGHT($A1641,2))&gt;60),$A1641&amp;"01 1",$A1641),IF(AND(LEN($A1641)=4,VALUE(RIGHT($A1641,2))&lt;60),GUS_tabl_2!$A$8:$B$464,GUS_tabl_21!$A$5:$B$4886),2,FALSE)),LEFT(TRIM(VLOOKUP(IF(AND(LEN($A1641)=4,VALUE(RIGHT($A1641,2))&gt;60),$A1641&amp;"01 1",$A1641),IF(AND(LEN($A1641)=4,VALUE(RIGHT($A1641,2))&lt;60),GUS_tabl_2!$A$8:$B$464,GUS_tabl_21!$A$5:$B$4886),2,FALSE)),SUM(FIND("..",TRIM(VLOOKUP(IF(AND(LEN($A1641)=4,VALUE(RIGHT($A1641,2))&gt;60),$A1641&amp;"01 1",$A1641),IF(AND(LEN($A1641)=4,VALUE(RIGHT($A1641,2))&lt;60),GUS_tabl_2!$A$8:$B$464,GUS_tabl_21!$A$5:$B$4886),2,FALSE))),-1)))))</f>
        <v>gm. w. Pawłosiów</v>
      </c>
      <c r="D1641" s="141">
        <f>IF(OR($A1641="",ISERROR(VALUE(LEFT($A1641,6)))),"",IF(LEN($A1641)=2,SUMIF($A1642:$A$2965,$A1641&amp;"??",$D1642:$D$2965),IF(AND(LEN($A1641)=4,VALUE(RIGHT($A1641,2))&lt;=60),SUMIF($A1642:$A$2965,$A1641&amp;"????",$D1642:$D$2965),VLOOKUP(IF(LEN($A1641)=4,$A1641&amp;"01 1",$A1641),GUS_tabl_21!$A$5:$F$4886,6,FALSE))))</f>
        <v>8450</v>
      </c>
      <c r="E1641" s="29"/>
    </row>
    <row r="1642" spans="1:5" ht="12" customHeight="1">
      <c r="A1642" s="155" t="str">
        <f>"180407 3"</f>
        <v>180407 3</v>
      </c>
      <c r="B1642" s="153" t="s">
        <v>76</v>
      </c>
      <c r="C1642" s="156" t="str">
        <f>IF(OR($A1642="",ISERROR(VALUE(LEFT($A1642,6)))),"",IF(LEN($A1642)=2,"WOJ. ",IF(LEN($A1642)=4,IF(VALUE(RIGHT($A1642,2))&gt;60,"","Powiat "),IF(VALUE(RIGHT($A1642,1))=1,"m. ",IF(VALUE(RIGHT($A1642,1))=2,"gm. w. ",IF(VALUE(RIGHT($A1642,1))=8,"dz. ","gm. m.-w. ")))))&amp;IF(LEN($A1642)=2,TRIM(UPPER(VLOOKUP($A1642,GUS_tabl_1!$A$7:$B$22,2,FALSE))),IF(ISERROR(FIND("..",TRIM(VLOOKUP(IF(AND(LEN($A1642)=4,VALUE(RIGHT($A1642,2))&gt;60),$A1642&amp;"01 1",$A1642),IF(AND(LEN($A1642)=4,VALUE(RIGHT($A1642,2))&lt;60),GUS_tabl_2!$A$8:$B$464,GUS_tabl_21!$A$5:$B$4886),2,FALSE)))),TRIM(VLOOKUP(IF(AND(LEN($A1642)=4,VALUE(RIGHT($A1642,2))&gt;60),$A1642&amp;"01 1",$A1642),IF(AND(LEN($A1642)=4,VALUE(RIGHT($A1642,2))&lt;60),GUS_tabl_2!$A$8:$B$464,GUS_tabl_21!$A$5:$B$4886),2,FALSE)),LEFT(TRIM(VLOOKUP(IF(AND(LEN($A1642)=4,VALUE(RIGHT($A1642,2))&gt;60),$A1642&amp;"01 1",$A1642),IF(AND(LEN($A1642)=4,VALUE(RIGHT($A1642,2))&lt;60),GUS_tabl_2!$A$8:$B$464,GUS_tabl_21!$A$5:$B$4886),2,FALSE)),SUM(FIND("..",TRIM(VLOOKUP(IF(AND(LEN($A1642)=4,VALUE(RIGHT($A1642,2))&gt;60),$A1642&amp;"01 1",$A1642),IF(AND(LEN($A1642)=4,VALUE(RIGHT($A1642,2))&lt;60),GUS_tabl_2!$A$8:$B$464,GUS_tabl_21!$A$5:$B$4886),2,FALSE))),-1)))))</f>
        <v>gm. m.-w. Pruchnik</v>
      </c>
      <c r="D1642" s="141">
        <f>IF(OR($A1642="",ISERROR(VALUE(LEFT($A1642,6)))),"",IF(LEN($A1642)=2,SUMIF($A1643:$A$2965,$A1642&amp;"??",$D1643:$D$2965),IF(AND(LEN($A1642)=4,VALUE(RIGHT($A1642,2))&lt;=60),SUMIF($A1643:$A$2965,$A1642&amp;"????",$D1643:$D$2965),VLOOKUP(IF(LEN($A1642)=4,$A1642&amp;"01 1",$A1642),GUS_tabl_21!$A$5:$F$4886,6,FALSE))))</f>
        <v>9681</v>
      </c>
      <c r="E1642" s="29"/>
    </row>
    <row r="1643" spans="1:5" ht="12" customHeight="1">
      <c r="A1643" s="155" t="str">
        <f>"180408 2"</f>
        <v>180408 2</v>
      </c>
      <c r="B1643" s="153" t="s">
        <v>76</v>
      </c>
      <c r="C1643" s="156" t="str">
        <f>IF(OR($A1643="",ISERROR(VALUE(LEFT($A1643,6)))),"",IF(LEN($A1643)=2,"WOJ. ",IF(LEN($A1643)=4,IF(VALUE(RIGHT($A1643,2))&gt;60,"","Powiat "),IF(VALUE(RIGHT($A1643,1))=1,"m. ",IF(VALUE(RIGHT($A1643,1))=2,"gm. w. ",IF(VALUE(RIGHT($A1643,1))=8,"dz. ","gm. m.-w. ")))))&amp;IF(LEN($A1643)=2,TRIM(UPPER(VLOOKUP($A1643,GUS_tabl_1!$A$7:$B$22,2,FALSE))),IF(ISERROR(FIND("..",TRIM(VLOOKUP(IF(AND(LEN($A1643)=4,VALUE(RIGHT($A1643,2))&gt;60),$A1643&amp;"01 1",$A1643),IF(AND(LEN($A1643)=4,VALUE(RIGHT($A1643,2))&lt;60),GUS_tabl_2!$A$8:$B$464,GUS_tabl_21!$A$5:$B$4886),2,FALSE)))),TRIM(VLOOKUP(IF(AND(LEN($A1643)=4,VALUE(RIGHT($A1643,2))&gt;60),$A1643&amp;"01 1",$A1643),IF(AND(LEN($A1643)=4,VALUE(RIGHT($A1643,2))&lt;60),GUS_tabl_2!$A$8:$B$464,GUS_tabl_21!$A$5:$B$4886),2,FALSE)),LEFT(TRIM(VLOOKUP(IF(AND(LEN($A1643)=4,VALUE(RIGHT($A1643,2))&gt;60),$A1643&amp;"01 1",$A1643),IF(AND(LEN($A1643)=4,VALUE(RIGHT($A1643,2))&lt;60),GUS_tabl_2!$A$8:$B$464,GUS_tabl_21!$A$5:$B$4886),2,FALSE)),SUM(FIND("..",TRIM(VLOOKUP(IF(AND(LEN($A1643)=4,VALUE(RIGHT($A1643,2))&gt;60),$A1643&amp;"01 1",$A1643),IF(AND(LEN($A1643)=4,VALUE(RIGHT($A1643,2))&lt;60),GUS_tabl_2!$A$8:$B$464,GUS_tabl_21!$A$5:$B$4886),2,FALSE))),-1)))))</f>
        <v>gm. w. Radymno (c)</v>
      </c>
      <c r="D1643" s="141">
        <f>IF(OR($A1643="",ISERROR(VALUE(LEFT($A1643,6)))),"",IF(LEN($A1643)=2,SUMIF($A1644:$A$2965,$A1643&amp;"??",$D1644:$D$2965),IF(AND(LEN($A1643)=4,VALUE(RIGHT($A1643,2))&lt;=60),SUMIF($A1644:$A$2965,$A1643&amp;"????",$D1644:$D$2965),VLOOKUP(IF(LEN($A1643)=4,$A1643&amp;"01 1",$A1643),GUS_tabl_21!$A$5:$F$4886,6,FALSE))))</f>
        <v>11395</v>
      </c>
      <c r="E1643" s="29"/>
    </row>
    <row r="1644" spans="1:5" ht="12" customHeight="1">
      <c r="A1644" s="155" t="str">
        <f>"180409 2"</f>
        <v>180409 2</v>
      </c>
      <c r="B1644" s="153" t="s">
        <v>76</v>
      </c>
      <c r="C1644" s="156" t="str">
        <f>IF(OR($A1644="",ISERROR(VALUE(LEFT($A1644,6)))),"",IF(LEN($A1644)=2,"WOJ. ",IF(LEN($A1644)=4,IF(VALUE(RIGHT($A1644,2))&gt;60,"","Powiat "),IF(VALUE(RIGHT($A1644,1))=1,"m. ",IF(VALUE(RIGHT($A1644,1))=2,"gm. w. ",IF(VALUE(RIGHT($A1644,1))=8,"dz. ","gm. m.-w. ")))))&amp;IF(LEN($A1644)=2,TRIM(UPPER(VLOOKUP($A1644,GUS_tabl_1!$A$7:$B$22,2,FALSE))),IF(ISERROR(FIND("..",TRIM(VLOOKUP(IF(AND(LEN($A1644)=4,VALUE(RIGHT($A1644,2))&gt;60),$A1644&amp;"01 1",$A1644),IF(AND(LEN($A1644)=4,VALUE(RIGHT($A1644,2))&lt;60),GUS_tabl_2!$A$8:$B$464,GUS_tabl_21!$A$5:$B$4886),2,FALSE)))),TRIM(VLOOKUP(IF(AND(LEN($A1644)=4,VALUE(RIGHT($A1644,2))&gt;60),$A1644&amp;"01 1",$A1644),IF(AND(LEN($A1644)=4,VALUE(RIGHT($A1644,2))&lt;60),GUS_tabl_2!$A$8:$B$464,GUS_tabl_21!$A$5:$B$4886),2,FALSE)),LEFT(TRIM(VLOOKUP(IF(AND(LEN($A1644)=4,VALUE(RIGHT($A1644,2))&gt;60),$A1644&amp;"01 1",$A1644),IF(AND(LEN($A1644)=4,VALUE(RIGHT($A1644,2))&lt;60),GUS_tabl_2!$A$8:$B$464,GUS_tabl_21!$A$5:$B$4886),2,FALSE)),SUM(FIND("..",TRIM(VLOOKUP(IF(AND(LEN($A1644)=4,VALUE(RIGHT($A1644,2))&gt;60),$A1644&amp;"01 1",$A1644),IF(AND(LEN($A1644)=4,VALUE(RIGHT($A1644,2))&lt;60),GUS_tabl_2!$A$8:$B$464,GUS_tabl_21!$A$5:$B$4886),2,FALSE))),-1)))))</f>
        <v>gm. w. Rokietnica</v>
      </c>
      <c r="D1644" s="141">
        <f>IF(OR($A1644="",ISERROR(VALUE(LEFT($A1644,6)))),"",IF(LEN($A1644)=2,SUMIF($A1645:$A$2965,$A1644&amp;"??",$D1645:$D$2965),IF(AND(LEN($A1644)=4,VALUE(RIGHT($A1644,2))&lt;=60),SUMIF($A1645:$A$2965,$A1644&amp;"????",$D1645:$D$2965),VLOOKUP(IF(LEN($A1644)=4,$A1644&amp;"01 1",$A1644),GUS_tabl_21!$A$5:$F$4886,6,FALSE))))</f>
        <v>4349</v>
      </c>
      <c r="E1644" s="29"/>
    </row>
    <row r="1645" spans="1:5" ht="12" customHeight="1">
      <c r="A1645" s="155" t="str">
        <f>"180410 2"</f>
        <v>180410 2</v>
      </c>
      <c r="B1645" s="153" t="s">
        <v>76</v>
      </c>
      <c r="C1645" s="156" t="str">
        <f>IF(OR($A1645="",ISERROR(VALUE(LEFT($A1645,6)))),"",IF(LEN($A1645)=2,"WOJ. ",IF(LEN($A1645)=4,IF(VALUE(RIGHT($A1645,2))&gt;60,"","Powiat "),IF(VALUE(RIGHT($A1645,1))=1,"m. ",IF(VALUE(RIGHT($A1645,1))=2,"gm. w. ",IF(VALUE(RIGHT($A1645,1))=8,"dz. ","gm. m.-w. ")))))&amp;IF(LEN($A1645)=2,TRIM(UPPER(VLOOKUP($A1645,GUS_tabl_1!$A$7:$B$22,2,FALSE))),IF(ISERROR(FIND("..",TRIM(VLOOKUP(IF(AND(LEN($A1645)=4,VALUE(RIGHT($A1645,2))&gt;60),$A1645&amp;"01 1",$A1645),IF(AND(LEN($A1645)=4,VALUE(RIGHT($A1645,2))&lt;60),GUS_tabl_2!$A$8:$B$464,GUS_tabl_21!$A$5:$B$4886),2,FALSE)))),TRIM(VLOOKUP(IF(AND(LEN($A1645)=4,VALUE(RIGHT($A1645,2))&gt;60),$A1645&amp;"01 1",$A1645),IF(AND(LEN($A1645)=4,VALUE(RIGHT($A1645,2))&lt;60),GUS_tabl_2!$A$8:$B$464,GUS_tabl_21!$A$5:$B$4886),2,FALSE)),LEFT(TRIM(VLOOKUP(IF(AND(LEN($A1645)=4,VALUE(RIGHT($A1645,2))&gt;60),$A1645&amp;"01 1",$A1645),IF(AND(LEN($A1645)=4,VALUE(RIGHT($A1645,2))&lt;60),GUS_tabl_2!$A$8:$B$464,GUS_tabl_21!$A$5:$B$4886),2,FALSE)),SUM(FIND("..",TRIM(VLOOKUP(IF(AND(LEN($A1645)=4,VALUE(RIGHT($A1645,2))&gt;60),$A1645&amp;"01 1",$A1645),IF(AND(LEN($A1645)=4,VALUE(RIGHT($A1645,2))&lt;60),GUS_tabl_2!$A$8:$B$464,GUS_tabl_21!$A$5:$B$4886),2,FALSE))),-1)))))</f>
        <v>gm. w. Roźwienica</v>
      </c>
      <c r="D1645" s="141">
        <f>IF(OR($A1645="",ISERROR(VALUE(LEFT($A1645,6)))),"",IF(LEN($A1645)=2,SUMIF($A1646:$A$2965,$A1645&amp;"??",$D1646:$D$2965),IF(AND(LEN($A1645)=4,VALUE(RIGHT($A1645,2))&lt;=60),SUMIF($A1646:$A$2965,$A1645&amp;"????",$D1646:$D$2965),VLOOKUP(IF(LEN($A1645)=4,$A1645&amp;"01 1",$A1645),GUS_tabl_21!$A$5:$F$4886,6,FALSE))))</f>
        <v>6235</v>
      </c>
      <c r="E1645" s="29"/>
    </row>
    <row r="1646" spans="1:5" ht="12" customHeight="1">
      <c r="A1646" s="155" t="str">
        <f>"180411 2"</f>
        <v>180411 2</v>
      </c>
      <c r="B1646" s="153" t="s">
        <v>76</v>
      </c>
      <c r="C1646" s="156" t="str">
        <f>IF(OR($A1646="",ISERROR(VALUE(LEFT($A1646,6)))),"",IF(LEN($A1646)=2,"WOJ. ",IF(LEN($A1646)=4,IF(VALUE(RIGHT($A1646,2))&gt;60,"","Powiat "),IF(VALUE(RIGHT($A1646,1))=1,"m. ",IF(VALUE(RIGHT($A1646,1))=2,"gm. w. ",IF(VALUE(RIGHT($A1646,1))=8,"dz. ","gm. m.-w. ")))))&amp;IF(LEN($A1646)=2,TRIM(UPPER(VLOOKUP($A1646,GUS_tabl_1!$A$7:$B$22,2,FALSE))),IF(ISERROR(FIND("..",TRIM(VLOOKUP(IF(AND(LEN($A1646)=4,VALUE(RIGHT($A1646,2))&gt;60),$A1646&amp;"01 1",$A1646),IF(AND(LEN($A1646)=4,VALUE(RIGHT($A1646,2))&lt;60),GUS_tabl_2!$A$8:$B$464,GUS_tabl_21!$A$5:$B$4886),2,FALSE)))),TRIM(VLOOKUP(IF(AND(LEN($A1646)=4,VALUE(RIGHT($A1646,2))&gt;60),$A1646&amp;"01 1",$A1646),IF(AND(LEN($A1646)=4,VALUE(RIGHT($A1646,2))&lt;60),GUS_tabl_2!$A$8:$B$464,GUS_tabl_21!$A$5:$B$4886),2,FALSE)),LEFT(TRIM(VLOOKUP(IF(AND(LEN($A1646)=4,VALUE(RIGHT($A1646,2))&gt;60),$A1646&amp;"01 1",$A1646),IF(AND(LEN($A1646)=4,VALUE(RIGHT($A1646,2))&lt;60),GUS_tabl_2!$A$8:$B$464,GUS_tabl_21!$A$5:$B$4886),2,FALSE)),SUM(FIND("..",TRIM(VLOOKUP(IF(AND(LEN($A1646)=4,VALUE(RIGHT($A1646,2))&gt;60),$A1646&amp;"01 1",$A1646),IF(AND(LEN($A1646)=4,VALUE(RIGHT($A1646,2))&lt;60),GUS_tabl_2!$A$8:$B$464,GUS_tabl_21!$A$5:$B$4886),2,FALSE))),-1)))))</f>
        <v>gm. w. Wiązownica</v>
      </c>
      <c r="D1646" s="141">
        <f>IF(OR($A1646="",ISERROR(VALUE(LEFT($A1646,6)))),"",IF(LEN($A1646)=2,SUMIF($A1647:$A$2965,$A1646&amp;"??",$D1647:$D$2965),IF(AND(LEN($A1646)=4,VALUE(RIGHT($A1646,2))&lt;=60),SUMIF($A1647:$A$2965,$A1646&amp;"????",$D1647:$D$2965),VLOOKUP(IF(LEN($A1646)=4,$A1646&amp;"01 1",$A1646),GUS_tabl_21!$A$5:$F$4886,6,FALSE))))</f>
        <v>11715</v>
      </c>
      <c r="E1646" s="29"/>
    </row>
    <row r="1647" spans="1:5" ht="12" customHeight="1">
      <c r="A1647" s="152" t="str">
        <f>"1805"</f>
        <v>1805</v>
      </c>
      <c r="B1647" s="153" t="s">
        <v>76</v>
      </c>
      <c r="C1647" s="154" t="str">
        <f>IF(OR($A1647="",ISERROR(VALUE(LEFT($A1647,6)))),"",IF(LEN($A1647)=2,"WOJ. ",IF(LEN($A1647)=4,IF(VALUE(RIGHT($A1647,2))&gt;60,"","Powiat "),IF(VALUE(RIGHT($A1647,1))=1,"m. ",IF(VALUE(RIGHT($A1647,1))=2,"gm. w. ",IF(VALUE(RIGHT($A1647,1))=8,"dz. ","gm. m.-w. ")))))&amp;IF(LEN($A1647)=2,TRIM(UPPER(VLOOKUP($A1647,GUS_tabl_1!$A$7:$B$22,2,FALSE))),IF(ISERROR(FIND("..",TRIM(VLOOKUP(IF(AND(LEN($A1647)=4,VALUE(RIGHT($A1647,2))&gt;60),$A1647&amp;"01 1",$A1647),IF(AND(LEN($A1647)=4,VALUE(RIGHT($A1647,2))&lt;60),GUS_tabl_2!$A$8:$B$464,GUS_tabl_21!$A$5:$B$4886),2,FALSE)))),TRIM(VLOOKUP(IF(AND(LEN($A1647)=4,VALUE(RIGHT($A1647,2))&gt;60),$A1647&amp;"01 1",$A1647),IF(AND(LEN($A1647)=4,VALUE(RIGHT($A1647,2))&lt;60),GUS_tabl_2!$A$8:$B$464,GUS_tabl_21!$A$5:$B$4886),2,FALSE)),LEFT(TRIM(VLOOKUP(IF(AND(LEN($A1647)=4,VALUE(RIGHT($A1647,2))&gt;60),$A1647&amp;"01 1",$A1647),IF(AND(LEN($A1647)=4,VALUE(RIGHT($A1647,2))&lt;60),GUS_tabl_2!$A$8:$B$464,GUS_tabl_21!$A$5:$B$4886),2,FALSE)),SUM(FIND("..",TRIM(VLOOKUP(IF(AND(LEN($A1647)=4,VALUE(RIGHT($A1647,2))&gt;60),$A1647&amp;"01 1",$A1647),IF(AND(LEN($A1647)=4,VALUE(RIGHT($A1647,2))&lt;60),GUS_tabl_2!$A$8:$B$464,GUS_tabl_21!$A$5:$B$4886),2,FALSE))),-1)))))</f>
        <v>Powiat jasielski</v>
      </c>
      <c r="D1647" s="140">
        <f>IF(OR($A1647="",ISERROR(VALUE(LEFT($A1647,6)))),"",IF(LEN($A1647)=2,SUMIF($A1648:$A$2965,$A1647&amp;"??",$D1648:$D$2965),IF(AND(LEN($A1647)=4,VALUE(RIGHT($A1647,2))&lt;=60),SUMIF($A1648:$A$2965,$A1647&amp;"????",$D1648:$D$2965),VLOOKUP(IF(LEN($A1647)=4,$A1647&amp;"01 1",$A1647),GUS_tabl_21!$A$5:$F$4886,6,FALSE))))</f>
        <v>113450</v>
      </c>
      <c r="E1647" s="29"/>
    </row>
    <row r="1648" spans="1:5" ht="12" customHeight="1">
      <c r="A1648" s="155" t="str">
        <f>"180501 1"</f>
        <v>180501 1</v>
      </c>
      <c r="B1648" s="153" t="s">
        <v>76</v>
      </c>
      <c r="C1648" s="156" t="str">
        <f>IF(OR($A1648="",ISERROR(VALUE(LEFT($A1648,6)))),"",IF(LEN($A1648)=2,"WOJ. ",IF(LEN($A1648)=4,IF(VALUE(RIGHT($A1648,2))&gt;60,"","Powiat "),IF(VALUE(RIGHT($A1648,1))=1,"m. ",IF(VALUE(RIGHT($A1648,1))=2,"gm. w. ",IF(VALUE(RIGHT($A1648,1))=8,"dz. ","gm. m.-w. ")))))&amp;IF(LEN($A1648)=2,TRIM(UPPER(VLOOKUP($A1648,GUS_tabl_1!$A$7:$B$22,2,FALSE))),IF(ISERROR(FIND("..",TRIM(VLOOKUP(IF(AND(LEN($A1648)=4,VALUE(RIGHT($A1648,2))&gt;60),$A1648&amp;"01 1",$A1648),IF(AND(LEN($A1648)=4,VALUE(RIGHT($A1648,2))&lt;60),GUS_tabl_2!$A$8:$B$464,GUS_tabl_21!$A$5:$B$4886),2,FALSE)))),TRIM(VLOOKUP(IF(AND(LEN($A1648)=4,VALUE(RIGHT($A1648,2))&gt;60),$A1648&amp;"01 1",$A1648),IF(AND(LEN($A1648)=4,VALUE(RIGHT($A1648,2))&lt;60),GUS_tabl_2!$A$8:$B$464,GUS_tabl_21!$A$5:$B$4886),2,FALSE)),LEFT(TRIM(VLOOKUP(IF(AND(LEN($A1648)=4,VALUE(RIGHT($A1648,2))&gt;60),$A1648&amp;"01 1",$A1648),IF(AND(LEN($A1648)=4,VALUE(RIGHT($A1648,2))&lt;60),GUS_tabl_2!$A$8:$B$464,GUS_tabl_21!$A$5:$B$4886),2,FALSE)),SUM(FIND("..",TRIM(VLOOKUP(IF(AND(LEN($A1648)=4,VALUE(RIGHT($A1648,2))&gt;60),$A1648&amp;"01 1",$A1648),IF(AND(LEN($A1648)=4,VALUE(RIGHT($A1648,2))&lt;60),GUS_tabl_2!$A$8:$B$464,GUS_tabl_21!$A$5:$B$4886),2,FALSE))),-1)))))</f>
        <v>m. Jasło</v>
      </c>
      <c r="D1648" s="141">
        <f>IF(OR($A1648="",ISERROR(VALUE(LEFT($A1648,6)))),"",IF(LEN($A1648)=2,SUMIF($A1649:$A$2965,$A1648&amp;"??",$D1649:$D$2965),IF(AND(LEN($A1648)=4,VALUE(RIGHT($A1648,2))&lt;=60),SUMIF($A1649:$A$2965,$A1648&amp;"????",$D1649:$D$2965),VLOOKUP(IF(LEN($A1648)=4,$A1648&amp;"01 1",$A1648),GUS_tabl_21!$A$5:$F$4886,6,FALSE))))</f>
        <v>34882</v>
      </c>
      <c r="E1648" s="29"/>
    </row>
    <row r="1649" spans="1:5" ht="12" customHeight="1">
      <c r="A1649" s="155" t="str">
        <f>"180502 2"</f>
        <v>180502 2</v>
      </c>
      <c r="B1649" s="153" t="s">
        <v>76</v>
      </c>
      <c r="C1649" s="156" t="str">
        <f>IF(OR($A1649="",ISERROR(VALUE(LEFT($A1649,6)))),"",IF(LEN($A1649)=2,"WOJ. ",IF(LEN($A1649)=4,IF(VALUE(RIGHT($A1649,2))&gt;60,"","Powiat "),IF(VALUE(RIGHT($A1649,1))=1,"m. ",IF(VALUE(RIGHT($A1649,1))=2,"gm. w. ",IF(VALUE(RIGHT($A1649,1))=8,"dz. ","gm. m.-w. ")))))&amp;IF(LEN($A1649)=2,TRIM(UPPER(VLOOKUP($A1649,GUS_tabl_1!$A$7:$B$22,2,FALSE))),IF(ISERROR(FIND("..",TRIM(VLOOKUP(IF(AND(LEN($A1649)=4,VALUE(RIGHT($A1649,2))&gt;60),$A1649&amp;"01 1",$A1649),IF(AND(LEN($A1649)=4,VALUE(RIGHT($A1649,2))&lt;60),GUS_tabl_2!$A$8:$B$464,GUS_tabl_21!$A$5:$B$4886),2,FALSE)))),TRIM(VLOOKUP(IF(AND(LEN($A1649)=4,VALUE(RIGHT($A1649,2))&gt;60),$A1649&amp;"01 1",$A1649),IF(AND(LEN($A1649)=4,VALUE(RIGHT($A1649,2))&lt;60),GUS_tabl_2!$A$8:$B$464,GUS_tabl_21!$A$5:$B$4886),2,FALSE)),LEFT(TRIM(VLOOKUP(IF(AND(LEN($A1649)=4,VALUE(RIGHT($A1649,2))&gt;60),$A1649&amp;"01 1",$A1649),IF(AND(LEN($A1649)=4,VALUE(RIGHT($A1649,2))&lt;60),GUS_tabl_2!$A$8:$B$464,GUS_tabl_21!$A$5:$B$4886),2,FALSE)),SUM(FIND("..",TRIM(VLOOKUP(IF(AND(LEN($A1649)=4,VALUE(RIGHT($A1649,2))&gt;60),$A1649&amp;"01 1",$A1649),IF(AND(LEN($A1649)=4,VALUE(RIGHT($A1649,2))&lt;60),GUS_tabl_2!$A$8:$B$464,GUS_tabl_21!$A$5:$B$4886),2,FALSE))),-1)))))</f>
        <v>gm. w. Brzyska</v>
      </c>
      <c r="D1649" s="141">
        <f>IF(OR($A1649="",ISERROR(VALUE(LEFT($A1649,6)))),"",IF(LEN($A1649)=2,SUMIF($A1650:$A$2965,$A1649&amp;"??",$D1650:$D$2965),IF(AND(LEN($A1649)=4,VALUE(RIGHT($A1649,2))&lt;=60),SUMIF($A1650:$A$2965,$A1649&amp;"????",$D1650:$D$2965),VLOOKUP(IF(LEN($A1649)=4,$A1649&amp;"01 1",$A1649),GUS_tabl_21!$A$5:$F$4886,6,FALSE))))</f>
        <v>6530</v>
      </c>
      <c r="E1649" s="29"/>
    </row>
    <row r="1650" spans="1:5" ht="12" customHeight="1">
      <c r="A1650" s="155" t="str">
        <f>"180503 2"</f>
        <v>180503 2</v>
      </c>
      <c r="B1650" s="153" t="s">
        <v>76</v>
      </c>
      <c r="C1650" s="156" t="str">
        <f>IF(OR($A1650="",ISERROR(VALUE(LEFT($A1650,6)))),"",IF(LEN($A1650)=2,"WOJ. ",IF(LEN($A1650)=4,IF(VALUE(RIGHT($A1650,2))&gt;60,"","Powiat "),IF(VALUE(RIGHT($A1650,1))=1,"m. ",IF(VALUE(RIGHT($A1650,1))=2,"gm. w. ",IF(VALUE(RIGHT($A1650,1))=8,"dz. ","gm. m.-w. ")))))&amp;IF(LEN($A1650)=2,TRIM(UPPER(VLOOKUP($A1650,GUS_tabl_1!$A$7:$B$22,2,FALSE))),IF(ISERROR(FIND("..",TRIM(VLOOKUP(IF(AND(LEN($A1650)=4,VALUE(RIGHT($A1650,2))&gt;60),$A1650&amp;"01 1",$A1650),IF(AND(LEN($A1650)=4,VALUE(RIGHT($A1650,2))&lt;60),GUS_tabl_2!$A$8:$B$464,GUS_tabl_21!$A$5:$B$4886),2,FALSE)))),TRIM(VLOOKUP(IF(AND(LEN($A1650)=4,VALUE(RIGHT($A1650,2))&gt;60),$A1650&amp;"01 1",$A1650),IF(AND(LEN($A1650)=4,VALUE(RIGHT($A1650,2))&lt;60),GUS_tabl_2!$A$8:$B$464,GUS_tabl_21!$A$5:$B$4886),2,FALSE)),LEFT(TRIM(VLOOKUP(IF(AND(LEN($A1650)=4,VALUE(RIGHT($A1650,2))&gt;60),$A1650&amp;"01 1",$A1650),IF(AND(LEN($A1650)=4,VALUE(RIGHT($A1650,2))&lt;60),GUS_tabl_2!$A$8:$B$464,GUS_tabl_21!$A$5:$B$4886),2,FALSE)),SUM(FIND("..",TRIM(VLOOKUP(IF(AND(LEN($A1650)=4,VALUE(RIGHT($A1650,2))&gt;60),$A1650&amp;"01 1",$A1650),IF(AND(LEN($A1650)=4,VALUE(RIGHT($A1650,2))&lt;60),GUS_tabl_2!$A$8:$B$464,GUS_tabl_21!$A$5:$B$4886),2,FALSE))),-1)))))</f>
        <v>gm. w. Dębowiec</v>
      </c>
      <c r="D1650" s="141">
        <f>IF(OR($A1650="",ISERROR(VALUE(LEFT($A1650,6)))),"",IF(LEN($A1650)=2,SUMIF($A1651:$A$2965,$A1650&amp;"??",$D1651:$D$2965),IF(AND(LEN($A1650)=4,VALUE(RIGHT($A1650,2))&lt;=60),SUMIF($A1651:$A$2965,$A1650&amp;"????",$D1651:$D$2965),VLOOKUP(IF(LEN($A1650)=4,$A1650&amp;"01 1",$A1650),GUS_tabl_21!$A$5:$F$4886,6,FALSE))))</f>
        <v>8867</v>
      </c>
      <c r="E1650" s="29"/>
    </row>
    <row r="1651" spans="1:5" ht="12" customHeight="1">
      <c r="A1651" s="155" t="str">
        <f>"180504 2"</f>
        <v>180504 2</v>
      </c>
      <c r="B1651" s="153" t="s">
        <v>76</v>
      </c>
      <c r="C1651" s="156" t="str">
        <f>IF(OR($A1651="",ISERROR(VALUE(LEFT($A1651,6)))),"",IF(LEN($A1651)=2,"WOJ. ",IF(LEN($A1651)=4,IF(VALUE(RIGHT($A1651,2))&gt;60,"","Powiat "),IF(VALUE(RIGHT($A1651,1))=1,"m. ",IF(VALUE(RIGHT($A1651,1))=2,"gm. w. ",IF(VALUE(RIGHT($A1651,1))=8,"dz. ","gm. m.-w. ")))))&amp;IF(LEN($A1651)=2,TRIM(UPPER(VLOOKUP($A1651,GUS_tabl_1!$A$7:$B$22,2,FALSE))),IF(ISERROR(FIND("..",TRIM(VLOOKUP(IF(AND(LEN($A1651)=4,VALUE(RIGHT($A1651,2))&gt;60),$A1651&amp;"01 1",$A1651),IF(AND(LEN($A1651)=4,VALUE(RIGHT($A1651,2))&lt;60),GUS_tabl_2!$A$8:$B$464,GUS_tabl_21!$A$5:$B$4886),2,FALSE)))),TRIM(VLOOKUP(IF(AND(LEN($A1651)=4,VALUE(RIGHT($A1651,2))&gt;60),$A1651&amp;"01 1",$A1651),IF(AND(LEN($A1651)=4,VALUE(RIGHT($A1651,2))&lt;60),GUS_tabl_2!$A$8:$B$464,GUS_tabl_21!$A$5:$B$4886),2,FALSE)),LEFT(TRIM(VLOOKUP(IF(AND(LEN($A1651)=4,VALUE(RIGHT($A1651,2))&gt;60),$A1651&amp;"01 1",$A1651),IF(AND(LEN($A1651)=4,VALUE(RIGHT($A1651,2))&lt;60),GUS_tabl_2!$A$8:$B$464,GUS_tabl_21!$A$5:$B$4886),2,FALSE)),SUM(FIND("..",TRIM(VLOOKUP(IF(AND(LEN($A1651)=4,VALUE(RIGHT($A1651,2))&gt;60),$A1651&amp;"01 1",$A1651),IF(AND(LEN($A1651)=4,VALUE(RIGHT($A1651,2))&lt;60),GUS_tabl_2!$A$8:$B$464,GUS_tabl_21!$A$5:$B$4886),2,FALSE))),-1)))))</f>
        <v>gm. w. Jasło</v>
      </c>
      <c r="D1651" s="141">
        <f>IF(OR($A1651="",ISERROR(VALUE(LEFT($A1651,6)))),"",IF(LEN($A1651)=2,SUMIF($A1652:$A$2965,$A1651&amp;"??",$D1652:$D$2965),IF(AND(LEN($A1651)=4,VALUE(RIGHT($A1651,2))&lt;=60),SUMIF($A1652:$A$2965,$A1651&amp;"????",$D1652:$D$2965),VLOOKUP(IF(LEN($A1651)=4,$A1651&amp;"01 1",$A1651),GUS_tabl_21!$A$5:$F$4886,6,FALSE))))</f>
        <v>16357</v>
      </c>
      <c r="E1651" s="29"/>
    </row>
    <row r="1652" spans="1:5" ht="12" customHeight="1">
      <c r="A1652" s="155" t="str">
        <f>"180505 3"</f>
        <v>180505 3</v>
      </c>
      <c r="B1652" s="153" t="s">
        <v>76</v>
      </c>
      <c r="C1652" s="156" t="str">
        <f>IF(OR($A1652="",ISERROR(VALUE(LEFT($A1652,6)))),"",IF(LEN($A1652)=2,"WOJ. ",IF(LEN($A1652)=4,IF(VALUE(RIGHT($A1652,2))&gt;60,"","Powiat "),IF(VALUE(RIGHT($A1652,1))=1,"m. ",IF(VALUE(RIGHT($A1652,1))=2,"gm. w. ",IF(VALUE(RIGHT($A1652,1))=8,"dz. ","gm. m.-w. ")))))&amp;IF(LEN($A1652)=2,TRIM(UPPER(VLOOKUP($A1652,GUS_tabl_1!$A$7:$B$22,2,FALSE))),IF(ISERROR(FIND("..",TRIM(VLOOKUP(IF(AND(LEN($A1652)=4,VALUE(RIGHT($A1652,2))&gt;60),$A1652&amp;"01 1",$A1652),IF(AND(LEN($A1652)=4,VALUE(RIGHT($A1652,2))&lt;60),GUS_tabl_2!$A$8:$B$464,GUS_tabl_21!$A$5:$B$4886),2,FALSE)))),TRIM(VLOOKUP(IF(AND(LEN($A1652)=4,VALUE(RIGHT($A1652,2))&gt;60),$A1652&amp;"01 1",$A1652),IF(AND(LEN($A1652)=4,VALUE(RIGHT($A1652,2))&lt;60),GUS_tabl_2!$A$8:$B$464,GUS_tabl_21!$A$5:$B$4886),2,FALSE)),LEFT(TRIM(VLOOKUP(IF(AND(LEN($A1652)=4,VALUE(RIGHT($A1652,2))&gt;60),$A1652&amp;"01 1",$A1652),IF(AND(LEN($A1652)=4,VALUE(RIGHT($A1652,2))&lt;60),GUS_tabl_2!$A$8:$B$464,GUS_tabl_21!$A$5:$B$4886),2,FALSE)),SUM(FIND("..",TRIM(VLOOKUP(IF(AND(LEN($A1652)=4,VALUE(RIGHT($A1652,2))&gt;60),$A1652&amp;"01 1",$A1652),IF(AND(LEN($A1652)=4,VALUE(RIGHT($A1652,2))&lt;60),GUS_tabl_2!$A$8:$B$464,GUS_tabl_21!$A$5:$B$4886),2,FALSE))),-1)))))</f>
        <v>gm. m.-w. Kołaczyce</v>
      </c>
      <c r="D1652" s="141">
        <f>IF(OR($A1652="",ISERROR(VALUE(LEFT($A1652,6)))),"",IF(LEN($A1652)=2,SUMIF($A1653:$A$2965,$A1652&amp;"??",$D1653:$D$2965),IF(AND(LEN($A1652)=4,VALUE(RIGHT($A1652,2))&lt;=60),SUMIF($A1653:$A$2965,$A1652&amp;"????",$D1653:$D$2965),VLOOKUP(IF(LEN($A1652)=4,$A1652&amp;"01 1",$A1652),GUS_tabl_21!$A$5:$F$4886,6,FALSE))))</f>
        <v>8929</v>
      </c>
      <c r="E1652" s="29"/>
    </row>
    <row r="1653" spans="1:5" ht="12" customHeight="1">
      <c r="A1653" s="155" t="str">
        <f>"180506 2"</f>
        <v>180506 2</v>
      </c>
      <c r="B1653" s="153" t="s">
        <v>76</v>
      </c>
      <c r="C1653" s="156" t="str">
        <f>IF(OR($A1653="",ISERROR(VALUE(LEFT($A1653,6)))),"",IF(LEN($A1653)=2,"WOJ. ",IF(LEN($A1653)=4,IF(VALUE(RIGHT($A1653,2))&gt;60,"","Powiat "),IF(VALUE(RIGHT($A1653,1))=1,"m. ",IF(VALUE(RIGHT($A1653,1))=2,"gm. w. ",IF(VALUE(RIGHT($A1653,1))=8,"dz. ","gm. m.-w. ")))))&amp;IF(LEN($A1653)=2,TRIM(UPPER(VLOOKUP($A1653,GUS_tabl_1!$A$7:$B$22,2,FALSE))),IF(ISERROR(FIND("..",TRIM(VLOOKUP(IF(AND(LEN($A1653)=4,VALUE(RIGHT($A1653,2))&gt;60),$A1653&amp;"01 1",$A1653),IF(AND(LEN($A1653)=4,VALUE(RIGHT($A1653,2))&lt;60),GUS_tabl_2!$A$8:$B$464,GUS_tabl_21!$A$5:$B$4886),2,FALSE)))),TRIM(VLOOKUP(IF(AND(LEN($A1653)=4,VALUE(RIGHT($A1653,2))&gt;60),$A1653&amp;"01 1",$A1653),IF(AND(LEN($A1653)=4,VALUE(RIGHT($A1653,2))&lt;60),GUS_tabl_2!$A$8:$B$464,GUS_tabl_21!$A$5:$B$4886),2,FALSE)),LEFT(TRIM(VLOOKUP(IF(AND(LEN($A1653)=4,VALUE(RIGHT($A1653,2))&gt;60),$A1653&amp;"01 1",$A1653),IF(AND(LEN($A1653)=4,VALUE(RIGHT($A1653,2))&lt;60),GUS_tabl_2!$A$8:$B$464,GUS_tabl_21!$A$5:$B$4886),2,FALSE)),SUM(FIND("..",TRIM(VLOOKUP(IF(AND(LEN($A1653)=4,VALUE(RIGHT($A1653,2))&gt;60),$A1653&amp;"01 1",$A1653),IF(AND(LEN($A1653)=4,VALUE(RIGHT($A1653,2))&lt;60),GUS_tabl_2!$A$8:$B$464,GUS_tabl_21!$A$5:$B$4886),2,FALSE))),-1)))))</f>
        <v>gm. w. Krempna</v>
      </c>
      <c r="D1653" s="141">
        <f>IF(OR($A1653="",ISERROR(VALUE(LEFT($A1653,6)))),"",IF(LEN($A1653)=2,SUMIF($A1654:$A$2965,$A1653&amp;"??",$D1654:$D$2965),IF(AND(LEN($A1653)=4,VALUE(RIGHT($A1653,2))&lt;=60),SUMIF($A1654:$A$2965,$A1653&amp;"????",$D1654:$D$2965),VLOOKUP(IF(LEN($A1653)=4,$A1653&amp;"01 1",$A1653),GUS_tabl_21!$A$5:$F$4886,6,FALSE))))</f>
        <v>1861</v>
      </c>
      <c r="E1653" s="29"/>
    </row>
    <row r="1654" spans="1:5" ht="12" customHeight="1">
      <c r="A1654" s="155" t="str">
        <f>"180507 2"</f>
        <v>180507 2</v>
      </c>
      <c r="B1654" s="153" t="s">
        <v>76</v>
      </c>
      <c r="C1654" s="156" t="str">
        <f>IF(OR($A1654="",ISERROR(VALUE(LEFT($A1654,6)))),"",IF(LEN($A1654)=2,"WOJ. ",IF(LEN($A1654)=4,IF(VALUE(RIGHT($A1654,2))&gt;60,"","Powiat "),IF(VALUE(RIGHT($A1654,1))=1,"m. ",IF(VALUE(RIGHT($A1654,1))=2,"gm. w. ",IF(VALUE(RIGHT($A1654,1))=8,"dz. ","gm. m.-w. ")))))&amp;IF(LEN($A1654)=2,TRIM(UPPER(VLOOKUP($A1654,GUS_tabl_1!$A$7:$B$22,2,FALSE))),IF(ISERROR(FIND("..",TRIM(VLOOKUP(IF(AND(LEN($A1654)=4,VALUE(RIGHT($A1654,2))&gt;60),$A1654&amp;"01 1",$A1654),IF(AND(LEN($A1654)=4,VALUE(RIGHT($A1654,2))&lt;60),GUS_tabl_2!$A$8:$B$464,GUS_tabl_21!$A$5:$B$4886),2,FALSE)))),TRIM(VLOOKUP(IF(AND(LEN($A1654)=4,VALUE(RIGHT($A1654,2))&gt;60),$A1654&amp;"01 1",$A1654),IF(AND(LEN($A1654)=4,VALUE(RIGHT($A1654,2))&lt;60),GUS_tabl_2!$A$8:$B$464,GUS_tabl_21!$A$5:$B$4886),2,FALSE)),LEFT(TRIM(VLOOKUP(IF(AND(LEN($A1654)=4,VALUE(RIGHT($A1654,2))&gt;60),$A1654&amp;"01 1",$A1654),IF(AND(LEN($A1654)=4,VALUE(RIGHT($A1654,2))&lt;60),GUS_tabl_2!$A$8:$B$464,GUS_tabl_21!$A$5:$B$4886),2,FALSE)),SUM(FIND("..",TRIM(VLOOKUP(IF(AND(LEN($A1654)=4,VALUE(RIGHT($A1654,2))&gt;60),$A1654&amp;"01 1",$A1654),IF(AND(LEN($A1654)=4,VALUE(RIGHT($A1654,2))&lt;60),GUS_tabl_2!$A$8:$B$464,GUS_tabl_21!$A$5:$B$4886),2,FALSE))),-1)))))</f>
        <v>gm. w. Nowy Żmigród</v>
      </c>
      <c r="D1654" s="141">
        <f>IF(OR($A1654="",ISERROR(VALUE(LEFT($A1654,6)))),"",IF(LEN($A1654)=2,SUMIF($A1655:$A$2965,$A1654&amp;"??",$D1655:$D$2965),IF(AND(LEN($A1654)=4,VALUE(RIGHT($A1654,2))&lt;=60),SUMIF($A1655:$A$2965,$A1654&amp;"????",$D1655:$D$2965),VLOOKUP(IF(LEN($A1654)=4,$A1654&amp;"01 1",$A1654),GUS_tabl_21!$A$5:$F$4886,6,FALSE))))</f>
        <v>9009</v>
      </c>
      <c r="E1654" s="29"/>
    </row>
    <row r="1655" spans="1:5" ht="12" customHeight="1">
      <c r="A1655" s="155" t="str">
        <f>"180508 2"</f>
        <v>180508 2</v>
      </c>
      <c r="B1655" s="153" t="s">
        <v>76</v>
      </c>
      <c r="C1655" s="156" t="str">
        <f>IF(OR($A1655="",ISERROR(VALUE(LEFT($A1655,6)))),"",IF(LEN($A1655)=2,"WOJ. ",IF(LEN($A1655)=4,IF(VALUE(RIGHT($A1655,2))&gt;60,"","Powiat "),IF(VALUE(RIGHT($A1655,1))=1,"m. ",IF(VALUE(RIGHT($A1655,1))=2,"gm. w. ",IF(VALUE(RIGHT($A1655,1))=8,"dz. ","gm. m.-w. ")))))&amp;IF(LEN($A1655)=2,TRIM(UPPER(VLOOKUP($A1655,GUS_tabl_1!$A$7:$B$22,2,FALSE))),IF(ISERROR(FIND("..",TRIM(VLOOKUP(IF(AND(LEN($A1655)=4,VALUE(RIGHT($A1655,2))&gt;60),$A1655&amp;"01 1",$A1655),IF(AND(LEN($A1655)=4,VALUE(RIGHT($A1655,2))&lt;60),GUS_tabl_2!$A$8:$B$464,GUS_tabl_21!$A$5:$B$4886),2,FALSE)))),TRIM(VLOOKUP(IF(AND(LEN($A1655)=4,VALUE(RIGHT($A1655,2))&gt;60),$A1655&amp;"01 1",$A1655),IF(AND(LEN($A1655)=4,VALUE(RIGHT($A1655,2))&lt;60),GUS_tabl_2!$A$8:$B$464,GUS_tabl_21!$A$5:$B$4886),2,FALSE)),LEFT(TRIM(VLOOKUP(IF(AND(LEN($A1655)=4,VALUE(RIGHT($A1655,2))&gt;60),$A1655&amp;"01 1",$A1655),IF(AND(LEN($A1655)=4,VALUE(RIGHT($A1655,2))&lt;60),GUS_tabl_2!$A$8:$B$464,GUS_tabl_21!$A$5:$B$4886),2,FALSE)),SUM(FIND("..",TRIM(VLOOKUP(IF(AND(LEN($A1655)=4,VALUE(RIGHT($A1655,2))&gt;60),$A1655&amp;"01 1",$A1655),IF(AND(LEN($A1655)=4,VALUE(RIGHT($A1655,2))&lt;60),GUS_tabl_2!$A$8:$B$464,GUS_tabl_21!$A$5:$B$4886),2,FALSE))),-1)))))</f>
        <v>gm. w. Osiek Jasielski</v>
      </c>
      <c r="D1655" s="141">
        <f>IF(OR($A1655="",ISERROR(VALUE(LEFT($A1655,6)))),"",IF(LEN($A1655)=2,SUMIF($A1656:$A$2965,$A1655&amp;"??",$D1656:$D$2965),IF(AND(LEN($A1655)=4,VALUE(RIGHT($A1655,2))&lt;=60),SUMIF($A1656:$A$2965,$A1655&amp;"????",$D1656:$D$2965),VLOOKUP(IF(LEN($A1655)=4,$A1655&amp;"01 1",$A1655),GUS_tabl_21!$A$5:$F$4886,6,FALSE))))</f>
        <v>5372</v>
      </c>
      <c r="E1655" s="29"/>
    </row>
    <row r="1656" spans="1:5" ht="12" customHeight="1">
      <c r="A1656" s="155" t="str">
        <f>"180509 2"</f>
        <v>180509 2</v>
      </c>
      <c r="B1656" s="153" t="s">
        <v>76</v>
      </c>
      <c r="C1656" s="156" t="str">
        <f>IF(OR($A1656="",ISERROR(VALUE(LEFT($A1656,6)))),"",IF(LEN($A1656)=2,"WOJ. ",IF(LEN($A1656)=4,IF(VALUE(RIGHT($A1656,2))&gt;60,"","Powiat "),IF(VALUE(RIGHT($A1656,1))=1,"m. ",IF(VALUE(RIGHT($A1656,1))=2,"gm. w. ",IF(VALUE(RIGHT($A1656,1))=8,"dz. ","gm. m.-w. ")))))&amp;IF(LEN($A1656)=2,TRIM(UPPER(VLOOKUP($A1656,GUS_tabl_1!$A$7:$B$22,2,FALSE))),IF(ISERROR(FIND("..",TRIM(VLOOKUP(IF(AND(LEN($A1656)=4,VALUE(RIGHT($A1656,2))&gt;60),$A1656&amp;"01 1",$A1656),IF(AND(LEN($A1656)=4,VALUE(RIGHT($A1656,2))&lt;60),GUS_tabl_2!$A$8:$B$464,GUS_tabl_21!$A$5:$B$4886),2,FALSE)))),TRIM(VLOOKUP(IF(AND(LEN($A1656)=4,VALUE(RIGHT($A1656,2))&gt;60),$A1656&amp;"01 1",$A1656),IF(AND(LEN($A1656)=4,VALUE(RIGHT($A1656,2))&lt;60),GUS_tabl_2!$A$8:$B$464,GUS_tabl_21!$A$5:$B$4886),2,FALSE)),LEFT(TRIM(VLOOKUP(IF(AND(LEN($A1656)=4,VALUE(RIGHT($A1656,2))&gt;60),$A1656&amp;"01 1",$A1656),IF(AND(LEN($A1656)=4,VALUE(RIGHT($A1656,2))&lt;60),GUS_tabl_2!$A$8:$B$464,GUS_tabl_21!$A$5:$B$4886),2,FALSE)),SUM(FIND("..",TRIM(VLOOKUP(IF(AND(LEN($A1656)=4,VALUE(RIGHT($A1656,2))&gt;60),$A1656&amp;"01 1",$A1656),IF(AND(LEN($A1656)=4,VALUE(RIGHT($A1656,2))&lt;60),GUS_tabl_2!$A$8:$B$464,GUS_tabl_21!$A$5:$B$4886),2,FALSE))),-1)))))</f>
        <v>gm. w. Skołyszyn</v>
      </c>
      <c r="D1656" s="141">
        <f>IF(OR($A1656="",ISERROR(VALUE(LEFT($A1656,6)))),"",IF(LEN($A1656)=2,SUMIF($A1657:$A$2965,$A1656&amp;"??",$D1657:$D$2965),IF(AND(LEN($A1656)=4,VALUE(RIGHT($A1656,2))&lt;=60),SUMIF($A1657:$A$2965,$A1656&amp;"????",$D1657:$D$2965),VLOOKUP(IF(LEN($A1656)=4,$A1656&amp;"01 1",$A1656),GUS_tabl_21!$A$5:$F$4886,6,FALSE))))</f>
        <v>12475</v>
      </c>
      <c r="E1656" s="29"/>
    </row>
    <row r="1657" spans="1:5" ht="12" customHeight="1">
      <c r="A1657" s="155" t="str">
        <f>"180511 2"</f>
        <v>180511 2</v>
      </c>
      <c r="B1657" s="153" t="s">
        <v>76</v>
      </c>
      <c r="C1657" s="156" t="str">
        <f>IF(OR($A1657="",ISERROR(VALUE(LEFT($A1657,6)))),"",IF(LEN($A1657)=2,"WOJ. ",IF(LEN($A1657)=4,IF(VALUE(RIGHT($A1657,2))&gt;60,"","Powiat "),IF(VALUE(RIGHT($A1657,1))=1,"m. ",IF(VALUE(RIGHT($A1657,1))=2,"gm. w. ",IF(VALUE(RIGHT($A1657,1))=8,"dz. ","gm. m.-w. ")))))&amp;IF(LEN($A1657)=2,TRIM(UPPER(VLOOKUP($A1657,GUS_tabl_1!$A$7:$B$22,2,FALSE))),IF(ISERROR(FIND("..",TRIM(VLOOKUP(IF(AND(LEN($A1657)=4,VALUE(RIGHT($A1657,2))&gt;60),$A1657&amp;"01 1",$A1657),IF(AND(LEN($A1657)=4,VALUE(RIGHT($A1657,2))&lt;60),GUS_tabl_2!$A$8:$B$464,GUS_tabl_21!$A$5:$B$4886),2,FALSE)))),TRIM(VLOOKUP(IF(AND(LEN($A1657)=4,VALUE(RIGHT($A1657,2))&gt;60),$A1657&amp;"01 1",$A1657),IF(AND(LEN($A1657)=4,VALUE(RIGHT($A1657,2))&lt;60),GUS_tabl_2!$A$8:$B$464,GUS_tabl_21!$A$5:$B$4886),2,FALSE)),LEFT(TRIM(VLOOKUP(IF(AND(LEN($A1657)=4,VALUE(RIGHT($A1657,2))&gt;60),$A1657&amp;"01 1",$A1657),IF(AND(LEN($A1657)=4,VALUE(RIGHT($A1657,2))&lt;60),GUS_tabl_2!$A$8:$B$464,GUS_tabl_21!$A$5:$B$4886),2,FALSE)),SUM(FIND("..",TRIM(VLOOKUP(IF(AND(LEN($A1657)=4,VALUE(RIGHT($A1657,2))&gt;60),$A1657&amp;"01 1",$A1657),IF(AND(LEN($A1657)=4,VALUE(RIGHT($A1657,2))&lt;60),GUS_tabl_2!$A$8:$B$464,GUS_tabl_21!$A$5:$B$4886),2,FALSE))),-1)))))</f>
        <v>gm. w. Tarnowiec</v>
      </c>
      <c r="D1657" s="141">
        <f>IF(OR($A1657="",ISERROR(VALUE(LEFT($A1657,6)))),"",IF(LEN($A1657)=2,SUMIF($A1658:$A$2965,$A1657&amp;"??",$D1658:$D$2965),IF(AND(LEN($A1657)=4,VALUE(RIGHT($A1657,2))&lt;=60),SUMIF($A1658:$A$2965,$A1657&amp;"????",$D1658:$D$2965),VLOOKUP(IF(LEN($A1657)=4,$A1657&amp;"01 1",$A1657),GUS_tabl_21!$A$5:$F$4886,6,FALSE))))</f>
        <v>9168</v>
      </c>
      <c r="E1657" s="29"/>
    </row>
    <row r="1658" spans="1:5" ht="12" customHeight="1">
      <c r="A1658" s="152" t="str">
        <f>"1806"</f>
        <v>1806</v>
      </c>
      <c r="B1658" s="153" t="s">
        <v>76</v>
      </c>
      <c r="C1658" s="154" t="str">
        <f>IF(OR($A1658="",ISERROR(VALUE(LEFT($A1658,6)))),"",IF(LEN($A1658)=2,"WOJ. ",IF(LEN($A1658)=4,IF(VALUE(RIGHT($A1658,2))&gt;60,"","Powiat "),IF(VALUE(RIGHT($A1658,1))=1,"m. ",IF(VALUE(RIGHT($A1658,1))=2,"gm. w. ",IF(VALUE(RIGHT($A1658,1))=8,"dz. ","gm. m.-w. ")))))&amp;IF(LEN($A1658)=2,TRIM(UPPER(VLOOKUP($A1658,GUS_tabl_1!$A$7:$B$22,2,FALSE))),IF(ISERROR(FIND("..",TRIM(VLOOKUP(IF(AND(LEN($A1658)=4,VALUE(RIGHT($A1658,2))&gt;60),$A1658&amp;"01 1",$A1658),IF(AND(LEN($A1658)=4,VALUE(RIGHT($A1658,2))&lt;60),GUS_tabl_2!$A$8:$B$464,GUS_tabl_21!$A$5:$B$4886),2,FALSE)))),TRIM(VLOOKUP(IF(AND(LEN($A1658)=4,VALUE(RIGHT($A1658,2))&gt;60),$A1658&amp;"01 1",$A1658),IF(AND(LEN($A1658)=4,VALUE(RIGHT($A1658,2))&lt;60),GUS_tabl_2!$A$8:$B$464,GUS_tabl_21!$A$5:$B$4886),2,FALSE)),LEFT(TRIM(VLOOKUP(IF(AND(LEN($A1658)=4,VALUE(RIGHT($A1658,2))&gt;60),$A1658&amp;"01 1",$A1658),IF(AND(LEN($A1658)=4,VALUE(RIGHT($A1658,2))&lt;60),GUS_tabl_2!$A$8:$B$464,GUS_tabl_21!$A$5:$B$4886),2,FALSE)),SUM(FIND("..",TRIM(VLOOKUP(IF(AND(LEN($A1658)=4,VALUE(RIGHT($A1658,2))&gt;60),$A1658&amp;"01 1",$A1658),IF(AND(LEN($A1658)=4,VALUE(RIGHT($A1658,2))&lt;60),GUS_tabl_2!$A$8:$B$464,GUS_tabl_21!$A$5:$B$4886),2,FALSE))),-1)))))</f>
        <v>Powiat kolbuszowski</v>
      </c>
      <c r="D1658" s="140">
        <f>IF(OR($A1658="",ISERROR(VALUE(LEFT($A1658,6)))),"",IF(LEN($A1658)=2,SUMIF($A1659:$A$2965,$A1658&amp;"??",$D1659:$D$2965),IF(AND(LEN($A1658)=4,VALUE(RIGHT($A1658,2))&lt;=60),SUMIF($A1659:$A$2965,$A1658&amp;"????",$D1659:$D$2965),VLOOKUP(IF(LEN($A1658)=4,$A1658&amp;"01 1",$A1658),GUS_tabl_21!$A$5:$F$4886,6,FALSE))))</f>
        <v>62246</v>
      </c>
      <c r="E1658" s="29"/>
    </row>
    <row r="1659" spans="1:5" ht="12" customHeight="1">
      <c r="A1659" s="155" t="str">
        <f>"180601 2"</f>
        <v>180601 2</v>
      </c>
      <c r="B1659" s="153" t="s">
        <v>76</v>
      </c>
      <c r="C1659" s="156" t="str">
        <f>IF(OR($A1659="",ISERROR(VALUE(LEFT($A1659,6)))),"",IF(LEN($A1659)=2,"WOJ. ",IF(LEN($A1659)=4,IF(VALUE(RIGHT($A1659,2))&gt;60,"","Powiat "),IF(VALUE(RIGHT($A1659,1))=1,"m. ",IF(VALUE(RIGHT($A1659,1))=2,"gm. w. ",IF(VALUE(RIGHT($A1659,1))=8,"dz. ","gm. m.-w. ")))))&amp;IF(LEN($A1659)=2,TRIM(UPPER(VLOOKUP($A1659,GUS_tabl_1!$A$7:$B$22,2,FALSE))),IF(ISERROR(FIND("..",TRIM(VLOOKUP(IF(AND(LEN($A1659)=4,VALUE(RIGHT($A1659,2))&gt;60),$A1659&amp;"01 1",$A1659),IF(AND(LEN($A1659)=4,VALUE(RIGHT($A1659,2))&lt;60),GUS_tabl_2!$A$8:$B$464,GUS_tabl_21!$A$5:$B$4886),2,FALSE)))),TRIM(VLOOKUP(IF(AND(LEN($A1659)=4,VALUE(RIGHT($A1659,2))&gt;60),$A1659&amp;"01 1",$A1659),IF(AND(LEN($A1659)=4,VALUE(RIGHT($A1659,2))&lt;60),GUS_tabl_2!$A$8:$B$464,GUS_tabl_21!$A$5:$B$4886),2,FALSE)),LEFT(TRIM(VLOOKUP(IF(AND(LEN($A1659)=4,VALUE(RIGHT($A1659,2))&gt;60),$A1659&amp;"01 1",$A1659),IF(AND(LEN($A1659)=4,VALUE(RIGHT($A1659,2))&lt;60),GUS_tabl_2!$A$8:$B$464,GUS_tabl_21!$A$5:$B$4886),2,FALSE)),SUM(FIND("..",TRIM(VLOOKUP(IF(AND(LEN($A1659)=4,VALUE(RIGHT($A1659,2))&gt;60),$A1659&amp;"01 1",$A1659),IF(AND(LEN($A1659)=4,VALUE(RIGHT($A1659,2))&lt;60),GUS_tabl_2!$A$8:$B$464,GUS_tabl_21!$A$5:$B$4886),2,FALSE))),-1)))))</f>
        <v>gm. w. Cmolas</v>
      </c>
      <c r="D1659" s="141">
        <f>IF(OR($A1659="",ISERROR(VALUE(LEFT($A1659,6)))),"",IF(LEN($A1659)=2,SUMIF($A1660:$A$2965,$A1659&amp;"??",$D1660:$D$2965),IF(AND(LEN($A1659)=4,VALUE(RIGHT($A1659,2))&lt;=60),SUMIF($A1660:$A$2965,$A1659&amp;"????",$D1660:$D$2965),VLOOKUP(IF(LEN($A1659)=4,$A1659&amp;"01 1",$A1659),GUS_tabl_21!$A$5:$F$4886,6,FALSE))))</f>
        <v>8093</v>
      </c>
      <c r="E1659" s="29"/>
    </row>
    <row r="1660" spans="1:5" ht="12" customHeight="1">
      <c r="A1660" s="155" t="str">
        <f>"180602 3"</f>
        <v>180602 3</v>
      </c>
      <c r="B1660" s="153" t="s">
        <v>76</v>
      </c>
      <c r="C1660" s="156" t="str">
        <f>IF(OR($A1660="",ISERROR(VALUE(LEFT($A1660,6)))),"",IF(LEN($A1660)=2,"WOJ. ",IF(LEN($A1660)=4,IF(VALUE(RIGHT($A1660,2))&gt;60,"","Powiat "),IF(VALUE(RIGHT($A1660,1))=1,"m. ",IF(VALUE(RIGHT($A1660,1))=2,"gm. w. ",IF(VALUE(RIGHT($A1660,1))=8,"dz. ","gm. m.-w. ")))))&amp;IF(LEN($A1660)=2,TRIM(UPPER(VLOOKUP($A1660,GUS_tabl_1!$A$7:$B$22,2,FALSE))),IF(ISERROR(FIND("..",TRIM(VLOOKUP(IF(AND(LEN($A1660)=4,VALUE(RIGHT($A1660,2))&gt;60),$A1660&amp;"01 1",$A1660),IF(AND(LEN($A1660)=4,VALUE(RIGHT($A1660,2))&lt;60),GUS_tabl_2!$A$8:$B$464,GUS_tabl_21!$A$5:$B$4886),2,FALSE)))),TRIM(VLOOKUP(IF(AND(LEN($A1660)=4,VALUE(RIGHT($A1660,2))&gt;60),$A1660&amp;"01 1",$A1660),IF(AND(LEN($A1660)=4,VALUE(RIGHT($A1660,2))&lt;60),GUS_tabl_2!$A$8:$B$464,GUS_tabl_21!$A$5:$B$4886),2,FALSE)),LEFT(TRIM(VLOOKUP(IF(AND(LEN($A1660)=4,VALUE(RIGHT($A1660,2))&gt;60),$A1660&amp;"01 1",$A1660),IF(AND(LEN($A1660)=4,VALUE(RIGHT($A1660,2))&lt;60),GUS_tabl_2!$A$8:$B$464,GUS_tabl_21!$A$5:$B$4886),2,FALSE)),SUM(FIND("..",TRIM(VLOOKUP(IF(AND(LEN($A1660)=4,VALUE(RIGHT($A1660,2))&gt;60),$A1660&amp;"01 1",$A1660),IF(AND(LEN($A1660)=4,VALUE(RIGHT($A1660,2))&lt;60),GUS_tabl_2!$A$8:$B$464,GUS_tabl_21!$A$5:$B$4886),2,FALSE))),-1)))))</f>
        <v>gm. m.-w. Kolbuszowa</v>
      </c>
      <c r="D1660" s="141">
        <f>IF(OR($A1660="",ISERROR(VALUE(LEFT($A1660,6)))),"",IF(LEN($A1660)=2,SUMIF($A1661:$A$2965,$A1660&amp;"??",$D1661:$D$2965),IF(AND(LEN($A1660)=4,VALUE(RIGHT($A1660,2))&lt;=60),SUMIF($A1661:$A$2965,$A1660&amp;"????",$D1661:$D$2965),VLOOKUP(IF(LEN($A1660)=4,$A1660&amp;"01 1",$A1660),GUS_tabl_21!$A$5:$F$4886,6,FALSE))))</f>
        <v>24724</v>
      </c>
      <c r="E1660" s="29"/>
    </row>
    <row r="1661" spans="1:5" ht="12" customHeight="1">
      <c r="A1661" s="155" t="str">
        <f>"180603 2"</f>
        <v>180603 2</v>
      </c>
      <c r="B1661" s="153" t="s">
        <v>76</v>
      </c>
      <c r="C1661" s="156" t="str">
        <f>IF(OR($A1661="",ISERROR(VALUE(LEFT($A1661,6)))),"",IF(LEN($A1661)=2,"WOJ. ",IF(LEN($A1661)=4,IF(VALUE(RIGHT($A1661,2))&gt;60,"","Powiat "),IF(VALUE(RIGHT($A1661,1))=1,"m. ",IF(VALUE(RIGHT($A1661,1))=2,"gm. w. ",IF(VALUE(RIGHT($A1661,1))=8,"dz. ","gm. m.-w. ")))))&amp;IF(LEN($A1661)=2,TRIM(UPPER(VLOOKUP($A1661,GUS_tabl_1!$A$7:$B$22,2,FALSE))),IF(ISERROR(FIND("..",TRIM(VLOOKUP(IF(AND(LEN($A1661)=4,VALUE(RIGHT($A1661,2))&gt;60),$A1661&amp;"01 1",$A1661),IF(AND(LEN($A1661)=4,VALUE(RIGHT($A1661,2))&lt;60),GUS_tabl_2!$A$8:$B$464,GUS_tabl_21!$A$5:$B$4886),2,FALSE)))),TRIM(VLOOKUP(IF(AND(LEN($A1661)=4,VALUE(RIGHT($A1661,2))&gt;60),$A1661&amp;"01 1",$A1661),IF(AND(LEN($A1661)=4,VALUE(RIGHT($A1661,2))&lt;60),GUS_tabl_2!$A$8:$B$464,GUS_tabl_21!$A$5:$B$4886),2,FALSE)),LEFT(TRIM(VLOOKUP(IF(AND(LEN($A1661)=4,VALUE(RIGHT($A1661,2))&gt;60),$A1661&amp;"01 1",$A1661),IF(AND(LEN($A1661)=4,VALUE(RIGHT($A1661,2))&lt;60),GUS_tabl_2!$A$8:$B$464,GUS_tabl_21!$A$5:$B$4886),2,FALSE)),SUM(FIND("..",TRIM(VLOOKUP(IF(AND(LEN($A1661)=4,VALUE(RIGHT($A1661,2))&gt;60),$A1661&amp;"01 1",$A1661),IF(AND(LEN($A1661)=4,VALUE(RIGHT($A1661,2))&lt;60),GUS_tabl_2!$A$8:$B$464,GUS_tabl_21!$A$5:$B$4886),2,FALSE))),-1)))))</f>
        <v>gm. w. Majdan Królewski</v>
      </c>
      <c r="D1661" s="141">
        <f>IF(OR($A1661="",ISERROR(VALUE(LEFT($A1661,6)))),"",IF(LEN($A1661)=2,SUMIF($A1662:$A$2965,$A1661&amp;"??",$D1662:$D$2965),IF(AND(LEN($A1661)=4,VALUE(RIGHT($A1661,2))&lt;=60),SUMIF($A1662:$A$2965,$A1661&amp;"????",$D1662:$D$2965),VLOOKUP(IF(LEN($A1661)=4,$A1661&amp;"01 1",$A1661),GUS_tabl_21!$A$5:$F$4886,6,FALSE))))</f>
        <v>9818</v>
      </c>
      <c r="E1661" s="29"/>
    </row>
    <row r="1662" spans="1:5" ht="12" customHeight="1">
      <c r="A1662" s="155" t="str">
        <f>"180604 2"</f>
        <v>180604 2</v>
      </c>
      <c r="B1662" s="153" t="s">
        <v>76</v>
      </c>
      <c r="C1662" s="156" t="str">
        <f>IF(OR($A1662="",ISERROR(VALUE(LEFT($A1662,6)))),"",IF(LEN($A1662)=2,"WOJ. ",IF(LEN($A1662)=4,IF(VALUE(RIGHT($A1662,2))&gt;60,"","Powiat "),IF(VALUE(RIGHT($A1662,1))=1,"m. ",IF(VALUE(RIGHT($A1662,1))=2,"gm. w. ",IF(VALUE(RIGHT($A1662,1))=8,"dz. ","gm. m.-w. ")))))&amp;IF(LEN($A1662)=2,TRIM(UPPER(VLOOKUP($A1662,GUS_tabl_1!$A$7:$B$22,2,FALSE))),IF(ISERROR(FIND("..",TRIM(VLOOKUP(IF(AND(LEN($A1662)=4,VALUE(RIGHT($A1662,2))&gt;60),$A1662&amp;"01 1",$A1662),IF(AND(LEN($A1662)=4,VALUE(RIGHT($A1662,2))&lt;60),GUS_tabl_2!$A$8:$B$464,GUS_tabl_21!$A$5:$B$4886),2,FALSE)))),TRIM(VLOOKUP(IF(AND(LEN($A1662)=4,VALUE(RIGHT($A1662,2))&gt;60),$A1662&amp;"01 1",$A1662),IF(AND(LEN($A1662)=4,VALUE(RIGHT($A1662,2))&lt;60),GUS_tabl_2!$A$8:$B$464,GUS_tabl_21!$A$5:$B$4886),2,FALSE)),LEFT(TRIM(VLOOKUP(IF(AND(LEN($A1662)=4,VALUE(RIGHT($A1662,2))&gt;60),$A1662&amp;"01 1",$A1662),IF(AND(LEN($A1662)=4,VALUE(RIGHT($A1662,2))&lt;60),GUS_tabl_2!$A$8:$B$464,GUS_tabl_21!$A$5:$B$4886),2,FALSE)),SUM(FIND("..",TRIM(VLOOKUP(IF(AND(LEN($A1662)=4,VALUE(RIGHT($A1662,2))&gt;60),$A1662&amp;"01 1",$A1662),IF(AND(LEN($A1662)=4,VALUE(RIGHT($A1662,2))&lt;60),GUS_tabl_2!$A$8:$B$464,GUS_tabl_21!$A$5:$B$4886),2,FALSE))),-1)))))</f>
        <v>gm. w. Niwiska</v>
      </c>
      <c r="D1662" s="141">
        <f>IF(OR($A1662="",ISERROR(VALUE(LEFT($A1662,6)))),"",IF(LEN($A1662)=2,SUMIF($A1663:$A$2965,$A1662&amp;"??",$D1663:$D$2965),IF(AND(LEN($A1662)=4,VALUE(RIGHT($A1662,2))&lt;=60),SUMIF($A1663:$A$2965,$A1662&amp;"????",$D1663:$D$2965),VLOOKUP(IF(LEN($A1662)=4,$A1662&amp;"01 1",$A1662),GUS_tabl_21!$A$5:$F$4886,6,FALSE))))</f>
        <v>6091</v>
      </c>
      <c r="E1662" s="29"/>
    </row>
    <row r="1663" spans="1:5" ht="12" customHeight="1">
      <c r="A1663" s="155" t="str">
        <f>"180605 2"</f>
        <v>180605 2</v>
      </c>
      <c r="B1663" s="153" t="s">
        <v>76</v>
      </c>
      <c r="C1663" s="156" t="str">
        <f>IF(OR($A1663="",ISERROR(VALUE(LEFT($A1663,6)))),"",IF(LEN($A1663)=2,"WOJ. ",IF(LEN($A1663)=4,IF(VALUE(RIGHT($A1663,2))&gt;60,"","Powiat "),IF(VALUE(RIGHT($A1663,1))=1,"m. ",IF(VALUE(RIGHT($A1663,1))=2,"gm. w. ",IF(VALUE(RIGHT($A1663,1))=8,"dz. ","gm. m.-w. ")))))&amp;IF(LEN($A1663)=2,TRIM(UPPER(VLOOKUP($A1663,GUS_tabl_1!$A$7:$B$22,2,FALSE))),IF(ISERROR(FIND("..",TRIM(VLOOKUP(IF(AND(LEN($A1663)=4,VALUE(RIGHT($A1663,2))&gt;60),$A1663&amp;"01 1",$A1663),IF(AND(LEN($A1663)=4,VALUE(RIGHT($A1663,2))&lt;60),GUS_tabl_2!$A$8:$B$464,GUS_tabl_21!$A$5:$B$4886),2,FALSE)))),TRIM(VLOOKUP(IF(AND(LEN($A1663)=4,VALUE(RIGHT($A1663,2))&gt;60),$A1663&amp;"01 1",$A1663),IF(AND(LEN($A1663)=4,VALUE(RIGHT($A1663,2))&lt;60),GUS_tabl_2!$A$8:$B$464,GUS_tabl_21!$A$5:$B$4886),2,FALSE)),LEFT(TRIM(VLOOKUP(IF(AND(LEN($A1663)=4,VALUE(RIGHT($A1663,2))&gt;60),$A1663&amp;"01 1",$A1663),IF(AND(LEN($A1663)=4,VALUE(RIGHT($A1663,2))&lt;60),GUS_tabl_2!$A$8:$B$464,GUS_tabl_21!$A$5:$B$4886),2,FALSE)),SUM(FIND("..",TRIM(VLOOKUP(IF(AND(LEN($A1663)=4,VALUE(RIGHT($A1663,2))&gt;60),$A1663&amp;"01 1",$A1663),IF(AND(LEN($A1663)=4,VALUE(RIGHT($A1663,2))&lt;60),GUS_tabl_2!$A$8:$B$464,GUS_tabl_21!$A$5:$B$4886),2,FALSE))),-1)))))</f>
        <v>gm. w. Raniżów</v>
      </c>
      <c r="D1663" s="141">
        <f>IF(OR($A1663="",ISERROR(VALUE(LEFT($A1663,6)))),"",IF(LEN($A1663)=2,SUMIF($A1664:$A$2965,$A1663&amp;"??",$D1664:$D$2965),IF(AND(LEN($A1663)=4,VALUE(RIGHT($A1663,2))&lt;=60),SUMIF($A1664:$A$2965,$A1663&amp;"????",$D1664:$D$2965),VLOOKUP(IF(LEN($A1663)=4,$A1663&amp;"01 1",$A1663),GUS_tabl_21!$A$5:$F$4886,6,FALSE))))</f>
        <v>7036</v>
      </c>
      <c r="E1663" s="29"/>
    </row>
    <row r="1664" spans="1:5" ht="12" customHeight="1">
      <c r="A1664" s="155" t="str">
        <f>"180606 2"</f>
        <v>180606 2</v>
      </c>
      <c r="B1664" s="153" t="s">
        <v>76</v>
      </c>
      <c r="C1664" s="156" t="str">
        <f>IF(OR($A1664="",ISERROR(VALUE(LEFT($A1664,6)))),"",IF(LEN($A1664)=2,"WOJ. ",IF(LEN($A1664)=4,IF(VALUE(RIGHT($A1664,2))&gt;60,"","Powiat "),IF(VALUE(RIGHT($A1664,1))=1,"m. ",IF(VALUE(RIGHT($A1664,1))=2,"gm. w. ",IF(VALUE(RIGHT($A1664,1))=8,"dz. ","gm. m.-w. ")))))&amp;IF(LEN($A1664)=2,TRIM(UPPER(VLOOKUP($A1664,GUS_tabl_1!$A$7:$B$22,2,FALSE))),IF(ISERROR(FIND("..",TRIM(VLOOKUP(IF(AND(LEN($A1664)=4,VALUE(RIGHT($A1664,2))&gt;60),$A1664&amp;"01 1",$A1664),IF(AND(LEN($A1664)=4,VALUE(RIGHT($A1664,2))&lt;60),GUS_tabl_2!$A$8:$B$464,GUS_tabl_21!$A$5:$B$4886),2,FALSE)))),TRIM(VLOOKUP(IF(AND(LEN($A1664)=4,VALUE(RIGHT($A1664,2))&gt;60),$A1664&amp;"01 1",$A1664),IF(AND(LEN($A1664)=4,VALUE(RIGHT($A1664,2))&lt;60),GUS_tabl_2!$A$8:$B$464,GUS_tabl_21!$A$5:$B$4886),2,FALSE)),LEFT(TRIM(VLOOKUP(IF(AND(LEN($A1664)=4,VALUE(RIGHT($A1664,2))&gt;60),$A1664&amp;"01 1",$A1664),IF(AND(LEN($A1664)=4,VALUE(RIGHT($A1664,2))&lt;60),GUS_tabl_2!$A$8:$B$464,GUS_tabl_21!$A$5:$B$4886),2,FALSE)),SUM(FIND("..",TRIM(VLOOKUP(IF(AND(LEN($A1664)=4,VALUE(RIGHT($A1664,2))&gt;60),$A1664&amp;"01 1",$A1664),IF(AND(LEN($A1664)=4,VALUE(RIGHT($A1664,2))&lt;60),GUS_tabl_2!$A$8:$B$464,GUS_tabl_21!$A$5:$B$4886),2,FALSE))),-1)))))</f>
        <v>gm. w. Dzikowiec</v>
      </c>
      <c r="D1664" s="141">
        <f>IF(OR($A1664="",ISERROR(VALUE(LEFT($A1664,6)))),"",IF(LEN($A1664)=2,SUMIF($A1665:$A$2965,$A1664&amp;"??",$D1665:$D$2965),IF(AND(LEN($A1664)=4,VALUE(RIGHT($A1664,2))&lt;=60),SUMIF($A1665:$A$2965,$A1664&amp;"????",$D1665:$D$2965),VLOOKUP(IF(LEN($A1664)=4,$A1664&amp;"01 1",$A1664),GUS_tabl_21!$A$5:$F$4886,6,FALSE))))</f>
        <v>6484</v>
      </c>
      <c r="E1664" s="29"/>
    </row>
    <row r="1665" spans="1:5" ht="12" customHeight="1">
      <c r="A1665" s="152" t="str">
        <f>"1807"</f>
        <v>1807</v>
      </c>
      <c r="B1665" s="153" t="s">
        <v>76</v>
      </c>
      <c r="C1665" s="154" t="str">
        <f>IF(OR($A1665="",ISERROR(VALUE(LEFT($A1665,6)))),"",IF(LEN($A1665)=2,"WOJ. ",IF(LEN($A1665)=4,IF(VALUE(RIGHT($A1665,2))&gt;60,"","Powiat "),IF(VALUE(RIGHT($A1665,1))=1,"m. ",IF(VALUE(RIGHT($A1665,1))=2,"gm. w. ",IF(VALUE(RIGHT($A1665,1))=8,"dz. ","gm. m.-w. ")))))&amp;IF(LEN($A1665)=2,TRIM(UPPER(VLOOKUP($A1665,GUS_tabl_1!$A$7:$B$22,2,FALSE))),IF(ISERROR(FIND("..",TRIM(VLOOKUP(IF(AND(LEN($A1665)=4,VALUE(RIGHT($A1665,2))&gt;60),$A1665&amp;"01 1",$A1665),IF(AND(LEN($A1665)=4,VALUE(RIGHT($A1665,2))&lt;60),GUS_tabl_2!$A$8:$B$464,GUS_tabl_21!$A$5:$B$4886),2,FALSE)))),TRIM(VLOOKUP(IF(AND(LEN($A1665)=4,VALUE(RIGHT($A1665,2))&gt;60),$A1665&amp;"01 1",$A1665),IF(AND(LEN($A1665)=4,VALUE(RIGHT($A1665,2))&lt;60),GUS_tabl_2!$A$8:$B$464,GUS_tabl_21!$A$5:$B$4886),2,FALSE)),LEFT(TRIM(VLOOKUP(IF(AND(LEN($A1665)=4,VALUE(RIGHT($A1665,2))&gt;60),$A1665&amp;"01 1",$A1665),IF(AND(LEN($A1665)=4,VALUE(RIGHT($A1665,2))&lt;60),GUS_tabl_2!$A$8:$B$464,GUS_tabl_21!$A$5:$B$4886),2,FALSE)),SUM(FIND("..",TRIM(VLOOKUP(IF(AND(LEN($A1665)=4,VALUE(RIGHT($A1665,2))&gt;60),$A1665&amp;"01 1",$A1665),IF(AND(LEN($A1665)=4,VALUE(RIGHT($A1665,2))&lt;60),GUS_tabl_2!$A$8:$B$464,GUS_tabl_21!$A$5:$B$4886),2,FALSE))),-1)))))</f>
        <v>Powiat krośnieński</v>
      </c>
      <c r="D1665" s="140">
        <f>IF(OR($A1665="",ISERROR(VALUE(LEFT($A1665,6)))),"",IF(LEN($A1665)=2,SUMIF($A1666:$A$2965,$A1665&amp;"??",$D1666:$D$2965),IF(AND(LEN($A1665)=4,VALUE(RIGHT($A1665,2))&lt;=60),SUMIF($A1666:$A$2965,$A1665&amp;"????",$D1666:$D$2965),VLOOKUP(IF(LEN($A1665)=4,$A1665&amp;"01 1",$A1665),GUS_tabl_21!$A$5:$F$4886,6,FALSE))))</f>
        <v>112283</v>
      </c>
      <c r="E1665" s="29"/>
    </row>
    <row r="1666" spans="1:5" ht="12" customHeight="1">
      <c r="A1666" s="155" t="str">
        <f>"180701 2"</f>
        <v>180701 2</v>
      </c>
      <c r="B1666" s="153" t="s">
        <v>76</v>
      </c>
      <c r="C1666" s="156" t="str">
        <f>IF(OR($A1666="",ISERROR(VALUE(LEFT($A1666,6)))),"",IF(LEN($A1666)=2,"WOJ. ",IF(LEN($A1666)=4,IF(VALUE(RIGHT($A1666,2))&gt;60,"","Powiat "),IF(VALUE(RIGHT($A1666,1))=1,"m. ",IF(VALUE(RIGHT($A1666,1))=2,"gm. w. ",IF(VALUE(RIGHT($A1666,1))=8,"dz. ","gm. m.-w. ")))))&amp;IF(LEN($A1666)=2,TRIM(UPPER(VLOOKUP($A1666,GUS_tabl_1!$A$7:$B$22,2,FALSE))),IF(ISERROR(FIND("..",TRIM(VLOOKUP(IF(AND(LEN($A1666)=4,VALUE(RIGHT($A1666,2))&gt;60),$A1666&amp;"01 1",$A1666),IF(AND(LEN($A1666)=4,VALUE(RIGHT($A1666,2))&lt;60),GUS_tabl_2!$A$8:$B$464,GUS_tabl_21!$A$5:$B$4886),2,FALSE)))),TRIM(VLOOKUP(IF(AND(LEN($A1666)=4,VALUE(RIGHT($A1666,2))&gt;60),$A1666&amp;"01 1",$A1666),IF(AND(LEN($A1666)=4,VALUE(RIGHT($A1666,2))&lt;60),GUS_tabl_2!$A$8:$B$464,GUS_tabl_21!$A$5:$B$4886),2,FALSE)),LEFT(TRIM(VLOOKUP(IF(AND(LEN($A1666)=4,VALUE(RIGHT($A1666,2))&gt;60),$A1666&amp;"01 1",$A1666),IF(AND(LEN($A1666)=4,VALUE(RIGHT($A1666,2))&lt;60),GUS_tabl_2!$A$8:$B$464,GUS_tabl_21!$A$5:$B$4886),2,FALSE)),SUM(FIND("..",TRIM(VLOOKUP(IF(AND(LEN($A1666)=4,VALUE(RIGHT($A1666,2))&gt;60),$A1666&amp;"01 1",$A1666),IF(AND(LEN($A1666)=4,VALUE(RIGHT($A1666,2))&lt;60),GUS_tabl_2!$A$8:$B$464,GUS_tabl_21!$A$5:$B$4886),2,FALSE))),-1)))))</f>
        <v>gm. w. Chorkówka</v>
      </c>
      <c r="D1666" s="141">
        <f>IF(OR($A1666="",ISERROR(VALUE(LEFT($A1666,6)))),"",IF(LEN($A1666)=2,SUMIF($A1667:$A$2965,$A1666&amp;"??",$D1667:$D$2965),IF(AND(LEN($A1666)=4,VALUE(RIGHT($A1666,2))&lt;=60),SUMIF($A1667:$A$2965,$A1666&amp;"????",$D1667:$D$2965),VLOOKUP(IF(LEN($A1666)=4,$A1666&amp;"01 1",$A1666),GUS_tabl_21!$A$5:$F$4886,6,FALSE))))</f>
        <v>13464</v>
      </c>
      <c r="E1666" s="29"/>
    </row>
    <row r="1667" spans="1:5" ht="12" customHeight="1">
      <c r="A1667" s="155" t="str">
        <f>"180702 3"</f>
        <v>180702 3</v>
      </c>
      <c r="B1667" s="153" t="s">
        <v>76</v>
      </c>
      <c r="C1667" s="156" t="str">
        <f>IF(OR($A1667="",ISERROR(VALUE(LEFT($A1667,6)))),"",IF(LEN($A1667)=2,"WOJ. ",IF(LEN($A1667)=4,IF(VALUE(RIGHT($A1667,2))&gt;60,"","Powiat "),IF(VALUE(RIGHT($A1667,1))=1,"m. ",IF(VALUE(RIGHT($A1667,1))=2,"gm. w. ",IF(VALUE(RIGHT($A1667,1))=8,"dz. ","gm. m.-w. ")))))&amp;IF(LEN($A1667)=2,TRIM(UPPER(VLOOKUP($A1667,GUS_tabl_1!$A$7:$B$22,2,FALSE))),IF(ISERROR(FIND("..",TRIM(VLOOKUP(IF(AND(LEN($A1667)=4,VALUE(RIGHT($A1667,2))&gt;60),$A1667&amp;"01 1",$A1667),IF(AND(LEN($A1667)=4,VALUE(RIGHT($A1667,2))&lt;60),GUS_tabl_2!$A$8:$B$464,GUS_tabl_21!$A$5:$B$4886),2,FALSE)))),TRIM(VLOOKUP(IF(AND(LEN($A1667)=4,VALUE(RIGHT($A1667,2))&gt;60),$A1667&amp;"01 1",$A1667),IF(AND(LEN($A1667)=4,VALUE(RIGHT($A1667,2))&lt;60),GUS_tabl_2!$A$8:$B$464,GUS_tabl_21!$A$5:$B$4886),2,FALSE)),LEFT(TRIM(VLOOKUP(IF(AND(LEN($A1667)=4,VALUE(RIGHT($A1667,2))&gt;60),$A1667&amp;"01 1",$A1667),IF(AND(LEN($A1667)=4,VALUE(RIGHT($A1667,2))&lt;60),GUS_tabl_2!$A$8:$B$464,GUS_tabl_21!$A$5:$B$4886),2,FALSE)),SUM(FIND("..",TRIM(VLOOKUP(IF(AND(LEN($A1667)=4,VALUE(RIGHT($A1667,2))&gt;60),$A1667&amp;"01 1",$A1667),IF(AND(LEN($A1667)=4,VALUE(RIGHT($A1667,2))&lt;60),GUS_tabl_2!$A$8:$B$464,GUS_tabl_21!$A$5:$B$4886),2,FALSE))),-1)))))</f>
        <v>gm. m.-w. Dukla</v>
      </c>
      <c r="D1667" s="141">
        <f>IF(OR($A1667="",ISERROR(VALUE(LEFT($A1667,6)))),"",IF(LEN($A1667)=2,SUMIF($A1668:$A$2965,$A1667&amp;"??",$D1668:$D$2965),IF(AND(LEN($A1667)=4,VALUE(RIGHT($A1667,2))&lt;=60),SUMIF($A1668:$A$2965,$A1667&amp;"????",$D1668:$D$2965),VLOOKUP(IF(LEN($A1667)=4,$A1667&amp;"01 1",$A1667),GUS_tabl_21!$A$5:$F$4886,6,FALSE))))</f>
        <v>14554</v>
      </c>
      <c r="E1667" s="29"/>
    </row>
    <row r="1668" spans="1:5" ht="12" customHeight="1">
      <c r="A1668" s="155" t="str">
        <f>"180703 3"</f>
        <v>180703 3</v>
      </c>
      <c r="B1668" s="153" t="s">
        <v>76</v>
      </c>
      <c r="C1668" s="156" t="str">
        <f>IF(OR($A1668="",ISERROR(VALUE(LEFT($A1668,6)))),"",IF(LEN($A1668)=2,"WOJ. ",IF(LEN($A1668)=4,IF(VALUE(RIGHT($A1668,2))&gt;60,"","Powiat "),IF(VALUE(RIGHT($A1668,1))=1,"m. ",IF(VALUE(RIGHT($A1668,1))=2,"gm. w. ",IF(VALUE(RIGHT($A1668,1))=8,"dz. ","gm. m.-w. ")))))&amp;IF(LEN($A1668)=2,TRIM(UPPER(VLOOKUP($A1668,GUS_tabl_1!$A$7:$B$22,2,FALSE))),IF(ISERROR(FIND("..",TRIM(VLOOKUP(IF(AND(LEN($A1668)=4,VALUE(RIGHT($A1668,2))&gt;60),$A1668&amp;"01 1",$A1668),IF(AND(LEN($A1668)=4,VALUE(RIGHT($A1668,2))&lt;60),GUS_tabl_2!$A$8:$B$464,GUS_tabl_21!$A$5:$B$4886),2,FALSE)))),TRIM(VLOOKUP(IF(AND(LEN($A1668)=4,VALUE(RIGHT($A1668,2))&gt;60),$A1668&amp;"01 1",$A1668),IF(AND(LEN($A1668)=4,VALUE(RIGHT($A1668,2))&lt;60),GUS_tabl_2!$A$8:$B$464,GUS_tabl_21!$A$5:$B$4886),2,FALSE)),LEFT(TRIM(VLOOKUP(IF(AND(LEN($A1668)=4,VALUE(RIGHT($A1668,2))&gt;60),$A1668&amp;"01 1",$A1668),IF(AND(LEN($A1668)=4,VALUE(RIGHT($A1668,2))&lt;60),GUS_tabl_2!$A$8:$B$464,GUS_tabl_21!$A$5:$B$4886),2,FALSE)),SUM(FIND("..",TRIM(VLOOKUP(IF(AND(LEN($A1668)=4,VALUE(RIGHT($A1668,2))&gt;60),$A1668&amp;"01 1",$A1668),IF(AND(LEN($A1668)=4,VALUE(RIGHT($A1668,2))&lt;60),GUS_tabl_2!$A$8:$B$464,GUS_tabl_21!$A$5:$B$4886),2,FALSE))),-1)))))</f>
        <v>gm. m.-w. Iwonicz-Zdrój</v>
      </c>
      <c r="D1668" s="141">
        <f>IF(OR($A1668="",ISERROR(VALUE(LEFT($A1668,6)))),"",IF(LEN($A1668)=2,SUMIF($A1669:$A$2965,$A1668&amp;"??",$D1669:$D$2965),IF(AND(LEN($A1668)=4,VALUE(RIGHT($A1668,2))&lt;=60),SUMIF($A1669:$A$2965,$A1668&amp;"????",$D1669:$D$2965),VLOOKUP(IF(LEN($A1668)=4,$A1668&amp;"01 1",$A1668),GUS_tabl_21!$A$5:$F$4886,6,FALSE))))</f>
        <v>10886</v>
      </c>
      <c r="E1668" s="29"/>
    </row>
    <row r="1669" spans="1:5" ht="12" customHeight="1">
      <c r="A1669" s="155" t="str">
        <f>"180704 3"</f>
        <v>180704 3</v>
      </c>
      <c r="B1669" s="153" t="s">
        <v>76</v>
      </c>
      <c r="C1669" s="156" t="str">
        <f>IF(OR($A1669="",ISERROR(VALUE(LEFT($A1669,6)))),"",IF(LEN($A1669)=2,"WOJ. ",IF(LEN($A1669)=4,IF(VALUE(RIGHT($A1669,2))&gt;60,"","Powiat "),IF(VALUE(RIGHT($A1669,1))=1,"m. ",IF(VALUE(RIGHT($A1669,1))=2,"gm. w. ",IF(VALUE(RIGHT($A1669,1))=8,"dz. ","gm. m.-w. ")))))&amp;IF(LEN($A1669)=2,TRIM(UPPER(VLOOKUP($A1669,GUS_tabl_1!$A$7:$B$22,2,FALSE))),IF(ISERROR(FIND("..",TRIM(VLOOKUP(IF(AND(LEN($A1669)=4,VALUE(RIGHT($A1669,2))&gt;60),$A1669&amp;"01 1",$A1669),IF(AND(LEN($A1669)=4,VALUE(RIGHT($A1669,2))&lt;60),GUS_tabl_2!$A$8:$B$464,GUS_tabl_21!$A$5:$B$4886),2,FALSE)))),TRIM(VLOOKUP(IF(AND(LEN($A1669)=4,VALUE(RIGHT($A1669,2))&gt;60),$A1669&amp;"01 1",$A1669),IF(AND(LEN($A1669)=4,VALUE(RIGHT($A1669,2))&lt;60),GUS_tabl_2!$A$8:$B$464,GUS_tabl_21!$A$5:$B$4886),2,FALSE)),LEFT(TRIM(VLOOKUP(IF(AND(LEN($A1669)=4,VALUE(RIGHT($A1669,2))&gt;60),$A1669&amp;"01 1",$A1669),IF(AND(LEN($A1669)=4,VALUE(RIGHT($A1669,2))&lt;60),GUS_tabl_2!$A$8:$B$464,GUS_tabl_21!$A$5:$B$4886),2,FALSE)),SUM(FIND("..",TRIM(VLOOKUP(IF(AND(LEN($A1669)=4,VALUE(RIGHT($A1669,2))&gt;60),$A1669&amp;"01 1",$A1669),IF(AND(LEN($A1669)=4,VALUE(RIGHT($A1669,2))&lt;60),GUS_tabl_2!$A$8:$B$464,GUS_tabl_21!$A$5:$B$4886),2,FALSE))),-1)))))</f>
        <v>gm. m.-w. Jedlicze</v>
      </c>
      <c r="D1669" s="141">
        <f>IF(OR($A1669="",ISERROR(VALUE(LEFT($A1669,6)))),"",IF(LEN($A1669)=2,SUMIF($A1670:$A$2965,$A1669&amp;"??",$D1670:$D$2965),IF(AND(LEN($A1669)=4,VALUE(RIGHT($A1669,2))&lt;=60),SUMIF($A1670:$A$2965,$A1669&amp;"????",$D1670:$D$2965),VLOOKUP(IF(LEN($A1669)=4,$A1669&amp;"01 1",$A1669),GUS_tabl_21!$A$5:$F$4886,6,FALSE))))</f>
        <v>15432</v>
      </c>
      <c r="E1669" s="29"/>
    </row>
    <row r="1670" spans="1:5" ht="12" customHeight="1">
      <c r="A1670" s="155" t="str">
        <f>"180705 2"</f>
        <v>180705 2</v>
      </c>
      <c r="B1670" s="153" t="s">
        <v>76</v>
      </c>
      <c r="C1670" s="156" t="str">
        <f>IF(OR($A1670="",ISERROR(VALUE(LEFT($A1670,6)))),"",IF(LEN($A1670)=2,"WOJ. ",IF(LEN($A1670)=4,IF(VALUE(RIGHT($A1670,2))&gt;60,"","Powiat "),IF(VALUE(RIGHT($A1670,1))=1,"m. ",IF(VALUE(RIGHT($A1670,1))=2,"gm. w. ",IF(VALUE(RIGHT($A1670,1))=8,"dz. ","gm. m.-w. ")))))&amp;IF(LEN($A1670)=2,TRIM(UPPER(VLOOKUP($A1670,GUS_tabl_1!$A$7:$B$22,2,FALSE))),IF(ISERROR(FIND("..",TRIM(VLOOKUP(IF(AND(LEN($A1670)=4,VALUE(RIGHT($A1670,2))&gt;60),$A1670&amp;"01 1",$A1670),IF(AND(LEN($A1670)=4,VALUE(RIGHT($A1670,2))&lt;60),GUS_tabl_2!$A$8:$B$464,GUS_tabl_21!$A$5:$B$4886),2,FALSE)))),TRIM(VLOOKUP(IF(AND(LEN($A1670)=4,VALUE(RIGHT($A1670,2))&gt;60),$A1670&amp;"01 1",$A1670),IF(AND(LEN($A1670)=4,VALUE(RIGHT($A1670,2))&lt;60),GUS_tabl_2!$A$8:$B$464,GUS_tabl_21!$A$5:$B$4886),2,FALSE)),LEFT(TRIM(VLOOKUP(IF(AND(LEN($A1670)=4,VALUE(RIGHT($A1670,2))&gt;60),$A1670&amp;"01 1",$A1670),IF(AND(LEN($A1670)=4,VALUE(RIGHT($A1670,2))&lt;60),GUS_tabl_2!$A$8:$B$464,GUS_tabl_21!$A$5:$B$4886),2,FALSE)),SUM(FIND("..",TRIM(VLOOKUP(IF(AND(LEN($A1670)=4,VALUE(RIGHT($A1670,2))&gt;60),$A1670&amp;"01 1",$A1670),IF(AND(LEN($A1670)=4,VALUE(RIGHT($A1670,2))&lt;60),GUS_tabl_2!$A$8:$B$464,GUS_tabl_21!$A$5:$B$4886),2,FALSE))),-1)))))</f>
        <v>gm. w. Korczyna</v>
      </c>
      <c r="D1670" s="141">
        <f>IF(OR($A1670="",ISERROR(VALUE(LEFT($A1670,6)))),"",IF(LEN($A1670)=2,SUMIF($A1671:$A$2965,$A1670&amp;"??",$D1671:$D$2965),IF(AND(LEN($A1670)=4,VALUE(RIGHT($A1670,2))&lt;=60),SUMIF($A1671:$A$2965,$A1670&amp;"????",$D1671:$D$2965),VLOOKUP(IF(LEN($A1670)=4,$A1670&amp;"01 1",$A1670),GUS_tabl_21!$A$5:$F$4886,6,FALSE))))</f>
        <v>11207</v>
      </c>
      <c r="E1670" s="29"/>
    </row>
    <row r="1671" spans="1:5" ht="12" customHeight="1">
      <c r="A1671" s="155" t="str">
        <f>"180706 2"</f>
        <v>180706 2</v>
      </c>
      <c r="B1671" s="153" t="s">
        <v>76</v>
      </c>
      <c r="C1671" s="156" t="str">
        <f>IF(OR($A1671="",ISERROR(VALUE(LEFT($A1671,6)))),"",IF(LEN($A1671)=2,"WOJ. ",IF(LEN($A1671)=4,IF(VALUE(RIGHT($A1671,2))&gt;60,"","Powiat "),IF(VALUE(RIGHT($A1671,1))=1,"m. ",IF(VALUE(RIGHT($A1671,1))=2,"gm. w. ",IF(VALUE(RIGHT($A1671,1))=8,"dz. ","gm. m.-w. ")))))&amp;IF(LEN($A1671)=2,TRIM(UPPER(VLOOKUP($A1671,GUS_tabl_1!$A$7:$B$22,2,FALSE))),IF(ISERROR(FIND("..",TRIM(VLOOKUP(IF(AND(LEN($A1671)=4,VALUE(RIGHT($A1671,2))&gt;60),$A1671&amp;"01 1",$A1671),IF(AND(LEN($A1671)=4,VALUE(RIGHT($A1671,2))&lt;60),GUS_tabl_2!$A$8:$B$464,GUS_tabl_21!$A$5:$B$4886),2,FALSE)))),TRIM(VLOOKUP(IF(AND(LEN($A1671)=4,VALUE(RIGHT($A1671,2))&gt;60),$A1671&amp;"01 1",$A1671),IF(AND(LEN($A1671)=4,VALUE(RIGHT($A1671,2))&lt;60),GUS_tabl_2!$A$8:$B$464,GUS_tabl_21!$A$5:$B$4886),2,FALSE)),LEFT(TRIM(VLOOKUP(IF(AND(LEN($A1671)=4,VALUE(RIGHT($A1671,2))&gt;60),$A1671&amp;"01 1",$A1671),IF(AND(LEN($A1671)=4,VALUE(RIGHT($A1671,2))&lt;60),GUS_tabl_2!$A$8:$B$464,GUS_tabl_21!$A$5:$B$4886),2,FALSE)),SUM(FIND("..",TRIM(VLOOKUP(IF(AND(LEN($A1671)=4,VALUE(RIGHT($A1671,2))&gt;60),$A1671&amp;"01 1",$A1671),IF(AND(LEN($A1671)=4,VALUE(RIGHT($A1671,2))&lt;60),GUS_tabl_2!$A$8:$B$464,GUS_tabl_21!$A$5:$B$4886),2,FALSE))),-1)))))</f>
        <v>gm. w. Krościenko Wyżne</v>
      </c>
      <c r="D1671" s="141">
        <f>IF(OR($A1671="",ISERROR(VALUE(LEFT($A1671,6)))),"",IF(LEN($A1671)=2,SUMIF($A1672:$A$2965,$A1671&amp;"??",$D1672:$D$2965),IF(AND(LEN($A1671)=4,VALUE(RIGHT($A1671,2))&lt;=60),SUMIF($A1672:$A$2965,$A1671&amp;"????",$D1672:$D$2965),VLOOKUP(IF(LEN($A1671)=4,$A1671&amp;"01 1",$A1671),GUS_tabl_21!$A$5:$F$4886,6,FALSE))))</f>
        <v>5613</v>
      </c>
      <c r="E1671" s="29"/>
    </row>
    <row r="1672" spans="1:5" ht="12" customHeight="1">
      <c r="A1672" s="155" t="str">
        <f>"180707 2"</f>
        <v>180707 2</v>
      </c>
      <c r="B1672" s="153" t="s">
        <v>76</v>
      </c>
      <c r="C1672" s="156" t="str">
        <f>IF(OR($A1672="",ISERROR(VALUE(LEFT($A1672,6)))),"",IF(LEN($A1672)=2,"WOJ. ",IF(LEN($A1672)=4,IF(VALUE(RIGHT($A1672,2))&gt;60,"","Powiat "),IF(VALUE(RIGHT($A1672,1))=1,"m. ",IF(VALUE(RIGHT($A1672,1))=2,"gm. w. ",IF(VALUE(RIGHT($A1672,1))=8,"dz. ","gm. m.-w. ")))))&amp;IF(LEN($A1672)=2,TRIM(UPPER(VLOOKUP($A1672,GUS_tabl_1!$A$7:$B$22,2,FALSE))),IF(ISERROR(FIND("..",TRIM(VLOOKUP(IF(AND(LEN($A1672)=4,VALUE(RIGHT($A1672,2))&gt;60),$A1672&amp;"01 1",$A1672),IF(AND(LEN($A1672)=4,VALUE(RIGHT($A1672,2))&lt;60),GUS_tabl_2!$A$8:$B$464,GUS_tabl_21!$A$5:$B$4886),2,FALSE)))),TRIM(VLOOKUP(IF(AND(LEN($A1672)=4,VALUE(RIGHT($A1672,2))&gt;60),$A1672&amp;"01 1",$A1672),IF(AND(LEN($A1672)=4,VALUE(RIGHT($A1672,2))&lt;60),GUS_tabl_2!$A$8:$B$464,GUS_tabl_21!$A$5:$B$4886),2,FALSE)),LEFT(TRIM(VLOOKUP(IF(AND(LEN($A1672)=4,VALUE(RIGHT($A1672,2))&gt;60),$A1672&amp;"01 1",$A1672),IF(AND(LEN($A1672)=4,VALUE(RIGHT($A1672,2))&lt;60),GUS_tabl_2!$A$8:$B$464,GUS_tabl_21!$A$5:$B$4886),2,FALSE)),SUM(FIND("..",TRIM(VLOOKUP(IF(AND(LEN($A1672)=4,VALUE(RIGHT($A1672,2))&gt;60),$A1672&amp;"01 1",$A1672),IF(AND(LEN($A1672)=4,VALUE(RIGHT($A1672,2))&lt;60),GUS_tabl_2!$A$8:$B$464,GUS_tabl_21!$A$5:$B$4886),2,FALSE))),-1)))))</f>
        <v>gm. w. Miejsce Piastowe</v>
      </c>
      <c r="D1672" s="141">
        <f>IF(OR($A1672="",ISERROR(VALUE(LEFT($A1672,6)))),"",IF(LEN($A1672)=2,SUMIF($A1673:$A$2965,$A1672&amp;"??",$D1673:$D$2965),IF(AND(LEN($A1672)=4,VALUE(RIGHT($A1672,2))&lt;=60),SUMIF($A1673:$A$2965,$A1672&amp;"????",$D1673:$D$2965),VLOOKUP(IF(LEN($A1672)=4,$A1672&amp;"01 1",$A1672),GUS_tabl_21!$A$5:$F$4886,6,FALSE))))</f>
        <v>13691</v>
      </c>
      <c r="E1672" s="29"/>
    </row>
    <row r="1673" spans="1:5" ht="12" customHeight="1">
      <c r="A1673" s="155" t="str">
        <f>"180708 3"</f>
        <v>180708 3</v>
      </c>
      <c r="B1673" s="153" t="s">
        <v>76</v>
      </c>
      <c r="C1673" s="156" t="str">
        <f>IF(OR($A1673="",ISERROR(VALUE(LEFT($A1673,6)))),"",IF(LEN($A1673)=2,"WOJ. ",IF(LEN($A1673)=4,IF(VALUE(RIGHT($A1673,2))&gt;60,"","Powiat "),IF(VALUE(RIGHT($A1673,1))=1,"m. ",IF(VALUE(RIGHT($A1673,1))=2,"gm. w. ",IF(VALUE(RIGHT($A1673,1))=8,"dz. ","gm. m.-w. ")))))&amp;IF(LEN($A1673)=2,TRIM(UPPER(VLOOKUP($A1673,GUS_tabl_1!$A$7:$B$22,2,FALSE))),IF(ISERROR(FIND("..",TRIM(VLOOKUP(IF(AND(LEN($A1673)=4,VALUE(RIGHT($A1673,2))&gt;60),$A1673&amp;"01 1",$A1673),IF(AND(LEN($A1673)=4,VALUE(RIGHT($A1673,2))&lt;60),GUS_tabl_2!$A$8:$B$464,GUS_tabl_21!$A$5:$B$4886),2,FALSE)))),TRIM(VLOOKUP(IF(AND(LEN($A1673)=4,VALUE(RIGHT($A1673,2))&gt;60),$A1673&amp;"01 1",$A1673),IF(AND(LEN($A1673)=4,VALUE(RIGHT($A1673,2))&lt;60),GUS_tabl_2!$A$8:$B$464,GUS_tabl_21!$A$5:$B$4886),2,FALSE)),LEFT(TRIM(VLOOKUP(IF(AND(LEN($A1673)=4,VALUE(RIGHT($A1673,2))&gt;60),$A1673&amp;"01 1",$A1673),IF(AND(LEN($A1673)=4,VALUE(RIGHT($A1673,2))&lt;60),GUS_tabl_2!$A$8:$B$464,GUS_tabl_21!$A$5:$B$4886),2,FALSE)),SUM(FIND("..",TRIM(VLOOKUP(IF(AND(LEN($A1673)=4,VALUE(RIGHT($A1673,2))&gt;60),$A1673&amp;"01 1",$A1673),IF(AND(LEN($A1673)=4,VALUE(RIGHT($A1673,2))&lt;60),GUS_tabl_2!$A$8:$B$464,GUS_tabl_21!$A$5:$B$4886),2,FALSE))),-1)))))</f>
        <v>gm. m.-w. Rymanów</v>
      </c>
      <c r="D1673" s="141">
        <f>IF(OR($A1673="",ISERROR(VALUE(LEFT($A1673,6)))),"",IF(LEN($A1673)=2,SUMIF($A1674:$A$2965,$A1673&amp;"??",$D1674:$D$2965),IF(AND(LEN($A1673)=4,VALUE(RIGHT($A1673,2))&lt;=60),SUMIF($A1674:$A$2965,$A1673&amp;"????",$D1674:$D$2965),VLOOKUP(IF(LEN($A1673)=4,$A1673&amp;"01 1",$A1673),GUS_tabl_21!$A$5:$F$4886,6,FALSE))))</f>
        <v>15922</v>
      </c>
      <c r="E1673" s="29"/>
    </row>
    <row r="1674" spans="1:5" ht="12" customHeight="1">
      <c r="A1674" s="155" t="str">
        <f>"180709 2"</f>
        <v>180709 2</v>
      </c>
      <c r="B1674" s="153" t="s">
        <v>76</v>
      </c>
      <c r="C1674" s="156" t="str">
        <f>IF(OR($A1674="",ISERROR(VALUE(LEFT($A1674,6)))),"",IF(LEN($A1674)=2,"WOJ. ",IF(LEN($A1674)=4,IF(VALUE(RIGHT($A1674,2))&gt;60,"","Powiat "),IF(VALUE(RIGHT($A1674,1))=1,"m. ",IF(VALUE(RIGHT($A1674,1))=2,"gm. w. ",IF(VALUE(RIGHT($A1674,1))=8,"dz. ","gm. m.-w. ")))))&amp;IF(LEN($A1674)=2,TRIM(UPPER(VLOOKUP($A1674,GUS_tabl_1!$A$7:$B$22,2,FALSE))),IF(ISERROR(FIND("..",TRIM(VLOOKUP(IF(AND(LEN($A1674)=4,VALUE(RIGHT($A1674,2))&gt;60),$A1674&amp;"01 1",$A1674),IF(AND(LEN($A1674)=4,VALUE(RIGHT($A1674,2))&lt;60),GUS_tabl_2!$A$8:$B$464,GUS_tabl_21!$A$5:$B$4886),2,FALSE)))),TRIM(VLOOKUP(IF(AND(LEN($A1674)=4,VALUE(RIGHT($A1674,2))&gt;60),$A1674&amp;"01 1",$A1674),IF(AND(LEN($A1674)=4,VALUE(RIGHT($A1674,2))&lt;60),GUS_tabl_2!$A$8:$B$464,GUS_tabl_21!$A$5:$B$4886),2,FALSE)),LEFT(TRIM(VLOOKUP(IF(AND(LEN($A1674)=4,VALUE(RIGHT($A1674,2))&gt;60),$A1674&amp;"01 1",$A1674),IF(AND(LEN($A1674)=4,VALUE(RIGHT($A1674,2))&lt;60),GUS_tabl_2!$A$8:$B$464,GUS_tabl_21!$A$5:$B$4886),2,FALSE)),SUM(FIND("..",TRIM(VLOOKUP(IF(AND(LEN($A1674)=4,VALUE(RIGHT($A1674,2))&gt;60),$A1674&amp;"01 1",$A1674),IF(AND(LEN($A1674)=4,VALUE(RIGHT($A1674,2))&lt;60),GUS_tabl_2!$A$8:$B$464,GUS_tabl_21!$A$5:$B$4886),2,FALSE))),-1)))))</f>
        <v>gm. w. Wojaszówka</v>
      </c>
      <c r="D1674" s="141">
        <f>IF(OR($A1674="",ISERROR(VALUE(LEFT($A1674,6)))),"",IF(LEN($A1674)=2,SUMIF($A1675:$A$2965,$A1674&amp;"??",$D1675:$D$2965),IF(AND(LEN($A1674)=4,VALUE(RIGHT($A1674,2))&lt;=60),SUMIF($A1675:$A$2965,$A1674&amp;"????",$D1675:$D$2965),VLOOKUP(IF(LEN($A1674)=4,$A1674&amp;"01 1",$A1674),GUS_tabl_21!$A$5:$F$4886,6,FALSE))))</f>
        <v>9329</v>
      </c>
      <c r="E1674" s="29"/>
    </row>
    <row r="1675" spans="1:5" ht="12" customHeight="1">
      <c r="A1675" s="155" t="str">
        <f>"180710 2"</f>
        <v>180710 2</v>
      </c>
      <c r="B1675" s="153" t="s">
        <v>76</v>
      </c>
      <c r="C1675" s="156" t="str">
        <f>IF(OR($A1675="",ISERROR(VALUE(LEFT($A1675,6)))),"",IF(LEN($A1675)=2,"WOJ. ",IF(LEN($A1675)=4,IF(VALUE(RIGHT($A1675,2))&gt;60,"","Powiat "),IF(VALUE(RIGHT($A1675,1))=1,"m. ",IF(VALUE(RIGHT($A1675,1))=2,"gm. w. ",IF(VALUE(RIGHT($A1675,1))=8,"dz. ","gm. m.-w. ")))))&amp;IF(LEN($A1675)=2,TRIM(UPPER(VLOOKUP($A1675,GUS_tabl_1!$A$7:$B$22,2,FALSE))),IF(ISERROR(FIND("..",TRIM(VLOOKUP(IF(AND(LEN($A1675)=4,VALUE(RIGHT($A1675,2))&gt;60),$A1675&amp;"01 1",$A1675),IF(AND(LEN($A1675)=4,VALUE(RIGHT($A1675,2))&lt;60),GUS_tabl_2!$A$8:$B$464,GUS_tabl_21!$A$5:$B$4886),2,FALSE)))),TRIM(VLOOKUP(IF(AND(LEN($A1675)=4,VALUE(RIGHT($A1675,2))&gt;60),$A1675&amp;"01 1",$A1675),IF(AND(LEN($A1675)=4,VALUE(RIGHT($A1675,2))&lt;60),GUS_tabl_2!$A$8:$B$464,GUS_tabl_21!$A$5:$B$4886),2,FALSE)),LEFT(TRIM(VLOOKUP(IF(AND(LEN($A1675)=4,VALUE(RIGHT($A1675,2))&gt;60),$A1675&amp;"01 1",$A1675),IF(AND(LEN($A1675)=4,VALUE(RIGHT($A1675,2))&lt;60),GUS_tabl_2!$A$8:$B$464,GUS_tabl_21!$A$5:$B$4886),2,FALSE)),SUM(FIND("..",TRIM(VLOOKUP(IF(AND(LEN($A1675)=4,VALUE(RIGHT($A1675,2))&gt;60),$A1675&amp;"01 1",$A1675),IF(AND(LEN($A1675)=4,VALUE(RIGHT($A1675,2))&lt;60),GUS_tabl_2!$A$8:$B$464,GUS_tabl_21!$A$5:$B$4886),2,FALSE))),-1)))))</f>
        <v>gm. w. Jaśliska</v>
      </c>
      <c r="D1675" s="141">
        <f>IF(OR($A1675="",ISERROR(VALUE(LEFT($A1675,6)))),"",IF(LEN($A1675)=2,SUMIF($A1676:$A$2965,$A1675&amp;"??",$D1676:$D$2965),IF(AND(LEN($A1675)=4,VALUE(RIGHT($A1675,2))&lt;=60),SUMIF($A1676:$A$2965,$A1675&amp;"????",$D1676:$D$2965),VLOOKUP(IF(LEN($A1675)=4,$A1675&amp;"01 1",$A1675),GUS_tabl_21!$A$5:$F$4886,6,FALSE))))</f>
        <v>2185</v>
      </c>
      <c r="E1675" s="29"/>
    </row>
    <row r="1676" spans="1:5" ht="12" customHeight="1">
      <c r="A1676" s="152" t="str">
        <f>"1821"</f>
        <v>1821</v>
      </c>
      <c r="B1676" s="153" t="s">
        <v>76</v>
      </c>
      <c r="C1676" s="154" t="str">
        <f>IF(OR($A1676="",ISERROR(VALUE(LEFT($A1676,6)))),"",IF(LEN($A1676)=2,"WOJ. ",IF(LEN($A1676)=4,IF(VALUE(RIGHT($A1676,2))&gt;60,"","Powiat "),IF(VALUE(RIGHT($A1676,1))=1,"m. ",IF(VALUE(RIGHT($A1676,1))=2,"gm. w. ",IF(VALUE(RIGHT($A1676,1))=8,"dz. ","gm. m.-w. ")))))&amp;IF(LEN($A1676)=2,TRIM(UPPER(VLOOKUP($A1676,GUS_tabl_1!$A$7:$B$22,2,FALSE))),IF(ISERROR(FIND("..",TRIM(VLOOKUP(IF(AND(LEN($A1676)=4,VALUE(RIGHT($A1676,2))&gt;60),$A1676&amp;"01 1",$A1676),IF(AND(LEN($A1676)=4,VALUE(RIGHT($A1676,2))&lt;60),GUS_tabl_2!$A$8:$B$464,GUS_tabl_21!$A$5:$B$4886),2,FALSE)))),TRIM(VLOOKUP(IF(AND(LEN($A1676)=4,VALUE(RIGHT($A1676,2))&gt;60),$A1676&amp;"01 1",$A1676),IF(AND(LEN($A1676)=4,VALUE(RIGHT($A1676,2))&lt;60),GUS_tabl_2!$A$8:$B$464,GUS_tabl_21!$A$5:$B$4886),2,FALSE)),LEFT(TRIM(VLOOKUP(IF(AND(LEN($A1676)=4,VALUE(RIGHT($A1676,2))&gt;60),$A1676&amp;"01 1",$A1676),IF(AND(LEN($A1676)=4,VALUE(RIGHT($A1676,2))&lt;60),GUS_tabl_2!$A$8:$B$464,GUS_tabl_21!$A$5:$B$4886),2,FALSE)),SUM(FIND("..",TRIM(VLOOKUP(IF(AND(LEN($A1676)=4,VALUE(RIGHT($A1676,2))&gt;60),$A1676&amp;"01 1",$A1676),IF(AND(LEN($A1676)=4,VALUE(RIGHT($A1676,2))&lt;60),GUS_tabl_2!$A$8:$B$464,GUS_tabl_21!$A$5:$B$4886),2,FALSE))),-1)))))</f>
        <v>Powiat leski</v>
      </c>
      <c r="D1676" s="140">
        <f>IF(OR($A1676="",ISERROR(VALUE(LEFT($A1676,6)))),"",IF(LEN($A1676)=2,SUMIF($A1677:$A$2965,$A1676&amp;"??",$D1677:$D$2965),IF(AND(LEN($A1676)=4,VALUE(RIGHT($A1676,2))&lt;=60),SUMIF($A1677:$A$2965,$A1676&amp;"????",$D1677:$D$2965),VLOOKUP(IF(LEN($A1676)=4,$A1676&amp;"01 1",$A1676),GUS_tabl_21!$A$5:$F$4886,6,FALSE))))</f>
        <v>26441</v>
      </c>
      <c r="E1676" s="168"/>
    </row>
    <row r="1677" spans="1:5" ht="12" customHeight="1">
      <c r="A1677" s="155" t="str">
        <f>"182101 2"</f>
        <v>182101 2</v>
      </c>
      <c r="B1677" s="153" t="s">
        <v>76</v>
      </c>
      <c r="C1677" s="156" t="str">
        <f>IF(OR($A1677="",ISERROR(VALUE(LEFT($A1677,6)))),"",IF(LEN($A1677)=2,"WOJ. ",IF(LEN($A1677)=4,IF(VALUE(RIGHT($A1677,2))&gt;60,"","Powiat "),IF(VALUE(RIGHT($A1677,1))=1,"m. ",IF(VALUE(RIGHT($A1677,1))=2,"gm. w. ",IF(VALUE(RIGHT($A1677,1))=8,"dz. ","gm. m.-w. ")))))&amp;IF(LEN($A1677)=2,TRIM(UPPER(VLOOKUP($A1677,GUS_tabl_1!$A$7:$B$22,2,FALSE))),IF(ISERROR(FIND("..",TRIM(VLOOKUP(IF(AND(LEN($A1677)=4,VALUE(RIGHT($A1677,2))&gt;60),$A1677&amp;"01 1",$A1677),IF(AND(LEN($A1677)=4,VALUE(RIGHT($A1677,2))&lt;60),GUS_tabl_2!$A$8:$B$464,GUS_tabl_21!$A$5:$B$4886),2,FALSE)))),TRIM(VLOOKUP(IF(AND(LEN($A1677)=4,VALUE(RIGHT($A1677,2))&gt;60),$A1677&amp;"01 1",$A1677),IF(AND(LEN($A1677)=4,VALUE(RIGHT($A1677,2))&lt;60),GUS_tabl_2!$A$8:$B$464,GUS_tabl_21!$A$5:$B$4886),2,FALSE)),LEFT(TRIM(VLOOKUP(IF(AND(LEN($A1677)=4,VALUE(RIGHT($A1677,2))&gt;60),$A1677&amp;"01 1",$A1677),IF(AND(LEN($A1677)=4,VALUE(RIGHT($A1677,2))&lt;60),GUS_tabl_2!$A$8:$B$464,GUS_tabl_21!$A$5:$B$4886),2,FALSE)),SUM(FIND("..",TRIM(VLOOKUP(IF(AND(LEN($A1677)=4,VALUE(RIGHT($A1677,2))&gt;60),$A1677&amp;"01 1",$A1677),IF(AND(LEN($A1677)=4,VALUE(RIGHT($A1677,2))&lt;60),GUS_tabl_2!$A$8:$B$464,GUS_tabl_21!$A$5:$B$4886),2,FALSE))),-1)))))</f>
        <v>gm. w. Baligród</v>
      </c>
      <c r="D1677" s="141">
        <f>IF(OR($A1677="",ISERROR(VALUE(LEFT($A1677,6)))),"",IF(LEN($A1677)=2,SUMIF($A1678:$A$2965,$A1677&amp;"??",$D1678:$D$2965),IF(AND(LEN($A1677)=4,VALUE(RIGHT($A1677,2))&lt;=60),SUMIF($A1678:$A$2965,$A1677&amp;"????",$D1678:$D$2965),VLOOKUP(IF(LEN($A1677)=4,$A1677&amp;"01 1",$A1677),GUS_tabl_21!$A$5:$F$4886,6,FALSE))))</f>
        <v>3161</v>
      </c>
      <c r="E1677" s="29"/>
    </row>
    <row r="1678" spans="1:5" ht="12" customHeight="1">
      <c r="A1678" s="155" t="str">
        <f>"182102 2"</f>
        <v>182102 2</v>
      </c>
      <c r="B1678" s="153" t="s">
        <v>76</v>
      </c>
      <c r="C1678" s="156" t="str">
        <f>IF(OR($A1678="",ISERROR(VALUE(LEFT($A1678,6)))),"",IF(LEN($A1678)=2,"WOJ. ",IF(LEN($A1678)=4,IF(VALUE(RIGHT($A1678,2))&gt;60,"","Powiat "),IF(VALUE(RIGHT($A1678,1))=1,"m. ",IF(VALUE(RIGHT($A1678,1))=2,"gm. w. ",IF(VALUE(RIGHT($A1678,1))=8,"dz. ","gm. m.-w. ")))))&amp;IF(LEN($A1678)=2,TRIM(UPPER(VLOOKUP($A1678,GUS_tabl_1!$A$7:$B$22,2,FALSE))),IF(ISERROR(FIND("..",TRIM(VLOOKUP(IF(AND(LEN($A1678)=4,VALUE(RIGHT($A1678,2))&gt;60),$A1678&amp;"01 1",$A1678),IF(AND(LEN($A1678)=4,VALUE(RIGHT($A1678,2))&lt;60),GUS_tabl_2!$A$8:$B$464,GUS_tabl_21!$A$5:$B$4886),2,FALSE)))),TRIM(VLOOKUP(IF(AND(LEN($A1678)=4,VALUE(RIGHT($A1678,2))&gt;60),$A1678&amp;"01 1",$A1678),IF(AND(LEN($A1678)=4,VALUE(RIGHT($A1678,2))&lt;60),GUS_tabl_2!$A$8:$B$464,GUS_tabl_21!$A$5:$B$4886),2,FALSE)),LEFT(TRIM(VLOOKUP(IF(AND(LEN($A1678)=4,VALUE(RIGHT($A1678,2))&gt;60),$A1678&amp;"01 1",$A1678),IF(AND(LEN($A1678)=4,VALUE(RIGHT($A1678,2))&lt;60),GUS_tabl_2!$A$8:$B$464,GUS_tabl_21!$A$5:$B$4886),2,FALSE)),SUM(FIND("..",TRIM(VLOOKUP(IF(AND(LEN($A1678)=4,VALUE(RIGHT($A1678,2))&gt;60),$A1678&amp;"01 1",$A1678),IF(AND(LEN($A1678)=4,VALUE(RIGHT($A1678,2))&lt;60),GUS_tabl_2!$A$8:$B$464,GUS_tabl_21!$A$5:$B$4886),2,FALSE))),-1)))))</f>
        <v>gm. w. Cisna</v>
      </c>
      <c r="D1678" s="141">
        <f>IF(OR($A1678="",ISERROR(VALUE(LEFT($A1678,6)))),"",IF(LEN($A1678)=2,SUMIF($A1679:$A$2965,$A1678&amp;"??",$D1679:$D$2965),IF(AND(LEN($A1678)=4,VALUE(RIGHT($A1678,2))&lt;=60),SUMIF($A1679:$A$2965,$A1678&amp;"????",$D1679:$D$2965),VLOOKUP(IF(LEN($A1678)=4,$A1678&amp;"01 1",$A1678),GUS_tabl_21!$A$5:$F$4886,6,FALSE))))</f>
        <v>1740</v>
      </c>
      <c r="E1678" s="29"/>
    </row>
    <row r="1679" spans="1:5" ht="12" customHeight="1">
      <c r="A1679" s="155" t="str">
        <f>"182103 3"</f>
        <v>182103 3</v>
      </c>
      <c r="B1679" s="153" t="s">
        <v>76</v>
      </c>
      <c r="C1679" s="156" t="str">
        <f>IF(OR($A1679="",ISERROR(VALUE(LEFT($A1679,6)))),"",IF(LEN($A1679)=2,"WOJ. ",IF(LEN($A1679)=4,IF(VALUE(RIGHT($A1679,2))&gt;60,"","Powiat "),IF(VALUE(RIGHT($A1679,1))=1,"m. ",IF(VALUE(RIGHT($A1679,1))=2,"gm. w. ",IF(VALUE(RIGHT($A1679,1))=8,"dz. ","gm. m.-w. ")))))&amp;IF(LEN($A1679)=2,TRIM(UPPER(VLOOKUP($A1679,GUS_tabl_1!$A$7:$B$22,2,FALSE))),IF(ISERROR(FIND("..",TRIM(VLOOKUP(IF(AND(LEN($A1679)=4,VALUE(RIGHT($A1679,2))&gt;60),$A1679&amp;"01 1",$A1679),IF(AND(LEN($A1679)=4,VALUE(RIGHT($A1679,2))&lt;60),GUS_tabl_2!$A$8:$B$464,GUS_tabl_21!$A$5:$B$4886),2,FALSE)))),TRIM(VLOOKUP(IF(AND(LEN($A1679)=4,VALUE(RIGHT($A1679,2))&gt;60),$A1679&amp;"01 1",$A1679),IF(AND(LEN($A1679)=4,VALUE(RIGHT($A1679,2))&lt;60),GUS_tabl_2!$A$8:$B$464,GUS_tabl_21!$A$5:$B$4886),2,FALSE)),LEFT(TRIM(VLOOKUP(IF(AND(LEN($A1679)=4,VALUE(RIGHT($A1679,2))&gt;60),$A1679&amp;"01 1",$A1679),IF(AND(LEN($A1679)=4,VALUE(RIGHT($A1679,2))&lt;60),GUS_tabl_2!$A$8:$B$464,GUS_tabl_21!$A$5:$B$4886),2,FALSE)),SUM(FIND("..",TRIM(VLOOKUP(IF(AND(LEN($A1679)=4,VALUE(RIGHT($A1679,2))&gt;60),$A1679&amp;"01 1",$A1679),IF(AND(LEN($A1679)=4,VALUE(RIGHT($A1679,2))&lt;60),GUS_tabl_2!$A$8:$B$464,GUS_tabl_21!$A$5:$B$4886),2,FALSE))),-1)))))</f>
        <v>gm. m.-w. Lesko</v>
      </c>
      <c r="D1679" s="141">
        <f>IF(OR($A1679="",ISERROR(VALUE(LEFT($A1679,6)))),"",IF(LEN($A1679)=2,SUMIF($A1680:$A$2965,$A1679&amp;"??",$D1680:$D$2965),IF(AND(LEN($A1679)=4,VALUE(RIGHT($A1679,2))&lt;=60),SUMIF($A1680:$A$2965,$A1679&amp;"????",$D1680:$D$2965),VLOOKUP(IF(LEN($A1679)=4,$A1679&amp;"01 1",$A1679),GUS_tabl_21!$A$5:$F$4886,6,FALSE))))</f>
        <v>11319</v>
      </c>
      <c r="E1679" s="29"/>
    </row>
    <row r="1680" spans="1:5" ht="12" customHeight="1">
      <c r="A1680" s="155" t="str">
        <f>"182104 2"</f>
        <v>182104 2</v>
      </c>
      <c r="B1680" s="153" t="s">
        <v>76</v>
      </c>
      <c r="C1680" s="156" t="str">
        <f>IF(OR($A1680="",ISERROR(VALUE(LEFT($A1680,6)))),"",IF(LEN($A1680)=2,"WOJ. ",IF(LEN($A1680)=4,IF(VALUE(RIGHT($A1680,2))&gt;60,"","Powiat "),IF(VALUE(RIGHT($A1680,1))=1,"m. ",IF(VALUE(RIGHT($A1680,1))=2,"gm. w. ",IF(VALUE(RIGHT($A1680,1))=8,"dz. ","gm. m.-w. ")))))&amp;IF(LEN($A1680)=2,TRIM(UPPER(VLOOKUP($A1680,GUS_tabl_1!$A$7:$B$22,2,FALSE))),IF(ISERROR(FIND("..",TRIM(VLOOKUP(IF(AND(LEN($A1680)=4,VALUE(RIGHT($A1680,2))&gt;60),$A1680&amp;"01 1",$A1680),IF(AND(LEN($A1680)=4,VALUE(RIGHT($A1680,2))&lt;60),GUS_tabl_2!$A$8:$B$464,GUS_tabl_21!$A$5:$B$4886),2,FALSE)))),TRIM(VLOOKUP(IF(AND(LEN($A1680)=4,VALUE(RIGHT($A1680,2))&gt;60),$A1680&amp;"01 1",$A1680),IF(AND(LEN($A1680)=4,VALUE(RIGHT($A1680,2))&lt;60),GUS_tabl_2!$A$8:$B$464,GUS_tabl_21!$A$5:$B$4886),2,FALSE)),LEFT(TRIM(VLOOKUP(IF(AND(LEN($A1680)=4,VALUE(RIGHT($A1680,2))&gt;60),$A1680&amp;"01 1",$A1680),IF(AND(LEN($A1680)=4,VALUE(RIGHT($A1680,2))&lt;60),GUS_tabl_2!$A$8:$B$464,GUS_tabl_21!$A$5:$B$4886),2,FALSE)),SUM(FIND("..",TRIM(VLOOKUP(IF(AND(LEN($A1680)=4,VALUE(RIGHT($A1680,2))&gt;60),$A1680&amp;"01 1",$A1680),IF(AND(LEN($A1680)=4,VALUE(RIGHT($A1680,2))&lt;60),GUS_tabl_2!$A$8:$B$464,GUS_tabl_21!$A$5:$B$4886),2,FALSE))),-1)))))</f>
        <v>gm. w. Olszanica</v>
      </c>
      <c r="D1680" s="141">
        <f>IF(OR($A1680="",ISERROR(VALUE(LEFT($A1680,6)))),"",IF(LEN($A1680)=2,SUMIF($A1681:$A$2965,$A1680&amp;"??",$D1681:$D$2965),IF(AND(LEN($A1680)=4,VALUE(RIGHT($A1680,2))&lt;=60),SUMIF($A1681:$A$2965,$A1680&amp;"????",$D1681:$D$2965),VLOOKUP(IF(LEN($A1680)=4,$A1680&amp;"01 1",$A1680),GUS_tabl_21!$A$5:$F$4886,6,FALSE))))</f>
        <v>4894</v>
      </c>
      <c r="E1680" s="29"/>
    </row>
    <row r="1681" spans="1:5" ht="12" customHeight="1">
      <c r="A1681" s="155" t="str">
        <f>"182105 2"</f>
        <v>182105 2</v>
      </c>
      <c r="B1681" s="153" t="s">
        <v>76</v>
      </c>
      <c r="C1681" s="156" t="str">
        <f>IF(OR($A1681="",ISERROR(VALUE(LEFT($A1681,6)))),"",IF(LEN($A1681)=2,"WOJ. ",IF(LEN($A1681)=4,IF(VALUE(RIGHT($A1681,2))&gt;60,"","Powiat "),IF(VALUE(RIGHT($A1681,1))=1,"m. ",IF(VALUE(RIGHT($A1681,1))=2,"gm. w. ",IF(VALUE(RIGHT($A1681,1))=8,"dz. ","gm. m.-w. ")))))&amp;IF(LEN($A1681)=2,TRIM(UPPER(VLOOKUP($A1681,GUS_tabl_1!$A$7:$B$22,2,FALSE))),IF(ISERROR(FIND("..",TRIM(VLOOKUP(IF(AND(LEN($A1681)=4,VALUE(RIGHT($A1681,2))&gt;60),$A1681&amp;"01 1",$A1681),IF(AND(LEN($A1681)=4,VALUE(RIGHT($A1681,2))&lt;60),GUS_tabl_2!$A$8:$B$464,GUS_tabl_21!$A$5:$B$4886),2,FALSE)))),TRIM(VLOOKUP(IF(AND(LEN($A1681)=4,VALUE(RIGHT($A1681,2))&gt;60),$A1681&amp;"01 1",$A1681),IF(AND(LEN($A1681)=4,VALUE(RIGHT($A1681,2))&lt;60),GUS_tabl_2!$A$8:$B$464,GUS_tabl_21!$A$5:$B$4886),2,FALSE)),LEFT(TRIM(VLOOKUP(IF(AND(LEN($A1681)=4,VALUE(RIGHT($A1681,2))&gt;60),$A1681&amp;"01 1",$A1681),IF(AND(LEN($A1681)=4,VALUE(RIGHT($A1681,2))&lt;60),GUS_tabl_2!$A$8:$B$464,GUS_tabl_21!$A$5:$B$4886),2,FALSE)),SUM(FIND("..",TRIM(VLOOKUP(IF(AND(LEN($A1681)=4,VALUE(RIGHT($A1681,2))&gt;60),$A1681&amp;"01 1",$A1681),IF(AND(LEN($A1681)=4,VALUE(RIGHT($A1681,2))&lt;60),GUS_tabl_2!$A$8:$B$464,GUS_tabl_21!$A$5:$B$4886),2,FALSE))),-1)))))</f>
        <v>gm. w. Solina</v>
      </c>
      <c r="D1681" s="141">
        <f>IF(OR($A1681="",ISERROR(VALUE(LEFT($A1681,6)))),"",IF(LEN($A1681)=2,SUMIF($A1682:$A$2965,$A1681&amp;"??",$D1682:$D$2965),IF(AND(LEN($A1681)=4,VALUE(RIGHT($A1681,2))&lt;=60),SUMIF($A1682:$A$2965,$A1681&amp;"????",$D1682:$D$2965),VLOOKUP(IF(LEN($A1681)=4,$A1681&amp;"01 1",$A1681),GUS_tabl_21!$A$5:$F$4886,6,FALSE))))</f>
        <v>5327</v>
      </c>
      <c r="E1681" s="29"/>
    </row>
    <row r="1682" spans="1:5" ht="12" customHeight="1">
      <c r="A1682" s="152" t="str">
        <f>"1808"</f>
        <v>1808</v>
      </c>
      <c r="B1682" s="153" t="s">
        <v>76</v>
      </c>
      <c r="C1682" s="154" t="str">
        <f>IF(OR($A1682="",ISERROR(VALUE(LEFT($A1682,6)))),"",IF(LEN($A1682)=2,"WOJ. ",IF(LEN($A1682)=4,IF(VALUE(RIGHT($A1682,2))&gt;60,"","Powiat "),IF(VALUE(RIGHT($A1682,1))=1,"m. ",IF(VALUE(RIGHT($A1682,1))=2,"gm. w. ",IF(VALUE(RIGHT($A1682,1))=8,"dz. ","gm. m.-w. ")))))&amp;IF(LEN($A1682)=2,TRIM(UPPER(VLOOKUP($A1682,GUS_tabl_1!$A$7:$B$22,2,FALSE))),IF(ISERROR(FIND("..",TRIM(VLOOKUP(IF(AND(LEN($A1682)=4,VALUE(RIGHT($A1682,2))&gt;60),$A1682&amp;"01 1",$A1682),IF(AND(LEN($A1682)=4,VALUE(RIGHT($A1682,2))&lt;60),GUS_tabl_2!$A$8:$B$464,GUS_tabl_21!$A$5:$B$4886),2,FALSE)))),TRIM(VLOOKUP(IF(AND(LEN($A1682)=4,VALUE(RIGHT($A1682,2))&gt;60),$A1682&amp;"01 1",$A1682),IF(AND(LEN($A1682)=4,VALUE(RIGHT($A1682,2))&lt;60),GUS_tabl_2!$A$8:$B$464,GUS_tabl_21!$A$5:$B$4886),2,FALSE)),LEFT(TRIM(VLOOKUP(IF(AND(LEN($A1682)=4,VALUE(RIGHT($A1682,2))&gt;60),$A1682&amp;"01 1",$A1682),IF(AND(LEN($A1682)=4,VALUE(RIGHT($A1682,2))&lt;60),GUS_tabl_2!$A$8:$B$464,GUS_tabl_21!$A$5:$B$4886),2,FALSE)),SUM(FIND("..",TRIM(VLOOKUP(IF(AND(LEN($A1682)=4,VALUE(RIGHT($A1682,2))&gt;60),$A1682&amp;"01 1",$A1682),IF(AND(LEN($A1682)=4,VALUE(RIGHT($A1682,2))&lt;60),GUS_tabl_2!$A$8:$B$464,GUS_tabl_21!$A$5:$B$4886),2,FALSE))),-1)))))</f>
        <v>Powiat leżajski</v>
      </c>
      <c r="D1682" s="140">
        <f>IF(OR($A1682="",ISERROR(VALUE(LEFT($A1682,6)))),"",IF(LEN($A1682)=2,SUMIF($A1683:$A$2965,$A1682&amp;"??",$D1683:$D$2965),IF(AND(LEN($A1682)=4,VALUE(RIGHT($A1682,2))&lt;=60),SUMIF($A1683:$A$2965,$A1682&amp;"????",$D1683:$D$2965),VLOOKUP(IF(LEN($A1682)=4,$A1682&amp;"01 1",$A1682),GUS_tabl_21!$A$5:$F$4886,6,FALSE))))</f>
        <v>69370</v>
      </c>
      <c r="E1682" s="29"/>
    </row>
    <row r="1683" spans="1:5" ht="12" customHeight="1">
      <c r="A1683" s="155" t="str">
        <f>"180801 1"</f>
        <v>180801 1</v>
      </c>
      <c r="B1683" s="153" t="s">
        <v>76</v>
      </c>
      <c r="C1683" s="156" t="str">
        <f>IF(OR($A1683="",ISERROR(VALUE(LEFT($A1683,6)))),"",IF(LEN($A1683)=2,"WOJ. ",IF(LEN($A1683)=4,IF(VALUE(RIGHT($A1683,2))&gt;60,"","Powiat "),IF(VALUE(RIGHT($A1683,1))=1,"m. ",IF(VALUE(RIGHT($A1683,1))=2,"gm. w. ",IF(VALUE(RIGHT($A1683,1))=8,"dz. ","gm. m.-w. ")))))&amp;IF(LEN($A1683)=2,TRIM(UPPER(VLOOKUP($A1683,GUS_tabl_1!$A$7:$B$22,2,FALSE))),IF(ISERROR(FIND("..",TRIM(VLOOKUP(IF(AND(LEN($A1683)=4,VALUE(RIGHT($A1683,2))&gt;60),$A1683&amp;"01 1",$A1683),IF(AND(LEN($A1683)=4,VALUE(RIGHT($A1683,2))&lt;60),GUS_tabl_2!$A$8:$B$464,GUS_tabl_21!$A$5:$B$4886),2,FALSE)))),TRIM(VLOOKUP(IF(AND(LEN($A1683)=4,VALUE(RIGHT($A1683,2))&gt;60),$A1683&amp;"01 1",$A1683),IF(AND(LEN($A1683)=4,VALUE(RIGHT($A1683,2))&lt;60),GUS_tabl_2!$A$8:$B$464,GUS_tabl_21!$A$5:$B$4886),2,FALSE)),LEFT(TRIM(VLOOKUP(IF(AND(LEN($A1683)=4,VALUE(RIGHT($A1683,2))&gt;60),$A1683&amp;"01 1",$A1683),IF(AND(LEN($A1683)=4,VALUE(RIGHT($A1683,2))&lt;60),GUS_tabl_2!$A$8:$B$464,GUS_tabl_21!$A$5:$B$4886),2,FALSE)),SUM(FIND("..",TRIM(VLOOKUP(IF(AND(LEN($A1683)=4,VALUE(RIGHT($A1683,2))&gt;60),$A1683&amp;"01 1",$A1683),IF(AND(LEN($A1683)=4,VALUE(RIGHT($A1683,2))&lt;60),GUS_tabl_2!$A$8:$B$464,GUS_tabl_21!$A$5:$B$4886),2,FALSE))),-1)))))</f>
        <v>m. Leżajsk</v>
      </c>
      <c r="D1683" s="141">
        <f>IF(OR($A1683="",ISERROR(VALUE(LEFT($A1683,6)))),"",IF(LEN($A1683)=2,SUMIF($A1684:$A$2965,$A1683&amp;"??",$D1684:$D$2965),IF(AND(LEN($A1683)=4,VALUE(RIGHT($A1683,2))&lt;=60),SUMIF($A1684:$A$2965,$A1683&amp;"????",$D1684:$D$2965),VLOOKUP(IF(LEN($A1683)=4,$A1683&amp;"01 1",$A1683),GUS_tabl_21!$A$5:$F$4886,6,FALSE))))</f>
        <v>13799</v>
      </c>
      <c r="E1683" s="29"/>
    </row>
    <row r="1684" spans="1:5" ht="12" customHeight="1">
      <c r="A1684" s="155" t="str">
        <f>"180802 2"</f>
        <v>180802 2</v>
      </c>
      <c r="B1684" s="153" t="s">
        <v>76</v>
      </c>
      <c r="C1684" s="156" t="str">
        <f>IF(OR($A1684="",ISERROR(VALUE(LEFT($A1684,6)))),"",IF(LEN($A1684)=2,"WOJ. ",IF(LEN($A1684)=4,IF(VALUE(RIGHT($A1684,2))&gt;60,"","Powiat "),IF(VALUE(RIGHT($A1684,1))=1,"m. ",IF(VALUE(RIGHT($A1684,1))=2,"gm. w. ",IF(VALUE(RIGHT($A1684,1))=8,"dz. ","gm. m.-w. ")))))&amp;IF(LEN($A1684)=2,TRIM(UPPER(VLOOKUP($A1684,GUS_tabl_1!$A$7:$B$22,2,FALSE))),IF(ISERROR(FIND("..",TRIM(VLOOKUP(IF(AND(LEN($A1684)=4,VALUE(RIGHT($A1684,2))&gt;60),$A1684&amp;"01 1",$A1684),IF(AND(LEN($A1684)=4,VALUE(RIGHT($A1684,2))&lt;60),GUS_tabl_2!$A$8:$B$464,GUS_tabl_21!$A$5:$B$4886),2,FALSE)))),TRIM(VLOOKUP(IF(AND(LEN($A1684)=4,VALUE(RIGHT($A1684,2))&gt;60),$A1684&amp;"01 1",$A1684),IF(AND(LEN($A1684)=4,VALUE(RIGHT($A1684,2))&lt;60),GUS_tabl_2!$A$8:$B$464,GUS_tabl_21!$A$5:$B$4886),2,FALSE)),LEFT(TRIM(VLOOKUP(IF(AND(LEN($A1684)=4,VALUE(RIGHT($A1684,2))&gt;60),$A1684&amp;"01 1",$A1684),IF(AND(LEN($A1684)=4,VALUE(RIGHT($A1684,2))&lt;60),GUS_tabl_2!$A$8:$B$464,GUS_tabl_21!$A$5:$B$4886),2,FALSE)),SUM(FIND("..",TRIM(VLOOKUP(IF(AND(LEN($A1684)=4,VALUE(RIGHT($A1684,2))&gt;60),$A1684&amp;"01 1",$A1684),IF(AND(LEN($A1684)=4,VALUE(RIGHT($A1684,2))&lt;60),GUS_tabl_2!$A$8:$B$464,GUS_tabl_21!$A$5:$B$4886),2,FALSE))),-1)))))</f>
        <v>gm. w. Grodzisko Dolne</v>
      </c>
      <c r="D1684" s="141">
        <f>IF(OR($A1684="",ISERROR(VALUE(LEFT($A1684,6)))),"",IF(LEN($A1684)=2,SUMIF($A1685:$A$2965,$A1684&amp;"??",$D1685:$D$2965),IF(AND(LEN($A1684)=4,VALUE(RIGHT($A1684,2))&lt;=60),SUMIF($A1685:$A$2965,$A1684&amp;"????",$D1685:$D$2965),VLOOKUP(IF(LEN($A1684)=4,$A1684&amp;"01 1",$A1684),GUS_tabl_21!$A$5:$F$4886,6,FALSE))))</f>
        <v>8026</v>
      </c>
      <c r="E1684" s="29"/>
    </row>
    <row r="1685" spans="1:5" ht="12" customHeight="1">
      <c r="A1685" s="155" t="str">
        <f>"180803 2"</f>
        <v>180803 2</v>
      </c>
      <c r="B1685" s="153" t="s">
        <v>76</v>
      </c>
      <c r="C1685" s="156" t="str">
        <f>IF(OR($A1685="",ISERROR(VALUE(LEFT($A1685,6)))),"",IF(LEN($A1685)=2,"WOJ. ",IF(LEN($A1685)=4,IF(VALUE(RIGHT($A1685,2))&gt;60,"","Powiat "),IF(VALUE(RIGHT($A1685,1))=1,"m. ",IF(VALUE(RIGHT($A1685,1))=2,"gm. w. ",IF(VALUE(RIGHT($A1685,1))=8,"dz. ","gm. m.-w. ")))))&amp;IF(LEN($A1685)=2,TRIM(UPPER(VLOOKUP($A1685,GUS_tabl_1!$A$7:$B$22,2,FALSE))),IF(ISERROR(FIND("..",TRIM(VLOOKUP(IF(AND(LEN($A1685)=4,VALUE(RIGHT($A1685,2))&gt;60),$A1685&amp;"01 1",$A1685),IF(AND(LEN($A1685)=4,VALUE(RIGHT($A1685,2))&lt;60),GUS_tabl_2!$A$8:$B$464,GUS_tabl_21!$A$5:$B$4886),2,FALSE)))),TRIM(VLOOKUP(IF(AND(LEN($A1685)=4,VALUE(RIGHT($A1685,2))&gt;60),$A1685&amp;"01 1",$A1685),IF(AND(LEN($A1685)=4,VALUE(RIGHT($A1685,2))&lt;60),GUS_tabl_2!$A$8:$B$464,GUS_tabl_21!$A$5:$B$4886),2,FALSE)),LEFT(TRIM(VLOOKUP(IF(AND(LEN($A1685)=4,VALUE(RIGHT($A1685,2))&gt;60),$A1685&amp;"01 1",$A1685),IF(AND(LEN($A1685)=4,VALUE(RIGHT($A1685,2))&lt;60),GUS_tabl_2!$A$8:$B$464,GUS_tabl_21!$A$5:$B$4886),2,FALSE)),SUM(FIND("..",TRIM(VLOOKUP(IF(AND(LEN($A1685)=4,VALUE(RIGHT($A1685,2))&gt;60),$A1685&amp;"01 1",$A1685),IF(AND(LEN($A1685)=4,VALUE(RIGHT($A1685,2))&lt;60),GUS_tabl_2!$A$8:$B$464,GUS_tabl_21!$A$5:$B$4886),2,FALSE))),-1)))))</f>
        <v>gm. w. Kuryłówka</v>
      </c>
      <c r="D1685" s="141">
        <f>IF(OR($A1685="",ISERROR(VALUE(LEFT($A1685,6)))),"",IF(LEN($A1685)=2,SUMIF($A1686:$A$2965,$A1685&amp;"??",$D1686:$D$2965),IF(AND(LEN($A1685)=4,VALUE(RIGHT($A1685,2))&lt;=60),SUMIF($A1686:$A$2965,$A1685&amp;"????",$D1686:$D$2965),VLOOKUP(IF(LEN($A1685)=4,$A1685&amp;"01 1",$A1685),GUS_tabl_21!$A$5:$F$4886,6,FALSE))))</f>
        <v>5709</v>
      </c>
      <c r="E1685" s="29"/>
    </row>
    <row r="1686" spans="1:5" ht="12" customHeight="1">
      <c r="A1686" s="155" t="str">
        <f>"180804 2"</f>
        <v>180804 2</v>
      </c>
      <c r="B1686" s="153" t="s">
        <v>76</v>
      </c>
      <c r="C1686" s="156" t="str">
        <f>IF(OR($A1686="",ISERROR(VALUE(LEFT($A1686,6)))),"",IF(LEN($A1686)=2,"WOJ. ",IF(LEN($A1686)=4,IF(VALUE(RIGHT($A1686,2))&gt;60,"","Powiat "),IF(VALUE(RIGHT($A1686,1))=1,"m. ",IF(VALUE(RIGHT($A1686,1))=2,"gm. w. ",IF(VALUE(RIGHT($A1686,1))=8,"dz. ","gm. m.-w. ")))))&amp;IF(LEN($A1686)=2,TRIM(UPPER(VLOOKUP($A1686,GUS_tabl_1!$A$7:$B$22,2,FALSE))),IF(ISERROR(FIND("..",TRIM(VLOOKUP(IF(AND(LEN($A1686)=4,VALUE(RIGHT($A1686,2))&gt;60),$A1686&amp;"01 1",$A1686),IF(AND(LEN($A1686)=4,VALUE(RIGHT($A1686,2))&lt;60),GUS_tabl_2!$A$8:$B$464,GUS_tabl_21!$A$5:$B$4886),2,FALSE)))),TRIM(VLOOKUP(IF(AND(LEN($A1686)=4,VALUE(RIGHT($A1686,2))&gt;60),$A1686&amp;"01 1",$A1686),IF(AND(LEN($A1686)=4,VALUE(RIGHT($A1686,2))&lt;60),GUS_tabl_2!$A$8:$B$464,GUS_tabl_21!$A$5:$B$4886),2,FALSE)),LEFT(TRIM(VLOOKUP(IF(AND(LEN($A1686)=4,VALUE(RIGHT($A1686,2))&gt;60),$A1686&amp;"01 1",$A1686),IF(AND(LEN($A1686)=4,VALUE(RIGHT($A1686,2))&lt;60),GUS_tabl_2!$A$8:$B$464,GUS_tabl_21!$A$5:$B$4886),2,FALSE)),SUM(FIND("..",TRIM(VLOOKUP(IF(AND(LEN($A1686)=4,VALUE(RIGHT($A1686,2))&gt;60),$A1686&amp;"01 1",$A1686),IF(AND(LEN($A1686)=4,VALUE(RIGHT($A1686,2))&lt;60),GUS_tabl_2!$A$8:$B$464,GUS_tabl_21!$A$5:$B$4886),2,FALSE))),-1)))))</f>
        <v>gm. w. Leżajsk</v>
      </c>
      <c r="D1686" s="141">
        <f>IF(OR($A1686="",ISERROR(VALUE(LEFT($A1686,6)))),"",IF(LEN($A1686)=2,SUMIF($A1687:$A$2965,$A1686&amp;"??",$D1687:$D$2965),IF(AND(LEN($A1686)=4,VALUE(RIGHT($A1686,2))&lt;=60),SUMIF($A1687:$A$2965,$A1686&amp;"????",$D1687:$D$2965),VLOOKUP(IF(LEN($A1686)=4,$A1686&amp;"01 1",$A1686),GUS_tabl_21!$A$5:$F$4886,6,FALSE))))</f>
        <v>20257</v>
      </c>
      <c r="E1686" s="29"/>
    </row>
    <row r="1687" spans="1:5" ht="12" customHeight="1">
      <c r="A1687" s="155" t="str">
        <f>"180805 3"</f>
        <v>180805 3</v>
      </c>
      <c r="B1687" s="153" t="s">
        <v>76</v>
      </c>
      <c r="C1687" s="156" t="str">
        <f>IF(OR($A1687="",ISERROR(VALUE(LEFT($A1687,6)))),"",IF(LEN($A1687)=2,"WOJ. ",IF(LEN($A1687)=4,IF(VALUE(RIGHT($A1687,2))&gt;60,"","Powiat "),IF(VALUE(RIGHT($A1687,1))=1,"m. ",IF(VALUE(RIGHT($A1687,1))=2,"gm. w. ",IF(VALUE(RIGHT($A1687,1))=8,"dz. ","gm. m.-w. ")))))&amp;IF(LEN($A1687)=2,TRIM(UPPER(VLOOKUP($A1687,GUS_tabl_1!$A$7:$B$22,2,FALSE))),IF(ISERROR(FIND("..",TRIM(VLOOKUP(IF(AND(LEN($A1687)=4,VALUE(RIGHT($A1687,2))&gt;60),$A1687&amp;"01 1",$A1687),IF(AND(LEN($A1687)=4,VALUE(RIGHT($A1687,2))&lt;60),GUS_tabl_2!$A$8:$B$464,GUS_tabl_21!$A$5:$B$4886),2,FALSE)))),TRIM(VLOOKUP(IF(AND(LEN($A1687)=4,VALUE(RIGHT($A1687,2))&gt;60),$A1687&amp;"01 1",$A1687),IF(AND(LEN($A1687)=4,VALUE(RIGHT($A1687,2))&lt;60),GUS_tabl_2!$A$8:$B$464,GUS_tabl_21!$A$5:$B$4886),2,FALSE)),LEFT(TRIM(VLOOKUP(IF(AND(LEN($A1687)=4,VALUE(RIGHT($A1687,2))&gt;60),$A1687&amp;"01 1",$A1687),IF(AND(LEN($A1687)=4,VALUE(RIGHT($A1687,2))&lt;60),GUS_tabl_2!$A$8:$B$464,GUS_tabl_21!$A$5:$B$4886),2,FALSE)),SUM(FIND("..",TRIM(VLOOKUP(IF(AND(LEN($A1687)=4,VALUE(RIGHT($A1687,2))&gt;60),$A1687&amp;"01 1",$A1687),IF(AND(LEN($A1687)=4,VALUE(RIGHT($A1687,2))&lt;60),GUS_tabl_2!$A$8:$B$464,GUS_tabl_21!$A$5:$B$4886),2,FALSE))),-1)))))</f>
        <v>gm. m.-w. Nowa Sarzyna</v>
      </c>
      <c r="D1687" s="141">
        <f>IF(OR($A1687="",ISERROR(VALUE(LEFT($A1687,6)))),"",IF(LEN($A1687)=2,SUMIF($A1688:$A$2965,$A1687&amp;"??",$D1688:$D$2965),IF(AND(LEN($A1687)=4,VALUE(RIGHT($A1687,2))&lt;=60),SUMIF($A1688:$A$2965,$A1687&amp;"????",$D1688:$D$2965),VLOOKUP(IF(LEN($A1687)=4,$A1687&amp;"01 1",$A1687),GUS_tabl_21!$A$5:$F$4886,6,FALSE))))</f>
        <v>21579</v>
      </c>
      <c r="E1687" s="29"/>
    </row>
    <row r="1688" spans="1:5" ht="12" customHeight="1">
      <c r="A1688" s="152" t="str">
        <f>"1809"</f>
        <v>1809</v>
      </c>
      <c r="B1688" s="153" t="s">
        <v>76</v>
      </c>
      <c r="C1688" s="154" t="str">
        <f>IF(OR($A1688="",ISERROR(VALUE(LEFT($A1688,6)))),"",IF(LEN($A1688)=2,"WOJ. ",IF(LEN($A1688)=4,IF(VALUE(RIGHT($A1688,2))&gt;60,"","Powiat "),IF(VALUE(RIGHT($A1688,1))=1,"m. ",IF(VALUE(RIGHT($A1688,1))=2,"gm. w. ",IF(VALUE(RIGHT($A1688,1))=8,"dz. ","gm. m.-w. ")))))&amp;IF(LEN($A1688)=2,TRIM(UPPER(VLOOKUP($A1688,GUS_tabl_1!$A$7:$B$22,2,FALSE))),IF(ISERROR(FIND("..",TRIM(VLOOKUP(IF(AND(LEN($A1688)=4,VALUE(RIGHT($A1688,2))&gt;60),$A1688&amp;"01 1",$A1688),IF(AND(LEN($A1688)=4,VALUE(RIGHT($A1688,2))&lt;60),GUS_tabl_2!$A$8:$B$464,GUS_tabl_21!$A$5:$B$4886),2,FALSE)))),TRIM(VLOOKUP(IF(AND(LEN($A1688)=4,VALUE(RIGHT($A1688,2))&gt;60),$A1688&amp;"01 1",$A1688),IF(AND(LEN($A1688)=4,VALUE(RIGHT($A1688,2))&lt;60),GUS_tabl_2!$A$8:$B$464,GUS_tabl_21!$A$5:$B$4886),2,FALSE)),LEFT(TRIM(VLOOKUP(IF(AND(LEN($A1688)=4,VALUE(RIGHT($A1688,2))&gt;60),$A1688&amp;"01 1",$A1688),IF(AND(LEN($A1688)=4,VALUE(RIGHT($A1688,2))&lt;60),GUS_tabl_2!$A$8:$B$464,GUS_tabl_21!$A$5:$B$4886),2,FALSE)),SUM(FIND("..",TRIM(VLOOKUP(IF(AND(LEN($A1688)=4,VALUE(RIGHT($A1688,2))&gt;60),$A1688&amp;"01 1",$A1688),IF(AND(LEN($A1688)=4,VALUE(RIGHT($A1688,2))&lt;60),GUS_tabl_2!$A$8:$B$464,GUS_tabl_21!$A$5:$B$4886),2,FALSE))),-1)))))</f>
        <v>Powiat lubaczowski</v>
      </c>
      <c r="D1688" s="140">
        <f>IF(OR($A1688="",ISERROR(VALUE(LEFT($A1688,6)))),"",IF(LEN($A1688)=2,SUMIF($A1689:$A$2965,$A1688&amp;"??",$D1689:$D$2965),IF(AND(LEN($A1688)=4,VALUE(RIGHT($A1688,2))&lt;=60),SUMIF($A1689:$A$2965,$A1688&amp;"????",$D1689:$D$2965),VLOOKUP(IF(LEN($A1688)=4,$A1688&amp;"01 1",$A1688),GUS_tabl_21!$A$5:$F$4886,6,FALSE))))</f>
        <v>55217</v>
      </c>
      <c r="E1688" s="29"/>
    </row>
    <row r="1689" spans="1:5" ht="12" customHeight="1">
      <c r="A1689" s="155" t="str">
        <f>"180901 1"</f>
        <v>180901 1</v>
      </c>
      <c r="B1689" s="153" t="s">
        <v>76</v>
      </c>
      <c r="C1689" s="156" t="str">
        <f>IF(OR($A1689="",ISERROR(VALUE(LEFT($A1689,6)))),"",IF(LEN($A1689)=2,"WOJ. ",IF(LEN($A1689)=4,IF(VALUE(RIGHT($A1689,2))&gt;60,"","Powiat "),IF(VALUE(RIGHT($A1689,1))=1,"m. ",IF(VALUE(RIGHT($A1689,1))=2,"gm. w. ",IF(VALUE(RIGHT($A1689,1))=8,"dz. ","gm. m.-w. ")))))&amp;IF(LEN($A1689)=2,TRIM(UPPER(VLOOKUP($A1689,GUS_tabl_1!$A$7:$B$22,2,FALSE))),IF(ISERROR(FIND("..",TRIM(VLOOKUP(IF(AND(LEN($A1689)=4,VALUE(RIGHT($A1689,2))&gt;60),$A1689&amp;"01 1",$A1689),IF(AND(LEN($A1689)=4,VALUE(RIGHT($A1689,2))&lt;60),GUS_tabl_2!$A$8:$B$464,GUS_tabl_21!$A$5:$B$4886),2,FALSE)))),TRIM(VLOOKUP(IF(AND(LEN($A1689)=4,VALUE(RIGHT($A1689,2))&gt;60),$A1689&amp;"01 1",$A1689),IF(AND(LEN($A1689)=4,VALUE(RIGHT($A1689,2))&lt;60),GUS_tabl_2!$A$8:$B$464,GUS_tabl_21!$A$5:$B$4886),2,FALSE)),LEFT(TRIM(VLOOKUP(IF(AND(LEN($A1689)=4,VALUE(RIGHT($A1689,2))&gt;60),$A1689&amp;"01 1",$A1689),IF(AND(LEN($A1689)=4,VALUE(RIGHT($A1689,2))&lt;60),GUS_tabl_2!$A$8:$B$464,GUS_tabl_21!$A$5:$B$4886),2,FALSE)),SUM(FIND("..",TRIM(VLOOKUP(IF(AND(LEN($A1689)=4,VALUE(RIGHT($A1689,2))&gt;60),$A1689&amp;"01 1",$A1689),IF(AND(LEN($A1689)=4,VALUE(RIGHT($A1689,2))&lt;60),GUS_tabl_2!$A$8:$B$464,GUS_tabl_21!$A$5:$B$4886),2,FALSE))),-1)))))</f>
        <v>m. Lubaczów</v>
      </c>
      <c r="D1689" s="141">
        <f>IF(OR($A1689="",ISERROR(VALUE(LEFT($A1689,6)))),"",IF(LEN($A1689)=2,SUMIF($A1690:$A$2965,$A1689&amp;"??",$D1690:$D$2965),IF(AND(LEN($A1689)=4,VALUE(RIGHT($A1689,2))&lt;=60),SUMIF($A1690:$A$2965,$A1689&amp;"????",$D1690:$D$2965),VLOOKUP(IF(LEN($A1689)=4,$A1689&amp;"01 1",$A1689),GUS_tabl_21!$A$5:$F$4886,6,FALSE))))</f>
        <v>11970</v>
      </c>
      <c r="E1689" s="29"/>
    </row>
    <row r="1690" spans="1:5" ht="12" customHeight="1">
      <c r="A1690" s="155" t="str">
        <f>"180902 3"</f>
        <v>180902 3</v>
      </c>
      <c r="B1690" s="153" t="s">
        <v>76</v>
      </c>
      <c r="C1690" s="156" t="str">
        <f>IF(OR($A1690="",ISERROR(VALUE(LEFT($A1690,6)))),"",IF(LEN($A1690)=2,"WOJ. ",IF(LEN($A1690)=4,IF(VALUE(RIGHT($A1690,2))&gt;60,"","Powiat "),IF(VALUE(RIGHT($A1690,1))=1,"m. ",IF(VALUE(RIGHT($A1690,1))=2,"gm. w. ",IF(VALUE(RIGHT($A1690,1))=8,"dz. ","gm. m.-w. ")))))&amp;IF(LEN($A1690)=2,TRIM(UPPER(VLOOKUP($A1690,GUS_tabl_1!$A$7:$B$22,2,FALSE))),IF(ISERROR(FIND("..",TRIM(VLOOKUP(IF(AND(LEN($A1690)=4,VALUE(RIGHT($A1690,2))&gt;60),$A1690&amp;"01 1",$A1690),IF(AND(LEN($A1690)=4,VALUE(RIGHT($A1690,2))&lt;60),GUS_tabl_2!$A$8:$B$464,GUS_tabl_21!$A$5:$B$4886),2,FALSE)))),TRIM(VLOOKUP(IF(AND(LEN($A1690)=4,VALUE(RIGHT($A1690,2))&gt;60),$A1690&amp;"01 1",$A1690),IF(AND(LEN($A1690)=4,VALUE(RIGHT($A1690,2))&lt;60),GUS_tabl_2!$A$8:$B$464,GUS_tabl_21!$A$5:$B$4886),2,FALSE)),LEFT(TRIM(VLOOKUP(IF(AND(LEN($A1690)=4,VALUE(RIGHT($A1690,2))&gt;60),$A1690&amp;"01 1",$A1690),IF(AND(LEN($A1690)=4,VALUE(RIGHT($A1690,2))&lt;60),GUS_tabl_2!$A$8:$B$464,GUS_tabl_21!$A$5:$B$4886),2,FALSE)),SUM(FIND("..",TRIM(VLOOKUP(IF(AND(LEN($A1690)=4,VALUE(RIGHT($A1690,2))&gt;60),$A1690&amp;"01 1",$A1690),IF(AND(LEN($A1690)=4,VALUE(RIGHT($A1690,2))&lt;60),GUS_tabl_2!$A$8:$B$464,GUS_tabl_21!$A$5:$B$4886),2,FALSE))),-1)))))</f>
        <v>gm. m.-w. Cieszanów</v>
      </c>
      <c r="D1690" s="141">
        <f>IF(OR($A1690="",ISERROR(VALUE(LEFT($A1690,6)))),"",IF(LEN($A1690)=2,SUMIF($A1691:$A$2965,$A1690&amp;"??",$D1691:$D$2965),IF(AND(LEN($A1690)=4,VALUE(RIGHT($A1690,2))&lt;=60),SUMIF($A1691:$A$2965,$A1690&amp;"????",$D1691:$D$2965),VLOOKUP(IF(LEN($A1690)=4,$A1690&amp;"01 1",$A1690),GUS_tabl_21!$A$5:$F$4886,6,FALSE))))</f>
        <v>7141</v>
      </c>
      <c r="E1690" s="29"/>
    </row>
    <row r="1691" spans="1:5" ht="12" customHeight="1">
      <c r="A1691" s="155" t="str">
        <f>"180903 2"</f>
        <v>180903 2</v>
      </c>
      <c r="B1691" s="153" t="s">
        <v>76</v>
      </c>
      <c r="C1691" s="156" t="str">
        <f>IF(OR($A1691="",ISERROR(VALUE(LEFT($A1691,6)))),"",IF(LEN($A1691)=2,"WOJ. ",IF(LEN($A1691)=4,IF(VALUE(RIGHT($A1691,2))&gt;60,"","Powiat "),IF(VALUE(RIGHT($A1691,1))=1,"m. ",IF(VALUE(RIGHT($A1691,1))=2,"gm. w. ",IF(VALUE(RIGHT($A1691,1))=8,"dz. ","gm. m.-w. ")))))&amp;IF(LEN($A1691)=2,TRIM(UPPER(VLOOKUP($A1691,GUS_tabl_1!$A$7:$B$22,2,FALSE))),IF(ISERROR(FIND("..",TRIM(VLOOKUP(IF(AND(LEN($A1691)=4,VALUE(RIGHT($A1691,2))&gt;60),$A1691&amp;"01 1",$A1691),IF(AND(LEN($A1691)=4,VALUE(RIGHT($A1691,2))&lt;60),GUS_tabl_2!$A$8:$B$464,GUS_tabl_21!$A$5:$B$4886),2,FALSE)))),TRIM(VLOOKUP(IF(AND(LEN($A1691)=4,VALUE(RIGHT($A1691,2))&gt;60),$A1691&amp;"01 1",$A1691),IF(AND(LEN($A1691)=4,VALUE(RIGHT($A1691,2))&lt;60),GUS_tabl_2!$A$8:$B$464,GUS_tabl_21!$A$5:$B$4886),2,FALSE)),LEFT(TRIM(VLOOKUP(IF(AND(LEN($A1691)=4,VALUE(RIGHT($A1691,2))&gt;60),$A1691&amp;"01 1",$A1691),IF(AND(LEN($A1691)=4,VALUE(RIGHT($A1691,2))&lt;60),GUS_tabl_2!$A$8:$B$464,GUS_tabl_21!$A$5:$B$4886),2,FALSE)),SUM(FIND("..",TRIM(VLOOKUP(IF(AND(LEN($A1691)=4,VALUE(RIGHT($A1691,2))&gt;60),$A1691&amp;"01 1",$A1691),IF(AND(LEN($A1691)=4,VALUE(RIGHT($A1691,2))&lt;60),GUS_tabl_2!$A$8:$B$464,GUS_tabl_21!$A$5:$B$4886),2,FALSE))),-1)))))</f>
        <v>gm. w. Horyniec-Zdrój (c)</v>
      </c>
      <c r="D1691" s="141">
        <f>IF(OR($A1691="",ISERROR(VALUE(LEFT($A1691,6)))),"",IF(LEN($A1691)=2,SUMIF($A1692:$A$2965,$A1691&amp;"??",$D1692:$D$2965),IF(AND(LEN($A1691)=4,VALUE(RIGHT($A1691,2))&lt;=60),SUMIF($A1692:$A$2965,$A1691&amp;"????",$D1692:$D$2965),VLOOKUP(IF(LEN($A1691)=4,$A1691&amp;"01 1",$A1691),GUS_tabl_21!$A$5:$F$4886,6,FALSE))))</f>
        <v>4659</v>
      </c>
      <c r="E1691" s="29"/>
    </row>
    <row r="1692" spans="1:5" ht="12" customHeight="1">
      <c r="A1692" s="155" t="str">
        <f>"180904 2"</f>
        <v>180904 2</v>
      </c>
      <c r="B1692" s="153" t="s">
        <v>76</v>
      </c>
      <c r="C1692" s="156" t="str">
        <f>IF(OR($A1692="",ISERROR(VALUE(LEFT($A1692,6)))),"",IF(LEN($A1692)=2,"WOJ. ",IF(LEN($A1692)=4,IF(VALUE(RIGHT($A1692,2))&gt;60,"","Powiat "),IF(VALUE(RIGHT($A1692,1))=1,"m. ",IF(VALUE(RIGHT($A1692,1))=2,"gm. w. ",IF(VALUE(RIGHT($A1692,1))=8,"dz. ","gm. m.-w. ")))))&amp;IF(LEN($A1692)=2,TRIM(UPPER(VLOOKUP($A1692,GUS_tabl_1!$A$7:$B$22,2,FALSE))),IF(ISERROR(FIND("..",TRIM(VLOOKUP(IF(AND(LEN($A1692)=4,VALUE(RIGHT($A1692,2))&gt;60),$A1692&amp;"01 1",$A1692),IF(AND(LEN($A1692)=4,VALUE(RIGHT($A1692,2))&lt;60),GUS_tabl_2!$A$8:$B$464,GUS_tabl_21!$A$5:$B$4886),2,FALSE)))),TRIM(VLOOKUP(IF(AND(LEN($A1692)=4,VALUE(RIGHT($A1692,2))&gt;60),$A1692&amp;"01 1",$A1692),IF(AND(LEN($A1692)=4,VALUE(RIGHT($A1692,2))&lt;60),GUS_tabl_2!$A$8:$B$464,GUS_tabl_21!$A$5:$B$4886),2,FALSE)),LEFT(TRIM(VLOOKUP(IF(AND(LEN($A1692)=4,VALUE(RIGHT($A1692,2))&gt;60),$A1692&amp;"01 1",$A1692),IF(AND(LEN($A1692)=4,VALUE(RIGHT($A1692,2))&lt;60),GUS_tabl_2!$A$8:$B$464,GUS_tabl_21!$A$5:$B$4886),2,FALSE)),SUM(FIND("..",TRIM(VLOOKUP(IF(AND(LEN($A1692)=4,VALUE(RIGHT($A1692,2))&gt;60),$A1692&amp;"01 1",$A1692),IF(AND(LEN($A1692)=4,VALUE(RIGHT($A1692,2))&lt;60),GUS_tabl_2!$A$8:$B$464,GUS_tabl_21!$A$5:$B$4886),2,FALSE))),-1)))))</f>
        <v>gm. w. Lubaczów (c)</v>
      </c>
      <c r="D1692" s="141">
        <f>IF(OR($A1692="",ISERROR(VALUE(LEFT($A1692,6)))),"",IF(LEN($A1692)=2,SUMIF($A1693:$A$2965,$A1692&amp;"??",$D1693:$D$2965),IF(AND(LEN($A1692)=4,VALUE(RIGHT($A1692,2))&lt;=60),SUMIF($A1693:$A$2965,$A1692&amp;"????",$D1693:$D$2965),VLOOKUP(IF(LEN($A1692)=4,$A1692&amp;"01 1",$A1692),GUS_tabl_21!$A$5:$F$4886,6,FALSE))))</f>
        <v>9187</v>
      </c>
      <c r="E1692" s="29"/>
    </row>
    <row r="1693" spans="1:5" ht="12" customHeight="1">
      <c r="A1693" s="155" t="str">
        <f>"180905 3"</f>
        <v>180905 3</v>
      </c>
      <c r="B1693" s="153" t="s">
        <v>76</v>
      </c>
      <c r="C1693" s="156" t="str">
        <f>IF(OR($A1693="",ISERROR(VALUE(LEFT($A1693,6)))),"",IF(LEN($A1693)=2,"WOJ. ",IF(LEN($A1693)=4,IF(VALUE(RIGHT($A1693,2))&gt;60,"","Powiat "),IF(VALUE(RIGHT($A1693,1))=1,"m. ",IF(VALUE(RIGHT($A1693,1))=2,"gm. w. ",IF(VALUE(RIGHT($A1693,1))=8,"dz. ","gm. m.-w. ")))))&amp;IF(LEN($A1693)=2,TRIM(UPPER(VLOOKUP($A1693,GUS_tabl_1!$A$7:$B$22,2,FALSE))),IF(ISERROR(FIND("..",TRIM(VLOOKUP(IF(AND(LEN($A1693)=4,VALUE(RIGHT($A1693,2))&gt;60),$A1693&amp;"01 1",$A1693),IF(AND(LEN($A1693)=4,VALUE(RIGHT($A1693,2))&lt;60),GUS_tabl_2!$A$8:$B$464,GUS_tabl_21!$A$5:$B$4886),2,FALSE)))),TRIM(VLOOKUP(IF(AND(LEN($A1693)=4,VALUE(RIGHT($A1693,2))&gt;60),$A1693&amp;"01 1",$A1693),IF(AND(LEN($A1693)=4,VALUE(RIGHT($A1693,2))&lt;60),GUS_tabl_2!$A$8:$B$464,GUS_tabl_21!$A$5:$B$4886),2,FALSE)),LEFT(TRIM(VLOOKUP(IF(AND(LEN($A1693)=4,VALUE(RIGHT($A1693,2))&gt;60),$A1693&amp;"01 1",$A1693),IF(AND(LEN($A1693)=4,VALUE(RIGHT($A1693,2))&lt;60),GUS_tabl_2!$A$8:$B$464,GUS_tabl_21!$A$5:$B$4886),2,FALSE)),SUM(FIND("..",TRIM(VLOOKUP(IF(AND(LEN($A1693)=4,VALUE(RIGHT($A1693,2))&gt;60),$A1693&amp;"01 1",$A1693),IF(AND(LEN($A1693)=4,VALUE(RIGHT($A1693,2))&lt;60),GUS_tabl_2!$A$8:$B$464,GUS_tabl_21!$A$5:$B$4886),2,FALSE))),-1)))))</f>
        <v>gm. m.-w. Narol</v>
      </c>
      <c r="D1693" s="141">
        <f>IF(OR($A1693="",ISERROR(VALUE(LEFT($A1693,6)))),"",IF(LEN($A1693)=2,SUMIF($A1694:$A$2965,$A1693&amp;"??",$D1694:$D$2965),IF(AND(LEN($A1693)=4,VALUE(RIGHT($A1693,2))&lt;=60),SUMIF($A1694:$A$2965,$A1693&amp;"????",$D1694:$D$2965),VLOOKUP(IF(LEN($A1693)=4,$A1693&amp;"01 1",$A1693),GUS_tabl_21!$A$5:$F$4886,6,FALSE))))</f>
        <v>7967</v>
      </c>
      <c r="E1693" s="29"/>
    </row>
    <row r="1694" spans="1:5" ht="12" customHeight="1">
      <c r="A1694" s="155" t="str">
        <f>"180906 3"</f>
        <v>180906 3</v>
      </c>
      <c r="B1694" s="153" t="s">
        <v>76</v>
      </c>
      <c r="C1694" s="156" t="str">
        <f>IF(OR($A1694="",ISERROR(VALUE(LEFT($A1694,6)))),"",IF(LEN($A1694)=2,"WOJ. ",IF(LEN($A1694)=4,IF(VALUE(RIGHT($A1694,2))&gt;60,"","Powiat "),IF(VALUE(RIGHT($A1694,1))=1,"m. ",IF(VALUE(RIGHT($A1694,1))=2,"gm. w. ",IF(VALUE(RIGHT($A1694,1))=8,"dz. ","gm. m.-w. ")))))&amp;IF(LEN($A1694)=2,TRIM(UPPER(VLOOKUP($A1694,GUS_tabl_1!$A$7:$B$22,2,FALSE))),IF(ISERROR(FIND("..",TRIM(VLOOKUP(IF(AND(LEN($A1694)=4,VALUE(RIGHT($A1694,2))&gt;60),$A1694&amp;"01 1",$A1694),IF(AND(LEN($A1694)=4,VALUE(RIGHT($A1694,2))&lt;60),GUS_tabl_2!$A$8:$B$464,GUS_tabl_21!$A$5:$B$4886),2,FALSE)))),TRIM(VLOOKUP(IF(AND(LEN($A1694)=4,VALUE(RIGHT($A1694,2))&gt;60),$A1694&amp;"01 1",$A1694),IF(AND(LEN($A1694)=4,VALUE(RIGHT($A1694,2))&lt;60),GUS_tabl_2!$A$8:$B$464,GUS_tabl_21!$A$5:$B$4886),2,FALSE)),LEFT(TRIM(VLOOKUP(IF(AND(LEN($A1694)=4,VALUE(RIGHT($A1694,2))&gt;60),$A1694&amp;"01 1",$A1694),IF(AND(LEN($A1694)=4,VALUE(RIGHT($A1694,2))&lt;60),GUS_tabl_2!$A$8:$B$464,GUS_tabl_21!$A$5:$B$4886),2,FALSE)),SUM(FIND("..",TRIM(VLOOKUP(IF(AND(LEN($A1694)=4,VALUE(RIGHT($A1694,2))&gt;60),$A1694&amp;"01 1",$A1694),IF(AND(LEN($A1694)=4,VALUE(RIGHT($A1694,2))&lt;60),GUS_tabl_2!$A$8:$B$464,GUS_tabl_21!$A$5:$B$4886),2,FALSE))),-1)))))</f>
        <v>gm. m.-w. Oleszyce</v>
      </c>
      <c r="D1694" s="141">
        <f>IF(OR($A1694="",ISERROR(VALUE(LEFT($A1694,6)))),"",IF(LEN($A1694)=2,SUMIF($A1695:$A$2965,$A1694&amp;"??",$D1695:$D$2965),IF(AND(LEN($A1694)=4,VALUE(RIGHT($A1694,2))&lt;=60),SUMIF($A1695:$A$2965,$A1694&amp;"????",$D1695:$D$2965),VLOOKUP(IF(LEN($A1694)=4,$A1694&amp;"01 1",$A1694),GUS_tabl_21!$A$5:$F$4886,6,FALSE))))</f>
        <v>6332</v>
      </c>
      <c r="E1694" s="29"/>
    </row>
    <row r="1695" spans="1:5" ht="12" customHeight="1">
      <c r="A1695" s="155" t="str">
        <f>"180907 2"</f>
        <v>180907 2</v>
      </c>
      <c r="B1695" s="153" t="s">
        <v>76</v>
      </c>
      <c r="C1695" s="156" t="str">
        <f>IF(OR($A1695="",ISERROR(VALUE(LEFT($A1695,6)))),"",IF(LEN($A1695)=2,"WOJ. ",IF(LEN($A1695)=4,IF(VALUE(RIGHT($A1695,2))&gt;60,"","Powiat "),IF(VALUE(RIGHT($A1695,1))=1,"m. ",IF(VALUE(RIGHT($A1695,1))=2,"gm. w. ",IF(VALUE(RIGHT($A1695,1))=8,"dz. ","gm. m.-w. ")))))&amp;IF(LEN($A1695)=2,TRIM(UPPER(VLOOKUP($A1695,GUS_tabl_1!$A$7:$B$22,2,FALSE))),IF(ISERROR(FIND("..",TRIM(VLOOKUP(IF(AND(LEN($A1695)=4,VALUE(RIGHT($A1695,2))&gt;60),$A1695&amp;"01 1",$A1695),IF(AND(LEN($A1695)=4,VALUE(RIGHT($A1695,2))&lt;60),GUS_tabl_2!$A$8:$B$464,GUS_tabl_21!$A$5:$B$4886),2,FALSE)))),TRIM(VLOOKUP(IF(AND(LEN($A1695)=4,VALUE(RIGHT($A1695,2))&gt;60),$A1695&amp;"01 1",$A1695),IF(AND(LEN($A1695)=4,VALUE(RIGHT($A1695,2))&lt;60),GUS_tabl_2!$A$8:$B$464,GUS_tabl_21!$A$5:$B$4886),2,FALSE)),LEFT(TRIM(VLOOKUP(IF(AND(LEN($A1695)=4,VALUE(RIGHT($A1695,2))&gt;60),$A1695&amp;"01 1",$A1695),IF(AND(LEN($A1695)=4,VALUE(RIGHT($A1695,2))&lt;60),GUS_tabl_2!$A$8:$B$464,GUS_tabl_21!$A$5:$B$4886),2,FALSE)),SUM(FIND("..",TRIM(VLOOKUP(IF(AND(LEN($A1695)=4,VALUE(RIGHT($A1695,2))&gt;60),$A1695&amp;"01 1",$A1695),IF(AND(LEN($A1695)=4,VALUE(RIGHT($A1695,2))&lt;60),GUS_tabl_2!$A$8:$B$464,GUS_tabl_21!$A$5:$B$4886),2,FALSE))),-1)))))</f>
        <v>gm. w. Stary Dzików</v>
      </c>
      <c r="D1695" s="141">
        <f>IF(OR($A1695="",ISERROR(VALUE(LEFT($A1695,6)))),"",IF(LEN($A1695)=2,SUMIF($A1696:$A$2965,$A1695&amp;"??",$D1696:$D$2965),IF(AND(LEN($A1695)=4,VALUE(RIGHT($A1695,2))&lt;=60),SUMIF($A1696:$A$2965,$A1695&amp;"????",$D1696:$D$2965),VLOOKUP(IF(LEN($A1695)=4,$A1695&amp;"01 1",$A1695),GUS_tabl_21!$A$5:$F$4886,6,FALSE))))</f>
        <v>4143</v>
      </c>
      <c r="E1695" s="29"/>
    </row>
    <row r="1696" spans="1:5" ht="12" customHeight="1">
      <c r="A1696" s="155" t="str">
        <f>"180908 2"</f>
        <v>180908 2</v>
      </c>
      <c r="B1696" s="153" t="s">
        <v>76</v>
      </c>
      <c r="C1696" s="156" t="str">
        <f>IF(OR($A1696="",ISERROR(VALUE(LEFT($A1696,6)))),"",IF(LEN($A1696)=2,"WOJ. ",IF(LEN($A1696)=4,IF(VALUE(RIGHT($A1696,2))&gt;60,"","Powiat "),IF(VALUE(RIGHT($A1696,1))=1,"m. ",IF(VALUE(RIGHT($A1696,1))=2,"gm. w. ",IF(VALUE(RIGHT($A1696,1))=8,"dz. ","gm. m.-w. ")))))&amp;IF(LEN($A1696)=2,TRIM(UPPER(VLOOKUP($A1696,GUS_tabl_1!$A$7:$B$22,2,FALSE))),IF(ISERROR(FIND("..",TRIM(VLOOKUP(IF(AND(LEN($A1696)=4,VALUE(RIGHT($A1696,2))&gt;60),$A1696&amp;"01 1",$A1696),IF(AND(LEN($A1696)=4,VALUE(RIGHT($A1696,2))&lt;60),GUS_tabl_2!$A$8:$B$464,GUS_tabl_21!$A$5:$B$4886),2,FALSE)))),TRIM(VLOOKUP(IF(AND(LEN($A1696)=4,VALUE(RIGHT($A1696,2))&gt;60),$A1696&amp;"01 1",$A1696),IF(AND(LEN($A1696)=4,VALUE(RIGHT($A1696,2))&lt;60),GUS_tabl_2!$A$8:$B$464,GUS_tabl_21!$A$5:$B$4886),2,FALSE)),LEFT(TRIM(VLOOKUP(IF(AND(LEN($A1696)=4,VALUE(RIGHT($A1696,2))&gt;60),$A1696&amp;"01 1",$A1696),IF(AND(LEN($A1696)=4,VALUE(RIGHT($A1696,2))&lt;60),GUS_tabl_2!$A$8:$B$464,GUS_tabl_21!$A$5:$B$4886),2,FALSE)),SUM(FIND("..",TRIM(VLOOKUP(IF(AND(LEN($A1696)=4,VALUE(RIGHT($A1696,2))&gt;60),$A1696&amp;"01 1",$A1696),IF(AND(LEN($A1696)=4,VALUE(RIGHT($A1696,2))&lt;60),GUS_tabl_2!$A$8:$B$464,GUS_tabl_21!$A$5:$B$4886),2,FALSE))),-1)))))</f>
        <v>gm. w. Wielkie Oczy</v>
      </c>
      <c r="D1696" s="141">
        <f>IF(OR($A1696="",ISERROR(VALUE(LEFT($A1696,6)))),"",IF(LEN($A1696)=2,SUMIF($A1697:$A$2965,$A1696&amp;"??",$D1697:$D$2965),IF(AND(LEN($A1696)=4,VALUE(RIGHT($A1696,2))&lt;=60),SUMIF($A1697:$A$2965,$A1696&amp;"????",$D1697:$D$2965),VLOOKUP(IF(LEN($A1696)=4,$A1696&amp;"01 1",$A1696),GUS_tabl_21!$A$5:$F$4886,6,FALSE))))</f>
        <v>3818</v>
      </c>
      <c r="E1696" s="29"/>
    </row>
    <row r="1697" spans="1:5" ht="12" customHeight="1">
      <c r="A1697" s="152" t="str">
        <f>"1810"</f>
        <v>1810</v>
      </c>
      <c r="B1697" s="153" t="s">
        <v>76</v>
      </c>
      <c r="C1697" s="154" t="str">
        <f>IF(OR($A1697="",ISERROR(VALUE(LEFT($A1697,6)))),"",IF(LEN($A1697)=2,"WOJ. ",IF(LEN($A1697)=4,IF(VALUE(RIGHT($A1697,2))&gt;60,"","Powiat "),IF(VALUE(RIGHT($A1697,1))=1,"m. ",IF(VALUE(RIGHT($A1697,1))=2,"gm. w. ",IF(VALUE(RIGHT($A1697,1))=8,"dz. ","gm. m.-w. ")))))&amp;IF(LEN($A1697)=2,TRIM(UPPER(VLOOKUP($A1697,GUS_tabl_1!$A$7:$B$22,2,FALSE))),IF(ISERROR(FIND("..",TRIM(VLOOKUP(IF(AND(LEN($A1697)=4,VALUE(RIGHT($A1697,2))&gt;60),$A1697&amp;"01 1",$A1697),IF(AND(LEN($A1697)=4,VALUE(RIGHT($A1697,2))&lt;60),GUS_tabl_2!$A$8:$B$464,GUS_tabl_21!$A$5:$B$4886),2,FALSE)))),TRIM(VLOOKUP(IF(AND(LEN($A1697)=4,VALUE(RIGHT($A1697,2))&gt;60),$A1697&amp;"01 1",$A1697),IF(AND(LEN($A1697)=4,VALUE(RIGHT($A1697,2))&lt;60),GUS_tabl_2!$A$8:$B$464,GUS_tabl_21!$A$5:$B$4886),2,FALSE)),LEFT(TRIM(VLOOKUP(IF(AND(LEN($A1697)=4,VALUE(RIGHT($A1697,2))&gt;60),$A1697&amp;"01 1",$A1697),IF(AND(LEN($A1697)=4,VALUE(RIGHT($A1697,2))&lt;60),GUS_tabl_2!$A$8:$B$464,GUS_tabl_21!$A$5:$B$4886),2,FALSE)),SUM(FIND("..",TRIM(VLOOKUP(IF(AND(LEN($A1697)=4,VALUE(RIGHT($A1697,2))&gt;60),$A1697&amp;"01 1",$A1697),IF(AND(LEN($A1697)=4,VALUE(RIGHT($A1697,2))&lt;60),GUS_tabl_2!$A$8:$B$464,GUS_tabl_21!$A$5:$B$4886),2,FALSE))),-1)))))</f>
        <v>Powiat łańcucki</v>
      </c>
      <c r="D1697" s="140">
        <f>IF(OR($A1697="",ISERROR(VALUE(LEFT($A1697,6)))),"",IF(LEN($A1697)=2,SUMIF($A1698:$A$2965,$A1697&amp;"??",$D1698:$D$2965),IF(AND(LEN($A1697)=4,VALUE(RIGHT($A1697,2))&lt;=60),SUMIF($A1698:$A$2965,$A1697&amp;"????",$D1698:$D$2965),VLOOKUP(IF(LEN($A1697)=4,$A1697&amp;"01 1",$A1697),GUS_tabl_21!$A$5:$F$4886,6,FALSE))))</f>
        <v>81049</v>
      </c>
      <c r="E1697" s="29"/>
    </row>
    <row r="1698" spans="1:5" ht="12" customHeight="1">
      <c r="A1698" s="155" t="str">
        <f>"181001 1"</f>
        <v>181001 1</v>
      </c>
      <c r="B1698" s="153" t="s">
        <v>76</v>
      </c>
      <c r="C1698" s="156" t="str">
        <f>IF(OR($A1698="",ISERROR(VALUE(LEFT($A1698,6)))),"",IF(LEN($A1698)=2,"WOJ. ",IF(LEN($A1698)=4,IF(VALUE(RIGHT($A1698,2))&gt;60,"","Powiat "),IF(VALUE(RIGHT($A1698,1))=1,"m. ",IF(VALUE(RIGHT($A1698,1))=2,"gm. w. ",IF(VALUE(RIGHT($A1698,1))=8,"dz. ","gm. m.-w. ")))))&amp;IF(LEN($A1698)=2,TRIM(UPPER(VLOOKUP($A1698,GUS_tabl_1!$A$7:$B$22,2,FALSE))),IF(ISERROR(FIND("..",TRIM(VLOOKUP(IF(AND(LEN($A1698)=4,VALUE(RIGHT($A1698,2))&gt;60),$A1698&amp;"01 1",$A1698),IF(AND(LEN($A1698)=4,VALUE(RIGHT($A1698,2))&lt;60),GUS_tabl_2!$A$8:$B$464,GUS_tabl_21!$A$5:$B$4886),2,FALSE)))),TRIM(VLOOKUP(IF(AND(LEN($A1698)=4,VALUE(RIGHT($A1698,2))&gt;60),$A1698&amp;"01 1",$A1698),IF(AND(LEN($A1698)=4,VALUE(RIGHT($A1698,2))&lt;60),GUS_tabl_2!$A$8:$B$464,GUS_tabl_21!$A$5:$B$4886),2,FALSE)),LEFT(TRIM(VLOOKUP(IF(AND(LEN($A1698)=4,VALUE(RIGHT($A1698,2))&gt;60),$A1698&amp;"01 1",$A1698),IF(AND(LEN($A1698)=4,VALUE(RIGHT($A1698,2))&lt;60),GUS_tabl_2!$A$8:$B$464,GUS_tabl_21!$A$5:$B$4886),2,FALSE)),SUM(FIND("..",TRIM(VLOOKUP(IF(AND(LEN($A1698)=4,VALUE(RIGHT($A1698,2))&gt;60),$A1698&amp;"01 1",$A1698),IF(AND(LEN($A1698)=4,VALUE(RIGHT($A1698,2))&lt;60),GUS_tabl_2!$A$8:$B$464,GUS_tabl_21!$A$5:$B$4886),2,FALSE))),-1)))))</f>
        <v>m. Łańcut</v>
      </c>
      <c r="D1698" s="141">
        <f>IF(OR($A1698="",ISERROR(VALUE(LEFT($A1698,6)))),"",IF(LEN($A1698)=2,SUMIF($A1699:$A$2965,$A1698&amp;"??",$D1699:$D$2965),IF(AND(LEN($A1698)=4,VALUE(RIGHT($A1698,2))&lt;=60),SUMIF($A1699:$A$2965,$A1698&amp;"????",$D1699:$D$2965),VLOOKUP(IF(LEN($A1698)=4,$A1698&amp;"01 1",$A1698),GUS_tabl_21!$A$5:$F$4886,6,FALSE))))</f>
        <v>17711</v>
      </c>
      <c r="E1698" s="29"/>
    </row>
    <row r="1699" spans="1:5" ht="12" customHeight="1">
      <c r="A1699" s="155" t="str">
        <f>"181002 2"</f>
        <v>181002 2</v>
      </c>
      <c r="B1699" s="153" t="s">
        <v>76</v>
      </c>
      <c r="C1699" s="156" t="str">
        <f>IF(OR($A1699="",ISERROR(VALUE(LEFT($A1699,6)))),"",IF(LEN($A1699)=2,"WOJ. ",IF(LEN($A1699)=4,IF(VALUE(RIGHT($A1699,2))&gt;60,"","Powiat "),IF(VALUE(RIGHT($A1699,1))=1,"m. ",IF(VALUE(RIGHT($A1699,1))=2,"gm. w. ",IF(VALUE(RIGHT($A1699,1))=8,"dz. ","gm. m.-w. ")))))&amp;IF(LEN($A1699)=2,TRIM(UPPER(VLOOKUP($A1699,GUS_tabl_1!$A$7:$B$22,2,FALSE))),IF(ISERROR(FIND("..",TRIM(VLOOKUP(IF(AND(LEN($A1699)=4,VALUE(RIGHT($A1699,2))&gt;60),$A1699&amp;"01 1",$A1699),IF(AND(LEN($A1699)=4,VALUE(RIGHT($A1699,2))&lt;60),GUS_tabl_2!$A$8:$B$464,GUS_tabl_21!$A$5:$B$4886),2,FALSE)))),TRIM(VLOOKUP(IF(AND(LEN($A1699)=4,VALUE(RIGHT($A1699,2))&gt;60),$A1699&amp;"01 1",$A1699),IF(AND(LEN($A1699)=4,VALUE(RIGHT($A1699,2))&lt;60),GUS_tabl_2!$A$8:$B$464,GUS_tabl_21!$A$5:$B$4886),2,FALSE)),LEFT(TRIM(VLOOKUP(IF(AND(LEN($A1699)=4,VALUE(RIGHT($A1699,2))&gt;60),$A1699&amp;"01 1",$A1699),IF(AND(LEN($A1699)=4,VALUE(RIGHT($A1699,2))&lt;60),GUS_tabl_2!$A$8:$B$464,GUS_tabl_21!$A$5:$B$4886),2,FALSE)),SUM(FIND("..",TRIM(VLOOKUP(IF(AND(LEN($A1699)=4,VALUE(RIGHT($A1699,2))&gt;60),$A1699&amp;"01 1",$A1699),IF(AND(LEN($A1699)=4,VALUE(RIGHT($A1699,2))&lt;60),GUS_tabl_2!$A$8:$B$464,GUS_tabl_21!$A$5:$B$4886),2,FALSE))),-1)))))</f>
        <v>gm. w. Białobrzegi</v>
      </c>
      <c r="D1699" s="141">
        <f>IF(OR($A1699="",ISERROR(VALUE(LEFT($A1699,6)))),"",IF(LEN($A1699)=2,SUMIF($A1700:$A$2965,$A1699&amp;"??",$D1700:$D$2965),IF(AND(LEN($A1699)=4,VALUE(RIGHT($A1699,2))&lt;=60),SUMIF($A1700:$A$2965,$A1699&amp;"????",$D1700:$D$2965),VLOOKUP(IF(LEN($A1699)=4,$A1699&amp;"01 1",$A1699),GUS_tabl_21!$A$5:$F$4886,6,FALSE))))</f>
        <v>8725</v>
      </c>
      <c r="E1699" s="29"/>
    </row>
    <row r="1700" spans="1:5" ht="12" customHeight="1">
      <c r="A1700" s="155" t="str">
        <f>"181003 2"</f>
        <v>181003 2</v>
      </c>
      <c r="B1700" s="153" t="s">
        <v>76</v>
      </c>
      <c r="C1700" s="156" t="str">
        <f>IF(OR($A1700="",ISERROR(VALUE(LEFT($A1700,6)))),"",IF(LEN($A1700)=2,"WOJ. ",IF(LEN($A1700)=4,IF(VALUE(RIGHT($A1700,2))&gt;60,"","Powiat "),IF(VALUE(RIGHT($A1700,1))=1,"m. ",IF(VALUE(RIGHT($A1700,1))=2,"gm. w. ",IF(VALUE(RIGHT($A1700,1))=8,"dz. ","gm. m.-w. ")))))&amp;IF(LEN($A1700)=2,TRIM(UPPER(VLOOKUP($A1700,GUS_tabl_1!$A$7:$B$22,2,FALSE))),IF(ISERROR(FIND("..",TRIM(VLOOKUP(IF(AND(LEN($A1700)=4,VALUE(RIGHT($A1700,2))&gt;60),$A1700&amp;"01 1",$A1700),IF(AND(LEN($A1700)=4,VALUE(RIGHT($A1700,2))&lt;60),GUS_tabl_2!$A$8:$B$464,GUS_tabl_21!$A$5:$B$4886),2,FALSE)))),TRIM(VLOOKUP(IF(AND(LEN($A1700)=4,VALUE(RIGHT($A1700,2))&gt;60),$A1700&amp;"01 1",$A1700),IF(AND(LEN($A1700)=4,VALUE(RIGHT($A1700,2))&lt;60),GUS_tabl_2!$A$8:$B$464,GUS_tabl_21!$A$5:$B$4886),2,FALSE)),LEFT(TRIM(VLOOKUP(IF(AND(LEN($A1700)=4,VALUE(RIGHT($A1700,2))&gt;60),$A1700&amp;"01 1",$A1700),IF(AND(LEN($A1700)=4,VALUE(RIGHT($A1700,2))&lt;60),GUS_tabl_2!$A$8:$B$464,GUS_tabl_21!$A$5:$B$4886),2,FALSE)),SUM(FIND("..",TRIM(VLOOKUP(IF(AND(LEN($A1700)=4,VALUE(RIGHT($A1700,2))&gt;60),$A1700&amp;"01 1",$A1700),IF(AND(LEN($A1700)=4,VALUE(RIGHT($A1700,2))&lt;60),GUS_tabl_2!$A$8:$B$464,GUS_tabl_21!$A$5:$B$4886),2,FALSE))),-1)))))</f>
        <v>gm. w. Czarna</v>
      </c>
      <c r="D1700" s="141">
        <f>IF(OR($A1700="",ISERROR(VALUE(LEFT($A1700,6)))),"",IF(LEN($A1700)=2,SUMIF($A1701:$A$2965,$A1700&amp;"??",$D1701:$D$2965),IF(AND(LEN($A1700)=4,VALUE(RIGHT($A1700,2))&lt;=60),SUMIF($A1701:$A$2965,$A1700&amp;"????",$D1701:$D$2965),VLOOKUP(IF(LEN($A1700)=4,$A1700&amp;"01 1",$A1700),GUS_tabl_21!$A$5:$F$4886,6,FALSE))))</f>
        <v>11816</v>
      </c>
      <c r="E1700" s="29"/>
    </row>
    <row r="1701" spans="1:5" ht="12" customHeight="1">
      <c r="A1701" s="155" t="str">
        <f>"181004 2"</f>
        <v>181004 2</v>
      </c>
      <c r="B1701" s="153" t="s">
        <v>76</v>
      </c>
      <c r="C1701" s="156" t="str">
        <f>IF(OR($A1701="",ISERROR(VALUE(LEFT($A1701,6)))),"",IF(LEN($A1701)=2,"WOJ. ",IF(LEN($A1701)=4,IF(VALUE(RIGHT($A1701,2))&gt;60,"","Powiat "),IF(VALUE(RIGHT($A1701,1))=1,"m. ",IF(VALUE(RIGHT($A1701,1))=2,"gm. w. ",IF(VALUE(RIGHT($A1701,1))=8,"dz. ","gm. m.-w. ")))))&amp;IF(LEN($A1701)=2,TRIM(UPPER(VLOOKUP($A1701,GUS_tabl_1!$A$7:$B$22,2,FALSE))),IF(ISERROR(FIND("..",TRIM(VLOOKUP(IF(AND(LEN($A1701)=4,VALUE(RIGHT($A1701,2))&gt;60),$A1701&amp;"01 1",$A1701),IF(AND(LEN($A1701)=4,VALUE(RIGHT($A1701,2))&lt;60),GUS_tabl_2!$A$8:$B$464,GUS_tabl_21!$A$5:$B$4886),2,FALSE)))),TRIM(VLOOKUP(IF(AND(LEN($A1701)=4,VALUE(RIGHT($A1701,2))&gt;60),$A1701&amp;"01 1",$A1701),IF(AND(LEN($A1701)=4,VALUE(RIGHT($A1701,2))&lt;60),GUS_tabl_2!$A$8:$B$464,GUS_tabl_21!$A$5:$B$4886),2,FALSE)),LEFT(TRIM(VLOOKUP(IF(AND(LEN($A1701)=4,VALUE(RIGHT($A1701,2))&gt;60),$A1701&amp;"01 1",$A1701),IF(AND(LEN($A1701)=4,VALUE(RIGHT($A1701,2))&lt;60),GUS_tabl_2!$A$8:$B$464,GUS_tabl_21!$A$5:$B$4886),2,FALSE)),SUM(FIND("..",TRIM(VLOOKUP(IF(AND(LEN($A1701)=4,VALUE(RIGHT($A1701,2))&gt;60),$A1701&amp;"01 1",$A1701),IF(AND(LEN($A1701)=4,VALUE(RIGHT($A1701,2))&lt;60),GUS_tabl_2!$A$8:$B$464,GUS_tabl_21!$A$5:$B$4886),2,FALSE))),-1)))))</f>
        <v>gm. w. Łańcut</v>
      </c>
      <c r="D1701" s="141">
        <f>IF(OR($A1701="",ISERROR(VALUE(LEFT($A1701,6)))),"",IF(LEN($A1701)=2,SUMIF($A1702:$A$2965,$A1701&amp;"??",$D1702:$D$2965),IF(AND(LEN($A1701)=4,VALUE(RIGHT($A1701,2))&lt;=60),SUMIF($A1702:$A$2965,$A1701&amp;"????",$D1702:$D$2965),VLOOKUP(IF(LEN($A1701)=4,$A1701&amp;"01 1",$A1701),GUS_tabl_21!$A$5:$F$4886,6,FALSE))))</f>
        <v>21921</v>
      </c>
      <c r="E1701" s="29"/>
    </row>
    <row r="1702" spans="1:5" ht="12" customHeight="1">
      <c r="A1702" s="155" t="str">
        <f>"181005 2"</f>
        <v>181005 2</v>
      </c>
      <c r="B1702" s="153" t="s">
        <v>76</v>
      </c>
      <c r="C1702" s="156" t="str">
        <f>IF(OR($A1702="",ISERROR(VALUE(LEFT($A1702,6)))),"",IF(LEN($A1702)=2,"WOJ. ",IF(LEN($A1702)=4,IF(VALUE(RIGHT($A1702,2))&gt;60,"","Powiat "),IF(VALUE(RIGHT($A1702,1))=1,"m. ",IF(VALUE(RIGHT($A1702,1))=2,"gm. w. ",IF(VALUE(RIGHT($A1702,1))=8,"dz. ","gm. m.-w. ")))))&amp;IF(LEN($A1702)=2,TRIM(UPPER(VLOOKUP($A1702,GUS_tabl_1!$A$7:$B$22,2,FALSE))),IF(ISERROR(FIND("..",TRIM(VLOOKUP(IF(AND(LEN($A1702)=4,VALUE(RIGHT($A1702,2))&gt;60),$A1702&amp;"01 1",$A1702),IF(AND(LEN($A1702)=4,VALUE(RIGHT($A1702,2))&lt;60),GUS_tabl_2!$A$8:$B$464,GUS_tabl_21!$A$5:$B$4886),2,FALSE)))),TRIM(VLOOKUP(IF(AND(LEN($A1702)=4,VALUE(RIGHT($A1702,2))&gt;60),$A1702&amp;"01 1",$A1702),IF(AND(LEN($A1702)=4,VALUE(RIGHT($A1702,2))&lt;60),GUS_tabl_2!$A$8:$B$464,GUS_tabl_21!$A$5:$B$4886),2,FALSE)),LEFT(TRIM(VLOOKUP(IF(AND(LEN($A1702)=4,VALUE(RIGHT($A1702,2))&gt;60),$A1702&amp;"01 1",$A1702),IF(AND(LEN($A1702)=4,VALUE(RIGHT($A1702,2))&lt;60),GUS_tabl_2!$A$8:$B$464,GUS_tabl_21!$A$5:$B$4886),2,FALSE)),SUM(FIND("..",TRIM(VLOOKUP(IF(AND(LEN($A1702)=4,VALUE(RIGHT($A1702,2))&gt;60),$A1702&amp;"01 1",$A1702),IF(AND(LEN($A1702)=4,VALUE(RIGHT($A1702,2))&lt;60),GUS_tabl_2!$A$8:$B$464,GUS_tabl_21!$A$5:$B$4886),2,FALSE))),-1)))))</f>
        <v>gm. w. Markowa</v>
      </c>
      <c r="D1702" s="141">
        <f>IF(OR($A1702="",ISERROR(VALUE(LEFT($A1702,6)))),"",IF(LEN($A1702)=2,SUMIF($A1703:$A$2965,$A1702&amp;"??",$D1703:$D$2965),IF(AND(LEN($A1702)=4,VALUE(RIGHT($A1702,2))&lt;=60),SUMIF($A1703:$A$2965,$A1702&amp;"????",$D1703:$D$2965),VLOOKUP(IF(LEN($A1702)=4,$A1702&amp;"01 1",$A1702),GUS_tabl_21!$A$5:$F$4886,6,FALSE))))</f>
        <v>6481</v>
      </c>
      <c r="E1702" s="29"/>
    </row>
    <row r="1703" spans="1:5" ht="12" customHeight="1">
      <c r="A1703" s="155" t="str">
        <f>"181006 2"</f>
        <v>181006 2</v>
      </c>
      <c r="B1703" s="153" t="s">
        <v>76</v>
      </c>
      <c r="C1703" s="156" t="str">
        <f>IF(OR($A1703="",ISERROR(VALUE(LEFT($A1703,6)))),"",IF(LEN($A1703)=2,"WOJ. ",IF(LEN($A1703)=4,IF(VALUE(RIGHT($A1703,2))&gt;60,"","Powiat "),IF(VALUE(RIGHT($A1703,1))=1,"m. ",IF(VALUE(RIGHT($A1703,1))=2,"gm. w. ",IF(VALUE(RIGHT($A1703,1))=8,"dz. ","gm. m.-w. ")))))&amp;IF(LEN($A1703)=2,TRIM(UPPER(VLOOKUP($A1703,GUS_tabl_1!$A$7:$B$22,2,FALSE))),IF(ISERROR(FIND("..",TRIM(VLOOKUP(IF(AND(LEN($A1703)=4,VALUE(RIGHT($A1703,2))&gt;60),$A1703&amp;"01 1",$A1703),IF(AND(LEN($A1703)=4,VALUE(RIGHT($A1703,2))&lt;60),GUS_tabl_2!$A$8:$B$464,GUS_tabl_21!$A$5:$B$4886),2,FALSE)))),TRIM(VLOOKUP(IF(AND(LEN($A1703)=4,VALUE(RIGHT($A1703,2))&gt;60),$A1703&amp;"01 1",$A1703),IF(AND(LEN($A1703)=4,VALUE(RIGHT($A1703,2))&lt;60),GUS_tabl_2!$A$8:$B$464,GUS_tabl_21!$A$5:$B$4886),2,FALSE)),LEFT(TRIM(VLOOKUP(IF(AND(LEN($A1703)=4,VALUE(RIGHT($A1703,2))&gt;60),$A1703&amp;"01 1",$A1703),IF(AND(LEN($A1703)=4,VALUE(RIGHT($A1703,2))&lt;60),GUS_tabl_2!$A$8:$B$464,GUS_tabl_21!$A$5:$B$4886),2,FALSE)),SUM(FIND("..",TRIM(VLOOKUP(IF(AND(LEN($A1703)=4,VALUE(RIGHT($A1703,2))&gt;60),$A1703&amp;"01 1",$A1703),IF(AND(LEN($A1703)=4,VALUE(RIGHT($A1703,2))&lt;60),GUS_tabl_2!$A$8:$B$464,GUS_tabl_21!$A$5:$B$4886),2,FALSE))),-1)))))</f>
        <v>gm. w. Rakszawa</v>
      </c>
      <c r="D1703" s="141">
        <f>IF(OR($A1703="",ISERROR(VALUE(LEFT($A1703,6)))),"",IF(LEN($A1703)=2,SUMIF($A1704:$A$2965,$A1703&amp;"??",$D1704:$D$2965),IF(AND(LEN($A1703)=4,VALUE(RIGHT($A1703,2))&lt;=60),SUMIF($A1704:$A$2965,$A1703&amp;"????",$D1704:$D$2965),VLOOKUP(IF(LEN($A1703)=4,$A1703&amp;"01 1",$A1703),GUS_tabl_21!$A$5:$F$4886,6,FALSE))))</f>
        <v>7359</v>
      </c>
      <c r="E1703" s="29"/>
    </row>
    <row r="1704" spans="1:5" ht="12" customHeight="1">
      <c r="A1704" s="155" t="str">
        <f>"181007 2"</f>
        <v>181007 2</v>
      </c>
      <c r="B1704" s="153" t="s">
        <v>76</v>
      </c>
      <c r="C1704" s="156" t="str">
        <f>IF(OR($A1704="",ISERROR(VALUE(LEFT($A1704,6)))),"",IF(LEN($A1704)=2,"WOJ. ",IF(LEN($A1704)=4,IF(VALUE(RIGHT($A1704,2))&gt;60,"","Powiat "),IF(VALUE(RIGHT($A1704,1))=1,"m. ",IF(VALUE(RIGHT($A1704,1))=2,"gm. w. ",IF(VALUE(RIGHT($A1704,1))=8,"dz. ","gm. m.-w. ")))))&amp;IF(LEN($A1704)=2,TRIM(UPPER(VLOOKUP($A1704,GUS_tabl_1!$A$7:$B$22,2,FALSE))),IF(ISERROR(FIND("..",TRIM(VLOOKUP(IF(AND(LEN($A1704)=4,VALUE(RIGHT($A1704,2))&gt;60),$A1704&amp;"01 1",$A1704),IF(AND(LEN($A1704)=4,VALUE(RIGHT($A1704,2))&lt;60),GUS_tabl_2!$A$8:$B$464,GUS_tabl_21!$A$5:$B$4886),2,FALSE)))),TRIM(VLOOKUP(IF(AND(LEN($A1704)=4,VALUE(RIGHT($A1704,2))&gt;60),$A1704&amp;"01 1",$A1704),IF(AND(LEN($A1704)=4,VALUE(RIGHT($A1704,2))&lt;60),GUS_tabl_2!$A$8:$B$464,GUS_tabl_21!$A$5:$B$4886),2,FALSE)),LEFT(TRIM(VLOOKUP(IF(AND(LEN($A1704)=4,VALUE(RIGHT($A1704,2))&gt;60),$A1704&amp;"01 1",$A1704),IF(AND(LEN($A1704)=4,VALUE(RIGHT($A1704,2))&lt;60),GUS_tabl_2!$A$8:$B$464,GUS_tabl_21!$A$5:$B$4886),2,FALSE)),SUM(FIND("..",TRIM(VLOOKUP(IF(AND(LEN($A1704)=4,VALUE(RIGHT($A1704,2))&gt;60),$A1704&amp;"01 1",$A1704),IF(AND(LEN($A1704)=4,VALUE(RIGHT($A1704,2))&lt;60),GUS_tabl_2!$A$8:$B$464,GUS_tabl_21!$A$5:$B$4886),2,FALSE))),-1)))))</f>
        <v>gm. w. Żołynia</v>
      </c>
      <c r="D1704" s="141">
        <f>IF(OR($A1704="",ISERROR(VALUE(LEFT($A1704,6)))),"",IF(LEN($A1704)=2,SUMIF($A1705:$A$2965,$A1704&amp;"??",$D1705:$D$2965),IF(AND(LEN($A1704)=4,VALUE(RIGHT($A1704,2))&lt;=60),SUMIF($A1705:$A$2965,$A1704&amp;"????",$D1705:$D$2965),VLOOKUP(IF(LEN($A1704)=4,$A1704&amp;"01 1",$A1704),GUS_tabl_21!$A$5:$F$4886,6,FALSE))))</f>
        <v>7036</v>
      </c>
      <c r="E1704" s="29"/>
    </row>
    <row r="1705" spans="1:5" ht="12" customHeight="1">
      <c r="A1705" s="152" t="str">
        <f>"1811"</f>
        <v>1811</v>
      </c>
      <c r="B1705" s="153" t="s">
        <v>76</v>
      </c>
      <c r="C1705" s="154" t="str">
        <f>IF(OR($A1705="",ISERROR(VALUE(LEFT($A1705,6)))),"",IF(LEN($A1705)=2,"WOJ. ",IF(LEN($A1705)=4,IF(VALUE(RIGHT($A1705,2))&gt;60,"","Powiat "),IF(VALUE(RIGHT($A1705,1))=1,"m. ",IF(VALUE(RIGHT($A1705,1))=2,"gm. w. ",IF(VALUE(RIGHT($A1705,1))=8,"dz. ","gm. m.-w. ")))))&amp;IF(LEN($A1705)=2,TRIM(UPPER(VLOOKUP($A1705,GUS_tabl_1!$A$7:$B$22,2,FALSE))),IF(ISERROR(FIND("..",TRIM(VLOOKUP(IF(AND(LEN($A1705)=4,VALUE(RIGHT($A1705,2))&gt;60),$A1705&amp;"01 1",$A1705),IF(AND(LEN($A1705)=4,VALUE(RIGHT($A1705,2))&lt;60),GUS_tabl_2!$A$8:$B$464,GUS_tabl_21!$A$5:$B$4886),2,FALSE)))),TRIM(VLOOKUP(IF(AND(LEN($A1705)=4,VALUE(RIGHT($A1705,2))&gt;60),$A1705&amp;"01 1",$A1705),IF(AND(LEN($A1705)=4,VALUE(RIGHT($A1705,2))&lt;60),GUS_tabl_2!$A$8:$B$464,GUS_tabl_21!$A$5:$B$4886),2,FALSE)),LEFT(TRIM(VLOOKUP(IF(AND(LEN($A1705)=4,VALUE(RIGHT($A1705,2))&gt;60),$A1705&amp;"01 1",$A1705),IF(AND(LEN($A1705)=4,VALUE(RIGHT($A1705,2))&lt;60),GUS_tabl_2!$A$8:$B$464,GUS_tabl_21!$A$5:$B$4886),2,FALSE)),SUM(FIND("..",TRIM(VLOOKUP(IF(AND(LEN($A1705)=4,VALUE(RIGHT($A1705,2))&gt;60),$A1705&amp;"01 1",$A1705),IF(AND(LEN($A1705)=4,VALUE(RIGHT($A1705,2))&lt;60),GUS_tabl_2!$A$8:$B$464,GUS_tabl_21!$A$5:$B$4886),2,FALSE))),-1)))))</f>
        <v>Powiat mielecki</v>
      </c>
      <c r="D1705" s="140">
        <f>IF(OR($A1705="",ISERROR(VALUE(LEFT($A1705,6)))),"",IF(LEN($A1705)=2,SUMIF($A1706:$A$2965,$A1705&amp;"??",$D1706:$D$2965),IF(AND(LEN($A1705)=4,VALUE(RIGHT($A1705,2))&lt;=60),SUMIF($A1706:$A$2965,$A1705&amp;"????",$D1706:$D$2965),VLOOKUP(IF(LEN($A1705)=4,$A1705&amp;"01 1",$A1705),GUS_tabl_21!$A$5:$F$4886,6,FALSE))))</f>
        <v>136660</v>
      </c>
      <c r="E1705" s="29"/>
    </row>
    <row r="1706" spans="1:5" ht="12" customHeight="1">
      <c r="A1706" s="155" t="str">
        <f>"181101 1"</f>
        <v>181101 1</v>
      </c>
      <c r="B1706" s="153" t="s">
        <v>76</v>
      </c>
      <c r="C1706" s="156" t="str">
        <f>IF(OR($A1706="",ISERROR(VALUE(LEFT($A1706,6)))),"",IF(LEN($A1706)=2,"WOJ. ",IF(LEN($A1706)=4,IF(VALUE(RIGHT($A1706,2))&gt;60,"","Powiat "),IF(VALUE(RIGHT($A1706,1))=1,"m. ",IF(VALUE(RIGHT($A1706,1))=2,"gm. w. ",IF(VALUE(RIGHT($A1706,1))=8,"dz. ","gm. m.-w. ")))))&amp;IF(LEN($A1706)=2,TRIM(UPPER(VLOOKUP($A1706,GUS_tabl_1!$A$7:$B$22,2,FALSE))),IF(ISERROR(FIND("..",TRIM(VLOOKUP(IF(AND(LEN($A1706)=4,VALUE(RIGHT($A1706,2))&gt;60),$A1706&amp;"01 1",$A1706),IF(AND(LEN($A1706)=4,VALUE(RIGHT($A1706,2))&lt;60),GUS_tabl_2!$A$8:$B$464,GUS_tabl_21!$A$5:$B$4886),2,FALSE)))),TRIM(VLOOKUP(IF(AND(LEN($A1706)=4,VALUE(RIGHT($A1706,2))&gt;60),$A1706&amp;"01 1",$A1706),IF(AND(LEN($A1706)=4,VALUE(RIGHT($A1706,2))&lt;60),GUS_tabl_2!$A$8:$B$464,GUS_tabl_21!$A$5:$B$4886),2,FALSE)),LEFT(TRIM(VLOOKUP(IF(AND(LEN($A1706)=4,VALUE(RIGHT($A1706,2))&gt;60),$A1706&amp;"01 1",$A1706),IF(AND(LEN($A1706)=4,VALUE(RIGHT($A1706,2))&lt;60),GUS_tabl_2!$A$8:$B$464,GUS_tabl_21!$A$5:$B$4886),2,FALSE)),SUM(FIND("..",TRIM(VLOOKUP(IF(AND(LEN($A1706)=4,VALUE(RIGHT($A1706,2))&gt;60),$A1706&amp;"01 1",$A1706),IF(AND(LEN($A1706)=4,VALUE(RIGHT($A1706,2))&lt;60),GUS_tabl_2!$A$8:$B$464,GUS_tabl_21!$A$5:$B$4886),2,FALSE))),-1)))))</f>
        <v>m. Mielec (a)</v>
      </c>
      <c r="D1706" s="141">
        <f>IF(OR($A1706="",ISERROR(VALUE(LEFT($A1706,6)))),"",IF(LEN($A1706)=2,SUMIF($A1707:$A$2965,$A1706&amp;"??",$D1707:$D$2965),IF(AND(LEN($A1706)=4,VALUE(RIGHT($A1706,2))&lt;=60),SUMIF($A1707:$A$2965,$A1706&amp;"????",$D1707:$D$2965),VLOOKUP(IF(LEN($A1706)=4,$A1706&amp;"01 1",$A1706),GUS_tabl_21!$A$5:$F$4886,6,FALSE))))</f>
        <v>60323</v>
      </c>
      <c r="E1706" s="29"/>
    </row>
    <row r="1707" spans="1:5" ht="12" customHeight="1">
      <c r="A1707" s="155" t="str">
        <f>"181102 2"</f>
        <v>181102 2</v>
      </c>
      <c r="B1707" s="153" t="s">
        <v>76</v>
      </c>
      <c r="C1707" s="156" t="str">
        <f>IF(OR($A1707="",ISERROR(VALUE(LEFT($A1707,6)))),"",IF(LEN($A1707)=2,"WOJ. ",IF(LEN($A1707)=4,IF(VALUE(RIGHT($A1707,2))&gt;60,"","Powiat "),IF(VALUE(RIGHT($A1707,1))=1,"m. ",IF(VALUE(RIGHT($A1707,1))=2,"gm. w. ",IF(VALUE(RIGHT($A1707,1))=8,"dz. ","gm. m.-w. ")))))&amp;IF(LEN($A1707)=2,TRIM(UPPER(VLOOKUP($A1707,GUS_tabl_1!$A$7:$B$22,2,FALSE))),IF(ISERROR(FIND("..",TRIM(VLOOKUP(IF(AND(LEN($A1707)=4,VALUE(RIGHT($A1707,2))&gt;60),$A1707&amp;"01 1",$A1707),IF(AND(LEN($A1707)=4,VALUE(RIGHT($A1707,2))&lt;60),GUS_tabl_2!$A$8:$B$464,GUS_tabl_21!$A$5:$B$4886),2,FALSE)))),TRIM(VLOOKUP(IF(AND(LEN($A1707)=4,VALUE(RIGHT($A1707,2))&gt;60),$A1707&amp;"01 1",$A1707),IF(AND(LEN($A1707)=4,VALUE(RIGHT($A1707,2))&lt;60),GUS_tabl_2!$A$8:$B$464,GUS_tabl_21!$A$5:$B$4886),2,FALSE)),LEFT(TRIM(VLOOKUP(IF(AND(LEN($A1707)=4,VALUE(RIGHT($A1707,2))&gt;60),$A1707&amp;"01 1",$A1707),IF(AND(LEN($A1707)=4,VALUE(RIGHT($A1707,2))&lt;60),GUS_tabl_2!$A$8:$B$464,GUS_tabl_21!$A$5:$B$4886),2,FALSE)),SUM(FIND("..",TRIM(VLOOKUP(IF(AND(LEN($A1707)=4,VALUE(RIGHT($A1707,2))&gt;60),$A1707&amp;"01 1",$A1707),IF(AND(LEN($A1707)=4,VALUE(RIGHT($A1707,2))&lt;60),GUS_tabl_2!$A$8:$B$464,GUS_tabl_21!$A$5:$B$4886),2,FALSE))),-1)))))</f>
        <v>gm. w. Borowa</v>
      </c>
      <c r="D1707" s="141">
        <f>IF(OR($A1707="",ISERROR(VALUE(LEFT($A1707,6)))),"",IF(LEN($A1707)=2,SUMIF($A1708:$A$2965,$A1707&amp;"??",$D1708:$D$2965),IF(AND(LEN($A1707)=4,VALUE(RIGHT($A1707,2))&lt;=60),SUMIF($A1708:$A$2965,$A1707&amp;"????",$D1708:$D$2965),VLOOKUP(IF(LEN($A1707)=4,$A1707&amp;"01 1",$A1707),GUS_tabl_21!$A$5:$F$4886,6,FALSE))))</f>
        <v>5541</v>
      </c>
      <c r="E1707" s="29"/>
    </row>
    <row r="1708" spans="1:5" ht="12" customHeight="1">
      <c r="A1708" s="155" t="str">
        <f>"181103 2"</f>
        <v>181103 2</v>
      </c>
      <c r="B1708" s="153" t="s">
        <v>76</v>
      </c>
      <c r="C1708" s="156" t="str">
        <f>IF(OR($A1708="",ISERROR(VALUE(LEFT($A1708,6)))),"",IF(LEN($A1708)=2,"WOJ. ",IF(LEN($A1708)=4,IF(VALUE(RIGHT($A1708,2))&gt;60,"","Powiat "),IF(VALUE(RIGHT($A1708,1))=1,"m. ",IF(VALUE(RIGHT($A1708,1))=2,"gm. w. ",IF(VALUE(RIGHT($A1708,1))=8,"dz. ","gm. m.-w. ")))))&amp;IF(LEN($A1708)=2,TRIM(UPPER(VLOOKUP($A1708,GUS_tabl_1!$A$7:$B$22,2,FALSE))),IF(ISERROR(FIND("..",TRIM(VLOOKUP(IF(AND(LEN($A1708)=4,VALUE(RIGHT($A1708,2))&gt;60),$A1708&amp;"01 1",$A1708),IF(AND(LEN($A1708)=4,VALUE(RIGHT($A1708,2))&lt;60),GUS_tabl_2!$A$8:$B$464,GUS_tabl_21!$A$5:$B$4886),2,FALSE)))),TRIM(VLOOKUP(IF(AND(LEN($A1708)=4,VALUE(RIGHT($A1708,2))&gt;60),$A1708&amp;"01 1",$A1708),IF(AND(LEN($A1708)=4,VALUE(RIGHT($A1708,2))&lt;60),GUS_tabl_2!$A$8:$B$464,GUS_tabl_21!$A$5:$B$4886),2,FALSE)),LEFT(TRIM(VLOOKUP(IF(AND(LEN($A1708)=4,VALUE(RIGHT($A1708,2))&gt;60),$A1708&amp;"01 1",$A1708),IF(AND(LEN($A1708)=4,VALUE(RIGHT($A1708,2))&lt;60),GUS_tabl_2!$A$8:$B$464,GUS_tabl_21!$A$5:$B$4886),2,FALSE)),SUM(FIND("..",TRIM(VLOOKUP(IF(AND(LEN($A1708)=4,VALUE(RIGHT($A1708,2))&gt;60),$A1708&amp;"01 1",$A1708),IF(AND(LEN($A1708)=4,VALUE(RIGHT($A1708,2))&lt;60),GUS_tabl_2!$A$8:$B$464,GUS_tabl_21!$A$5:$B$4886),2,FALSE))),-1)))))</f>
        <v>gm. w. Czermin</v>
      </c>
      <c r="D1708" s="141">
        <f>IF(OR($A1708="",ISERROR(VALUE(LEFT($A1708,6)))),"",IF(LEN($A1708)=2,SUMIF($A1709:$A$2965,$A1708&amp;"??",$D1709:$D$2965),IF(AND(LEN($A1708)=4,VALUE(RIGHT($A1708,2))&lt;=60),SUMIF($A1709:$A$2965,$A1708&amp;"????",$D1709:$D$2965),VLOOKUP(IF(LEN($A1708)=4,$A1708&amp;"01 1",$A1708),GUS_tabl_21!$A$5:$F$4886,6,FALSE))))</f>
        <v>7059</v>
      </c>
      <c r="E1708" s="29"/>
    </row>
    <row r="1709" spans="1:5" ht="12" customHeight="1">
      <c r="A1709" s="155" t="str">
        <f>"181104 2"</f>
        <v>181104 2</v>
      </c>
      <c r="B1709" s="153" t="s">
        <v>76</v>
      </c>
      <c r="C1709" s="156" t="str">
        <f>IF(OR($A1709="",ISERROR(VALUE(LEFT($A1709,6)))),"",IF(LEN($A1709)=2,"WOJ. ",IF(LEN($A1709)=4,IF(VALUE(RIGHT($A1709,2))&gt;60,"","Powiat "),IF(VALUE(RIGHT($A1709,1))=1,"m. ",IF(VALUE(RIGHT($A1709,1))=2,"gm. w. ",IF(VALUE(RIGHT($A1709,1))=8,"dz. ","gm. m.-w. ")))))&amp;IF(LEN($A1709)=2,TRIM(UPPER(VLOOKUP($A1709,GUS_tabl_1!$A$7:$B$22,2,FALSE))),IF(ISERROR(FIND("..",TRIM(VLOOKUP(IF(AND(LEN($A1709)=4,VALUE(RIGHT($A1709,2))&gt;60),$A1709&amp;"01 1",$A1709),IF(AND(LEN($A1709)=4,VALUE(RIGHT($A1709,2))&lt;60),GUS_tabl_2!$A$8:$B$464,GUS_tabl_21!$A$5:$B$4886),2,FALSE)))),TRIM(VLOOKUP(IF(AND(LEN($A1709)=4,VALUE(RIGHT($A1709,2))&gt;60),$A1709&amp;"01 1",$A1709),IF(AND(LEN($A1709)=4,VALUE(RIGHT($A1709,2))&lt;60),GUS_tabl_2!$A$8:$B$464,GUS_tabl_21!$A$5:$B$4886),2,FALSE)),LEFT(TRIM(VLOOKUP(IF(AND(LEN($A1709)=4,VALUE(RIGHT($A1709,2))&gt;60),$A1709&amp;"01 1",$A1709),IF(AND(LEN($A1709)=4,VALUE(RIGHT($A1709,2))&lt;60),GUS_tabl_2!$A$8:$B$464,GUS_tabl_21!$A$5:$B$4886),2,FALSE)),SUM(FIND("..",TRIM(VLOOKUP(IF(AND(LEN($A1709)=4,VALUE(RIGHT($A1709,2))&gt;60),$A1709&amp;"01 1",$A1709),IF(AND(LEN($A1709)=4,VALUE(RIGHT($A1709,2))&lt;60),GUS_tabl_2!$A$8:$B$464,GUS_tabl_21!$A$5:$B$4886),2,FALSE))),-1)))))</f>
        <v>gm. w. Gawłuszowice</v>
      </c>
      <c r="D1709" s="141">
        <f>IF(OR($A1709="",ISERROR(VALUE(LEFT($A1709,6)))),"",IF(LEN($A1709)=2,SUMIF($A1710:$A$2965,$A1709&amp;"??",$D1710:$D$2965),IF(AND(LEN($A1709)=4,VALUE(RIGHT($A1709,2))&lt;=60),SUMIF($A1710:$A$2965,$A1709&amp;"????",$D1710:$D$2965),VLOOKUP(IF(LEN($A1709)=4,$A1709&amp;"01 1",$A1709),GUS_tabl_21!$A$5:$F$4886,6,FALSE))))</f>
        <v>2727</v>
      </c>
      <c r="E1709" s="29"/>
    </row>
    <row r="1710" spans="1:5" ht="12" customHeight="1">
      <c r="A1710" s="155" t="str">
        <f>"181105 2"</f>
        <v>181105 2</v>
      </c>
      <c r="B1710" s="153" t="s">
        <v>76</v>
      </c>
      <c r="C1710" s="156" t="str">
        <f>IF(OR($A1710="",ISERROR(VALUE(LEFT($A1710,6)))),"",IF(LEN($A1710)=2,"WOJ. ",IF(LEN($A1710)=4,IF(VALUE(RIGHT($A1710,2))&gt;60,"","Powiat "),IF(VALUE(RIGHT($A1710,1))=1,"m. ",IF(VALUE(RIGHT($A1710,1))=2,"gm. w. ",IF(VALUE(RIGHT($A1710,1))=8,"dz. ","gm. m.-w. ")))))&amp;IF(LEN($A1710)=2,TRIM(UPPER(VLOOKUP($A1710,GUS_tabl_1!$A$7:$B$22,2,FALSE))),IF(ISERROR(FIND("..",TRIM(VLOOKUP(IF(AND(LEN($A1710)=4,VALUE(RIGHT($A1710,2))&gt;60),$A1710&amp;"01 1",$A1710),IF(AND(LEN($A1710)=4,VALUE(RIGHT($A1710,2))&lt;60),GUS_tabl_2!$A$8:$B$464,GUS_tabl_21!$A$5:$B$4886),2,FALSE)))),TRIM(VLOOKUP(IF(AND(LEN($A1710)=4,VALUE(RIGHT($A1710,2))&gt;60),$A1710&amp;"01 1",$A1710),IF(AND(LEN($A1710)=4,VALUE(RIGHT($A1710,2))&lt;60),GUS_tabl_2!$A$8:$B$464,GUS_tabl_21!$A$5:$B$4886),2,FALSE)),LEFT(TRIM(VLOOKUP(IF(AND(LEN($A1710)=4,VALUE(RIGHT($A1710,2))&gt;60),$A1710&amp;"01 1",$A1710),IF(AND(LEN($A1710)=4,VALUE(RIGHT($A1710,2))&lt;60),GUS_tabl_2!$A$8:$B$464,GUS_tabl_21!$A$5:$B$4886),2,FALSE)),SUM(FIND("..",TRIM(VLOOKUP(IF(AND(LEN($A1710)=4,VALUE(RIGHT($A1710,2))&gt;60),$A1710&amp;"01 1",$A1710),IF(AND(LEN($A1710)=4,VALUE(RIGHT($A1710,2))&lt;60),GUS_tabl_2!$A$8:$B$464,GUS_tabl_21!$A$5:$B$4886),2,FALSE))),-1)))))</f>
        <v>gm. w. Mielec</v>
      </c>
      <c r="D1710" s="141">
        <f>IF(OR($A1710="",ISERROR(VALUE(LEFT($A1710,6)))),"",IF(LEN($A1710)=2,SUMIF($A1711:$A$2965,$A1710&amp;"??",$D1711:$D$2965),IF(AND(LEN($A1710)=4,VALUE(RIGHT($A1710,2))&lt;=60),SUMIF($A1711:$A$2965,$A1710&amp;"????",$D1711:$D$2965),VLOOKUP(IF(LEN($A1710)=4,$A1710&amp;"01 1",$A1710),GUS_tabl_21!$A$5:$F$4886,6,FALSE))))</f>
        <v>13389</v>
      </c>
      <c r="E1710" s="29"/>
    </row>
    <row r="1711" spans="1:5" ht="12" customHeight="1">
      <c r="A1711" s="155" t="str">
        <f>"181106 2"</f>
        <v>181106 2</v>
      </c>
      <c r="B1711" s="153" t="s">
        <v>76</v>
      </c>
      <c r="C1711" s="156" t="str">
        <f>IF(OR($A1711="",ISERROR(VALUE(LEFT($A1711,6)))),"",IF(LEN($A1711)=2,"WOJ. ",IF(LEN($A1711)=4,IF(VALUE(RIGHT($A1711,2))&gt;60,"","Powiat "),IF(VALUE(RIGHT($A1711,1))=1,"m. ",IF(VALUE(RIGHT($A1711,1))=2,"gm. w. ",IF(VALUE(RIGHT($A1711,1))=8,"dz. ","gm. m.-w. ")))))&amp;IF(LEN($A1711)=2,TRIM(UPPER(VLOOKUP($A1711,GUS_tabl_1!$A$7:$B$22,2,FALSE))),IF(ISERROR(FIND("..",TRIM(VLOOKUP(IF(AND(LEN($A1711)=4,VALUE(RIGHT($A1711,2))&gt;60),$A1711&amp;"01 1",$A1711),IF(AND(LEN($A1711)=4,VALUE(RIGHT($A1711,2))&lt;60),GUS_tabl_2!$A$8:$B$464,GUS_tabl_21!$A$5:$B$4886),2,FALSE)))),TRIM(VLOOKUP(IF(AND(LEN($A1711)=4,VALUE(RIGHT($A1711,2))&gt;60),$A1711&amp;"01 1",$A1711),IF(AND(LEN($A1711)=4,VALUE(RIGHT($A1711,2))&lt;60),GUS_tabl_2!$A$8:$B$464,GUS_tabl_21!$A$5:$B$4886),2,FALSE)),LEFT(TRIM(VLOOKUP(IF(AND(LEN($A1711)=4,VALUE(RIGHT($A1711,2))&gt;60),$A1711&amp;"01 1",$A1711),IF(AND(LEN($A1711)=4,VALUE(RIGHT($A1711,2))&lt;60),GUS_tabl_2!$A$8:$B$464,GUS_tabl_21!$A$5:$B$4886),2,FALSE)),SUM(FIND("..",TRIM(VLOOKUP(IF(AND(LEN($A1711)=4,VALUE(RIGHT($A1711,2))&gt;60),$A1711&amp;"01 1",$A1711),IF(AND(LEN($A1711)=4,VALUE(RIGHT($A1711,2))&lt;60),GUS_tabl_2!$A$8:$B$464,GUS_tabl_21!$A$5:$B$4886),2,FALSE))),-1)))))</f>
        <v>gm. w. Padew Narodowa</v>
      </c>
      <c r="D1711" s="141">
        <f>IF(OR($A1711="",ISERROR(VALUE(LEFT($A1711,6)))),"",IF(LEN($A1711)=2,SUMIF($A1712:$A$2965,$A1711&amp;"??",$D1712:$D$2965),IF(AND(LEN($A1711)=4,VALUE(RIGHT($A1711,2))&lt;=60),SUMIF($A1712:$A$2965,$A1711&amp;"????",$D1712:$D$2965),VLOOKUP(IF(LEN($A1711)=4,$A1711&amp;"01 1",$A1711),GUS_tabl_21!$A$5:$F$4886,6,FALSE))))</f>
        <v>5381</v>
      </c>
      <c r="E1711" s="29"/>
    </row>
    <row r="1712" spans="1:5" ht="12" customHeight="1">
      <c r="A1712" s="155" t="str">
        <f>"181107 3"</f>
        <v>181107 3</v>
      </c>
      <c r="B1712" s="153" t="s">
        <v>76</v>
      </c>
      <c r="C1712" s="156" t="str">
        <f>IF(OR($A1712="",ISERROR(VALUE(LEFT($A1712,6)))),"",IF(LEN($A1712)=2,"WOJ. ",IF(LEN($A1712)=4,IF(VALUE(RIGHT($A1712,2))&gt;60,"","Powiat "),IF(VALUE(RIGHT($A1712,1))=1,"m. ",IF(VALUE(RIGHT($A1712,1))=2,"gm. w. ",IF(VALUE(RIGHT($A1712,1))=8,"dz. ","gm. m.-w. ")))))&amp;IF(LEN($A1712)=2,TRIM(UPPER(VLOOKUP($A1712,GUS_tabl_1!$A$7:$B$22,2,FALSE))),IF(ISERROR(FIND("..",TRIM(VLOOKUP(IF(AND(LEN($A1712)=4,VALUE(RIGHT($A1712,2))&gt;60),$A1712&amp;"01 1",$A1712),IF(AND(LEN($A1712)=4,VALUE(RIGHT($A1712,2))&lt;60),GUS_tabl_2!$A$8:$B$464,GUS_tabl_21!$A$5:$B$4886),2,FALSE)))),TRIM(VLOOKUP(IF(AND(LEN($A1712)=4,VALUE(RIGHT($A1712,2))&gt;60),$A1712&amp;"01 1",$A1712),IF(AND(LEN($A1712)=4,VALUE(RIGHT($A1712,2))&lt;60),GUS_tabl_2!$A$8:$B$464,GUS_tabl_21!$A$5:$B$4886),2,FALSE)),LEFT(TRIM(VLOOKUP(IF(AND(LEN($A1712)=4,VALUE(RIGHT($A1712,2))&gt;60),$A1712&amp;"01 1",$A1712),IF(AND(LEN($A1712)=4,VALUE(RIGHT($A1712,2))&lt;60),GUS_tabl_2!$A$8:$B$464,GUS_tabl_21!$A$5:$B$4886),2,FALSE)),SUM(FIND("..",TRIM(VLOOKUP(IF(AND(LEN($A1712)=4,VALUE(RIGHT($A1712,2))&gt;60),$A1712&amp;"01 1",$A1712),IF(AND(LEN($A1712)=4,VALUE(RIGHT($A1712,2))&lt;60),GUS_tabl_2!$A$8:$B$464,GUS_tabl_21!$A$5:$B$4886),2,FALSE))),-1)))))</f>
        <v>gm. m.-w. Przecław</v>
      </c>
      <c r="D1712" s="141">
        <f>IF(OR($A1712="",ISERROR(VALUE(LEFT($A1712,6)))),"",IF(LEN($A1712)=2,SUMIF($A1713:$A$2965,$A1712&amp;"??",$D1713:$D$2965),IF(AND(LEN($A1712)=4,VALUE(RIGHT($A1712,2))&lt;=60),SUMIF($A1713:$A$2965,$A1712&amp;"????",$D1713:$D$2965),VLOOKUP(IF(LEN($A1712)=4,$A1712&amp;"01 1",$A1712),GUS_tabl_21!$A$5:$F$4886,6,FALSE))))</f>
        <v>12003</v>
      </c>
      <c r="E1712" s="29"/>
    </row>
    <row r="1713" spans="1:5" ht="12" customHeight="1">
      <c r="A1713" s="155" t="str">
        <f>"181108 3"</f>
        <v>181108 3</v>
      </c>
      <c r="B1713" s="153" t="s">
        <v>76</v>
      </c>
      <c r="C1713" s="156" t="str">
        <f>IF(OR($A1713="",ISERROR(VALUE(LEFT($A1713,6)))),"",IF(LEN($A1713)=2,"WOJ. ",IF(LEN($A1713)=4,IF(VALUE(RIGHT($A1713,2))&gt;60,"","Powiat "),IF(VALUE(RIGHT($A1713,1))=1,"m. ",IF(VALUE(RIGHT($A1713,1))=2,"gm. w. ",IF(VALUE(RIGHT($A1713,1))=8,"dz. ","gm. m.-w. ")))))&amp;IF(LEN($A1713)=2,TRIM(UPPER(VLOOKUP($A1713,GUS_tabl_1!$A$7:$B$22,2,FALSE))),IF(ISERROR(FIND("..",TRIM(VLOOKUP(IF(AND(LEN($A1713)=4,VALUE(RIGHT($A1713,2))&gt;60),$A1713&amp;"01 1",$A1713),IF(AND(LEN($A1713)=4,VALUE(RIGHT($A1713,2))&lt;60),GUS_tabl_2!$A$8:$B$464,GUS_tabl_21!$A$5:$B$4886),2,FALSE)))),TRIM(VLOOKUP(IF(AND(LEN($A1713)=4,VALUE(RIGHT($A1713,2))&gt;60),$A1713&amp;"01 1",$A1713),IF(AND(LEN($A1713)=4,VALUE(RIGHT($A1713,2))&lt;60),GUS_tabl_2!$A$8:$B$464,GUS_tabl_21!$A$5:$B$4886),2,FALSE)),LEFT(TRIM(VLOOKUP(IF(AND(LEN($A1713)=4,VALUE(RIGHT($A1713,2))&gt;60),$A1713&amp;"01 1",$A1713),IF(AND(LEN($A1713)=4,VALUE(RIGHT($A1713,2))&lt;60),GUS_tabl_2!$A$8:$B$464,GUS_tabl_21!$A$5:$B$4886),2,FALSE)),SUM(FIND("..",TRIM(VLOOKUP(IF(AND(LEN($A1713)=4,VALUE(RIGHT($A1713,2))&gt;60),$A1713&amp;"01 1",$A1713),IF(AND(LEN($A1713)=4,VALUE(RIGHT($A1713,2))&lt;60),GUS_tabl_2!$A$8:$B$464,GUS_tabl_21!$A$5:$B$4886),2,FALSE))),-1)))))</f>
        <v>gm. m.-w. Radomyśl Wielki</v>
      </c>
      <c r="D1713" s="141">
        <f>IF(OR($A1713="",ISERROR(VALUE(LEFT($A1713,6)))),"",IF(LEN($A1713)=2,SUMIF($A1714:$A$2965,$A1713&amp;"??",$D1714:$D$2965),IF(AND(LEN($A1713)=4,VALUE(RIGHT($A1713,2))&lt;=60),SUMIF($A1714:$A$2965,$A1713&amp;"????",$D1714:$D$2965),VLOOKUP(IF(LEN($A1713)=4,$A1713&amp;"01 1",$A1713),GUS_tabl_21!$A$5:$F$4886,6,FALSE))))</f>
        <v>14292</v>
      </c>
      <c r="E1713" s="29"/>
    </row>
    <row r="1714" spans="1:5" ht="12" customHeight="1">
      <c r="A1714" s="155" t="str">
        <f>"181109 2"</f>
        <v>181109 2</v>
      </c>
      <c r="B1714" s="153" t="s">
        <v>76</v>
      </c>
      <c r="C1714" s="156" t="str">
        <f>IF(OR($A1714="",ISERROR(VALUE(LEFT($A1714,6)))),"",IF(LEN($A1714)=2,"WOJ. ",IF(LEN($A1714)=4,IF(VALUE(RIGHT($A1714,2))&gt;60,"","Powiat "),IF(VALUE(RIGHT($A1714,1))=1,"m. ",IF(VALUE(RIGHT($A1714,1))=2,"gm. w. ",IF(VALUE(RIGHT($A1714,1))=8,"dz. ","gm. m.-w. ")))))&amp;IF(LEN($A1714)=2,TRIM(UPPER(VLOOKUP($A1714,GUS_tabl_1!$A$7:$B$22,2,FALSE))),IF(ISERROR(FIND("..",TRIM(VLOOKUP(IF(AND(LEN($A1714)=4,VALUE(RIGHT($A1714,2))&gt;60),$A1714&amp;"01 1",$A1714),IF(AND(LEN($A1714)=4,VALUE(RIGHT($A1714,2))&lt;60),GUS_tabl_2!$A$8:$B$464,GUS_tabl_21!$A$5:$B$4886),2,FALSE)))),TRIM(VLOOKUP(IF(AND(LEN($A1714)=4,VALUE(RIGHT($A1714,2))&gt;60),$A1714&amp;"01 1",$A1714),IF(AND(LEN($A1714)=4,VALUE(RIGHT($A1714,2))&lt;60),GUS_tabl_2!$A$8:$B$464,GUS_tabl_21!$A$5:$B$4886),2,FALSE)),LEFT(TRIM(VLOOKUP(IF(AND(LEN($A1714)=4,VALUE(RIGHT($A1714,2))&gt;60),$A1714&amp;"01 1",$A1714),IF(AND(LEN($A1714)=4,VALUE(RIGHT($A1714,2))&lt;60),GUS_tabl_2!$A$8:$B$464,GUS_tabl_21!$A$5:$B$4886),2,FALSE)),SUM(FIND("..",TRIM(VLOOKUP(IF(AND(LEN($A1714)=4,VALUE(RIGHT($A1714,2))&gt;60),$A1714&amp;"01 1",$A1714),IF(AND(LEN($A1714)=4,VALUE(RIGHT($A1714,2))&lt;60),GUS_tabl_2!$A$8:$B$464,GUS_tabl_21!$A$5:$B$4886),2,FALSE))),-1)))))</f>
        <v>gm. w. Tuszów Narodowy</v>
      </c>
      <c r="D1714" s="141">
        <f>IF(OR($A1714="",ISERROR(VALUE(LEFT($A1714,6)))),"",IF(LEN($A1714)=2,SUMIF($A1715:$A$2965,$A1714&amp;"??",$D1715:$D$2965),IF(AND(LEN($A1714)=4,VALUE(RIGHT($A1714,2))&lt;=60),SUMIF($A1715:$A$2965,$A1714&amp;"????",$D1715:$D$2965),VLOOKUP(IF(LEN($A1714)=4,$A1714&amp;"01 1",$A1714),GUS_tabl_21!$A$5:$F$4886,6,FALSE))))</f>
        <v>8222</v>
      </c>
      <c r="E1714" s="29"/>
    </row>
    <row r="1715" spans="1:5" ht="12" customHeight="1">
      <c r="A1715" s="155" t="str">
        <f>"181110 2"</f>
        <v>181110 2</v>
      </c>
      <c r="B1715" s="153" t="s">
        <v>76</v>
      </c>
      <c r="C1715" s="156" t="str">
        <f>IF(OR($A1715="",ISERROR(VALUE(LEFT($A1715,6)))),"",IF(LEN($A1715)=2,"WOJ. ",IF(LEN($A1715)=4,IF(VALUE(RIGHT($A1715,2))&gt;60,"","Powiat "),IF(VALUE(RIGHT($A1715,1))=1,"m. ",IF(VALUE(RIGHT($A1715,1))=2,"gm. w. ",IF(VALUE(RIGHT($A1715,1))=8,"dz. ","gm. m.-w. ")))))&amp;IF(LEN($A1715)=2,TRIM(UPPER(VLOOKUP($A1715,GUS_tabl_1!$A$7:$B$22,2,FALSE))),IF(ISERROR(FIND("..",TRIM(VLOOKUP(IF(AND(LEN($A1715)=4,VALUE(RIGHT($A1715,2))&gt;60),$A1715&amp;"01 1",$A1715),IF(AND(LEN($A1715)=4,VALUE(RIGHT($A1715,2))&lt;60),GUS_tabl_2!$A$8:$B$464,GUS_tabl_21!$A$5:$B$4886),2,FALSE)))),TRIM(VLOOKUP(IF(AND(LEN($A1715)=4,VALUE(RIGHT($A1715,2))&gt;60),$A1715&amp;"01 1",$A1715),IF(AND(LEN($A1715)=4,VALUE(RIGHT($A1715,2))&lt;60),GUS_tabl_2!$A$8:$B$464,GUS_tabl_21!$A$5:$B$4886),2,FALSE)),LEFT(TRIM(VLOOKUP(IF(AND(LEN($A1715)=4,VALUE(RIGHT($A1715,2))&gt;60),$A1715&amp;"01 1",$A1715),IF(AND(LEN($A1715)=4,VALUE(RIGHT($A1715,2))&lt;60),GUS_tabl_2!$A$8:$B$464,GUS_tabl_21!$A$5:$B$4886),2,FALSE)),SUM(FIND("..",TRIM(VLOOKUP(IF(AND(LEN($A1715)=4,VALUE(RIGHT($A1715,2))&gt;60),$A1715&amp;"01 1",$A1715),IF(AND(LEN($A1715)=4,VALUE(RIGHT($A1715,2))&lt;60),GUS_tabl_2!$A$8:$B$464,GUS_tabl_21!$A$5:$B$4886),2,FALSE))),-1)))))</f>
        <v>gm. w. Wadowice Górne</v>
      </c>
      <c r="D1715" s="141">
        <f>IF(OR($A1715="",ISERROR(VALUE(LEFT($A1715,6)))),"",IF(LEN($A1715)=2,SUMIF($A1716:$A$2965,$A1715&amp;"??",$D1716:$D$2965),IF(AND(LEN($A1715)=4,VALUE(RIGHT($A1715,2))&lt;=60),SUMIF($A1716:$A$2965,$A1715&amp;"????",$D1716:$D$2965),VLOOKUP(IF(LEN($A1715)=4,$A1715&amp;"01 1",$A1715),GUS_tabl_21!$A$5:$F$4886,6,FALSE))))</f>
        <v>7723</v>
      </c>
      <c r="E1715" s="29"/>
    </row>
    <row r="1716" spans="1:5" ht="12" customHeight="1">
      <c r="A1716" s="152" t="str">
        <f>"1812"</f>
        <v>1812</v>
      </c>
      <c r="B1716" s="153" t="s">
        <v>76</v>
      </c>
      <c r="C1716" s="154" t="str">
        <f>IF(OR($A1716="",ISERROR(VALUE(LEFT($A1716,6)))),"",IF(LEN($A1716)=2,"WOJ. ",IF(LEN($A1716)=4,IF(VALUE(RIGHT($A1716,2))&gt;60,"","Powiat "),IF(VALUE(RIGHT($A1716,1))=1,"m. ",IF(VALUE(RIGHT($A1716,1))=2,"gm. w. ",IF(VALUE(RIGHT($A1716,1))=8,"dz. ","gm. m.-w. ")))))&amp;IF(LEN($A1716)=2,TRIM(UPPER(VLOOKUP($A1716,GUS_tabl_1!$A$7:$B$22,2,FALSE))),IF(ISERROR(FIND("..",TRIM(VLOOKUP(IF(AND(LEN($A1716)=4,VALUE(RIGHT($A1716,2))&gt;60),$A1716&amp;"01 1",$A1716),IF(AND(LEN($A1716)=4,VALUE(RIGHT($A1716,2))&lt;60),GUS_tabl_2!$A$8:$B$464,GUS_tabl_21!$A$5:$B$4886),2,FALSE)))),TRIM(VLOOKUP(IF(AND(LEN($A1716)=4,VALUE(RIGHT($A1716,2))&gt;60),$A1716&amp;"01 1",$A1716),IF(AND(LEN($A1716)=4,VALUE(RIGHT($A1716,2))&lt;60),GUS_tabl_2!$A$8:$B$464,GUS_tabl_21!$A$5:$B$4886),2,FALSE)),LEFT(TRIM(VLOOKUP(IF(AND(LEN($A1716)=4,VALUE(RIGHT($A1716,2))&gt;60),$A1716&amp;"01 1",$A1716),IF(AND(LEN($A1716)=4,VALUE(RIGHT($A1716,2))&lt;60),GUS_tabl_2!$A$8:$B$464,GUS_tabl_21!$A$5:$B$4886),2,FALSE)),SUM(FIND("..",TRIM(VLOOKUP(IF(AND(LEN($A1716)=4,VALUE(RIGHT($A1716,2))&gt;60),$A1716&amp;"01 1",$A1716),IF(AND(LEN($A1716)=4,VALUE(RIGHT($A1716,2))&lt;60),GUS_tabl_2!$A$8:$B$464,GUS_tabl_21!$A$5:$B$4886),2,FALSE))),-1)))))</f>
        <v>Powiat niżański</v>
      </c>
      <c r="D1716" s="140">
        <f>IF(OR($A1716="",ISERROR(VALUE(LEFT($A1716,6)))),"",IF(LEN($A1716)=2,SUMIF($A1717:$A$2965,$A1716&amp;"??",$D1717:$D$2965),IF(AND(LEN($A1716)=4,VALUE(RIGHT($A1716,2))&lt;=60),SUMIF($A1717:$A$2965,$A1716&amp;"????",$D1717:$D$2965),VLOOKUP(IF(LEN($A1716)=4,$A1716&amp;"01 1",$A1716),GUS_tabl_21!$A$5:$F$4886,6,FALSE))))</f>
        <v>66589</v>
      </c>
      <c r="E1716" s="29"/>
    </row>
    <row r="1717" spans="1:5" ht="12" customHeight="1">
      <c r="A1717" s="155" t="str">
        <f>"181201 2"</f>
        <v>181201 2</v>
      </c>
      <c r="B1717" s="153" t="s">
        <v>76</v>
      </c>
      <c r="C1717" s="156" t="str">
        <f>IF(OR($A1717="",ISERROR(VALUE(LEFT($A1717,6)))),"",IF(LEN($A1717)=2,"WOJ. ",IF(LEN($A1717)=4,IF(VALUE(RIGHT($A1717,2))&gt;60,"","Powiat "),IF(VALUE(RIGHT($A1717,1))=1,"m. ",IF(VALUE(RIGHT($A1717,1))=2,"gm. w. ",IF(VALUE(RIGHT($A1717,1))=8,"dz. ","gm. m.-w. ")))))&amp;IF(LEN($A1717)=2,TRIM(UPPER(VLOOKUP($A1717,GUS_tabl_1!$A$7:$B$22,2,FALSE))),IF(ISERROR(FIND("..",TRIM(VLOOKUP(IF(AND(LEN($A1717)=4,VALUE(RIGHT($A1717,2))&gt;60),$A1717&amp;"01 1",$A1717),IF(AND(LEN($A1717)=4,VALUE(RIGHT($A1717,2))&lt;60),GUS_tabl_2!$A$8:$B$464,GUS_tabl_21!$A$5:$B$4886),2,FALSE)))),TRIM(VLOOKUP(IF(AND(LEN($A1717)=4,VALUE(RIGHT($A1717,2))&gt;60),$A1717&amp;"01 1",$A1717),IF(AND(LEN($A1717)=4,VALUE(RIGHT($A1717,2))&lt;60),GUS_tabl_2!$A$8:$B$464,GUS_tabl_21!$A$5:$B$4886),2,FALSE)),LEFT(TRIM(VLOOKUP(IF(AND(LEN($A1717)=4,VALUE(RIGHT($A1717,2))&gt;60),$A1717&amp;"01 1",$A1717),IF(AND(LEN($A1717)=4,VALUE(RIGHT($A1717,2))&lt;60),GUS_tabl_2!$A$8:$B$464,GUS_tabl_21!$A$5:$B$4886),2,FALSE)),SUM(FIND("..",TRIM(VLOOKUP(IF(AND(LEN($A1717)=4,VALUE(RIGHT($A1717,2))&gt;60),$A1717&amp;"01 1",$A1717),IF(AND(LEN($A1717)=4,VALUE(RIGHT($A1717,2))&lt;60),GUS_tabl_2!$A$8:$B$464,GUS_tabl_21!$A$5:$B$4886),2,FALSE))),-1)))))</f>
        <v>gm. w. Harasiuki</v>
      </c>
      <c r="D1717" s="141">
        <f>IF(OR($A1717="",ISERROR(VALUE(LEFT($A1717,6)))),"",IF(LEN($A1717)=2,SUMIF($A1718:$A$2965,$A1717&amp;"??",$D1718:$D$2965),IF(AND(LEN($A1717)=4,VALUE(RIGHT($A1717,2))&lt;=60),SUMIF($A1718:$A$2965,$A1717&amp;"????",$D1718:$D$2965),VLOOKUP(IF(LEN($A1717)=4,$A1717&amp;"01 1",$A1717),GUS_tabl_21!$A$5:$F$4886,6,FALSE))))</f>
        <v>6074</v>
      </c>
      <c r="E1717" s="29"/>
    </row>
    <row r="1718" spans="1:5" ht="12" customHeight="1">
      <c r="A1718" s="155" t="str">
        <f>"181202 2"</f>
        <v>181202 2</v>
      </c>
      <c r="B1718" s="153" t="s">
        <v>76</v>
      </c>
      <c r="C1718" s="156" t="str">
        <f>IF(OR($A1718="",ISERROR(VALUE(LEFT($A1718,6)))),"",IF(LEN($A1718)=2,"WOJ. ",IF(LEN($A1718)=4,IF(VALUE(RIGHT($A1718,2))&gt;60,"","Powiat "),IF(VALUE(RIGHT($A1718,1))=1,"m. ",IF(VALUE(RIGHT($A1718,1))=2,"gm. w. ",IF(VALUE(RIGHT($A1718,1))=8,"dz. ","gm. m.-w. ")))))&amp;IF(LEN($A1718)=2,TRIM(UPPER(VLOOKUP($A1718,GUS_tabl_1!$A$7:$B$22,2,FALSE))),IF(ISERROR(FIND("..",TRIM(VLOOKUP(IF(AND(LEN($A1718)=4,VALUE(RIGHT($A1718,2))&gt;60),$A1718&amp;"01 1",$A1718),IF(AND(LEN($A1718)=4,VALUE(RIGHT($A1718,2))&lt;60),GUS_tabl_2!$A$8:$B$464,GUS_tabl_21!$A$5:$B$4886),2,FALSE)))),TRIM(VLOOKUP(IF(AND(LEN($A1718)=4,VALUE(RIGHT($A1718,2))&gt;60),$A1718&amp;"01 1",$A1718),IF(AND(LEN($A1718)=4,VALUE(RIGHT($A1718,2))&lt;60),GUS_tabl_2!$A$8:$B$464,GUS_tabl_21!$A$5:$B$4886),2,FALSE)),LEFT(TRIM(VLOOKUP(IF(AND(LEN($A1718)=4,VALUE(RIGHT($A1718,2))&gt;60),$A1718&amp;"01 1",$A1718),IF(AND(LEN($A1718)=4,VALUE(RIGHT($A1718,2))&lt;60),GUS_tabl_2!$A$8:$B$464,GUS_tabl_21!$A$5:$B$4886),2,FALSE)),SUM(FIND("..",TRIM(VLOOKUP(IF(AND(LEN($A1718)=4,VALUE(RIGHT($A1718,2))&gt;60),$A1718&amp;"01 1",$A1718),IF(AND(LEN($A1718)=4,VALUE(RIGHT($A1718,2))&lt;60),GUS_tabl_2!$A$8:$B$464,GUS_tabl_21!$A$5:$B$4886),2,FALSE))),-1)))))</f>
        <v>gm. w. Jarocin</v>
      </c>
      <c r="D1718" s="141">
        <f>IF(OR($A1718="",ISERROR(VALUE(LEFT($A1718,6)))),"",IF(LEN($A1718)=2,SUMIF($A1719:$A$2965,$A1718&amp;"??",$D1719:$D$2965),IF(AND(LEN($A1718)=4,VALUE(RIGHT($A1718,2))&lt;=60),SUMIF($A1719:$A$2965,$A1718&amp;"????",$D1719:$D$2965),VLOOKUP(IF(LEN($A1718)=4,$A1718&amp;"01 1",$A1718),GUS_tabl_21!$A$5:$F$4886,6,FALSE))))</f>
        <v>5372</v>
      </c>
      <c r="E1718" s="29"/>
    </row>
    <row r="1719" spans="1:5" ht="12" customHeight="1">
      <c r="A1719" s="155" t="str">
        <f>"181203 2"</f>
        <v>181203 2</v>
      </c>
      <c r="B1719" s="153" t="s">
        <v>76</v>
      </c>
      <c r="C1719" s="156" t="str">
        <f>IF(OR($A1719="",ISERROR(VALUE(LEFT($A1719,6)))),"",IF(LEN($A1719)=2,"WOJ. ",IF(LEN($A1719)=4,IF(VALUE(RIGHT($A1719,2))&gt;60,"","Powiat "),IF(VALUE(RIGHT($A1719,1))=1,"m. ",IF(VALUE(RIGHT($A1719,1))=2,"gm. w. ",IF(VALUE(RIGHT($A1719,1))=8,"dz. ","gm. m.-w. ")))))&amp;IF(LEN($A1719)=2,TRIM(UPPER(VLOOKUP($A1719,GUS_tabl_1!$A$7:$B$22,2,FALSE))),IF(ISERROR(FIND("..",TRIM(VLOOKUP(IF(AND(LEN($A1719)=4,VALUE(RIGHT($A1719,2))&gt;60),$A1719&amp;"01 1",$A1719),IF(AND(LEN($A1719)=4,VALUE(RIGHT($A1719,2))&lt;60),GUS_tabl_2!$A$8:$B$464,GUS_tabl_21!$A$5:$B$4886),2,FALSE)))),TRIM(VLOOKUP(IF(AND(LEN($A1719)=4,VALUE(RIGHT($A1719,2))&gt;60),$A1719&amp;"01 1",$A1719),IF(AND(LEN($A1719)=4,VALUE(RIGHT($A1719,2))&lt;60),GUS_tabl_2!$A$8:$B$464,GUS_tabl_21!$A$5:$B$4886),2,FALSE)),LEFT(TRIM(VLOOKUP(IF(AND(LEN($A1719)=4,VALUE(RIGHT($A1719,2))&gt;60),$A1719&amp;"01 1",$A1719),IF(AND(LEN($A1719)=4,VALUE(RIGHT($A1719,2))&lt;60),GUS_tabl_2!$A$8:$B$464,GUS_tabl_21!$A$5:$B$4886),2,FALSE)),SUM(FIND("..",TRIM(VLOOKUP(IF(AND(LEN($A1719)=4,VALUE(RIGHT($A1719,2))&gt;60),$A1719&amp;"01 1",$A1719),IF(AND(LEN($A1719)=4,VALUE(RIGHT($A1719,2))&lt;60),GUS_tabl_2!$A$8:$B$464,GUS_tabl_21!$A$5:$B$4886),2,FALSE))),-1)))))</f>
        <v>gm. w. Jeżowe</v>
      </c>
      <c r="D1719" s="141">
        <f>IF(OR($A1719="",ISERROR(VALUE(LEFT($A1719,6)))),"",IF(LEN($A1719)=2,SUMIF($A1720:$A$2965,$A1719&amp;"??",$D1720:$D$2965),IF(AND(LEN($A1719)=4,VALUE(RIGHT($A1719,2))&lt;=60),SUMIF($A1720:$A$2965,$A1719&amp;"????",$D1720:$D$2965),VLOOKUP(IF(LEN($A1719)=4,$A1719&amp;"01 1",$A1719),GUS_tabl_21!$A$5:$F$4886,6,FALSE))))</f>
        <v>10096</v>
      </c>
      <c r="E1719" s="29"/>
    </row>
    <row r="1720" spans="1:5" ht="12" customHeight="1">
      <c r="A1720" s="155" t="str">
        <f>"181204 2"</f>
        <v>181204 2</v>
      </c>
      <c r="B1720" s="153" t="s">
        <v>76</v>
      </c>
      <c r="C1720" s="156" t="str">
        <f>IF(OR($A1720="",ISERROR(VALUE(LEFT($A1720,6)))),"",IF(LEN($A1720)=2,"WOJ. ",IF(LEN($A1720)=4,IF(VALUE(RIGHT($A1720,2))&gt;60,"","Powiat "),IF(VALUE(RIGHT($A1720,1))=1,"m. ",IF(VALUE(RIGHT($A1720,1))=2,"gm. w. ",IF(VALUE(RIGHT($A1720,1))=8,"dz. ","gm. m.-w. ")))))&amp;IF(LEN($A1720)=2,TRIM(UPPER(VLOOKUP($A1720,GUS_tabl_1!$A$7:$B$22,2,FALSE))),IF(ISERROR(FIND("..",TRIM(VLOOKUP(IF(AND(LEN($A1720)=4,VALUE(RIGHT($A1720,2))&gt;60),$A1720&amp;"01 1",$A1720),IF(AND(LEN($A1720)=4,VALUE(RIGHT($A1720,2))&lt;60),GUS_tabl_2!$A$8:$B$464,GUS_tabl_21!$A$5:$B$4886),2,FALSE)))),TRIM(VLOOKUP(IF(AND(LEN($A1720)=4,VALUE(RIGHT($A1720,2))&gt;60),$A1720&amp;"01 1",$A1720),IF(AND(LEN($A1720)=4,VALUE(RIGHT($A1720,2))&lt;60),GUS_tabl_2!$A$8:$B$464,GUS_tabl_21!$A$5:$B$4886),2,FALSE)),LEFT(TRIM(VLOOKUP(IF(AND(LEN($A1720)=4,VALUE(RIGHT($A1720,2))&gt;60),$A1720&amp;"01 1",$A1720),IF(AND(LEN($A1720)=4,VALUE(RIGHT($A1720,2))&lt;60),GUS_tabl_2!$A$8:$B$464,GUS_tabl_21!$A$5:$B$4886),2,FALSE)),SUM(FIND("..",TRIM(VLOOKUP(IF(AND(LEN($A1720)=4,VALUE(RIGHT($A1720,2))&gt;60),$A1720&amp;"01 1",$A1720),IF(AND(LEN($A1720)=4,VALUE(RIGHT($A1720,2))&lt;60),GUS_tabl_2!$A$8:$B$464,GUS_tabl_21!$A$5:$B$4886),2,FALSE))),-1)))))</f>
        <v>gm. w. Krzeszów</v>
      </c>
      <c r="D1720" s="141">
        <f>IF(OR($A1720="",ISERROR(VALUE(LEFT($A1720,6)))),"",IF(LEN($A1720)=2,SUMIF($A1721:$A$2965,$A1720&amp;"??",$D1721:$D$2965),IF(AND(LEN($A1720)=4,VALUE(RIGHT($A1720,2))&lt;=60),SUMIF($A1721:$A$2965,$A1720&amp;"????",$D1721:$D$2965),VLOOKUP(IF(LEN($A1720)=4,$A1720&amp;"01 1",$A1720),GUS_tabl_21!$A$5:$F$4886,6,FALSE))))</f>
        <v>4261</v>
      </c>
      <c r="E1720" s="29"/>
    </row>
    <row r="1721" spans="1:5" ht="12" customHeight="1">
      <c r="A1721" s="155" t="str">
        <f>"181205 3"</f>
        <v>181205 3</v>
      </c>
      <c r="B1721" s="153" t="s">
        <v>76</v>
      </c>
      <c r="C1721" s="156" t="str">
        <f>IF(OR($A1721="",ISERROR(VALUE(LEFT($A1721,6)))),"",IF(LEN($A1721)=2,"WOJ. ",IF(LEN($A1721)=4,IF(VALUE(RIGHT($A1721,2))&gt;60,"","Powiat "),IF(VALUE(RIGHT($A1721,1))=1,"m. ",IF(VALUE(RIGHT($A1721,1))=2,"gm. w. ",IF(VALUE(RIGHT($A1721,1))=8,"dz. ","gm. m.-w. ")))))&amp;IF(LEN($A1721)=2,TRIM(UPPER(VLOOKUP($A1721,GUS_tabl_1!$A$7:$B$22,2,FALSE))),IF(ISERROR(FIND("..",TRIM(VLOOKUP(IF(AND(LEN($A1721)=4,VALUE(RIGHT($A1721,2))&gt;60),$A1721&amp;"01 1",$A1721),IF(AND(LEN($A1721)=4,VALUE(RIGHT($A1721,2))&lt;60),GUS_tabl_2!$A$8:$B$464,GUS_tabl_21!$A$5:$B$4886),2,FALSE)))),TRIM(VLOOKUP(IF(AND(LEN($A1721)=4,VALUE(RIGHT($A1721,2))&gt;60),$A1721&amp;"01 1",$A1721),IF(AND(LEN($A1721)=4,VALUE(RIGHT($A1721,2))&lt;60),GUS_tabl_2!$A$8:$B$464,GUS_tabl_21!$A$5:$B$4886),2,FALSE)),LEFT(TRIM(VLOOKUP(IF(AND(LEN($A1721)=4,VALUE(RIGHT($A1721,2))&gt;60),$A1721&amp;"01 1",$A1721),IF(AND(LEN($A1721)=4,VALUE(RIGHT($A1721,2))&lt;60),GUS_tabl_2!$A$8:$B$464,GUS_tabl_21!$A$5:$B$4886),2,FALSE)),SUM(FIND("..",TRIM(VLOOKUP(IF(AND(LEN($A1721)=4,VALUE(RIGHT($A1721,2))&gt;60),$A1721&amp;"01 1",$A1721),IF(AND(LEN($A1721)=4,VALUE(RIGHT($A1721,2))&lt;60),GUS_tabl_2!$A$8:$B$464,GUS_tabl_21!$A$5:$B$4886),2,FALSE))),-1)))))</f>
        <v>gm. m.-w. Nisko</v>
      </c>
      <c r="D1721" s="141">
        <f>IF(OR($A1721="",ISERROR(VALUE(LEFT($A1721,6)))),"",IF(LEN($A1721)=2,SUMIF($A1722:$A$2965,$A1721&amp;"??",$D1722:$D$2965),IF(AND(LEN($A1721)=4,VALUE(RIGHT($A1721,2))&lt;=60),SUMIF($A1722:$A$2965,$A1721&amp;"????",$D1722:$D$2965),VLOOKUP(IF(LEN($A1721)=4,$A1721&amp;"01 1",$A1721),GUS_tabl_21!$A$5:$F$4886,6,FALSE))))</f>
        <v>22358</v>
      </c>
      <c r="E1721" s="29"/>
    </row>
    <row r="1722" spans="1:5" ht="12" customHeight="1">
      <c r="A1722" s="155" t="str">
        <f>"181206 3"</f>
        <v>181206 3</v>
      </c>
      <c r="B1722" s="153" t="s">
        <v>76</v>
      </c>
      <c r="C1722" s="156" t="str">
        <f>IF(OR($A1722="",ISERROR(VALUE(LEFT($A1722,6)))),"",IF(LEN($A1722)=2,"WOJ. ",IF(LEN($A1722)=4,IF(VALUE(RIGHT($A1722,2))&gt;60,"","Powiat "),IF(VALUE(RIGHT($A1722,1))=1,"m. ",IF(VALUE(RIGHT($A1722,1))=2,"gm. w. ",IF(VALUE(RIGHT($A1722,1))=8,"dz. ","gm. m.-w. ")))))&amp;IF(LEN($A1722)=2,TRIM(UPPER(VLOOKUP($A1722,GUS_tabl_1!$A$7:$B$22,2,FALSE))),IF(ISERROR(FIND("..",TRIM(VLOOKUP(IF(AND(LEN($A1722)=4,VALUE(RIGHT($A1722,2))&gt;60),$A1722&amp;"01 1",$A1722),IF(AND(LEN($A1722)=4,VALUE(RIGHT($A1722,2))&lt;60),GUS_tabl_2!$A$8:$B$464,GUS_tabl_21!$A$5:$B$4886),2,FALSE)))),TRIM(VLOOKUP(IF(AND(LEN($A1722)=4,VALUE(RIGHT($A1722,2))&gt;60),$A1722&amp;"01 1",$A1722),IF(AND(LEN($A1722)=4,VALUE(RIGHT($A1722,2))&lt;60),GUS_tabl_2!$A$8:$B$464,GUS_tabl_21!$A$5:$B$4886),2,FALSE)),LEFT(TRIM(VLOOKUP(IF(AND(LEN($A1722)=4,VALUE(RIGHT($A1722,2))&gt;60),$A1722&amp;"01 1",$A1722),IF(AND(LEN($A1722)=4,VALUE(RIGHT($A1722,2))&lt;60),GUS_tabl_2!$A$8:$B$464,GUS_tabl_21!$A$5:$B$4886),2,FALSE)),SUM(FIND("..",TRIM(VLOOKUP(IF(AND(LEN($A1722)=4,VALUE(RIGHT($A1722,2))&gt;60),$A1722&amp;"01 1",$A1722),IF(AND(LEN($A1722)=4,VALUE(RIGHT($A1722,2))&lt;60),GUS_tabl_2!$A$8:$B$464,GUS_tabl_21!$A$5:$B$4886),2,FALSE))),-1)))))</f>
        <v>gm. m.-w. Rudnik nad Sanem</v>
      </c>
      <c r="D1722" s="141">
        <f>IF(OR($A1722="",ISERROR(VALUE(LEFT($A1722,6)))),"",IF(LEN($A1722)=2,SUMIF($A1723:$A$2965,$A1722&amp;"??",$D1723:$D$2965),IF(AND(LEN($A1722)=4,VALUE(RIGHT($A1722,2))&lt;=60),SUMIF($A1723:$A$2965,$A1722&amp;"????",$D1723:$D$2965),VLOOKUP(IF(LEN($A1722)=4,$A1722&amp;"01 1",$A1722),GUS_tabl_21!$A$5:$F$4886,6,FALSE))))</f>
        <v>10173</v>
      </c>
      <c r="E1722" s="29"/>
    </row>
    <row r="1723" spans="1:5" ht="12" customHeight="1">
      <c r="A1723" s="155" t="str">
        <f>"181207 3"</f>
        <v>181207 3</v>
      </c>
      <c r="B1723" s="153" t="s">
        <v>76</v>
      </c>
      <c r="C1723" s="156" t="str">
        <f>IF(OR($A1723="",ISERROR(VALUE(LEFT($A1723,6)))),"",IF(LEN($A1723)=2,"WOJ. ",IF(LEN($A1723)=4,IF(VALUE(RIGHT($A1723,2))&gt;60,"","Powiat "),IF(VALUE(RIGHT($A1723,1))=1,"m. ",IF(VALUE(RIGHT($A1723,1))=2,"gm. w. ",IF(VALUE(RIGHT($A1723,1))=8,"dz. ","gm. m.-w. ")))))&amp;IF(LEN($A1723)=2,TRIM(UPPER(VLOOKUP($A1723,GUS_tabl_1!$A$7:$B$22,2,FALSE))),IF(ISERROR(FIND("..",TRIM(VLOOKUP(IF(AND(LEN($A1723)=4,VALUE(RIGHT($A1723,2))&gt;60),$A1723&amp;"01 1",$A1723),IF(AND(LEN($A1723)=4,VALUE(RIGHT($A1723,2))&lt;60),GUS_tabl_2!$A$8:$B$464,GUS_tabl_21!$A$5:$B$4886),2,FALSE)))),TRIM(VLOOKUP(IF(AND(LEN($A1723)=4,VALUE(RIGHT($A1723,2))&gt;60),$A1723&amp;"01 1",$A1723),IF(AND(LEN($A1723)=4,VALUE(RIGHT($A1723,2))&lt;60),GUS_tabl_2!$A$8:$B$464,GUS_tabl_21!$A$5:$B$4886),2,FALSE)),LEFT(TRIM(VLOOKUP(IF(AND(LEN($A1723)=4,VALUE(RIGHT($A1723,2))&gt;60),$A1723&amp;"01 1",$A1723),IF(AND(LEN($A1723)=4,VALUE(RIGHT($A1723,2))&lt;60),GUS_tabl_2!$A$8:$B$464,GUS_tabl_21!$A$5:$B$4886),2,FALSE)),SUM(FIND("..",TRIM(VLOOKUP(IF(AND(LEN($A1723)=4,VALUE(RIGHT($A1723,2))&gt;60),$A1723&amp;"01 1",$A1723),IF(AND(LEN($A1723)=4,VALUE(RIGHT($A1723,2))&lt;60),GUS_tabl_2!$A$8:$B$464,GUS_tabl_21!$A$5:$B$4886),2,FALSE))),-1)))))</f>
        <v>gm. m.-w. Ulanów</v>
      </c>
      <c r="D1723" s="141">
        <f>IF(OR($A1723="",ISERROR(VALUE(LEFT($A1723,6)))),"",IF(LEN($A1723)=2,SUMIF($A1724:$A$2965,$A1723&amp;"??",$D1724:$D$2965),IF(AND(LEN($A1723)=4,VALUE(RIGHT($A1723,2))&lt;=60),SUMIF($A1724:$A$2965,$A1723&amp;"????",$D1724:$D$2965),VLOOKUP(IF(LEN($A1723)=4,$A1723&amp;"01 1",$A1723),GUS_tabl_21!$A$5:$F$4886,6,FALSE))))</f>
        <v>8255</v>
      </c>
      <c r="E1723" s="29"/>
    </row>
    <row r="1724" spans="1:5" ht="12" customHeight="1">
      <c r="A1724" s="152" t="str">
        <f>"1813"</f>
        <v>1813</v>
      </c>
      <c r="B1724" s="153" t="s">
        <v>76</v>
      </c>
      <c r="C1724" s="154" t="str">
        <f>IF(OR($A1724="",ISERROR(VALUE(LEFT($A1724,6)))),"",IF(LEN($A1724)=2,"WOJ. ",IF(LEN($A1724)=4,IF(VALUE(RIGHT($A1724,2))&gt;60,"","Powiat "),IF(VALUE(RIGHT($A1724,1))=1,"m. ",IF(VALUE(RIGHT($A1724,1))=2,"gm. w. ",IF(VALUE(RIGHT($A1724,1))=8,"dz. ","gm. m.-w. ")))))&amp;IF(LEN($A1724)=2,TRIM(UPPER(VLOOKUP($A1724,GUS_tabl_1!$A$7:$B$22,2,FALSE))),IF(ISERROR(FIND("..",TRIM(VLOOKUP(IF(AND(LEN($A1724)=4,VALUE(RIGHT($A1724,2))&gt;60),$A1724&amp;"01 1",$A1724),IF(AND(LEN($A1724)=4,VALUE(RIGHT($A1724,2))&lt;60),GUS_tabl_2!$A$8:$B$464,GUS_tabl_21!$A$5:$B$4886),2,FALSE)))),TRIM(VLOOKUP(IF(AND(LEN($A1724)=4,VALUE(RIGHT($A1724,2))&gt;60),$A1724&amp;"01 1",$A1724),IF(AND(LEN($A1724)=4,VALUE(RIGHT($A1724,2))&lt;60),GUS_tabl_2!$A$8:$B$464,GUS_tabl_21!$A$5:$B$4886),2,FALSE)),LEFT(TRIM(VLOOKUP(IF(AND(LEN($A1724)=4,VALUE(RIGHT($A1724,2))&gt;60),$A1724&amp;"01 1",$A1724),IF(AND(LEN($A1724)=4,VALUE(RIGHT($A1724,2))&lt;60),GUS_tabl_2!$A$8:$B$464,GUS_tabl_21!$A$5:$B$4886),2,FALSE)),SUM(FIND("..",TRIM(VLOOKUP(IF(AND(LEN($A1724)=4,VALUE(RIGHT($A1724,2))&gt;60),$A1724&amp;"01 1",$A1724),IF(AND(LEN($A1724)=4,VALUE(RIGHT($A1724,2))&lt;60),GUS_tabl_2!$A$8:$B$464,GUS_tabl_21!$A$5:$B$4886),2,FALSE))),-1)))))</f>
        <v>Powiat przemyski</v>
      </c>
      <c r="D1724" s="140">
        <f>IF(OR($A1724="",ISERROR(VALUE(LEFT($A1724,6)))),"",IF(LEN($A1724)=2,SUMIF($A1725:$A$2965,$A1724&amp;"??",$D1725:$D$2965),IF(AND(LEN($A1724)=4,VALUE(RIGHT($A1724,2))&lt;=60),SUMIF($A1725:$A$2965,$A1724&amp;"????",$D1725:$D$2965),VLOOKUP(IF(LEN($A1724)=4,$A1724&amp;"01 1",$A1724),GUS_tabl_21!$A$5:$F$4886,6,FALSE))))</f>
        <v>74061</v>
      </c>
      <c r="E1724" s="29"/>
    </row>
    <row r="1725" spans="1:5" ht="12" customHeight="1">
      <c r="A1725" s="155" t="str">
        <f>"181301 2"</f>
        <v>181301 2</v>
      </c>
      <c r="B1725" s="153" t="s">
        <v>76</v>
      </c>
      <c r="C1725" s="156" t="str">
        <f>IF(OR($A1725="",ISERROR(VALUE(LEFT($A1725,6)))),"",IF(LEN($A1725)=2,"WOJ. ",IF(LEN($A1725)=4,IF(VALUE(RIGHT($A1725,2))&gt;60,"","Powiat "),IF(VALUE(RIGHT($A1725,1))=1,"m. ",IF(VALUE(RIGHT($A1725,1))=2,"gm. w. ",IF(VALUE(RIGHT($A1725,1))=8,"dz. ","gm. m.-w. ")))))&amp;IF(LEN($A1725)=2,TRIM(UPPER(VLOOKUP($A1725,GUS_tabl_1!$A$7:$B$22,2,FALSE))),IF(ISERROR(FIND("..",TRIM(VLOOKUP(IF(AND(LEN($A1725)=4,VALUE(RIGHT($A1725,2))&gt;60),$A1725&amp;"01 1",$A1725),IF(AND(LEN($A1725)=4,VALUE(RIGHT($A1725,2))&lt;60),GUS_tabl_2!$A$8:$B$464,GUS_tabl_21!$A$5:$B$4886),2,FALSE)))),TRIM(VLOOKUP(IF(AND(LEN($A1725)=4,VALUE(RIGHT($A1725,2))&gt;60),$A1725&amp;"01 1",$A1725),IF(AND(LEN($A1725)=4,VALUE(RIGHT($A1725,2))&lt;60),GUS_tabl_2!$A$8:$B$464,GUS_tabl_21!$A$5:$B$4886),2,FALSE)),LEFT(TRIM(VLOOKUP(IF(AND(LEN($A1725)=4,VALUE(RIGHT($A1725,2))&gt;60),$A1725&amp;"01 1",$A1725),IF(AND(LEN($A1725)=4,VALUE(RIGHT($A1725,2))&lt;60),GUS_tabl_2!$A$8:$B$464,GUS_tabl_21!$A$5:$B$4886),2,FALSE)),SUM(FIND("..",TRIM(VLOOKUP(IF(AND(LEN($A1725)=4,VALUE(RIGHT($A1725,2))&gt;60),$A1725&amp;"01 1",$A1725),IF(AND(LEN($A1725)=4,VALUE(RIGHT($A1725,2))&lt;60),GUS_tabl_2!$A$8:$B$464,GUS_tabl_21!$A$5:$B$4886),2,FALSE))),-1)))))</f>
        <v>gm. w. Bircza</v>
      </c>
      <c r="D1725" s="141">
        <f>IF(OR($A1725="",ISERROR(VALUE(LEFT($A1725,6)))),"",IF(LEN($A1725)=2,SUMIF($A1726:$A$2965,$A1725&amp;"??",$D1726:$D$2965),IF(AND(LEN($A1725)=4,VALUE(RIGHT($A1725,2))&lt;=60),SUMIF($A1726:$A$2965,$A1725&amp;"????",$D1726:$D$2965),VLOOKUP(IF(LEN($A1725)=4,$A1725&amp;"01 1",$A1725),GUS_tabl_21!$A$5:$F$4886,6,FALSE))))</f>
        <v>6539</v>
      </c>
      <c r="E1725" s="29"/>
    </row>
    <row r="1726" spans="1:5" ht="12" customHeight="1">
      <c r="A1726" s="155" t="str">
        <f>"181302 2"</f>
        <v>181302 2</v>
      </c>
      <c r="B1726" s="153" t="s">
        <v>76</v>
      </c>
      <c r="C1726" s="156" t="str">
        <f>IF(OR($A1726="",ISERROR(VALUE(LEFT($A1726,6)))),"",IF(LEN($A1726)=2,"WOJ. ",IF(LEN($A1726)=4,IF(VALUE(RIGHT($A1726,2))&gt;60,"","Powiat "),IF(VALUE(RIGHT($A1726,1))=1,"m. ",IF(VALUE(RIGHT($A1726,1))=2,"gm. w. ",IF(VALUE(RIGHT($A1726,1))=8,"dz. ","gm. m.-w. ")))))&amp;IF(LEN($A1726)=2,TRIM(UPPER(VLOOKUP($A1726,GUS_tabl_1!$A$7:$B$22,2,FALSE))),IF(ISERROR(FIND("..",TRIM(VLOOKUP(IF(AND(LEN($A1726)=4,VALUE(RIGHT($A1726,2))&gt;60),$A1726&amp;"01 1",$A1726),IF(AND(LEN($A1726)=4,VALUE(RIGHT($A1726,2))&lt;60),GUS_tabl_2!$A$8:$B$464,GUS_tabl_21!$A$5:$B$4886),2,FALSE)))),TRIM(VLOOKUP(IF(AND(LEN($A1726)=4,VALUE(RIGHT($A1726,2))&gt;60),$A1726&amp;"01 1",$A1726),IF(AND(LEN($A1726)=4,VALUE(RIGHT($A1726,2))&lt;60),GUS_tabl_2!$A$8:$B$464,GUS_tabl_21!$A$5:$B$4886),2,FALSE)),LEFT(TRIM(VLOOKUP(IF(AND(LEN($A1726)=4,VALUE(RIGHT($A1726,2))&gt;60),$A1726&amp;"01 1",$A1726),IF(AND(LEN($A1726)=4,VALUE(RIGHT($A1726,2))&lt;60),GUS_tabl_2!$A$8:$B$464,GUS_tabl_21!$A$5:$B$4886),2,FALSE)),SUM(FIND("..",TRIM(VLOOKUP(IF(AND(LEN($A1726)=4,VALUE(RIGHT($A1726,2))&gt;60),$A1726&amp;"01 1",$A1726),IF(AND(LEN($A1726)=4,VALUE(RIGHT($A1726,2))&lt;60),GUS_tabl_2!$A$8:$B$464,GUS_tabl_21!$A$5:$B$4886),2,FALSE))),-1)))))</f>
        <v>gm. w. Dubiecko</v>
      </c>
      <c r="D1726" s="141">
        <f>IF(OR($A1726="",ISERROR(VALUE(LEFT($A1726,6)))),"",IF(LEN($A1726)=2,SUMIF($A1727:$A$2965,$A1726&amp;"??",$D1727:$D$2965),IF(AND(LEN($A1726)=4,VALUE(RIGHT($A1726,2))&lt;=60),SUMIF($A1727:$A$2965,$A1726&amp;"????",$D1727:$D$2965),VLOOKUP(IF(LEN($A1726)=4,$A1726&amp;"01 1",$A1726),GUS_tabl_21!$A$5:$F$4886,6,FALSE))))</f>
        <v>9143</v>
      </c>
      <c r="E1726" s="29"/>
    </row>
    <row r="1727" spans="1:5" ht="12" customHeight="1">
      <c r="A1727" s="155" t="str">
        <f>"181303 2"</f>
        <v>181303 2</v>
      </c>
      <c r="B1727" s="153" t="s">
        <v>76</v>
      </c>
      <c r="C1727" s="156" t="str">
        <f>IF(OR($A1727="",ISERROR(VALUE(LEFT($A1727,6)))),"",IF(LEN($A1727)=2,"WOJ. ",IF(LEN($A1727)=4,IF(VALUE(RIGHT($A1727,2))&gt;60,"","Powiat "),IF(VALUE(RIGHT($A1727,1))=1,"m. ",IF(VALUE(RIGHT($A1727,1))=2,"gm. w. ",IF(VALUE(RIGHT($A1727,1))=8,"dz. ","gm. m.-w. ")))))&amp;IF(LEN($A1727)=2,TRIM(UPPER(VLOOKUP($A1727,GUS_tabl_1!$A$7:$B$22,2,FALSE))),IF(ISERROR(FIND("..",TRIM(VLOOKUP(IF(AND(LEN($A1727)=4,VALUE(RIGHT($A1727,2))&gt;60),$A1727&amp;"01 1",$A1727),IF(AND(LEN($A1727)=4,VALUE(RIGHT($A1727,2))&lt;60),GUS_tabl_2!$A$8:$B$464,GUS_tabl_21!$A$5:$B$4886),2,FALSE)))),TRIM(VLOOKUP(IF(AND(LEN($A1727)=4,VALUE(RIGHT($A1727,2))&gt;60),$A1727&amp;"01 1",$A1727),IF(AND(LEN($A1727)=4,VALUE(RIGHT($A1727,2))&lt;60),GUS_tabl_2!$A$8:$B$464,GUS_tabl_21!$A$5:$B$4886),2,FALSE)),LEFT(TRIM(VLOOKUP(IF(AND(LEN($A1727)=4,VALUE(RIGHT($A1727,2))&gt;60),$A1727&amp;"01 1",$A1727),IF(AND(LEN($A1727)=4,VALUE(RIGHT($A1727,2))&lt;60),GUS_tabl_2!$A$8:$B$464,GUS_tabl_21!$A$5:$B$4886),2,FALSE)),SUM(FIND("..",TRIM(VLOOKUP(IF(AND(LEN($A1727)=4,VALUE(RIGHT($A1727,2))&gt;60),$A1727&amp;"01 1",$A1727),IF(AND(LEN($A1727)=4,VALUE(RIGHT($A1727,2))&lt;60),GUS_tabl_2!$A$8:$B$464,GUS_tabl_21!$A$5:$B$4886),2,FALSE))),-1)))))</f>
        <v>gm. w. Fredropol</v>
      </c>
      <c r="D1727" s="141">
        <f>IF(OR($A1727="",ISERROR(VALUE(LEFT($A1727,6)))),"",IF(LEN($A1727)=2,SUMIF($A1728:$A$2965,$A1727&amp;"??",$D1728:$D$2965),IF(AND(LEN($A1727)=4,VALUE(RIGHT($A1727,2))&lt;=60),SUMIF($A1728:$A$2965,$A1727&amp;"????",$D1728:$D$2965),VLOOKUP(IF(LEN($A1727)=4,$A1727&amp;"01 1",$A1727),GUS_tabl_21!$A$5:$F$4886,6,FALSE))))</f>
        <v>5497</v>
      </c>
      <c r="E1727" s="29"/>
    </row>
    <row r="1728" spans="1:5" ht="12" customHeight="1">
      <c r="A1728" s="155" t="str">
        <f>"181304 2"</f>
        <v>181304 2</v>
      </c>
      <c r="B1728" s="153" t="s">
        <v>76</v>
      </c>
      <c r="C1728" s="156" t="str">
        <f>IF(OR($A1728="",ISERROR(VALUE(LEFT($A1728,6)))),"",IF(LEN($A1728)=2,"WOJ. ",IF(LEN($A1728)=4,IF(VALUE(RIGHT($A1728,2))&gt;60,"","Powiat "),IF(VALUE(RIGHT($A1728,1))=1,"m. ",IF(VALUE(RIGHT($A1728,1))=2,"gm. w. ",IF(VALUE(RIGHT($A1728,1))=8,"dz. ","gm. m.-w. ")))))&amp;IF(LEN($A1728)=2,TRIM(UPPER(VLOOKUP($A1728,GUS_tabl_1!$A$7:$B$22,2,FALSE))),IF(ISERROR(FIND("..",TRIM(VLOOKUP(IF(AND(LEN($A1728)=4,VALUE(RIGHT($A1728,2))&gt;60),$A1728&amp;"01 1",$A1728),IF(AND(LEN($A1728)=4,VALUE(RIGHT($A1728,2))&lt;60),GUS_tabl_2!$A$8:$B$464,GUS_tabl_21!$A$5:$B$4886),2,FALSE)))),TRIM(VLOOKUP(IF(AND(LEN($A1728)=4,VALUE(RIGHT($A1728,2))&gt;60),$A1728&amp;"01 1",$A1728),IF(AND(LEN($A1728)=4,VALUE(RIGHT($A1728,2))&lt;60),GUS_tabl_2!$A$8:$B$464,GUS_tabl_21!$A$5:$B$4886),2,FALSE)),LEFT(TRIM(VLOOKUP(IF(AND(LEN($A1728)=4,VALUE(RIGHT($A1728,2))&gt;60),$A1728&amp;"01 1",$A1728),IF(AND(LEN($A1728)=4,VALUE(RIGHT($A1728,2))&lt;60),GUS_tabl_2!$A$8:$B$464,GUS_tabl_21!$A$5:$B$4886),2,FALSE)),SUM(FIND("..",TRIM(VLOOKUP(IF(AND(LEN($A1728)=4,VALUE(RIGHT($A1728,2))&gt;60),$A1728&amp;"01 1",$A1728),IF(AND(LEN($A1728)=4,VALUE(RIGHT($A1728,2))&lt;60),GUS_tabl_2!$A$8:$B$464,GUS_tabl_21!$A$5:$B$4886),2,FALSE))),-1)))))</f>
        <v>gm. w. Krasiczyn</v>
      </c>
      <c r="D1728" s="141">
        <f>IF(OR($A1728="",ISERROR(VALUE(LEFT($A1728,6)))),"",IF(LEN($A1728)=2,SUMIF($A1729:$A$2965,$A1728&amp;"??",$D1729:$D$2965),IF(AND(LEN($A1728)=4,VALUE(RIGHT($A1728,2))&lt;=60),SUMIF($A1729:$A$2965,$A1728&amp;"????",$D1729:$D$2965),VLOOKUP(IF(LEN($A1728)=4,$A1728&amp;"01 1",$A1728),GUS_tabl_21!$A$5:$F$4886,6,FALSE))))</f>
        <v>5144</v>
      </c>
      <c r="E1728" s="29"/>
    </row>
    <row r="1729" spans="1:5" ht="12" customHeight="1">
      <c r="A1729" s="155" t="str">
        <f>"181305 2"</f>
        <v>181305 2</v>
      </c>
      <c r="B1729" s="153" t="s">
        <v>76</v>
      </c>
      <c r="C1729" s="156" t="str">
        <f>IF(OR($A1729="",ISERROR(VALUE(LEFT($A1729,6)))),"",IF(LEN($A1729)=2,"WOJ. ",IF(LEN($A1729)=4,IF(VALUE(RIGHT($A1729,2))&gt;60,"","Powiat "),IF(VALUE(RIGHT($A1729,1))=1,"m. ",IF(VALUE(RIGHT($A1729,1))=2,"gm. w. ",IF(VALUE(RIGHT($A1729,1))=8,"dz. ","gm. m.-w. ")))))&amp;IF(LEN($A1729)=2,TRIM(UPPER(VLOOKUP($A1729,GUS_tabl_1!$A$7:$B$22,2,FALSE))),IF(ISERROR(FIND("..",TRIM(VLOOKUP(IF(AND(LEN($A1729)=4,VALUE(RIGHT($A1729,2))&gt;60),$A1729&amp;"01 1",$A1729),IF(AND(LEN($A1729)=4,VALUE(RIGHT($A1729,2))&lt;60),GUS_tabl_2!$A$8:$B$464,GUS_tabl_21!$A$5:$B$4886),2,FALSE)))),TRIM(VLOOKUP(IF(AND(LEN($A1729)=4,VALUE(RIGHT($A1729,2))&gt;60),$A1729&amp;"01 1",$A1729),IF(AND(LEN($A1729)=4,VALUE(RIGHT($A1729,2))&lt;60),GUS_tabl_2!$A$8:$B$464,GUS_tabl_21!$A$5:$B$4886),2,FALSE)),LEFT(TRIM(VLOOKUP(IF(AND(LEN($A1729)=4,VALUE(RIGHT($A1729,2))&gt;60),$A1729&amp;"01 1",$A1729),IF(AND(LEN($A1729)=4,VALUE(RIGHT($A1729,2))&lt;60),GUS_tabl_2!$A$8:$B$464,GUS_tabl_21!$A$5:$B$4886),2,FALSE)),SUM(FIND("..",TRIM(VLOOKUP(IF(AND(LEN($A1729)=4,VALUE(RIGHT($A1729,2))&gt;60),$A1729&amp;"01 1",$A1729),IF(AND(LEN($A1729)=4,VALUE(RIGHT($A1729,2))&lt;60),GUS_tabl_2!$A$8:$B$464,GUS_tabl_21!$A$5:$B$4886),2,FALSE))),-1)))))</f>
        <v>gm. w. Krzywcza</v>
      </c>
      <c r="D1729" s="141">
        <f>IF(OR($A1729="",ISERROR(VALUE(LEFT($A1729,6)))),"",IF(LEN($A1729)=2,SUMIF($A1730:$A$2965,$A1729&amp;"??",$D1730:$D$2965),IF(AND(LEN($A1729)=4,VALUE(RIGHT($A1729,2))&lt;=60),SUMIF($A1730:$A$2965,$A1729&amp;"????",$D1730:$D$2965),VLOOKUP(IF(LEN($A1729)=4,$A1729&amp;"01 1",$A1729),GUS_tabl_21!$A$5:$F$4886,6,FALSE))))</f>
        <v>4820</v>
      </c>
      <c r="E1729" s="29"/>
    </row>
    <row r="1730" spans="1:5" ht="12" customHeight="1">
      <c r="A1730" s="155" t="str">
        <f>"181306 2"</f>
        <v>181306 2</v>
      </c>
      <c r="B1730" s="153" t="s">
        <v>76</v>
      </c>
      <c r="C1730" s="156" t="str">
        <f>IF(OR($A1730="",ISERROR(VALUE(LEFT($A1730,6)))),"",IF(LEN($A1730)=2,"WOJ. ",IF(LEN($A1730)=4,IF(VALUE(RIGHT($A1730,2))&gt;60,"","Powiat "),IF(VALUE(RIGHT($A1730,1))=1,"m. ",IF(VALUE(RIGHT($A1730,1))=2,"gm. w. ",IF(VALUE(RIGHT($A1730,1))=8,"dz. ","gm. m.-w. ")))))&amp;IF(LEN($A1730)=2,TRIM(UPPER(VLOOKUP($A1730,GUS_tabl_1!$A$7:$B$22,2,FALSE))),IF(ISERROR(FIND("..",TRIM(VLOOKUP(IF(AND(LEN($A1730)=4,VALUE(RIGHT($A1730,2))&gt;60),$A1730&amp;"01 1",$A1730),IF(AND(LEN($A1730)=4,VALUE(RIGHT($A1730,2))&lt;60),GUS_tabl_2!$A$8:$B$464,GUS_tabl_21!$A$5:$B$4886),2,FALSE)))),TRIM(VLOOKUP(IF(AND(LEN($A1730)=4,VALUE(RIGHT($A1730,2))&gt;60),$A1730&amp;"01 1",$A1730),IF(AND(LEN($A1730)=4,VALUE(RIGHT($A1730,2))&lt;60),GUS_tabl_2!$A$8:$B$464,GUS_tabl_21!$A$5:$B$4886),2,FALSE)),LEFT(TRIM(VLOOKUP(IF(AND(LEN($A1730)=4,VALUE(RIGHT($A1730,2))&gt;60),$A1730&amp;"01 1",$A1730),IF(AND(LEN($A1730)=4,VALUE(RIGHT($A1730,2))&lt;60),GUS_tabl_2!$A$8:$B$464,GUS_tabl_21!$A$5:$B$4886),2,FALSE)),SUM(FIND("..",TRIM(VLOOKUP(IF(AND(LEN($A1730)=4,VALUE(RIGHT($A1730,2))&gt;60),$A1730&amp;"01 1",$A1730),IF(AND(LEN($A1730)=4,VALUE(RIGHT($A1730,2))&lt;60),GUS_tabl_2!$A$8:$B$464,GUS_tabl_21!$A$5:$B$4886),2,FALSE))),-1)))))</f>
        <v>gm. w. Medyka (c)</v>
      </c>
      <c r="D1730" s="141">
        <f>IF(OR($A1730="",ISERROR(VALUE(LEFT($A1730,6)))),"",IF(LEN($A1730)=2,SUMIF($A1731:$A$2965,$A1730&amp;"??",$D1731:$D$2965),IF(AND(LEN($A1730)=4,VALUE(RIGHT($A1730,2))&lt;=60),SUMIF($A1731:$A$2965,$A1730&amp;"????",$D1731:$D$2965),VLOOKUP(IF(LEN($A1730)=4,$A1730&amp;"01 1",$A1730),GUS_tabl_21!$A$5:$F$4886,6,FALSE))))</f>
        <v>6542</v>
      </c>
      <c r="E1730" s="29"/>
    </row>
    <row r="1731" spans="1:5" ht="12" customHeight="1">
      <c r="A1731" s="155" t="str">
        <f>"181307 2"</f>
        <v>181307 2</v>
      </c>
      <c r="B1731" s="153" t="s">
        <v>76</v>
      </c>
      <c r="C1731" s="156" t="str">
        <f>IF(OR($A1731="",ISERROR(VALUE(LEFT($A1731,6)))),"",IF(LEN($A1731)=2,"WOJ. ",IF(LEN($A1731)=4,IF(VALUE(RIGHT($A1731,2))&gt;60,"","Powiat "),IF(VALUE(RIGHT($A1731,1))=1,"m. ",IF(VALUE(RIGHT($A1731,1))=2,"gm. w. ",IF(VALUE(RIGHT($A1731,1))=8,"dz. ","gm. m.-w. ")))))&amp;IF(LEN($A1731)=2,TRIM(UPPER(VLOOKUP($A1731,GUS_tabl_1!$A$7:$B$22,2,FALSE))),IF(ISERROR(FIND("..",TRIM(VLOOKUP(IF(AND(LEN($A1731)=4,VALUE(RIGHT($A1731,2))&gt;60),$A1731&amp;"01 1",$A1731),IF(AND(LEN($A1731)=4,VALUE(RIGHT($A1731,2))&lt;60),GUS_tabl_2!$A$8:$B$464,GUS_tabl_21!$A$5:$B$4886),2,FALSE)))),TRIM(VLOOKUP(IF(AND(LEN($A1731)=4,VALUE(RIGHT($A1731,2))&gt;60),$A1731&amp;"01 1",$A1731),IF(AND(LEN($A1731)=4,VALUE(RIGHT($A1731,2))&lt;60),GUS_tabl_2!$A$8:$B$464,GUS_tabl_21!$A$5:$B$4886),2,FALSE)),LEFT(TRIM(VLOOKUP(IF(AND(LEN($A1731)=4,VALUE(RIGHT($A1731,2))&gt;60),$A1731&amp;"01 1",$A1731),IF(AND(LEN($A1731)=4,VALUE(RIGHT($A1731,2))&lt;60),GUS_tabl_2!$A$8:$B$464,GUS_tabl_21!$A$5:$B$4886),2,FALSE)),SUM(FIND("..",TRIM(VLOOKUP(IF(AND(LEN($A1731)=4,VALUE(RIGHT($A1731,2))&gt;60),$A1731&amp;"01 1",$A1731),IF(AND(LEN($A1731)=4,VALUE(RIGHT($A1731,2))&lt;60),GUS_tabl_2!$A$8:$B$464,GUS_tabl_21!$A$5:$B$4886),2,FALSE))),-1)))))</f>
        <v>gm. w. Orły</v>
      </c>
      <c r="D1731" s="141">
        <f>IF(OR($A1731="",ISERROR(VALUE(LEFT($A1731,6)))),"",IF(LEN($A1731)=2,SUMIF($A1732:$A$2965,$A1731&amp;"??",$D1732:$D$2965),IF(AND(LEN($A1731)=4,VALUE(RIGHT($A1731,2))&lt;=60),SUMIF($A1732:$A$2965,$A1731&amp;"????",$D1732:$D$2965),VLOOKUP(IF(LEN($A1731)=4,$A1731&amp;"01 1",$A1731),GUS_tabl_21!$A$5:$F$4886,6,FALSE))))</f>
        <v>8894</v>
      </c>
      <c r="E1731" s="29"/>
    </row>
    <row r="1732" spans="1:5" ht="12" customHeight="1">
      <c r="A1732" s="155" t="str">
        <f>"181308 2"</f>
        <v>181308 2</v>
      </c>
      <c r="B1732" s="153" t="s">
        <v>76</v>
      </c>
      <c r="C1732" s="156" t="str">
        <f>IF(OR($A1732="",ISERROR(VALUE(LEFT($A1732,6)))),"",IF(LEN($A1732)=2,"WOJ. ",IF(LEN($A1732)=4,IF(VALUE(RIGHT($A1732,2))&gt;60,"","Powiat "),IF(VALUE(RIGHT($A1732,1))=1,"m. ",IF(VALUE(RIGHT($A1732,1))=2,"gm. w. ",IF(VALUE(RIGHT($A1732,1))=8,"dz. ","gm. m.-w. ")))))&amp;IF(LEN($A1732)=2,TRIM(UPPER(VLOOKUP($A1732,GUS_tabl_1!$A$7:$B$22,2,FALSE))),IF(ISERROR(FIND("..",TRIM(VLOOKUP(IF(AND(LEN($A1732)=4,VALUE(RIGHT($A1732,2))&gt;60),$A1732&amp;"01 1",$A1732),IF(AND(LEN($A1732)=4,VALUE(RIGHT($A1732,2))&lt;60),GUS_tabl_2!$A$8:$B$464,GUS_tabl_21!$A$5:$B$4886),2,FALSE)))),TRIM(VLOOKUP(IF(AND(LEN($A1732)=4,VALUE(RIGHT($A1732,2))&gt;60),$A1732&amp;"01 1",$A1732),IF(AND(LEN($A1732)=4,VALUE(RIGHT($A1732,2))&lt;60),GUS_tabl_2!$A$8:$B$464,GUS_tabl_21!$A$5:$B$4886),2,FALSE)),LEFT(TRIM(VLOOKUP(IF(AND(LEN($A1732)=4,VALUE(RIGHT($A1732,2))&gt;60),$A1732&amp;"01 1",$A1732),IF(AND(LEN($A1732)=4,VALUE(RIGHT($A1732,2))&lt;60),GUS_tabl_2!$A$8:$B$464,GUS_tabl_21!$A$5:$B$4886),2,FALSE)),SUM(FIND("..",TRIM(VLOOKUP(IF(AND(LEN($A1732)=4,VALUE(RIGHT($A1732,2))&gt;60),$A1732&amp;"01 1",$A1732),IF(AND(LEN($A1732)=4,VALUE(RIGHT($A1732,2))&lt;60),GUS_tabl_2!$A$8:$B$464,GUS_tabl_21!$A$5:$B$4886),2,FALSE))),-1)))))</f>
        <v>gm. w. Przemyśl</v>
      </c>
      <c r="D1732" s="141">
        <f>IF(OR($A1732="",ISERROR(VALUE(LEFT($A1732,6)))),"",IF(LEN($A1732)=2,SUMIF($A1733:$A$2965,$A1732&amp;"??",$D1733:$D$2965),IF(AND(LEN($A1732)=4,VALUE(RIGHT($A1732,2))&lt;=60),SUMIF($A1733:$A$2965,$A1732&amp;"????",$D1733:$D$2965),VLOOKUP(IF(LEN($A1732)=4,$A1732&amp;"01 1",$A1732),GUS_tabl_21!$A$5:$F$4886,6,FALSE))))</f>
        <v>10650</v>
      </c>
      <c r="E1732" s="29"/>
    </row>
    <row r="1733" spans="1:5" ht="12" customHeight="1">
      <c r="A1733" s="155" t="str">
        <f>"181309 2"</f>
        <v>181309 2</v>
      </c>
      <c r="B1733" s="153" t="s">
        <v>76</v>
      </c>
      <c r="C1733" s="156" t="str">
        <f>IF(OR($A1733="",ISERROR(VALUE(LEFT($A1733,6)))),"",IF(LEN($A1733)=2,"WOJ. ",IF(LEN($A1733)=4,IF(VALUE(RIGHT($A1733,2))&gt;60,"","Powiat "),IF(VALUE(RIGHT($A1733,1))=1,"m. ",IF(VALUE(RIGHT($A1733,1))=2,"gm. w. ",IF(VALUE(RIGHT($A1733,1))=8,"dz. ","gm. m.-w. ")))))&amp;IF(LEN($A1733)=2,TRIM(UPPER(VLOOKUP($A1733,GUS_tabl_1!$A$7:$B$22,2,FALSE))),IF(ISERROR(FIND("..",TRIM(VLOOKUP(IF(AND(LEN($A1733)=4,VALUE(RIGHT($A1733,2))&gt;60),$A1733&amp;"01 1",$A1733),IF(AND(LEN($A1733)=4,VALUE(RIGHT($A1733,2))&lt;60),GUS_tabl_2!$A$8:$B$464,GUS_tabl_21!$A$5:$B$4886),2,FALSE)))),TRIM(VLOOKUP(IF(AND(LEN($A1733)=4,VALUE(RIGHT($A1733,2))&gt;60),$A1733&amp;"01 1",$A1733),IF(AND(LEN($A1733)=4,VALUE(RIGHT($A1733,2))&lt;60),GUS_tabl_2!$A$8:$B$464,GUS_tabl_21!$A$5:$B$4886),2,FALSE)),LEFT(TRIM(VLOOKUP(IF(AND(LEN($A1733)=4,VALUE(RIGHT($A1733,2))&gt;60),$A1733&amp;"01 1",$A1733),IF(AND(LEN($A1733)=4,VALUE(RIGHT($A1733,2))&lt;60),GUS_tabl_2!$A$8:$B$464,GUS_tabl_21!$A$5:$B$4886),2,FALSE)),SUM(FIND("..",TRIM(VLOOKUP(IF(AND(LEN($A1733)=4,VALUE(RIGHT($A1733,2))&gt;60),$A1733&amp;"01 1",$A1733),IF(AND(LEN($A1733)=4,VALUE(RIGHT($A1733,2))&lt;60),GUS_tabl_2!$A$8:$B$464,GUS_tabl_21!$A$5:$B$4886),2,FALSE))),-1)))))</f>
        <v>gm. w. Stubno</v>
      </c>
      <c r="D1733" s="141">
        <f>IF(OR($A1733="",ISERROR(VALUE(LEFT($A1733,6)))),"",IF(LEN($A1733)=2,SUMIF($A1734:$A$2965,$A1733&amp;"??",$D1734:$D$2965),IF(AND(LEN($A1733)=4,VALUE(RIGHT($A1733,2))&lt;=60),SUMIF($A1734:$A$2965,$A1733&amp;"????",$D1734:$D$2965),VLOOKUP(IF(LEN($A1733)=4,$A1733&amp;"01 1",$A1733),GUS_tabl_21!$A$5:$F$4886,6,FALSE))))</f>
        <v>3864</v>
      </c>
      <c r="E1733" s="29"/>
    </row>
    <row r="1734" spans="1:5" ht="12" customHeight="1">
      <c r="A1734" s="155" t="str">
        <f>"181310 2"</f>
        <v>181310 2</v>
      </c>
      <c r="B1734" s="153" t="s">
        <v>76</v>
      </c>
      <c r="C1734" s="156" t="str">
        <f>IF(OR($A1734="",ISERROR(VALUE(LEFT($A1734,6)))),"",IF(LEN($A1734)=2,"WOJ. ",IF(LEN($A1734)=4,IF(VALUE(RIGHT($A1734,2))&gt;60,"","Powiat "),IF(VALUE(RIGHT($A1734,1))=1,"m. ",IF(VALUE(RIGHT($A1734,1))=2,"gm. w. ",IF(VALUE(RIGHT($A1734,1))=8,"dz. ","gm. m.-w. ")))))&amp;IF(LEN($A1734)=2,TRIM(UPPER(VLOOKUP($A1734,GUS_tabl_1!$A$7:$B$22,2,FALSE))),IF(ISERROR(FIND("..",TRIM(VLOOKUP(IF(AND(LEN($A1734)=4,VALUE(RIGHT($A1734,2))&gt;60),$A1734&amp;"01 1",$A1734),IF(AND(LEN($A1734)=4,VALUE(RIGHT($A1734,2))&lt;60),GUS_tabl_2!$A$8:$B$464,GUS_tabl_21!$A$5:$B$4886),2,FALSE)))),TRIM(VLOOKUP(IF(AND(LEN($A1734)=4,VALUE(RIGHT($A1734,2))&gt;60),$A1734&amp;"01 1",$A1734),IF(AND(LEN($A1734)=4,VALUE(RIGHT($A1734,2))&lt;60),GUS_tabl_2!$A$8:$B$464,GUS_tabl_21!$A$5:$B$4886),2,FALSE)),LEFT(TRIM(VLOOKUP(IF(AND(LEN($A1734)=4,VALUE(RIGHT($A1734,2))&gt;60),$A1734&amp;"01 1",$A1734),IF(AND(LEN($A1734)=4,VALUE(RIGHT($A1734,2))&lt;60),GUS_tabl_2!$A$8:$B$464,GUS_tabl_21!$A$5:$B$4886),2,FALSE)),SUM(FIND("..",TRIM(VLOOKUP(IF(AND(LEN($A1734)=4,VALUE(RIGHT($A1734,2))&gt;60),$A1734&amp;"01 1",$A1734),IF(AND(LEN($A1734)=4,VALUE(RIGHT($A1734,2))&lt;60),GUS_tabl_2!$A$8:$B$464,GUS_tabl_21!$A$5:$B$4886),2,FALSE))),-1)))))</f>
        <v>gm. w. Żurawica</v>
      </c>
      <c r="D1734" s="141">
        <f>IF(OR($A1734="",ISERROR(VALUE(LEFT($A1734,6)))),"",IF(LEN($A1734)=2,SUMIF($A1735:$A$2965,$A1734&amp;"??",$D1735:$D$2965),IF(AND(LEN($A1734)=4,VALUE(RIGHT($A1734,2))&lt;=60),SUMIF($A1735:$A$2965,$A1734&amp;"????",$D1735:$D$2965),VLOOKUP(IF(LEN($A1734)=4,$A1734&amp;"01 1",$A1734),GUS_tabl_21!$A$5:$F$4886,6,FALSE))))</f>
        <v>12968</v>
      </c>
      <c r="E1734" s="29"/>
    </row>
    <row r="1735" spans="1:5" ht="12" customHeight="1">
      <c r="A1735" s="152" t="str">
        <f>"1814"</f>
        <v>1814</v>
      </c>
      <c r="B1735" s="153" t="s">
        <v>76</v>
      </c>
      <c r="C1735" s="154" t="str">
        <f>IF(OR($A1735="",ISERROR(VALUE(LEFT($A1735,6)))),"",IF(LEN($A1735)=2,"WOJ. ",IF(LEN($A1735)=4,IF(VALUE(RIGHT($A1735,2))&gt;60,"","Powiat "),IF(VALUE(RIGHT($A1735,1))=1,"m. ",IF(VALUE(RIGHT($A1735,1))=2,"gm. w. ",IF(VALUE(RIGHT($A1735,1))=8,"dz. ","gm. m.-w. ")))))&amp;IF(LEN($A1735)=2,TRIM(UPPER(VLOOKUP($A1735,GUS_tabl_1!$A$7:$B$22,2,FALSE))),IF(ISERROR(FIND("..",TRIM(VLOOKUP(IF(AND(LEN($A1735)=4,VALUE(RIGHT($A1735,2))&gt;60),$A1735&amp;"01 1",$A1735),IF(AND(LEN($A1735)=4,VALUE(RIGHT($A1735,2))&lt;60),GUS_tabl_2!$A$8:$B$464,GUS_tabl_21!$A$5:$B$4886),2,FALSE)))),TRIM(VLOOKUP(IF(AND(LEN($A1735)=4,VALUE(RIGHT($A1735,2))&gt;60),$A1735&amp;"01 1",$A1735),IF(AND(LEN($A1735)=4,VALUE(RIGHT($A1735,2))&lt;60),GUS_tabl_2!$A$8:$B$464,GUS_tabl_21!$A$5:$B$4886),2,FALSE)),LEFT(TRIM(VLOOKUP(IF(AND(LEN($A1735)=4,VALUE(RIGHT($A1735,2))&gt;60),$A1735&amp;"01 1",$A1735),IF(AND(LEN($A1735)=4,VALUE(RIGHT($A1735,2))&lt;60),GUS_tabl_2!$A$8:$B$464,GUS_tabl_21!$A$5:$B$4886),2,FALSE)),SUM(FIND("..",TRIM(VLOOKUP(IF(AND(LEN($A1735)=4,VALUE(RIGHT($A1735,2))&gt;60),$A1735&amp;"01 1",$A1735),IF(AND(LEN($A1735)=4,VALUE(RIGHT($A1735,2))&lt;60),GUS_tabl_2!$A$8:$B$464,GUS_tabl_21!$A$5:$B$4886),2,FALSE))),-1)))))</f>
        <v>Powiat przeworski</v>
      </c>
      <c r="D1735" s="140">
        <f>IF(OR($A1735="",ISERROR(VALUE(LEFT($A1735,6)))),"",IF(LEN($A1735)=2,SUMIF($A1736:$A$2965,$A1735&amp;"??",$D1736:$D$2965),IF(AND(LEN($A1735)=4,VALUE(RIGHT($A1735,2))&lt;=60),SUMIF($A1736:$A$2965,$A1735&amp;"????",$D1736:$D$2965),VLOOKUP(IF(LEN($A1735)=4,$A1735&amp;"01 1",$A1735),GUS_tabl_21!$A$5:$F$4886,6,FALSE))))</f>
        <v>78362</v>
      </c>
      <c r="E1735" s="29"/>
    </row>
    <row r="1736" spans="1:5" ht="12" customHeight="1">
      <c r="A1736" s="155" t="str">
        <f>"181401 1"</f>
        <v>181401 1</v>
      </c>
      <c r="B1736" s="153" t="s">
        <v>76</v>
      </c>
      <c r="C1736" s="156" t="str">
        <f>IF(OR($A1736="",ISERROR(VALUE(LEFT($A1736,6)))),"",IF(LEN($A1736)=2,"WOJ. ",IF(LEN($A1736)=4,IF(VALUE(RIGHT($A1736,2))&gt;60,"","Powiat "),IF(VALUE(RIGHT($A1736,1))=1,"m. ",IF(VALUE(RIGHT($A1736,1))=2,"gm. w. ",IF(VALUE(RIGHT($A1736,1))=8,"dz. ","gm. m.-w. ")))))&amp;IF(LEN($A1736)=2,TRIM(UPPER(VLOOKUP($A1736,GUS_tabl_1!$A$7:$B$22,2,FALSE))),IF(ISERROR(FIND("..",TRIM(VLOOKUP(IF(AND(LEN($A1736)=4,VALUE(RIGHT($A1736,2))&gt;60),$A1736&amp;"01 1",$A1736),IF(AND(LEN($A1736)=4,VALUE(RIGHT($A1736,2))&lt;60),GUS_tabl_2!$A$8:$B$464,GUS_tabl_21!$A$5:$B$4886),2,FALSE)))),TRIM(VLOOKUP(IF(AND(LEN($A1736)=4,VALUE(RIGHT($A1736,2))&gt;60),$A1736&amp;"01 1",$A1736),IF(AND(LEN($A1736)=4,VALUE(RIGHT($A1736,2))&lt;60),GUS_tabl_2!$A$8:$B$464,GUS_tabl_21!$A$5:$B$4886),2,FALSE)),LEFT(TRIM(VLOOKUP(IF(AND(LEN($A1736)=4,VALUE(RIGHT($A1736,2))&gt;60),$A1736&amp;"01 1",$A1736),IF(AND(LEN($A1736)=4,VALUE(RIGHT($A1736,2))&lt;60),GUS_tabl_2!$A$8:$B$464,GUS_tabl_21!$A$5:$B$4886),2,FALSE)),SUM(FIND("..",TRIM(VLOOKUP(IF(AND(LEN($A1736)=4,VALUE(RIGHT($A1736,2))&gt;60),$A1736&amp;"01 1",$A1736),IF(AND(LEN($A1736)=4,VALUE(RIGHT($A1736,2))&lt;60),GUS_tabl_2!$A$8:$B$464,GUS_tabl_21!$A$5:$B$4886),2,FALSE))),-1)))))</f>
        <v>m. Przeworsk</v>
      </c>
      <c r="D1736" s="141">
        <f>IF(OR($A1736="",ISERROR(VALUE(LEFT($A1736,6)))),"",IF(LEN($A1736)=2,SUMIF($A1737:$A$2965,$A1736&amp;"??",$D1737:$D$2965),IF(AND(LEN($A1736)=4,VALUE(RIGHT($A1736,2))&lt;=60),SUMIF($A1737:$A$2965,$A1736&amp;"????",$D1737:$D$2965),VLOOKUP(IF(LEN($A1736)=4,$A1736&amp;"01 1",$A1736),GUS_tabl_21!$A$5:$F$4886,6,FALSE))))</f>
        <v>15291</v>
      </c>
      <c r="E1736" s="29"/>
    </row>
    <row r="1737" spans="1:5" ht="12" customHeight="1">
      <c r="A1737" s="155" t="str">
        <f>"181402 2"</f>
        <v>181402 2</v>
      </c>
      <c r="B1737" s="153" t="s">
        <v>76</v>
      </c>
      <c r="C1737" s="156" t="str">
        <f>IF(OR($A1737="",ISERROR(VALUE(LEFT($A1737,6)))),"",IF(LEN($A1737)=2,"WOJ. ",IF(LEN($A1737)=4,IF(VALUE(RIGHT($A1737,2))&gt;60,"","Powiat "),IF(VALUE(RIGHT($A1737,1))=1,"m. ",IF(VALUE(RIGHT($A1737,1))=2,"gm. w. ",IF(VALUE(RIGHT($A1737,1))=8,"dz. ","gm. m.-w. ")))))&amp;IF(LEN($A1737)=2,TRIM(UPPER(VLOOKUP($A1737,GUS_tabl_1!$A$7:$B$22,2,FALSE))),IF(ISERROR(FIND("..",TRIM(VLOOKUP(IF(AND(LEN($A1737)=4,VALUE(RIGHT($A1737,2))&gt;60),$A1737&amp;"01 1",$A1737),IF(AND(LEN($A1737)=4,VALUE(RIGHT($A1737,2))&lt;60),GUS_tabl_2!$A$8:$B$464,GUS_tabl_21!$A$5:$B$4886),2,FALSE)))),TRIM(VLOOKUP(IF(AND(LEN($A1737)=4,VALUE(RIGHT($A1737,2))&gt;60),$A1737&amp;"01 1",$A1737),IF(AND(LEN($A1737)=4,VALUE(RIGHT($A1737,2))&lt;60),GUS_tabl_2!$A$8:$B$464,GUS_tabl_21!$A$5:$B$4886),2,FALSE)),LEFT(TRIM(VLOOKUP(IF(AND(LEN($A1737)=4,VALUE(RIGHT($A1737,2))&gt;60),$A1737&amp;"01 1",$A1737),IF(AND(LEN($A1737)=4,VALUE(RIGHT($A1737,2))&lt;60),GUS_tabl_2!$A$8:$B$464,GUS_tabl_21!$A$5:$B$4886),2,FALSE)),SUM(FIND("..",TRIM(VLOOKUP(IF(AND(LEN($A1737)=4,VALUE(RIGHT($A1737,2))&gt;60),$A1737&amp;"01 1",$A1737),IF(AND(LEN($A1737)=4,VALUE(RIGHT($A1737,2))&lt;60),GUS_tabl_2!$A$8:$B$464,GUS_tabl_21!$A$5:$B$4886),2,FALSE))),-1)))))</f>
        <v>gm. w. Adamówka</v>
      </c>
      <c r="D1737" s="141">
        <f>IF(OR($A1737="",ISERROR(VALUE(LEFT($A1737,6)))),"",IF(LEN($A1737)=2,SUMIF($A1738:$A$2965,$A1737&amp;"??",$D1738:$D$2965),IF(AND(LEN($A1737)=4,VALUE(RIGHT($A1737,2))&lt;=60),SUMIF($A1738:$A$2965,$A1737&amp;"????",$D1738:$D$2965),VLOOKUP(IF(LEN($A1737)=4,$A1737&amp;"01 1",$A1737),GUS_tabl_21!$A$5:$F$4886,6,FALSE))))</f>
        <v>4057</v>
      </c>
      <c r="E1737" s="29"/>
    </row>
    <row r="1738" spans="1:5" ht="12" customHeight="1">
      <c r="A1738" s="155" t="str">
        <f>"181403 2"</f>
        <v>181403 2</v>
      </c>
      <c r="B1738" s="153" t="s">
        <v>76</v>
      </c>
      <c r="C1738" s="156" t="str">
        <f>IF(OR($A1738="",ISERROR(VALUE(LEFT($A1738,6)))),"",IF(LEN($A1738)=2,"WOJ. ",IF(LEN($A1738)=4,IF(VALUE(RIGHT($A1738,2))&gt;60,"","Powiat "),IF(VALUE(RIGHT($A1738,1))=1,"m. ",IF(VALUE(RIGHT($A1738,1))=2,"gm. w. ",IF(VALUE(RIGHT($A1738,1))=8,"dz. ","gm. m.-w. ")))))&amp;IF(LEN($A1738)=2,TRIM(UPPER(VLOOKUP($A1738,GUS_tabl_1!$A$7:$B$22,2,FALSE))),IF(ISERROR(FIND("..",TRIM(VLOOKUP(IF(AND(LEN($A1738)=4,VALUE(RIGHT($A1738,2))&gt;60),$A1738&amp;"01 1",$A1738),IF(AND(LEN($A1738)=4,VALUE(RIGHT($A1738,2))&lt;60),GUS_tabl_2!$A$8:$B$464,GUS_tabl_21!$A$5:$B$4886),2,FALSE)))),TRIM(VLOOKUP(IF(AND(LEN($A1738)=4,VALUE(RIGHT($A1738,2))&gt;60),$A1738&amp;"01 1",$A1738),IF(AND(LEN($A1738)=4,VALUE(RIGHT($A1738,2))&lt;60),GUS_tabl_2!$A$8:$B$464,GUS_tabl_21!$A$5:$B$4886),2,FALSE)),LEFT(TRIM(VLOOKUP(IF(AND(LEN($A1738)=4,VALUE(RIGHT($A1738,2))&gt;60),$A1738&amp;"01 1",$A1738),IF(AND(LEN($A1738)=4,VALUE(RIGHT($A1738,2))&lt;60),GUS_tabl_2!$A$8:$B$464,GUS_tabl_21!$A$5:$B$4886),2,FALSE)),SUM(FIND("..",TRIM(VLOOKUP(IF(AND(LEN($A1738)=4,VALUE(RIGHT($A1738,2))&gt;60),$A1738&amp;"01 1",$A1738),IF(AND(LEN($A1738)=4,VALUE(RIGHT($A1738,2))&lt;60),GUS_tabl_2!$A$8:$B$464,GUS_tabl_21!$A$5:$B$4886),2,FALSE))),-1)))))</f>
        <v>gm. w. Gać</v>
      </c>
      <c r="D1738" s="141">
        <f>IF(OR($A1738="",ISERROR(VALUE(LEFT($A1738,6)))),"",IF(LEN($A1738)=2,SUMIF($A1739:$A$2965,$A1738&amp;"??",$D1739:$D$2965),IF(AND(LEN($A1738)=4,VALUE(RIGHT($A1738,2))&lt;=60),SUMIF($A1739:$A$2965,$A1738&amp;"????",$D1739:$D$2965),VLOOKUP(IF(LEN($A1738)=4,$A1738&amp;"01 1",$A1738),GUS_tabl_21!$A$5:$F$4886,6,FALSE))))</f>
        <v>4627</v>
      </c>
      <c r="E1738" s="29"/>
    </row>
    <row r="1739" spans="1:5" ht="12" customHeight="1">
      <c r="A1739" s="155" t="str">
        <f>"181404 2"</f>
        <v>181404 2</v>
      </c>
      <c r="B1739" s="153" t="s">
        <v>76</v>
      </c>
      <c r="C1739" s="156" t="str">
        <f>IF(OR($A1739="",ISERROR(VALUE(LEFT($A1739,6)))),"",IF(LEN($A1739)=2,"WOJ. ",IF(LEN($A1739)=4,IF(VALUE(RIGHT($A1739,2))&gt;60,"","Powiat "),IF(VALUE(RIGHT($A1739,1))=1,"m. ",IF(VALUE(RIGHT($A1739,1))=2,"gm. w. ",IF(VALUE(RIGHT($A1739,1))=8,"dz. ","gm. m.-w. ")))))&amp;IF(LEN($A1739)=2,TRIM(UPPER(VLOOKUP($A1739,GUS_tabl_1!$A$7:$B$22,2,FALSE))),IF(ISERROR(FIND("..",TRIM(VLOOKUP(IF(AND(LEN($A1739)=4,VALUE(RIGHT($A1739,2))&gt;60),$A1739&amp;"01 1",$A1739),IF(AND(LEN($A1739)=4,VALUE(RIGHT($A1739,2))&lt;60),GUS_tabl_2!$A$8:$B$464,GUS_tabl_21!$A$5:$B$4886),2,FALSE)))),TRIM(VLOOKUP(IF(AND(LEN($A1739)=4,VALUE(RIGHT($A1739,2))&gt;60),$A1739&amp;"01 1",$A1739),IF(AND(LEN($A1739)=4,VALUE(RIGHT($A1739,2))&lt;60),GUS_tabl_2!$A$8:$B$464,GUS_tabl_21!$A$5:$B$4886),2,FALSE)),LEFT(TRIM(VLOOKUP(IF(AND(LEN($A1739)=4,VALUE(RIGHT($A1739,2))&gt;60),$A1739&amp;"01 1",$A1739),IF(AND(LEN($A1739)=4,VALUE(RIGHT($A1739,2))&lt;60),GUS_tabl_2!$A$8:$B$464,GUS_tabl_21!$A$5:$B$4886),2,FALSE)),SUM(FIND("..",TRIM(VLOOKUP(IF(AND(LEN($A1739)=4,VALUE(RIGHT($A1739,2))&gt;60),$A1739&amp;"01 1",$A1739),IF(AND(LEN($A1739)=4,VALUE(RIGHT($A1739,2))&lt;60),GUS_tabl_2!$A$8:$B$464,GUS_tabl_21!$A$5:$B$4886),2,FALSE))),-1)))))</f>
        <v>gm. w. Jawornik Polski</v>
      </c>
      <c r="D1739" s="141">
        <f>IF(OR($A1739="",ISERROR(VALUE(LEFT($A1739,6)))),"",IF(LEN($A1739)=2,SUMIF($A1740:$A$2965,$A1739&amp;"??",$D1740:$D$2965),IF(AND(LEN($A1739)=4,VALUE(RIGHT($A1739,2))&lt;=60),SUMIF($A1740:$A$2965,$A1739&amp;"????",$D1740:$D$2965),VLOOKUP(IF(LEN($A1739)=4,$A1739&amp;"01 1",$A1739),GUS_tabl_21!$A$5:$F$4886,6,FALSE))))</f>
        <v>4456</v>
      </c>
      <c r="E1739" s="29"/>
    </row>
    <row r="1740" spans="1:5" ht="12" customHeight="1">
      <c r="A1740" s="155" t="str">
        <f>"181405 3"</f>
        <v>181405 3</v>
      </c>
      <c r="B1740" s="153" t="s">
        <v>76</v>
      </c>
      <c r="C1740" s="156" t="str">
        <f>IF(OR($A1740="",ISERROR(VALUE(LEFT($A1740,6)))),"",IF(LEN($A1740)=2,"WOJ. ",IF(LEN($A1740)=4,IF(VALUE(RIGHT($A1740,2))&gt;60,"","Powiat "),IF(VALUE(RIGHT($A1740,1))=1,"m. ",IF(VALUE(RIGHT($A1740,1))=2,"gm. w. ",IF(VALUE(RIGHT($A1740,1))=8,"dz. ","gm. m.-w. ")))))&amp;IF(LEN($A1740)=2,TRIM(UPPER(VLOOKUP($A1740,GUS_tabl_1!$A$7:$B$22,2,FALSE))),IF(ISERROR(FIND("..",TRIM(VLOOKUP(IF(AND(LEN($A1740)=4,VALUE(RIGHT($A1740,2))&gt;60),$A1740&amp;"01 1",$A1740),IF(AND(LEN($A1740)=4,VALUE(RIGHT($A1740,2))&lt;60),GUS_tabl_2!$A$8:$B$464,GUS_tabl_21!$A$5:$B$4886),2,FALSE)))),TRIM(VLOOKUP(IF(AND(LEN($A1740)=4,VALUE(RIGHT($A1740,2))&gt;60),$A1740&amp;"01 1",$A1740),IF(AND(LEN($A1740)=4,VALUE(RIGHT($A1740,2))&lt;60),GUS_tabl_2!$A$8:$B$464,GUS_tabl_21!$A$5:$B$4886),2,FALSE)),LEFT(TRIM(VLOOKUP(IF(AND(LEN($A1740)=4,VALUE(RIGHT($A1740,2))&gt;60),$A1740&amp;"01 1",$A1740),IF(AND(LEN($A1740)=4,VALUE(RIGHT($A1740,2))&lt;60),GUS_tabl_2!$A$8:$B$464,GUS_tabl_21!$A$5:$B$4886),2,FALSE)),SUM(FIND("..",TRIM(VLOOKUP(IF(AND(LEN($A1740)=4,VALUE(RIGHT($A1740,2))&gt;60),$A1740&amp;"01 1",$A1740),IF(AND(LEN($A1740)=4,VALUE(RIGHT($A1740,2))&lt;60),GUS_tabl_2!$A$8:$B$464,GUS_tabl_21!$A$5:$B$4886),2,FALSE))),-1)))))</f>
        <v>gm. m.-w. Kańczuga</v>
      </c>
      <c r="D1740" s="141">
        <f>IF(OR($A1740="",ISERROR(VALUE(LEFT($A1740,6)))),"",IF(LEN($A1740)=2,SUMIF($A1741:$A$2965,$A1740&amp;"??",$D1741:$D$2965),IF(AND(LEN($A1740)=4,VALUE(RIGHT($A1740,2))&lt;=60),SUMIF($A1741:$A$2965,$A1740&amp;"????",$D1741:$D$2965),VLOOKUP(IF(LEN($A1740)=4,$A1740&amp;"01 1",$A1740),GUS_tabl_21!$A$5:$F$4886,6,FALSE))))</f>
        <v>12307</v>
      </c>
      <c r="E1740" s="29"/>
    </row>
    <row r="1741" spans="1:5" ht="12" customHeight="1">
      <c r="A1741" s="155" t="str">
        <f>"181406 2"</f>
        <v>181406 2</v>
      </c>
      <c r="B1741" s="153" t="s">
        <v>76</v>
      </c>
      <c r="C1741" s="156" t="str">
        <f>IF(OR($A1741="",ISERROR(VALUE(LEFT($A1741,6)))),"",IF(LEN($A1741)=2,"WOJ. ",IF(LEN($A1741)=4,IF(VALUE(RIGHT($A1741,2))&gt;60,"","Powiat "),IF(VALUE(RIGHT($A1741,1))=1,"m. ",IF(VALUE(RIGHT($A1741,1))=2,"gm. w. ",IF(VALUE(RIGHT($A1741,1))=8,"dz. ","gm. m.-w. ")))))&amp;IF(LEN($A1741)=2,TRIM(UPPER(VLOOKUP($A1741,GUS_tabl_1!$A$7:$B$22,2,FALSE))),IF(ISERROR(FIND("..",TRIM(VLOOKUP(IF(AND(LEN($A1741)=4,VALUE(RIGHT($A1741,2))&gt;60),$A1741&amp;"01 1",$A1741),IF(AND(LEN($A1741)=4,VALUE(RIGHT($A1741,2))&lt;60),GUS_tabl_2!$A$8:$B$464,GUS_tabl_21!$A$5:$B$4886),2,FALSE)))),TRIM(VLOOKUP(IF(AND(LEN($A1741)=4,VALUE(RIGHT($A1741,2))&gt;60),$A1741&amp;"01 1",$A1741),IF(AND(LEN($A1741)=4,VALUE(RIGHT($A1741,2))&lt;60),GUS_tabl_2!$A$8:$B$464,GUS_tabl_21!$A$5:$B$4886),2,FALSE)),LEFT(TRIM(VLOOKUP(IF(AND(LEN($A1741)=4,VALUE(RIGHT($A1741,2))&gt;60),$A1741&amp;"01 1",$A1741),IF(AND(LEN($A1741)=4,VALUE(RIGHT($A1741,2))&lt;60),GUS_tabl_2!$A$8:$B$464,GUS_tabl_21!$A$5:$B$4886),2,FALSE)),SUM(FIND("..",TRIM(VLOOKUP(IF(AND(LEN($A1741)=4,VALUE(RIGHT($A1741,2))&gt;60),$A1741&amp;"01 1",$A1741),IF(AND(LEN($A1741)=4,VALUE(RIGHT($A1741,2))&lt;60),GUS_tabl_2!$A$8:$B$464,GUS_tabl_21!$A$5:$B$4886),2,FALSE))),-1)))))</f>
        <v>gm. w. Przeworsk</v>
      </c>
      <c r="D1741" s="141">
        <f>IF(OR($A1741="",ISERROR(VALUE(LEFT($A1741,6)))),"",IF(LEN($A1741)=2,SUMIF($A1742:$A$2965,$A1741&amp;"??",$D1742:$D$2965),IF(AND(LEN($A1741)=4,VALUE(RIGHT($A1741,2))&lt;=60),SUMIF($A1742:$A$2965,$A1741&amp;"????",$D1742:$D$2965),VLOOKUP(IF(LEN($A1741)=4,$A1741&amp;"01 1",$A1741),GUS_tabl_21!$A$5:$F$4886,6,FALSE))))</f>
        <v>14863</v>
      </c>
      <c r="E1741" s="29"/>
    </row>
    <row r="1742" spans="1:5" ht="12" customHeight="1">
      <c r="A1742" s="155" t="str">
        <f>"181407 3"</f>
        <v>181407 3</v>
      </c>
      <c r="B1742" s="153" t="s">
        <v>76</v>
      </c>
      <c r="C1742" s="156" t="str">
        <f>IF(OR($A1742="",ISERROR(VALUE(LEFT($A1742,6)))),"",IF(LEN($A1742)=2,"WOJ. ",IF(LEN($A1742)=4,IF(VALUE(RIGHT($A1742,2))&gt;60,"","Powiat "),IF(VALUE(RIGHT($A1742,1))=1,"m. ",IF(VALUE(RIGHT($A1742,1))=2,"gm. w. ",IF(VALUE(RIGHT($A1742,1))=8,"dz. ","gm. m.-w. ")))))&amp;IF(LEN($A1742)=2,TRIM(UPPER(VLOOKUP($A1742,GUS_tabl_1!$A$7:$B$22,2,FALSE))),IF(ISERROR(FIND("..",TRIM(VLOOKUP(IF(AND(LEN($A1742)=4,VALUE(RIGHT($A1742,2))&gt;60),$A1742&amp;"01 1",$A1742),IF(AND(LEN($A1742)=4,VALUE(RIGHT($A1742,2))&lt;60),GUS_tabl_2!$A$8:$B$464,GUS_tabl_21!$A$5:$B$4886),2,FALSE)))),TRIM(VLOOKUP(IF(AND(LEN($A1742)=4,VALUE(RIGHT($A1742,2))&gt;60),$A1742&amp;"01 1",$A1742),IF(AND(LEN($A1742)=4,VALUE(RIGHT($A1742,2))&lt;60),GUS_tabl_2!$A$8:$B$464,GUS_tabl_21!$A$5:$B$4886),2,FALSE)),LEFT(TRIM(VLOOKUP(IF(AND(LEN($A1742)=4,VALUE(RIGHT($A1742,2))&gt;60),$A1742&amp;"01 1",$A1742),IF(AND(LEN($A1742)=4,VALUE(RIGHT($A1742,2))&lt;60),GUS_tabl_2!$A$8:$B$464,GUS_tabl_21!$A$5:$B$4886),2,FALSE)),SUM(FIND("..",TRIM(VLOOKUP(IF(AND(LEN($A1742)=4,VALUE(RIGHT($A1742,2))&gt;60),$A1742&amp;"01 1",$A1742),IF(AND(LEN($A1742)=4,VALUE(RIGHT($A1742,2))&lt;60),GUS_tabl_2!$A$8:$B$464,GUS_tabl_21!$A$5:$B$4886),2,FALSE))),-1)))))</f>
        <v>gm. m.-w. Sieniawa</v>
      </c>
      <c r="D1742" s="141">
        <f>IF(OR($A1742="",ISERROR(VALUE(LEFT($A1742,6)))),"",IF(LEN($A1742)=2,SUMIF($A1743:$A$2965,$A1742&amp;"??",$D1743:$D$2965),IF(AND(LEN($A1742)=4,VALUE(RIGHT($A1742,2))&lt;=60),SUMIF($A1743:$A$2965,$A1742&amp;"????",$D1743:$D$2965),VLOOKUP(IF(LEN($A1742)=4,$A1742&amp;"01 1",$A1742),GUS_tabl_21!$A$5:$F$4886,6,FALSE))))</f>
        <v>7041</v>
      </c>
      <c r="E1742" s="29"/>
    </row>
    <row r="1743" spans="1:5" ht="12" customHeight="1">
      <c r="A1743" s="155" t="str">
        <f>"181408 2"</f>
        <v>181408 2</v>
      </c>
      <c r="B1743" s="153" t="s">
        <v>76</v>
      </c>
      <c r="C1743" s="156" t="str">
        <f>IF(OR($A1743="",ISERROR(VALUE(LEFT($A1743,6)))),"",IF(LEN($A1743)=2,"WOJ. ",IF(LEN($A1743)=4,IF(VALUE(RIGHT($A1743,2))&gt;60,"","Powiat "),IF(VALUE(RIGHT($A1743,1))=1,"m. ",IF(VALUE(RIGHT($A1743,1))=2,"gm. w. ",IF(VALUE(RIGHT($A1743,1))=8,"dz. ","gm. m.-w. ")))))&amp;IF(LEN($A1743)=2,TRIM(UPPER(VLOOKUP($A1743,GUS_tabl_1!$A$7:$B$22,2,FALSE))),IF(ISERROR(FIND("..",TRIM(VLOOKUP(IF(AND(LEN($A1743)=4,VALUE(RIGHT($A1743,2))&gt;60),$A1743&amp;"01 1",$A1743),IF(AND(LEN($A1743)=4,VALUE(RIGHT($A1743,2))&lt;60),GUS_tabl_2!$A$8:$B$464,GUS_tabl_21!$A$5:$B$4886),2,FALSE)))),TRIM(VLOOKUP(IF(AND(LEN($A1743)=4,VALUE(RIGHT($A1743,2))&gt;60),$A1743&amp;"01 1",$A1743),IF(AND(LEN($A1743)=4,VALUE(RIGHT($A1743,2))&lt;60),GUS_tabl_2!$A$8:$B$464,GUS_tabl_21!$A$5:$B$4886),2,FALSE)),LEFT(TRIM(VLOOKUP(IF(AND(LEN($A1743)=4,VALUE(RIGHT($A1743,2))&gt;60),$A1743&amp;"01 1",$A1743),IF(AND(LEN($A1743)=4,VALUE(RIGHT($A1743,2))&lt;60),GUS_tabl_2!$A$8:$B$464,GUS_tabl_21!$A$5:$B$4886),2,FALSE)),SUM(FIND("..",TRIM(VLOOKUP(IF(AND(LEN($A1743)=4,VALUE(RIGHT($A1743,2))&gt;60),$A1743&amp;"01 1",$A1743),IF(AND(LEN($A1743)=4,VALUE(RIGHT($A1743,2))&lt;60),GUS_tabl_2!$A$8:$B$464,GUS_tabl_21!$A$5:$B$4886),2,FALSE))),-1)))))</f>
        <v>gm. w. Tryńcza</v>
      </c>
      <c r="D1743" s="141">
        <f>IF(OR($A1743="",ISERROR(VALUE(LEFT($A1743,6)))),"",IF(LEN($A1743)=2,SUMIF($A1744:$A$2965,$A1743&amp;"??",$D1744:$D$2965),IF(AND(LEN($A1743)=4,VALUE(RIGHT($A1743,2))&lt;=60),SUMIF($A1744:$A$2965,$A1743&amp;"????",$D1744:$D$2965),VLOOKUP(IF(LEN($A1743)=4,$A1743&amp;"01 1",$A1743),GUS_tabl_21!$A$5:$F$4886,6,FALSE))))</f>
        <v>8491</v>
      </c>
      <c r="E1743" s="29"/>
    </row>
    <row r="1744" spans="1:5" ht="12" customHeight="1">
      <c r="A1744" s="155" t="str">
        <f>"181409 2"</f>
        <v>181409 2</v>
      </c>
      <c r="B1744" s="153" t="s">
        <v>76</v>
      </c>
      <c r="C1744" s="156" t="str">
        <f>IF(OR($A1744="",ISERROR(VALUE(LEFT($A1744,6)))),"",IF(LEN($A1744)=2,"WOJ. ",IF(LEN($A1744)=4,IF(VALUE(RIGHT($A1744,2))&gt;60,"","Powiat "),IF(VALUE(RIGHT($A1744,1))=1,"m. ",IF(VALUE(RIGHT($A1744,1))=2,"gm. w. ",IF(VALUE(RIGHT($A1744,1))=8,"dz. ","gm. m.-w. ")))))&amp;IF(LEN($A1744)=2,TRIM(UPPER(VLOOKUP($A1744,GUS_tabl_1!$A$7:$B$22,2,FALSE))),IF(ISERROR(FIND("..",TRIM(VLOOKUP(IF(AND(LEN($A1744)=4,VALUE(RIGHT($A1744,2))&gt;60),$A1744&amp;"01 1",$A1744),IF(AND(LEN($A1744)=4,VALUE(RIGHT($A1744,2))&lt;60),GUS_tabl_2!$A$8:$B$464,GUS_tabl_21!$A$5:$B$4886),2,FALSE)))),TRIM(VLOOKUP(IF(AND(LEN($A1744)=4,VALUE(RIGHT($A1744,2))&gt;60),$A1744&amp;"01 1",$A1744),IF(AND(LEN($A1744)=4,VALUE(RIGHT($A1744,2))&lt;60),GUS_tabl_2!$A$8:$B$464,GUS_tabl_21!$A$5:$B$4886),2,FALSE)),LEFT(TRIM(VLOOKUP(IF(AND(LEN($A1744)=4,VALUE(RIGHT($A1744,2))&gt;60),$A1744&amp;"01 1",$A1744),IF(AND(LEN($A1744)=4,VALUE(RIGHT($A1744,2))&lt;60),GUS_tabl_2!$A$8:$B$464,GUS_tabl_21!$A$5:$B$4886),2,FALSE)),SUM(FIND("..",TRIM(VLOOKUP(IF(AND(LEN($A1744)=4,VALUE(RIGHT($A1744,2))&gt;60),$A1744&amp;"01 1",$A1744),IF(AND(LEN($A1744)=4,VALUE(RIGHT($A1744,2))&lt;60),GUS_tabl_2!$A$8:$B$464,GUS_tabl_21!$A$5:$B$4886),2,FALSE))),-1)))))</f>
        <v>gm. w. Zarzecze</v>
      </c>
      <c r="D1744" s="141">
        <f>IF(OR($A1744="",ISERROR(VALUE(LEFT($A1744,6)))),"",IF(LEN($A1744)=2,SUMIF($A1745:$A$2965,$A1744&amp;"??",$D1745:$D$2965),IF(AND(LEN($A1744)=4,VALUE(RIGHT($A1744,2))&lt;=60),SUMIF($A1745:$A$2965,$A1744&amp;"????",$D1745:$D$2965),VLOOKUP(IF(LEN($A1744)=4,$A1744&amp;"01 1",$A1744),GUS_tabl_21!$A$5:$F$4886,6,FALSE))))</f>
        <v>7229</v>
      </c>
      <c r="E1744" s="29"/>
    </row>
    <row r="1745" spans="1:5" ht="12" customHeight="1">
      <c r="A1745" s="152" t="str">
        <f>"1815"</f>
        <v>1815</v>
      </c>
      <c r="B1745" s="153" t="s">
        <v>76</v>
      </c>
      <c r="C1745" s="154" t="str">
        <f>IF(OR($A1745="",ISERROR(VALUE(LEFT($A1745,6)))),"",IF(LEN($A1745)=2,"WOJ. ",IF(LEN($A1745)=4,IF(VALUE(RIGHT($A1745,2))&gt;60,"","Powiat "),IF(VALUE(RIGHT($A1745,1))=1,"m. ",IF(VALUE(RIGHT($A1745,1))=2,"gm. w. ",IF(VALUE(RIGHT($A1745,1))=8,"dz. ","gm. m.-w. ")))))&amp;IF(LEN($A1745)=2,TRIM(UPPER(VLOOKUP($A1745,GUS_tabl_1!$A$7:$B$22,2,FALSE))),IF(ISERROR(FIND("..",TRIM(VLOOKUP(IF(AND(LEN($A1745)=4,VALUE(RIGHT($A1745,2))&gt;60),$A1745&amp;"01 1",$A1745),IF(AND(LEN($A1745)=4,VALUE(RIGHT($A1745,2))&lt;60),GUS_tabl_2!$A$8:$B$464,GUS_tabl_21!$A$5:$B$4886),2,FALSE)))),TRIM(VLOOKUP(IF(AND(LEN($A1745)=4,VALUE(RIGHT($A1745,2))&gt;60),$A1745&amp;"01 1",$A1745),IF(AND(LEN($A1745)=4,VALUE(RIGHT($A1745,2))&lt;60),GUS_tabl_2!$A$8:$B$464,GUS_tabl_21!$A$5:$B$4886),2,FALSE)),LEFT(TRIM(VLOOKUP(IF(AND(LEN($A1745)=4,VALUE(RIGHT($A1745,2))&gt;60),$A1745&amp;"01 1",$A1745),IF(AND(LEN($A1745)=4,VALUE(RIGHT($A1745,2))&lt;60),GUS_tabl_2!$A$8:$B$464,GUS_tabl_21!$A$5:$B$4886),2,FALSE)),SUM(FIND("..",TRIM(VLOOKUP(IF(AND(LEN($A1745)=4,VALUE(RIGHT($A1745,2))&gt;60),$A1745&amp;"01 1",$A1745),IF(AND(LEN($A1745)=4,VALUE(RIGHT($A1745,2))&lt;60),GUS_tabl_2!$A$8:$B$464,GUS_tabl_21!$A$5:$B$4886),2,FALSE))),-1)))))</f>
        <v>Powiat ropczycko-sędziszowski</v>
      </c>
      <c r="D1745" s="140">
        <f>IF(OR($A1745="",ISERROR(VALUE(LEFT($A1745,6)))),"",IF(LEN($A1745)=2,SUMIF($A1746:$A$2965,$A1745&amp;"??",$D1746:$D$2965),IF(AND(LEN($A1745)=4,VALUE(RIGHT($A1745,2))&lt;=60),SUMIF($A1746:$A$2965,$A1745&amp;"????",$D1746:$D$2965),VLOOKUP(IF(LEN($A1745)=4,$A1745&amp;"01 1",$A1745),GUS_tabl_21!$A$5:$F$4886,6,FALSE))))</f>
        <v>74515</v>
      </c>
      <c r="E1745" s="29"/>
    </row>
    <row r="1746" spans="1:5" ht="12" customHeight="1">
      <c r="A1746" s="155" t="str">
        <f>"181501 2"</f>
        <v>181501 2</v>
      </c>
      <c r="B1746" s="153" t="s">
        <v>76</v>
      </c>
      <c r="C1746" s="156" t="str">
        <f>IF(OR($A1746="",ISERROR(VALUE(LEFT($A1746,6)))),"",IF(LEN($A1746)=2,"WOJ. ",IF(LEN($A1746)=4,IF(VALUE(RIGHT($A1746,2))&gt;60,"","Powiat "),IF(VALUE(RIGHT($A1746,1))=1,"m. ",IF(VALUE(RIGHT($A1746,1))=2,"gm. w. ",IF(VALUE(RIGHT($A1746,1))=8,"dz. ","gm. m.-w. ")))))&amp;IF(LEN($A1746)=2,TRIM(UPPER(VLOOKUP($A1746,GUS_tabl_1!$A$7:$B$22,2,FALSE))),IF(ISERROR(FIND("..",TRIM(VLOOKUP(IF(AND(LEN($A1746)=4,VALUE(RIGHT($A1746,2))&gt;60),$A1746&amp;"01 1",$A1746),IF(AND(LEN($A1746)=4,VALUE(RIGHT($A1746,2))&lt;60),GUS_tabl_2!$A$8:$B$464,GUS_tabl_21!$A$5:$B$4886),2,FALSE)))),TRIM(VLOOKUP(IF(AND(LEN($A1746)=4,VALUE(RIGHT($A1746,2))&gt;60),$A1746&amp;"01 1",$A1746),IF(AND(LEN($A1746)=4,VALUE(RIGHT($A1746,2))&lt;60),GUS_tabl_2!$A$8:$B$464,GUS_tabl_21!$A$5:$B$4886),2,FALSE)),LEFT(TRIM(VLOOKUP(IF(AND(LEN($A1746)=4,VALUE(RIGHT($A1746,2))&gt;60),$A1746&amp;"01 1",$A1746),IF(AND(LEN($A1746)=4,VALUE(RIGHT($A1746,2))&lt;60),GUS_tabl_2!$A$8:$B$464,GUS_tabl_21!$A$5:$B$4886),2,FALSE)),SUM(FIND("..",TRIM(VLOOKUP(IF(AND(LEN($A1746)=4,VALUE(RIGHT($A1746,2))&gt;60),$A1746&amp;"01 1",$A1746),IF(AND(LEN($A1746)=4,VALUE(RIGHT($A1746,2))&lt;60),GUS_tabl_2!$A$8:$B$464,GUS_tabl_21!$A$5:$B$4886),2,FALSE))),-1)))))</f>
        <v>gm. w. Iwierzyce</v>
      </c>
      <c r="D1746" s="141">
        <f>IF(OR($A1746="",ISERROR(VALUE(LEFT($A1746,6)))),"",IF(LEN($A1746)=2,SUMIF($A1747:$A$2965,$A1746&amp;"??",$D1747:$D$2965),IF(AND(LEN($A1746)=4,VALUE(RIGHT($A1746,2))&lt;=60),SUMIF($A1747:$A$2965,$A1746&amp;"????",$D1747:$D$2965),VLOOKUP(IF(LEN($A1746)=4,$A1746&amp;"01 1",$A1746),GUS_tabl_21!$A$5:$F$4886,6,FALSE))))</f>
        <v>7735</v>
      </c>
      <c r="E1746" s="29"/>
    </row>
    <row r="1747" spans="1:5" ht="12" customHeight="1">
      <c r="A1747" s="155" t="str">
        <f>"181502 2"</f>
        <v>181502 2</v>
      </c>
      <c r="B1747" s="153" t="s">
        <v>76</v>
      </c>
      <c r="C1747" s="156" t="str">
        <f>IF(OR($A1747="",ISERROR(VALUE(LEFT($A1747,6)))),"",IF(LEN($A1747)=2,"WOJ. ",IF(LEN($A1747)=4,IF(VALUE(RIGHT($A1747,2))&gt;60,"","Powiat "),IF(VALUE(RIGHT($A1747,1))=1,"m. ",IF(VALUE(RIGHT($A1747,1))=2,"gm. w. ",IF(VALUE(RIGHT($A1747,1))=8,"dz. ","gm. m.-w. ")))))&amp;IF(LEN($A1747)=2,TRIM(UPPER(VLOOKUP($A1747,GUS_tabl_1!$A$7:$B$22,2,FALSE))),IF(ISERROR(FIND("..",TRIM(VLOOKUP(IF(AND(LEN($A1747)=4,VALUE(RIGHT($A1747,2))&gt;60),$A1747&amp;"01 1",$A1747),IF(AND(LEN($A1747)=4,VALUE(RIGHT($A1747,2))&lt;60),GUS_tabl_2!$A$8:$B$464,GUS_tabl_21!$A$5:$B$4886),2,FALSE)))),TRIM(VLOOKUP(IF(AND(LEN($A1747)=4,VALUE(RIGHT($A1747,2))&gt;60),$A1747&amp;"01 1",$A1747),IF(AND(LEN($A1747)=4,VALUE(RIGHT($A1747,2))&lt;60),GUS_tabl_2!$A$8:$B$464,GUS_tabl_21!$A$5:$B$4886),2,FALSE)),LEFT(TRIM(VLOOKUP(IF(AND(LEN($A1747)=4,VALUE(RIGHT($A1747,2))&gt;60),$A1747&amp;"01 1",$A1747),IF(AND(LEN($A1747)=4,VALUE(RIGHT($A1747,2))&lt;60),GUS_tabl_2!$A$8:$B$464,GUS_tabl_21!$A$5:$B$4886),2,FALSE)),SUM(FIND("..",TRIM(VLOOKUP(IF(AND(LEN($A1747)=4,VALUE(RIGHT($A1747,2))&gt;60),$A1747&amp;"01 1",$A1747),IF(AND(LEN($A1747)=4,VALUE(RIGHT($A1747,2))&lt;60),GUS_tabl_2!$A$8:$B$464,GUS_tabl_21!$A$5:$B$4886),2,FALSE))),-1)))))</f>
        <v>gm. w. Ostrów</v>
      </c>
      <c r="D1747" s="141">
        <f>IF(OR($A1747="",ISERROR(VALUE(LEFT($A1747,6)))),"",IF(LEN($A1747)=2,SUMIF($A1748:$A$2965,$A1747&amp;"??",$D1748:$D$2965),IF(AND(LEN($A1747)=4,VALUE(RIGHT($A1747,2))&lt;=60),SUMIF($A1748:$A$2965,$A1747&amp;"????",$D1748:$D$2965),VLOOKUP(IF(LEN($A1747)=4,$A1747&amp;"01 1",$A1747),GUS_tabl_21!$A$5:$F$4886,6,FALSE))))</f>
        <v>7358</v>
      </c>
      <c r="E1747" s="29"/>
    </row>
    <row r="1748" spans="1:5" ht="12" customHeight="1">
      <c r="A1748" s="155" t="str">
        <f>"181503 3"</f>
        <v>181503 3</v>
      </c>
      <c r="B1748" s="153" t="s">
        <v>76</v>
      </c>
      <c r="C1748" s="156" t="str">
        <f>IF(OR($A1748="",ISERROR(VALUE(LEFT($A1748,6)))),"",IF(LEN($A1748)=2,"WOJ. ",IF(LEN($A1748)=4,IF(VALUE(RIGHT($A1748,2))&gt;60,"","Powiat "),IF(VALUE(RIGHT($A1748,1))=1,"m. ",IF(VALUE(RIGHT($A1748,1))=2,"gm. w. ",IF(VALUE(RIGHT($A1748,1))=8,"dz. ","gm. m.-w. ")))))&amp;IF(LEN($A1748)=2,TRIM(UPPER(VLOOKUP($A1748,GUS_tabl_1!$A$7:$B$22,2,FALSE))),IF(ISERROR(FIND("..",TRIM(VLOOKUP(IF(AND(LEN($A1748)=4,VALUE(RIGHT($A1748,2))&gt;60),$A1748&amp;"01 1",$A1748),IF(AND(LEN($A1748)=4,VALUE(RIGHT($A1748,2))&lt;60),GUS_tabl_2!$A$8:$B$464,GUS_tabl_21!$A$5:$B$4886),2,FALSE)))),TRIM(VLOOKUP(IF(AND(LEN($A1748)=4,VALUE(RIGHT($A1748,2))&gt;60),$A1748&amp;"01 1",$A1748),IF(AND(LEN($A1748)=4,VALUE(RIGHT($A1748,2))&lt;60),GUS_tabl_2!$A$8:$B$464,GUS_tabl_21!$A$5:$B$4886),2,FALSE)),LEFT(TRIM(VLOOKUP(IF(AND(LEN($A1748)=4,VALUE(RIGHT($A1748,2))&gt;60),$A1748&amp;"01 1",$A1748),IF(AND(LEN($A1748)=4,VALUE(RIGHT($A1748,2))&lt;60),GUS_tabl_2!$A$8:$B$464,GUS_tabl_21!$A$5:$B$4886),2,FALSE)),SUM(FIND("..",TRIM(VLOOKUP(IF(AND(LEN($A1748)=4,VALUE(RIGHT($A1748,2))&gt;60),$A1748&amp;"01 1",$A1748),IF(AND(LEN($A1748)=4,VALUE(RIGHT($A1748,2))&lt;60),GUS_tabl_2!$A$8:$B$464,GUS_tabl_21!$A$5:$B$4886),2,FALSE))),-1)))))</f>
        <v>gm. m.-w. Ropczyce</v>
      </c>
      <c r="D1748" s="141">
        <f>IF(OR($A1748="",ISERROR(VALUE(LEFT($A1748,6)))),"",IF(LEN($A1748)=2,SUMIF($A1749:$A$2965,$A1748&amp;"??",$D1749:$D$2965),IF(AND(LEN($A1748)=4,VALUE(RIGHT($A1748,2))&lt;=60),SUMIF($A1749:$A$2965,$A1748&amp;"????",$D1749:$D$2965),VLOOKUP(IF(LEN($A1748)=4,$A1748&amp;"01 1",$A1748),GUS_tabl_21!$A$5:$F$4886,6,FALSE))))</f>
        <v>27487</v>
      </c>
      <c r="E1748" s="29"/>
    </row>
    <row r="1749" spans="1:5" ht="12" customHeight="1">
      <c r="A1749" s="155" t="str">
        <f>"181504 3"</f>
        <v>181504 3</v>
      </c>
      <c r="B1749" s="153" t="s">
        <v>76</v>
      </c>
      <c r="C1749" s="156" t="str">
        <f>IF(OR($A1749="",ISERROR(VALUE(LEFT($A1749,6)))),"",IF(LEN($A1749)=2,"WOJ. ",IF(LEN($A1749)=4,IF(VALUE(RIGHT($A1749,2))&gt;60,"","Powiat "),IF(VALUE(RIGHT($A1749,1))=1,"m. ",IF(VALUE(RIGHT($A1749,1))=2,"gm. w. ",IF(VALUE(RIGHT($A1749,1))=8,"dz. ","gm. m.-w. ")))))&amp;IF(LEN($A1749)=2,TRIM(UPPER(VLOOKUP($A1749,GUS_tabl_1!$A$7:$B$22,2,FALSE))),IF(ISERROR(FIND("..",TRIM(VLOOKUP(IF(AND(LEN($A1749)=4,VALUE(RIGHT($A1749,2))&gt;60),$A1749&amp;"01 1",$A1749),IF(AND(LEN($A1749)=4,VALUE(RIGHT($A1749,2))&lt;60),GUS_tabl_2!$A$8:$B$464,GUS_tabl_21!$A$5:$B$4886),2,FALSE)))),TRIM(VLOOKUP(IF(AND(LEN($A1749)=4,VALUE(RIGHT($A1749,2))&gt;60),$A1749&amp;"01 1",$A1749),IF(AND(LEN($A1749)=4,VALUE(RIGHT($A1749,2))&lt;60),GUS_tabl_2!$A$8:$B$464,GUS_tabl_21!$A$5:$B$4886),2,FALSE)),LEFT(TRIM(VLOOKUP(IF(AND(LEN($A1749)=4,VALUE(RIGHT($A1749,2))&gt;60),$A1749&amp;"01 1",$A1749),IF(AND(LEN($A1749)=4,VALUE(RIGHT($A1749,2))&lt;60),GUS_tabl_2!$A$8:$B$464,GUS_tabl_21!$A$5:$B$4886),2,FALSE)),SUM(FIND("..",TRIM(VLOOKUP(IF(AND(LEN($A1749)=4,VALUE(RIGHT($A1749,2))&gt;60),$A1749&amp;"01 1",$A1749),IF(AND(LEN($A1749)=4,VALUE(RIGHT($A1749,2))&lt;60),GUS_tabl_2!$A$8:$B$464,GUS_tabl_21!$A$5:$B$4886),2,FALSE))),-1)))))</f>
        <v>gm. m.-w. Sędziszów Małopolski</v>
      </c>
      <c r="D1749" s="141">
        <f>IF(OR($A1749="",ISERROR(VALUE(LEFT($A1749,6)))),"",IF(LEN($A1749)=2,SUMIF($A1750:$A$2965,$A1749&amp;"??",$D1750:$D$2965),IF(AND(LEN($A1749)=4,VALUE(RIGHT($A1749,2))&lt;=60),SUMIF($A1750:$A$2965,$A1749&amp;"????",$D1750:$D$2965),VLOOKUP(IF(LEN($A1749)=4,$A1749&amp;"01 1",$A1749),GUS_tabl_21!$A$5:$F$4886,6,FALSE))))</f>
        <v>23784</v>
      </c>
      <c r="E1749" s="29"/>
    </row>
    <row r="1750" spans="1:5" ht="12" customHeight="1">
      <c r="A1750" s="155" t="str">
        <f>"181505 2"</f>
        <v>181505 2</v>
      </c>
      <c r="B1750" s="153" t="s">
        <v>76</v>
      </c>
      <c r="C1750" s="156" t="str">
        <f>IF(OR($A1750="",ISERROR(VALUE(LEFT($A1750,6)))),"",IF(LEN($A1750)=2,"WOJ. ",IF(LEN($A1750)=4,IF(VALUE(RIGHT($A1750,2))&gt;60,"","Powiat "),IF(VALUE(RIGHT($A1750,1))=1,"m. ",IF(VALUE(RIGHT($A1750,1))=2,"gm. w. ",IF(VALUE(RIGHT($A1750,1))=8,"dz. ","gm. m.-w. ")))))&amp;IF(LEN($A1750)=2,TRIM(UPPER(VLOOKUP($A1750,GUS_tabl_1!$A$7:$B$22,2,FALSE))),IF(ISERROR(FIND("..",TRIM(VLOOKUP(IF(AND(LEN($A1750)=4,VALUE(RIGHT($A1750,2))&gt;60),$A1750&amp;"01 1",$A1750),IF(AND(LEN($A1750)=4,VALUE(RIGHT($A1750,2))&lt;60),GUS_tabl_2!$A$8:$B$464,GUS_tabl_21!$A$5:$B$4886),2,FALSE)))),TRIM(VLOOKUP(IF(AND(LEN($A1750)=4,VALUE(RIGHT($A1750,2))&gt;60),$A1750&amp;"01 1",$A1750),IF(AND(LEN($A1750)=4,VALUE(RIGHT($A1750,2))&lt;60),GUS_tabl_2!$A$8:$B$464,GUS_tabl_21!$A$5:$B$4886),2,FALSE)),LEFT(TRIM(VLOOKUP(IF(AND(LEN($A1750)=4,VALUE(RIGHT($A1750,2))&gt;60),$A1750&amp;"01 1",$A1750),IF(AND(LEN($A1750)=4,VALUE(RIGHT($A1750,2))&lt;60),GUS_tabl_2!$A$8:$B$464,GUS_tabl_21!$A$5:$B$4886),2,FALSE)),SUM(FIND("..",TRIM(VLOOKUP(IF(AND(LEN($A1750)=4,VALUE(RIGHT($A1750,2))&gt;60),$A1750&amp;"01 1",$A1750),IF(AND(LEN($A1750)=4,VALUE(RIGHT($A1750,2))&lt;60),GUS_tabl_2!$A$8:$B$464,GUS_tabl_21!$A$5:$B$4886),2,FALSE))),-1)))))</f>
        <v>gm. w. Wielopole Skrzyńskie</v>
      </c>
      <c r="D1750" s="141">
        <f>IF(OR($A1750="",ISERROR(VALUE(LEFT($A1750,6)))),"",IF(LEN($A1750)=2,SUMIF($A1751:$A$2965,$A1750&amp;"??",$D1751:$D$2965),IF(AND(LEN($A1750)=4,VALUE(RIGHT($A1750,2))&lt;=60),SUMIF($A1751:$A$2965,$A1750&amp;"????",$D1751:$D$2965),VLOOKUP(IF(LEN($A1750)=4,$A1750&amp;"01 1",$A1750),GUS_tabl_21!$A$5:$F$4886,6,FALSE))))</f>
        <v>8151</v>
      </c>
      <c r="E1750" s="29"/>
    </row>
    <row r="1751" spans="1:5" ht="12" customHeight="1">
      <c r="A1751" s="152" t="str">
        <f>"1816"</f>
        <v>1816</v>
      </c>
      <c r="B1751" s="153" t="s">
        <v>76</v>
      </c>
      <c r="C1751" s="154" t="str">
        <f>IF(OR($A1751="",ISERROR(VALUE(LEFT($A1751,6)))),"",IF(LEN($A1751)=2,"WOJ. ",IF(LEN($A1751)=4,IF(VALUE(RIGHT($A1751,2))&gt;60,"","Powiat "),IF(VALUE(RIGHT($A1751,1))=1,"m. ",IF(VALUE(RIGHT($A1751,1))=2,"gm. w. ",IF(VALUE(RIGHT($A1751,1))=8,"dz. ","gm. m.-w. ")))))&amp;IF(LEN($A1751)=2,TRIM(UPPER(VLOOKUP($A1751,GUS_tabl_1!$A$7:$B$22,2,FALSE))),IF(ISERROR(FIND("..",TRIM(VLOOKUP(IF(AND(LEN($A1751)=4,VALUE(RIGHT($A1751,2))&gt;60),$A1751&amp;"01 1",$A1751),IF(AND(LEN($A1751)=4,VALUE(RIGHT($A1751,2))&lt;60),GUS_tabl_2!$A$8:$B$464,GUS_tabl_21!$A$5:$B$4886),2,FALSE)))),TRIM(VLOOKUP(IF(AND(LEN($A1751)=4,VALUE(RIGHT($A1751,2))&gt;60),$A1751&amp;"01 1",$A1751),IF(AND(LEN($A1751)=4,VALUE(RIGHT($A1751,2))&lt;60),GUS_tabl_2!$A$8:$B$464,GUS_tabl_21!$A$5:$B$4886),2,FALSE)),LEFT(TRIM(VLOOKUP(IF(AND(LEN($A1751)=4,VALUE(RIGHT($A1751,2))&gt;60),$A1751&amp;"01 1",$A1751),IF(AND(LEN($A1751)=4,VALUE(RIGHT($A1751,2))&lt;60),GUS_tabl_2!$A$8:$B$464,GUS_tabl_21!$A$5:$B$4886),2,FALSE)),SUM(FIND("..",TRIM(VLOOKUP(IF(AND(LEN($A1751)=4,VALUE(RIGHT($A1751,2))&gt;60),$A1751&amp;"01 1",$A1751),IF(AND(LEN($A1751)=4,VALUE(RIGHT($A1751,2))&lt;60),GUS_tabl_2!$A$8:$B$464,GUS_tabl_21!$A$5:$B$4886),2,FALSE))),-1)))))</f>
        <v>Powiat rzeszowski</v>
      </c>
      <c r="D1751" s="140">
        <f>IF(OR($A1751="",ISERROR(VALUE(LEFT($A1751,6)))),"",IF(LEN($A1751)=2,SUMIF($A1752:$A$2965,$A1751&amp;"??",$D1752:$D$2965),IF(AND(LEN($A1751)=4,VALUE(RIGHT($A1751,2))&lt;=60),SUMIF($A1752:$A$2965,$A1751&amp;"????",$D1752:$D$2965),VLOOKUP(IF(LEN($A1751)=4,$A1751&amp;"01 1",$A1751),GUS_tabl_21!$A$5:$F$4886,6,FALSE))))</f>
        <v>169438</v>
      </c>
      <c r="E1751" s="29"/>
    </row>
    <row r="1752" spans="1:5" ht="12" customHeight="1">
      <c r="A1752" s="155" t="str">
        <f>"181601 1"</f>
        <v>181601 1</v>
      </c>
      <c r="B1752" s="153" t="s">
        <v>76</v>
      </c>
      <c r="C1752" s="156" t="str">
        <f>IF(OR($A1752="",ISERROR(VALUE(LEFT($A1752,6)))),"",IF(LEN($A1752)=2,"WOJ. ",IF(LEN($A1752)=4,IF(VALUE(RIGHT($A1752,2))&gt;60,"","Powiat "),IF(VALUE(RIGHT($A1752,1))=1,"m. ",IF(VALUE(RIGHT($A1752,1))=2,"gm. w. ",IF(VALUE(RIGHT($A1752,1))=8,"dz. ","gm. m.-w. ")))))&amp;IF(LEN($A1752)=2,TRIM(UPPER(VLOOKUP($A1752,GUS_tabl_1!$A$7:$B$22,2,FALSE))),IF(ISERROR(FIND("..",TRIM(VLOOKUP(IF(AND(LEN($A1752)=4,VALUE(RIGHT($A1752,2))&gt;60),$A1752&amp;"01 1",$A1752),IF(AND(LEN($A1752)=4,VALUE(RIGHT($A1752,2))&lt;60),GUS_tabl_2!$A$8:$B$464,GUS_tabl_21!$A$5:$B$4886),2,FALSE)))),TRIM(VLOOKUP(IF(AND(LEN($A1752)=4,VALUE(RIGHT($A1752,2))&gt;60),$A1752&amp;"01 1",$A1752),IF(AND(LEN($A1752)=4,VALUE(RIGHT($A1752,2))&lt;60),GUS_tabl_2!$A$8:$B$464,GUS_tabl_21!$A$5:$B$4886),2,FALSE)),LEFT(TRIM(VLOOKUP(IF(AND(LEN($A1752)=4,VALUE(RIGHT($A1752,2))&gt;60),$A1752&amp;"01 1",$A1752),IF(AND(LEN($A1752)=4,VALUE(RIGHT($A1752,2))&lt;60),GUS_tabl_2!$A$8:$B$464,GUS_tabl_21!$A$5:$B$4886),2,FALSE)),SUM(FIND("..",TRIM(VLOOKUP(IF(AND(LEN($A1752)=4,VALUE(RIGHT($A1752,2))&gt;60),$A1752&amp;"01 1",$A1752),IF(AND(LEN($A1752)=4,VALUE(RIGHT($A1752,2))&lt;60),GUS_tabl_2!$A$8:$B$464,GUS_tabl_21!$A$5:$B$4886),2,FALSE))),-1)))))</f>
        <v>m. Dynów</v>
      </c>
      <c r="D1752" s="141">
        <f>IF(OR($A1752="",ISERROR(VALUE(LEFT($A1752,6)))),"",IF(LEN($A1752)=2,SUMIF($A1753:$A$2965,$A1752&amp;"??",$D1753:$D$2965),IF(AND(LEN($A1752)=4,VALUE(RIGHT($A1752,2))&lt;=60),SUMIF($A1753:$A$2965,$A1752&amp;"????",$D1753:$D$2965),VLOOKUP(IF(LEN($A1752)=4,$A1752&amp;"01 1",$A1752),GUS_tabl_21!$A$5:$F$4886,6,FALSE))))</f>
        <v>6120</v>
      </c>
      <c r="E1752" s="29"/>
    </row>
    <row r="1753" spans="1:5" ht="12" customHeight="1">
      <c r="A1753" s="155" t="str">
        <f>"181602 3"</f>
        <v>181602 3</v>
      </c>
      <c r="B1753" s="153" t="s">
        <v>76</v>
      </c>
      <c r="C1753" s="156" t="str">
        <f>IF(OR($A1753="",ISERROR(VALUE(LEFT($A1753,6)))),"",IF(LEN($A1753)=2,"WOJ. ",IF(LEN($A1753)=4,IF(VALUE(RIGHT($A1753,2))&gt;60,"","Powiat "),IF(VALUE(RIGHT($A1753,1))=1,"m. ",IF(VALUE(RIGHT($A1753,1))=2,"gm. w. ",IF(VALUE(RIGHT($A1753,1))=8,"dz. ","gm. m.-w. ")))))&amp;IF(LEN($A1753)=2,TRIM(UPPER(VLOOKUP($A1753,GUS_tabl_1!$A$7:$B$22,2,FALSE))),IF(ISERROR(FIND("..",TRIM(VLOOKUP(IF(AND(LEN($A1753)=4,VALUE(RIGHT($A1753,2))&gt;60),$A1753&amp;"01 1",$A1753),IF(AND(LEN($A1753)=4,VALUE(RIGHT($A1753,2))&lt;60),GUS_tabl_2!$A$8:$B$464,GUS_tabl_21!$A$5:$B$4886),2,FALSE)))),TRIM(VLOOKUP(IF(AND(LEN($A1753)=4,VALUE(RIGHT($A1753,2))&gt;60),$A1753&amp;"01 1",$A1753),IF(AND(LEN($A1753)=4,VALUE(RIGHT($A1753,2))&lt;60),GUS_tabl_2!$A$8:$B$464,GUS_tabl_21!$A$5:$B$4886),2,FALSE)),LEFT(TRIM(VLOOKUP(IF(AND(LEN($A1753)=4,VALUE(RIGHT($A1753,2))&gt;60),$A1753&amp;"01 1",$A1753),IF(AND(LEN($A1753)=4,VALUE(RIGHT($A1753,2))&lt;60),GUS_tabl_2!$A$8:$B$464,GUS_tabl_21!$A$5:$B$4886),2,FALSE)),SUM(FIND("..",TRIM(VLOOKUP(IF(AND(LEN($A1753)=4,VALUE(RIGHT($A1753,2))&gt;60),$A1753&amp;"01 1",$A1753),IF(AND(LEN($A1753)=4,VALUE(RIGHT($A1753,2))&lt;60),GUS_tabl_2!$A$8:$B$464,GUS_tabl_21!$A$5:$B$4886),2,FALSE))),-1)))))</f>
        <v>gm. m.-w. Błażowa</v>
      </c>
      <c r="D1753" s="141">
        <f>IF(OR($A1753="",ISERROR(VALUE(LEFT($A1753,6)))),"",IF(LEN($A1753)=2,SUMIF($A1754:$A$2965,$A1753&amp;"??",$D1754:$D$2965),IF(AND(LEN($A1753)=4,VALUE(RIGHT($A1753,2))&lt;=60),SUMIF($A1754:$A$2965,$A1753&amp;"????",$D1754:$D$2965),VLOOKUP(IF(LEN($A1753)=4,$A1753&amp;"01 1",$A1753),GUS_tabl_21!$A$5:$F$4886,6,FALSE))))</f>
        <v>10833</v>
      </c>
      <c r="E1753" s="29"/>
    </row>
    <row r="1754" spans="1:5" ht="12" customHeight="1">
      <c r="A1754" s="155" t="str">
        <f>"181603 3"</f>
        <v>181603 3</v>
      </c>
      <c r="B1754" s="153" t="s">
        <v>76</v>
      </c>
      <c r="C1754" s="156" t="str">
        <f>IF(OR($A1754="",ISERROR(VALUE(LEFT($A1754,6)))),"",IF(LEN($A1754)=2,"WOJ. ",IF(LEN($A1754)=4,IF(VALUE(RIGHT($A1754,2))&gt;60,"","Powiat "),IF(VALUE(RIGHT($A1754,1))=1,"m. ",IF(VALUE(RIGHT($A1754,1))=2,"gm. w. ",IF(VALUE(RIGHT($A1754,1))=8,"dz. ","gm. m.-w. ")))))&amp;IF(LEN($A1754)=2,TRIM(UPPER(VLOOKUP($A1754,GUS_tabl_1!$A$7:$B$22,2,FALSE))),IF(ISERROR(FIND("..",TRIM(VLOOKUP(IF(AND(LEN($A1754)=4,VALUE(RIGHT($A1754,2))&gt;60),$A1754&amp;"01 1",$A1754),IF(AND(LEN($A1754)=4,VALUE(RIGHT($A1754,2))&lt;60),GUS_tabl_2!$A$8:$B$464,GUS_tabl_21!$A$5:$B$4886),2,FALSE)))),TRIM(VLOOKUP(IF(AND(LEN($A1754)=4,VALUE(RIGHT($A1754,2))&gt;60),$A1754&amp;"01 1",$A1754),IF(AND(LEN($A1754)=4,VALUE(RIGHT($A1754,2))&lt;60),GUS_tabl_2!$A$8:$B$464,GUS_tabl_21!$A$5:$B$4886),2,FALSE)),LEFT(TRIM(VLOOKUP(IF(AND(LEN($A1754)=4,VALUE(RIGHT($A1754,2))&gt;60),$A1754&amp;"01 1",$A1754),IF(AND(LEN($A1754)=4,VALUE(RIGHT($A1754,2))&lt;60),GUS_tabl_2!$A$8:$B$464,GUS_tabl_21!$A$5:$B$4886),2,FALSE)),SUM(FIND("..",TRIM(VLOOKUP(IF(AND(LEN($A1754)=4,VALUE(RIGHT($A1754,2))&gt;60),$A1754&amp;"01 1",$A1754),IF(AND(LEN($A1754)=4,VALUE(RIGHT($A1754,2))&lt;60),GUS_tabl_2!$A$8:$B$464,GUS_tabl_21!$A$5:$B$4886),2,FALSE))),-1)))))</f>
        <v>gm. m.-w. Boguchwała</v>
      </c>
      <c r="D1754" s="141">
        <f>IF(OR($A1754="",ISERROR(VALUE(LEFT($A1754,6)))),"",IF(LEN($A1754)=2,SUMIF($A1755:$A$2965,$A1754&amp;"??",$D1755:$D$2965),IF(AND(LEN($A1754)=4,VALUE(RIGHT($A1754,2))&lt;=60),SUMIF($A1755:$A$2965,$A1754&amp;"????",$D1755:$D$2965),VLOOKUP(IF(LEN($A1754)=4,$A1754&amp;"01 1",$A1754),GUS_tabl_21!$A$5:$F$4886,6,FALSE))))</f>
        <v>20766</v>
      </c>
      <c r="E1754" s="29"/>
    </row>
    <row r="1755" spans="1:5" ht="12" customHeight="1">
      <c r="A1755" s="155" t="str">
        <f>"181604 2"</f>
        <v>181604 2</v>
      </c>
      <c r="B1755" s="153" t="s">
        <v>76</v>
      </c>
      <c r="C1755" s="156" t="str">
        <f>IF(OR($A1755="",ISERROR(VALUE(LEFT($A1755,6)))),"",IF(LEN($A1755)=2,"WOJ. ",IF(LEN($A1755)=4,IF(VALUE(RIGHT($A1755,2))&gt;60,"","Powiat "),IF(VALUE(RIGHT($A1755,1))=1,"m. ",IF(VALUE(RIGHT($A1755,1))=2,"gm. w. ",IF(VALUE(RIGHT($A1755,1))=8,"dz. ","gm. m.-w. ")))))&amp;IF(LEN($A1755)=2,TRIM(UPPER(VLOOKUP($A1755,GUS_tabl_1!$A$7:$B$22,2,FALSE))),IF(ISERROR(FIND("..",TRIM(VLOOKUP(IF(AND(LEN($A1755)=4,VALUE(RIGHT($A1755,2))&gt;60),$A1755&amp;"01 1",$A1755),IF(AND(LEN($A1755)=4,VALUE(RIGHT($A1755,2))&lt;60),GUS_tabl_2!$A$8:$B$464,GUS_tabl_21!$A$5:$B$4886),2,FALSE)))),TRIM(VLOOKUP(IF(AND(LEN($A1755)=4,VALUE(RIGHT($A1755,2))&gt;60),$A1755&amp;"01 1",$A1755),IF(AND(LEN($A1755)=4,VALUE(RIGHT($A1755,2))&lt;60),GUS_tabl_2!$A$8:$B$464,GUS_tabl_21!$A$5:$B$4886),2,FALSE)),LEFT(TRIM(VLOOKUP(IF(AND(LEN($A1755)=4,VALUE(RIGHT($A1755,2))&gt;60),$A1755&amp;"01 1",$A1755),IF(AND(LEN($A1755)=4,VALUE(RIGHT($A1755,2))&lt;60),GUS_tabl_2!$A$8:$B$464,GUS_tabl_21!$A$5:$B$4886),2,FALSE)),SUM(FIND("..",TRIM(VLOOKUP(IF(AND(LEN($A1755)=4,VALUE(RIGHT($A1755,2))&gt;60),$A1755&amp;"01 1",$A1755),IF(AND(LEN($A1755)=4,VALUE(RIGHT($A1755,2))&lt;60),GUS_tabl_2!$A$8:$B$464,GUS_tabl_21!$A$5:$B$4886),2,FALSE))),-1)))))</f>
        <v>gm. w. Chmielnik</v>
      </c>
      <c r="D1755" s="141">
        <f>IF(OR($A1755="",ISERROR(VALUE(LEFT($A1755,6)))),"",IF(LEN($A1755)=2,SUMIF($A1756:$A$2965,$A1755&amp;"??",$D1756:$D$2965),IF(AND(LEN($A1755)=4,VALUE(RIGHT($A1755,2))&lt;=60),SUMIF($A1756:$A$2965,$A1755&amp;"????",$D1756:$D$2965),VLOOKUP(IF(LEN($A1755)=4,$A1755&amp;"01 1",$A1755),GUS_tabl_21!$A$5:$F$4886,6,FALSE))))</f>
        <v>6945</v>
      </c>
      <c r="E1755" s="29"/>
    </row>
    <row r="1756" spans="1:5" ht="12" customHeight="1">
      <c r="A1756" s="155" t="str">
        <f>"181605 2"</f>
        <v>181605 2</v>
      </c>
      <c r="B1756" s="153" t="s">
        <v>76</v>
      </c>
      <c r="C1756" s="156" t="str">
        <f>IF(OR($A1756="",ISERROR(VALUE(LEFT($A1756,6)))),"",IF(LEN($A1756)=2,"WOJ. ",IF(LEN($A1756)=4,IF(VALUE(RIGHT($A1756,2))&gt;60,"","Powiat "),IF(VALUE(RIGHT($A1756,1))=1,"m. ",IF(VALUE(RIGHT($A1756,1))=2,"gm. w. ",IF(VALUE(RIGHT($A1756,1))=8,"dz. ","gm. m.-w. ")))))&amp;IF(LEN($A1756)=2,TRIM(UPPER(VLOOKUP($A1756,GUS_tabl_1!$A$7:$B$22,2,FALSE))),IF(ISERROR(FIND("..",TRIM(VLOOKUP(IF(AND(LEN($A1756)=4,VALUE(RIGHT($A1756,2))&gt;60),$A1756&amp;"01 1",$A1756),IF(AND(LEN($A1756)=4,VALUE(RIGHT($A1756,2))&lt;60),GUS_tabl_2!$A$8:$B$464,GUS_tabl_21!$A$5:$B$4886),2,FALSE)))),TRIM(VLOOKUP(IF(AND(LEN($A1756)=4,VALUE(RIGHT($A1756,2))&gt;60),$A1756&amp;"01 1",$A1756),IF(AND(LEN($A1756)=4,VALUE(RIGHT($A1756,2))&lt;60),GUS_tabl_2!$A$8:$B$464,GUS_tabl_21!$A$5:$B$4886),2,FALSE)),LEFT(TRIM(VLOOKUP(IF(AND(LEN($A1756)=4,VALUE(RIGHT($A1756,2))&gt;60),$A1756&amp;"01 1",$A1756),IF(AND(LEN($A1756)=4,VALUE(RIGHT($A1756,2))&lt;60),GUS_tabl_2!$A$8:$B$464,GUS_tabl_21!$A$5:$B$4886),2,FALSE)),SUM(FIND("..",TRIM(VLOOKUP(IF(AND(LEN($A1756)=4,VALUE(RIGHT($A1756,2))&gt;60),$A1756&amp;"01 1",$A1756),IF(AND(LEN($A1756)=4,VALUE(RIGHT($A1756,2))&lt;60),GUS_tabl_2!$A$8:$B$464,GUS_tabl_21!$A$5:$B$4886),2,FALSE))),-1)))))</f>
        <v>gm. w. Dynów</v>
      </c>
      <c r="D1756" s="141">
        <f>IF(OR($A1756="",ISERROR(VALUE(LEFT($A1756,6)))),"",IF(LEN($A1756)=2,SUMIF($A1757:$A$2965,$A1756&amp;"??",$D1757:$D$2965),IF(AND(LEN($A1756)=4,VALUE(RIGHT($A1756,2))&lt;=60),SUMIF($A1757:$A$2965,$A1756&amp;"????",$D1757:$D$2965),VLOOKUP(IF(LEN($A1756)=4,$A1756&amp;"01 1",$A1756),GUS_tabl_21!$A$5:$F$4886,6,FALSE))))</f>
        <v>6893</v>
      </c>
      <c r="E1756" s="29"/>
    </row>
    <row r="1757" spans="1:5" ht="12" customHeight="1">
      <c r="A1757" s="155" t="str">
        <f>"181606 3"</f>
        <v>181606 3</v>
      </c>
      <c r="B1757" s="153" t="s">
        <v>76</v>
      </c>
      <c r="C1757" s="156" t="str">
        <f>IF(OR($A1757="",ISERROR(VALUE(LEFT($A1757,6)))),"",IF(LEN($A1757)=2,"WOJ. ",IF(LEN($A1757)=4,IF(VALUE(RIGHT($A1757,2))&gt;60,"","Powiat "),IF(VALUE(RIGHT($A1757,1))=1,"m. ",IF(VALUE(RIGHT($A1757,1))=2,"gm. w. ",IF(VALUE(RIGHT($A1757,1))=8,"dz. ","gm. m.-w. ")))))&amp;IF(LEN($A1757)=2,TRIM(UPPER(VLOOKUP($A1757,GUS_tabl_1!$A$7:$B$22,2,FALSE))),IF(ISERROR(FIND("..",TRIM(VLOOKUP(IF(AND(LEN($A1757)=4,VALUE(RIGHT($A1757,2))&gt;60),$A1757&amp;"01 1",$A1757),IF(AND(LEN($A1757)=4,VALUE(RIGHT($A1757,2))&lt;60),GUS_tabl_2!$A$8:$B$464,GUS_tabl_21!$A$5:$B$4886),2,FALSE)))),TRIM(VLOOKUP(IF(AND(LEN($A1757)=4,VALUE(RIGHT($A1757,2))&gt;60),$A1757&amp;"01 1",$A1757),IF(AND(LEN($A1757)=4,VALUE(RIGHT($A1757,2))&lt;60),GUS_tabl_2!$A$8:$B$464,GUS_tabl_21!$A$5:$B$4886),2,FALSE)),LEFT(TRIM(VLOOKUP(IF(AND(LEN($A1757)=4,VALUE(RIGHT($A1757,2))&gt;60),$A1757&amp;"01 1",$A1757),IF(AND(LEN($A1757)=4,VALUE(RIGHT($A1757,2))&lt;60),GUS_tabl_2!$A$8:$B$464,GUS_tabl_21!$A$5:$B$4886),2,FALSE)),SUM(FIND("..",TRIM(VLOOKUP(IF(AND(LEN($A1757)=4,VALUE(RIGHT($A1757,2))&gt;60),$A1757&amp;"01 1",$A1757),IF(AND(LEN($A1757)=4,VALUE(RIGHT($A1757,2))&lt;60),GUS_tabl_2!$A$8:$B$464,GUS_tabl_21!$A$5:$B$4886),2,FALSE))),-1)))))</f>
        <v>gm. m.-w. Głogów Małopolski</v>
      </c>
      <c r="D1757" s="141">
        <f>IF(OR($A1757="",ISERROR(VALUE(LEFT($A1757,6)))),"",IF(LEN($A1757)=2,SUMIF($A1758:$A$2965,$A1757&amp;"??",$D1758:$D$2965),IF(AND(LEN($A1757)=4,VALUE(RIGHT($A1757,2))&lt;=60),SUMIF($A1758:$A$2965,$A1757&amp;"????",$D1758:$D$2965),VLOOKUP(IF(LEN($A1757)=4,$A1757&amp;"01 1",$A1757),GUS_tabl_21!$A$5:$F$4886,6,FALSE))))</f>
        <v>19658</v>
      </c>
      <c r="E1757" s="29"/>
    </row>
    <row r="1758" spans="1:5" ht="12" customHeight="1">
      <c r="A1758" s="155" t="str">
        <f>"181607 2"</f>
        <v>181607 2</v>
      </c>
      <c r="B1758" s="153" t="s">
        <v>76</v>
      </c>
      <c r="C1758" s="156" t="str">
        <f>IF(OR($A1758="",ISERROR(VALUE(LEFT($A1758,6)))),"",IF(LEN($A1758)=2,"WOJ. ",IF(LEN($A1758)=4,IF(VALUE(RIGHT($A1758,2))&gt;60,"","Powiat "),IF(VALUE(RIGHT($A1758,1))=1,"m. ",IF(VALUE(RIGHT($A1758,1))=2,"gm. w. ",IF(VALUE(RIGHT($A1758,1))=8,"dz. ","gm. m.-w. ")))))&amp;IF(LEN($A1758)=2,TRIM(UPPER(VLOOKUP($A1758,GUS_tabl_1!$A$7:$B$22,2,FALSE))),IF(ISERROR(FIND("..",TRIM(VLOOKUP(IF(AND(LEN($A1758)=4,VALUE(RIGHT($A1758,2))&gt;60),$A1758&amp;"01 1",$A1758),IF(AND(LEN($A1758)=4,VALUE(RIGHT($A1758,2))&lt;60),GUS_tabl_2!$A$8:$B$464,GUS_tabl_21!$A$5:$B$4886),2,FALSE)))),TRIM(VLOOKUP(IF(AND(LEN($A1758)=4,VALUE(RIGHT($A1758,2))&gt;60),$A1758&amp;"01 1",$A1758),IF(AND(LEN($A1758)=4,VALUE(RIGHT($A1758,2))&lt;60),GUS_tabl_2!$A$8:$B$464,GUS_tabl_21!$A$5:$B$4886),2,FALSE)),LEFT(TRIM(VLOOKUP(IF(AND(LEN($A1758)=4,VALUE(RIGHT($A1758,2))&gt;60),$A1758&amp;"01 1",$A1758),IF(AND(LEN($A1758)=4,VALUE(RIGHT($A1758,2))&lt;60),GUS_tabl_2!$A$8:$B$464,GUS_tabl_21!$A$5:$B$4886),2,FALSE)),SUM(FIND("..",TRIM(VLOOKUP(IF(AND(LEN($A1758)=4,VALUE(RIGHT($A1758,2))&gt;60),$A1758&amp;"01 1",$A1758),IF(AND(LEN($A1758)=4,VALUE(RIGHT($A1758,2))&lt;60),GUS_tabl_2!$A$8:$B$464,GUS_tabl_21!$A$5:$B$4886),2,FALSE))),-1)))))</f>
        <v>gm. w. Hyżne</v>
      </c>
      <c r="D1758" s="141">
        <f>IF(OR($A1758="",ISERROR(VALUE(LEFT($A1758,6)))),"",IF(LEN($A1758)=2,SUMIF($A1759:$A$2965,$A1758&amp;"??",$D1759:$D$2965),IF(AND(LEN($A1758)=4,VALUE(RIGHT($A1758,2))&lt;=60),SUMIF($A1759:$A$2965,$A1758&amp;"????",$D1759:$D$2965),VLOOKUP(IF(LEN($A1758)=4,$A1758&amp;"01 1",$A1758),GUS_tabl_21!$A$5:$F$4886,6,FALSE))))</f>
        <v>7062</v>
      </c>
      <c r="E1758" s="29"/>
    </row>
    <row r="1759" spans="1:5" ht="12" customHeight="1">
      <c r="A1759" s="155" t="str">
        <f>"181608 2"</f>
        <v>181608 2</v>
      </c>
      <c r="B1759" s="153" t="s">
        <v>76</v>
      </c>
      <c r="C1759" s="156" t="str">
        <f>IF(OR($A1759="",ISERROR(VALUE(LEFT($A1759,6)))),"",IF(LEN($A1759)=2,"WOJ. ",IF(LEN($A1759)=4,IF(VALUE(RIGHT($A1759,2))&gt;60,"","Powiat "),IF(VALUE(RIGHT($A1759,1))=1,"m. ",IF(VALUE(RIGHT($A1759,1))=2,"gm. w. ",IF(VALUE(RIGHT($A1759,1))=8,"dz. ","gm. m.-w. ")))))&amp;IF(LEN($A1759)=2,TRIM(UPPER(VLOOKUP($A1759,GUS_tabl_1!$A$7:$B$22,2,FALSE))),IF(ISERROR(FIND("..",TRIM(VLOOKUP(IF(AND(LEN($A1759)=4,VALUE(RIGHT($A1759,2))&gt;60),$A1759&amp;"01 1",$A1759),IF(AND(LEN($A1759)=4,VALUE(RIGHT($A1759,2))&lt;60),GUS_tabl_2!$A$8:$B$464,GUS_tabl_21!$A$5:$B$4886),2,FALSE)))),TRIM(VLOOKUP(IF(AND(LEN($A1759)=4,VALUE(RIGHT($A1759,2))&gt;60),$A1759&amp;"01 1",$A1759),IF(AND(LEN($A1759)=4,VALUE(RIGHT($A1759,2))&lt;60),GUS_tabl_2!$A$8:$B$464,GUS_tabl_21!$A$5:$B$4886),2,FALSE)),LEFT(TRIM(VLOOKUP(IF(AND(LEN($A1759)=4,VALUE(RIGHT($A1759,2))&gt;60),$A1759&amp;"01 1",$A1759),IF(AND(LEN($A1759)=4,VALUE(RIGHT($A1759,2))&lt;60),GUS_tabl_2!$A$8:$B$464,GUS_tabl_21!$A$5:$B$4886),2,FALSE)),SUM(FIND("..",TRIM(VLOOKUP(IF(AND(LEN($A1759)=4,VALUE(RIGHT($A1759,2))&gt;60),$A1759&amp;"01 1",$A1759),IF(AND(LEN($A1759)=4,VALUE(RIGHT($A1759,2))&lt;60),GUS_tabl_2!$A$8:$B$464,GUS_tabl_21!$A$5:$B$4886),2,FALSE))),-1)))))</f>
        <v>gm. w. Kamień</v>
      </c>
      <c r="D1759" s="141">
        <f>IF(OR($A1759="",ISERROR(VALUE(LEFT($A1759,6)))),"",IF(LEN($A1759)=2,SUMIF($A1760:$A$2965,$A1759&amp;"??",$D1760:$D$2965),IF(AND(LEN($A1759)=4,VALUE(RIGHT($A1759,2))&lt;=60),SUMIF($A1760:$A$2965,$A1759&amp;"????",$D1760:$D$2965),VLOOKUP(IF(LEN($A1759)=4,$A1759&amp;"01 1",$A1759),GUS_tabl_21!$A$5:$F$4886,6,FALSE))))</f>
        <v>6860</v>
      </c>
      <c r="E1759" s="29"/>
    </row>
    <row r="1760" spans="1:5" ht="12" customHeight="1">
      <c r="A1760" s="155" t="str">
        <f>"181609 2"</f>
        <v>181609 2</v>
      </c>
      <c r="B1760" s="153" t="s">
        <v>76</v>
      </c>
      <c r="C1760" s="156" t="str">
        <f>IF(OR($A1760="",ISERROR(VALUE(LEFT($A1760,6)))),"",IF(LEN($A1760)=2,"WOJ. ",IF(LEN($A1760)=4,IF(VALUE(RIGHT($A1760,2))&gt;60,"","Powiat "),IF(VALUE(RIGHT($A1760,1))=1,"m. ",IF(VALUE(RIGHT($A1760,1))=2,"gm. w. ",IF(VALUE(RIGHT($A1760,1))=8,"dz. ","gm. m.-w. ")))))&amp;IF(LEN($A1760)=2,TRIM(UPPER(VLOOKUP($A1760,GUS_tabl_1!$A$7:$B$22,2,FALSE))),IF(ISERROR(FIND("..",TRIM(VLOOKUP(IF(AND(LEN($A1760)=4,VALUE(RIGHT($A1760,2))&gt;60),$A1760&amp;"01 1",$A1760),IF(AND(LEN($A1760)=4,VALUE(RIGHT($A1760,2))&lt;60),GUS_tabl_2!$A$8:$B$464,GUS_tabl_21!$A$5:$B$4886),2,FALSE)))),TRIM(VLOOKUP(IF(AND(LEN($A1760)=4,VALUE(RIGHT($A1760,2))&gt;60),$A1760&amp;"01 1",$A1760),IF(AND(LEN($A1760)=4,VALUE(RIGHT($A1760,2))&lt;60),GUS_tabl_2!$A$8:$B$464,GUS_tabl_21!$A$5:$B$4886),2,FALSE)),LEFT(TRIM(VLOOKUP(IF(AND(LEN($A1760)=4,VALUE(RIGHT($A1760,2))&gt;60),$A1760&amp;"01 1",$A1760),IF(AND(LEN($A1760)=4,VALUE(RIGHT($A1760,2))&lt;60),GUS_tabl_2!$A$8:$B$464,GUS_tabl_21!$A$5:$B$4886),2,FALSE)),SUM(FIND("..",TRIM(VLOOKUP(IF(AND(LEN($A1760)=4,VALUE(RIGHT($A1760,2))&gt;60),$A1760&amp;"01 1",$A1760),IF(AND(LEN($A1760)=4,VALUE(RIGHT($A1760,2))&lt;60),GUS_tabl_2!$A$8:$B$464,GUS_tabl_21!$A$5:$B$4886),2,FALSE))),-1)))))</f>
        <v>gm. w. Krasne</v>
      </c>
      <c r="D1760" s="141">
        <f>IF(OR($A1760="",ISERROR(VALUE(LEFT($A1760,6)))),"",IF(LEN($A1760)=2,SUMIF($A1761:$A$2965,$A1760&amp;"??",$D1761:$D$2965),IF(AND(LEN($A1760)=4,VALUE(RIGHT($A1760,2))&lt;=60),SUMIF($A1761:$A$2965,$A1760&amp;"????",$D1761:$D$2965),VLOOKUP(IF(LEN($A1760)=4,$A1760&amp;"01 1",$A1760),GUS_tabl_21!$A$5:$F$4886,6,FALSE))))</f>
        <v>11558</v>
      </c>
      <c r="E1760" s="29"/>
    </row>
    <row r="1761" spans="1:5" ht="12" customHeight="1">
      <c r="A1761" s="155" t="str">
        <f>"181610 2"</f>
        <v>181610 2</v>
      </c>
      <c r="B1761" s="153" t="s">
        <v>76</v>
      </c>
      <c r="C1761" s="156" t="str">
        <f>IF(OR($A1761="",ISERROR(VALUE(LEFT($A1761,6)))),"",IF(LEN($A1761)=2,"WOJ. ",IF(LEN($A1761)=4,IF(VALUE(RIGHT($A1761,2))&gt;60,"","Powiat "),IF(VALUE(RIGHT($A1761,1))=1,"m. ",IF(VALUE(RIGHT($A1761,1))=2,"gm. w. ",IF(VALUE(RIGHT($A1761,1))=8,"dz. ","gm. m.-w. ")))))&amp;IF(LEN($A1761)=2,TRIM(UPPER(VLOOKUP($A1761,GUS_tabl_1!$A$7:$B$22,2,FALSE))),IF(ISERROR(FIND("..",TRIM(VLOOKUP(IF(AND(LEN($A1761)=4,VALUE(RIGHT($A1761,2))&gt;60),$A1761&amp;"01 1",$A1761),IF(AND(LEN($A1761)=4,VALUE(RIGHT($A1761,2))&lt;60),GUS_tabl_2!$A$8:$B$464,GUS_tabl_21!$A$5:$B$4886),2,FALSE)))),TRIM(VLOOKUP(IF(AND(LEN($A1761)=4,VALUE(RIGHT($A1761,2))&gt;60),$A1761&amp;"01 1",$A1761),IF(AND(LEN($A1761)=4,VALUE(RIGHT($A1761,2))&lt;60),GUS_tabl_2!$A$8:$B$464,GUS_tabl_21!$A$5:$B$4886),2,FALSE)),LEFT(TRIM(VLOOKUP(IF(AND(LEN($A1761)=4,VALUE(RIGHT($A1761,2))&gt;60),$A1761&amp;"01 1",$A1761),IF(AND(LEN($A1761)=4,VALUE(RIGHT($A1761,2))&lt;60),GUS_tabl_2!$A$8:$B$464,GUS_tabl_21!$A$5:$B$4886),2,FALSE)),SUM(FIND("..",TRIM(VLOOKUP(IF(AND(LEN($A1761)=4,VALUE(RIGHT($A1761,2))&gt;60),$A1761&amp;"01 1",$A1761),IF(AND(LEN($A1761)=4,VALUE(RIGHT($A1761,2))&lt;60),GUS_tabl_2!$A$8:$B$464,GUS_tabl_21!$A$5:$B$4886),2,FALSE))),-1)))))</f>
        <v>gm. w. Lubenia</v>
      </c>
      <c r="D1761" s="141">
        <f>IF(OR($A1761="",ISERROR(VALUE(LEFT($A1761,6)))),"",IF(LEN($A1761)=2,SUMIF($A1762:$A$2965,$A1761&amp;"??",$D1762:$D$2965),IF(AND(LEN($A1761)=4,VALUE(RIGHT($A1761,2))&lt;=60),SUMIF($A1762:$A$2965,$A1761&amp;"????",$D1762:$D$2965),VLOOKUP(IF(LEN($A1761)=4,$A1761&amp;"01 1",$A1761),GUS_tabl_21!$A$5:$F$4886,6,FALSE))))</f>
        <v>6439</v>
      </c>
      <c r="E1761" s="29"/>
    </row>
    <row r="1762" spans="1:5" ht="12" customHeight="1">
      <c r="A1762" s="155" t="str">
        <f>"181611 3"</f>
        <v>181611 3</v>
      </c>
      <c r="B1762" s="153" t="s">
        <v>76</v>
      </c>
      <c r="C1762" s="156" t="str">
        <f>IF(OR($A1762="",ISERROR(VALUE(LEFT($A1762,6)))),"",IF(LEN($A1762)=2,"WOJ. ",IF(LEN($A1762)=4,IF(VALUE(RIGHT($A1762,2))&gt;60,"","Powiat "),IF(VALUE(RIGHT($A1762,1))=1,"m. ",IF(VALUE(RIGHT($A1762,1))=2,"gm. w. ",IF(VALUE(RIGHT($A1762,1))=8,"dz. ","gm. m.-w. ")))))&amp;IF(LEN($A1762)=2,TRIM(UPPER(VLOOKUP($A1762,GUS_tabl_1!$A$7:$B$22,2,FALSE))),IF(ISERROR(FIND("..",TRIM(VLOOKUP(IF(AND(LEN($A1762)=4,VALUE(RIGHT($A1762,2))&gt;60),$A1762&amp;"01 1",$A1762),IF(AND(LEN($A1762)=4,VALUE(RIGHT($A1762,2))&lt;60),GUS_tabl_2!$A$8:$B$464,GUS_tabl_21!$A$5:$B$4886),2,FALSE)))),TRIM(VLOOKUP(IF(AND(LEN($A1762)=4,VALUE(RIGHT($A1762,2))&gt;60),$A1762&amp;"01 1",$A1762),IF(AND(LEN($A1762)=4,VALUE(RIGHT($A1762,2))&lt;60),GUS_tabl_2!$A$8:$B$464,GUS_tabl_21!$A$5:$B$4886),2,FALSE)),LEFT(TRIM(VLOOKUP(IF(AND(LEN($A1762)=4,VALUE(RIGHT($A1762,2))&gt;60),$A1762&amp;"01 1",$A1762),IF(AND(LEN($A1762)=4,VALUE(RIGHT($A1762,2))&lt;60),GUS_tabl_2!$A$8:$B$464,GUS_tabl_21!$A$5:$B$4886),2,FALSE)),SUM(FIND("..",TRIM(VLOOKUP(IF(AND(LEN($A1762)=4,VALUE(RIGHT($A1762,2))&gt;60),$A1762&amp;"01 1",$A1762),IF(AND(LEN($A1762)=4,VALUE(RIGHT($A1762,2))&lt;60),GUS_tabl_2!$A$8:$B$464,GUS_tabl_21!$A$5:$B$4886),2,FALSE))),-1)))))</f>
        <v>gm. m.-w. Sokołów Małopolski</v>
      </c>
      <c r="D1762" s="141">
        <f>IF(OR($A1762="",ISERROR(VALUE(LEFT($A1762,6)))),"",IF(LEN($A1762)=2,SUMIF($A1763:$A$2965,$A1762&amp;"??",$D1763:$D$2965),IF(AND(LEN($A1762)=4,VALUE(RIGHT($A1762,2))&lt;=60),SUMIF($A1763:$A$2965,$A1762&amp;"????",$D1763:$D$2965),VLOOKUP(IF(LEN($A1762)=4,$A1762&amp;"01 1",$A1762),GUS_tabl_21!$A$5:$F$4886,6,FALSE))))</f>
        <v>17244</v>
      </c>
      <c r="E1762" s="29"/>
    </row>
    <row r="1763" spans="1:5" ht="12" customHeight="1">
      <c r="A1763" s="155" t="str">
        <f>"181612 2"</f>
        <v>181612 2</v>
      </c>
      <c r="B1763" s="153" t="s">
        <v>76</v>
      </c>
      <c r="C1763" s="156" t="str">
        <f>IF(OR($A1763="",ISERROR(VALUE(LEFT($A1763,6)))),"",IF(LEN($A1763)=2,"WOJ. ",IF(LEN($A1763)=4,IF(VALUE(RIGHT($A1763,2))&gt;60,"","Powiat "),IF(VALUE(RIGHT($A1763,1))=1,"m. ",IF(VALUE(RIGHT($A1763,1))=2,"gm. w. ",IF(VALUE(RIGHT($A1763,1))=8,"dz. ","gm. m.-w. ")))))&amp;IF(LEN($A1763)=2,TRIM(UPPER(VLOOKUP($A1763,GUS_tabl_1!$A$7:$B$22,2,FALSE))),IF(ISERROR(FIND("..",TRIM(VLOOKUP(IF(AND(LEN($A1763)=4,VALUE(RIGHT($A1763,2))&gt;60),$A1763&amp;"01 1",$A1763),IF(AND(LEN($A1763)=4,VALUE(RIGHT($A1763,2))&lt;60),GUS_tabl_2!$A$8:$B$464,GUS_tabl_21!$A$5:$B$4886),2,FALSE)))),TRIM(VLOOKUP(IF(AND(LEN($A1763)=4,VALUE(RIGHT($A1763,2))&gt;60),$A1763&amp;"01 1",$A1763),IF(AND(LEN($A1763)=4,VALUE(RIGHT($A1763,2))&lt;60),GUS_tabl_2!$A$8:$B$464,GUS_tabl_21!$A$5:$B$4886),2,FALSE)),LEFT(TRIM(VLOOKUP(IF(AND(LEN($A1763)=4,VALUE(RIGHT($A1763,2))&gt;60),$A1763&amp;"01 1",$A1763),IF(AND(LEN($A1763)=4,VALUE(RIGHT($A1763,2))&lt;60),GUS_tabl_2!$A$8:$B$464,GUS_tabl_21!$A$5:$B$4886),2,FALSE)),SUM(FIND("..",TRIM(VLOOKUP(IF(AND(LEN($A1763)=4,VALUE(RIGHT($A1763,2))&gt;60),$A1763&amp;"01 1",$A1763),IF(AND(LEN($A1763)=4,VALUE(RIGHT($A1763,2))&lt;60),GUS_tabl_2!$A$8:$B$464,GUS_tabl_21!$A$5:$B$4886),2,FALSE))),-1)))))</f>
        <v>gm. w. Świlcza</v>
      </c>
      <c r="D1763" s="141">
        <f>IF(OR($A1763="",ISERROR(VALUE(LEFT($A1763,6)))),"",IF(LEN($A1763)=2,SUMIF($A1764:$A$2965,$A1763&amp;"??",$D1764:$D$2965),IF(AND(LEN($A1763)=4,VALUE(RIGHT($A1763,2))&lt;=60),SUMIF($A1764:$A$2965,$A1763&amp;"????",$D1764:$D$2965),VLOOKUP(IF(LEN($A1763)=4,$A1763&amp;"01 1",$A1763),GUS_tabl_21!$A$5:$F$4886,6,FALSE))))</f>
        <v>16265</v>
      </c>
      <c r="E1763" s="29"/>
    </row>
    <row r="1764" spans="1:5" ht="12" customHeight="1">
      <c r="A1764" s="155" t="str">
        <f>"181613 2"</f>
        <v>181613 2</v>
      </c>
      <c r="B1764" s="153" t="s">
        <v>76</v>
      </c>
      <c r="C1764" s="156" t="str">
        <f>IF(OR($A1764="",ISERROR(VALUE(LEFT($A1764,6)))),"",IF(LEN($A1764)=2,"WOJ. ",IF(LEN($A1764)=4,IF(VALUE(RIGHT($A1764,2))&gt;60,"","Powiat "),IF(VALUE(RIGHT($A1764,1))=1,"m. ",IF(VALUE(RIGHT($A1764,1))=2,"gm. w. ",IF(VALUE(RIGHT($A1764,1))=8,"dz. ","gm. m.-w. ")))))&amp;IF(LEN($A1764)=2,TRIM(UPPER(VLOOKUP($A1764,GUS_tabl_1!$A$7:$B$22,2,FALSE))),IF(ISERROR(FIND("..",TRIM(VLOOKUP(IF(AND(LEN($A1764)=4,VALUE(RIGHT($A1764,2))&gt;60),$A1764&amp;"01 1",$A1764),IF(AND(LEN($A1764)=4,VALUE(RIGHT($A1764,2))&lt;60),GUS_tabl_2!$A$8:$B$464,GUS_tabl_21!$A$5:$B$4886),2,FALSE)))),TRIM(VLOOKUP(IF(AND(LEN($A1764)=4,VALUE(RIGHT($A1764,2))&gt;60),$A1764&amp;"01 1",$A1764),IF(AND(LEN($A1764)=4,VALUE(RIGHT($A1764,2))&lt;60),GUS_tabl_2!$A$8:$B$464,GUS_tabl_21!$A$5:$B$4886),2,FALSE)),LEFT(TRIM(VLOOKUP(IF(AND(LEN($A1764)=4,VALUE(RIGHT($A1764,2))&gt;60),$A1764&amp;"01 1",$A1764),IF(AND(LEN($A1764)=4,VALUE(RIGHT($A1764,2))&lt;60),GUS_tabl_2!$A$8:$B$464,GUS_tabl_21!$A$5:$B$4886),2,FALSE)),SUM(FIND("..",TRIM(VLOOKUP(IF(AND(LEN($A1764)=4,VALUE(RIGHT($A1764,2))&gt;60),$A1764&amp;"01 1",$A1764),IF(AND(LEN($A1764)=4,VALUE(RIGHT($A1764,2))&lt;60),GUS_tabl_2!$A$8:$B$464,GUS_tabl_21!$A$5:$B$4886),2,FALSE))),-1)))))</f>
        <v>gm. w. Trzebownisko</v>
      </c>
      <c r="D1764" s="141">
        <f>IF(OR($A1764="",ISERROR(VALUE(LEFT($A1764,6)))),"",IF(LEN($A1764)=2,SUMIF($A1765:$A$2965,$A1764&amp;"??",$D1765:$D$2965),IF(AND(LEN($A1764)=4,VALUE(RIGHT($A1764,2))&lt;=60),SUMIF($A1765:$A$2965,$A1764&amp;"????",$D1765:$D$2965),VLOOKUP(IF(LEN($A1764)=4,$A1764&amp;"01 1",$A1764),GUS_tabl_21!$A$5:$F$4886,6,FALSE))))</f>
        <v>22296</v>
      </c>
      <c r="E1764" s="29"/>
    </row>
    <row r="1765" spans="1:5" ht="12" customHeight="1">
      <c r="A1765" s="155" t="str">
        <f>"181614 3"</f>
        <v>181614 3</v>
      </c>
      <c r="B1765" s="153" t="s">
        <v>76</v>
      </c>
      <c r="C1765" s="156" t="str">
        <f>IF(OR($A1765="",ISERROR(VALUE(LEFT($A1765,6)))),"",IF(LEN($A1765)=2,"WOJ. ",IF(LEN($A1765)=4,IF(VALUE(RIGHT($A1765,2))&gt;60,"","Powiat "),IF(VALUE(RIGHT($A1765,1))=1,"m. ",IF(VALUE(RIGHT($A1765,1))=2,"gm. w. ",IF(VALUE(RIGHT($A1765,1))=8,"dz. ","gm. m.-w. ")))))&amp;IF(LEN($A1765)=2,TRIM(UPPER(VLOOKUP($A1765,GUS_tabl_1!$A$7:$B$22,2,FALSE))),IF(ISERROR(FIND("..",TRIM(VLOOKUP(IF(AND(LEN($A1765)=4,VALUE(RIGHT($A1765,2))&gt;60),$A1765&amp;"01 1",$A1765),IF(AND(LEN($A1765)=4,VALUE(RIGHT($A1765,2))&lt;60),GUS_tabl_2!$A$8:$B$464,GUS_tabl_21!$A$5:$B$4886),2,FALSE)))),TRIM(VLOOKUP(IF(AND(LEN($A1765)=4,VALUE(RIGHT($A1765,2))&gt;60),$A1765&amp;"01 1",$A1765),IF(AND(LEN($A1765)=4,VALUE(RIGHT($A1765,2))&lt;60),GUS_tabl_2!$A$8:$B$464,GUS_tabl_21!$A$5:$B$4886),2,FALSE)),LEFT(TRIM(VLOOKUP(IF(AND(LEN($A1765)=4,VALUE(RIGHT($A1765,2))&gt;60),$A1765&amp;"01 1",$A1765),IF(AND(LEN($A1765)=4,VALUE(RIGHT($A1765,2))&lt;60),GUS_tabl_2!$A$8:$B$464,GUS_tabl_21!$A$5:$B$4886),2,FALSE)),SUM(FIND("..",TRIM(VLOOKUP(IF(AND(LEN($A1765)=4,VALUE(RIGHT($A1765,2))&gt;60),$A1765&amp;"01 1",$A1765),IF(AND(LEN($A1765)=4,VALUE(RIGHT($A1765,2))&lt;60),GUS_tabl_2!$A$8:$B$464,GUS_tabl_21!$A$5:$B$4886),2,FALSE))),-1)))))</f>
        <v>gm. m.-w. Tyczyn</v>
      </c>
      <c r="D1765" s="141">
        <f>IF(OR($A1765="",ISERROR(VALUE(LEFT($A1765,6)))),"",IF(LEN($A1765)=2,SUMIF($A1766:$A$2965,$A1765&amp;"??",$D1766:$D$2965),IF(AND(LEN($A1765)=4,VALUE(RIGHT($A1765,2))&lt;=60),SUMIF($A1766:$A$2965,$A1765&amp;"????",$D1766:$D$2965),VLOOKUP(IF(LEN($A1765)=4,$A1765&amp;"01 1",$A1765),GUS_tabl_21!$A$5:$F$4886,6,FALSE))))</f>
        <v>10499</v>
      </c>
      <c r="E1765" s="29"/>
    </row>
    <row r="1766" spans="1:5" ht="12" customHeight="1">
      <c r="A1766" s="152" t="str">
        <f>"1817"</f>
        <v>1817</v>
      </c>
      <c r="B1766" s="153" t="s">
        <v>76</v>
      </c>
      <c r="C1766" s="154" t="str">
        <f>IF(OR($A1766="",ISERROR(VALUE(LEFT($A1766,6)))),"",IF(LEN($A1766)=2,"WOJ. ",IF(LEN($A1766)=4,IF(VALUE(RIGHT($A1766,2))&gt;60,"","Powiat "),IF(VALUE(RIGHT($A1766,1))=1,"m. ",IF(VALUE(RIGHT($A1766,1))=2,"gm. w. ",IF(VALUE(RIGHT($A1766,1))=8,"dz. ","gm. m.-w. ")))))&amp;IF(LEN($A1766)=2,TRIM(UPPER(VLOOKUP($A1766,GUS_tabl_1!$A$7:$B$22,2,FALSE))),IF(ISERROR(FIND("..",TRIM(VLOOKUP(IF(AND(LEN($A1766)=4,VALUE(RIGHT($A1766,2))&gt;60),$A1766&amp;"01 1",$A1766),IF(AND(LEN($A1766)=4,VALUE(RIGHT($A1766,2))&lt;60),GUS_tabl_2!$A$8:$B$464,GUS_tabl_21!$A$5:$B$4886),2,FALSE)))),TRIM(VLOOKUP(IF(AND(LEN($A1766)=4,VALUE(RIGHT($A1766,2))&gt;60),$A1766&amp;"01 1",$A1766),IF(AND(LEN($A1766)=4,VALUE(RIGHT($A1766,2))&lt;60),GUS_tabl_2!$A$8:$B$464,GUS_tabl_21!$A$5:$B$4886),2,FALSE)),LEFT(TRIM(VLOOKUP(IF(AND(LEN($A1766)=4,VALUE(RIGHT($A1766,2))&gt;60),$A1766&amp;"01 1",$A1766),IF(AND(LEN($A1766)=4,VALUE(RIGHT($A1766,2))&lt;60),GUS_tabl_2!$A$8:$B$464,GUS_tabl_21!$A$5:$B$4886),2,FALSE)),SUM(FIND("..",TRIM(VLOOKUP(IF(AND(LEN($A1766)=4,VALUE(RIGHT($A1766,2))&gt;60),$A1766&amp;"01 1",$A1766),IF(AND(LEN($A1766)=4,VALUE(RIGHT($A1766,2))&lt;60),GUS_tabl_2!$A$8:$B$464,GUS_tabl_21!$A$5:$B$4886),2,FALSE))),-1)))))</f>
        <v>Powiat sanocki</v>
      </c>
      <c r="D1766" s="140">
        <f>IF(OR($A1766="",ISERROR(VALUE(LEFT($A1766,6)))),"",IF(LEN($A1766)=2,SUMIF($A1767:$A$2965,$A1766&amp;"??",$D1767:$D$2965),IF(AND(LEN($A1766)=4,VALUE(RIGHT($A1766,2))&lt;=60),SUMIF($A1767:$A$2965,$A1766&amp;"????",$D1767:$D$2965),VLOOKUP(IF(LEN($A1766)=4,$A1766&amp;"01 1",$A1766),GUS_tabl_21!$A$5:$F$4886,6,FALSE))))</f>
        <v>94385</v>
      </c>
      <c r="E1766" s="29"/>
    </row>
    <row r="1767" spans="1:5" ht="12" customHeight="1">
      <c r="A1767" s="155" t="str">
        <f>"181701 1"</f>
        <v>181701 1</v>
      </c>
      <c r="B1767" s="153" t="s">
        <v>76</v>
      </c>
      <c r="C1767" s="156" t="str">
        <f>IF(OR($A1767="",ISERROR(VALUE(LEFT($A1767,6)))),"",IF(LEN($A1767)=2,"WOJ. ",IF(LEN($A1767)=4,IF(VALUE(RIGHT($A1767,2))&gt;60,"","Powiat "),IF(VALUE(RIGHT($A1767,1))=1,"m. ",IF(VALUE(RIGHT($A1767,1))=2,"gm. w. ",IF(VALUE(RIGHT($A1767,1))=8,"dz. ","gm. m.-w. ")))))&amp;IF(LEN($A1767)=2,TRIM(UPPER(VLOOKUP($A1767,GUS_tabl_1!$A$7:$B$22,2,FALSE))),IF(ISERROR(FIND("..",TRIM(VLOOKUP(IF(AND(LEN($A1767)=4,VALUE(RIGHT($A1767,2))&gt;60),$A1767&amp;"01 1",$A1767),IF(AND(LEN($A1767)=4,VALUE(RIGHT($A1767,2))&lt;60),GUS_tabl_2!$A$8:$B$464,GUS_tabl_21!$A$5:$B$4886),2,FALSE)))),TRIM(VLOOKUP(IF(AND(LEN($A1767)=4,VALUE(RIGHT($A1767,2))&gt;60),$A1767&amp;"01 1",$A1767),IF(AND(LEN($A1767)=4,VALUE(RIGHT($A1767,2))&lt;60),GUS_tabl_2!$A$8:$B$464,GUS_tabl_21!$A$5:$B$4886),2,FALSE)),LEFT(TRIM(VLOOKUP(IF(AND(LEN($A1767)=4,VALUE(RIGHT($A1767,2))&gt;60),$A1767&amp;"01 1",$A1767),IF(AND(LEN($A1767)=4,VALUE(RIGHT($A1767,2))&lt;60),GUS_tabl_2!$A$8:$B$464,GUS_tabl_21!$A$5:$B$4886),2,FALSE)),SUM(FIND("..",TRIM(VLOOKUP(IF(AND(LEN($A1767)=4,VALUE(RIGHT($A1767,2))&gt;60),$A1767&amp;"01 1",$A1767),IF(AND(LEN($A1767)=4,VALUE(RIGHT($A1767,2))&lt;60),GUS_tabl_2!$A$8:$B$464,GUS_tabl_21!$A$5:$B$4886),2,FALSE))),-1)))))</f>
        <v>m. Sanok</v>
      </c>
      <c r="D1767" s="141">
        <f>IF(OR($A1767="",ISERROR(VALUE(LEFT($A1767,6)))),"",IF(LEN($A1767)=2,SUMIF($A1768:$A$2965,$A1767&amp;"??",$D1768:$D$2965),IF(AND(LEN($A1767)=4,VALUE(RIGHT($A1767,2))&lt;=60),SUMIF($A1768:$A$2965,$A1767&amp;"????",$D1768:$D$2965),VLOOKUP(IF(LEN($A1767)=4,$A1767&amp;"01 1",$A1767),GUS_tabl_21!$A$5:$F$4886,6,FALSE))))</f>
        <v>37359</v>
      </c>
      <c r="E1767" s="29"/>
    </row>
    <row r="1768" spans="1:5" ht="12" customHeight="1">
      <c r="A1768" s="155" t="str">
        <f>"181702 2"</f>
        <v>181702 2</v>
      </c>
      <c r="B1768" s="153" t="s">
        <v>76</v>
      </c>
      <c r="C1768" s="156" t="str">
        <f>IF(OR($A1768="",ISERROR(VALUE(LEFT($A1768,6)))),"",IF(LEN($A1768)=2,"WOJ. ",IF(LEN($A1768)=4,IF(VALUE(RIGHT($A1768,2))&gt;60,"","Powiat "),IF(VALUE(RIGHT($A1768,1))=1,"m. ",IF(VALUE(RIGHT($A1768,1))=2,"gm. w. ",IF(VALUE(RIGHT($A1768,1))=8,"dz. ","gm. m.-w. ")))))&amp;IF(LEN($A1768)=2,TRIM(UPPER(VLOOKUP($A1768,GUS_tabl_1!$A$7:$B$22,2,FALSE))),IF(ISERROR(FIND("..",TRIM(VLOOKUP(IF(AND(LEN($A1768)=4,VALUE(RIGHT($A1768,2))&gt;60),$A1768&amp;"01 1",$A1768),IF(AND(LEN($A1768)=4,VALUE(RIGHT($A1768,2))&lt;60),GUS_tabl_2!$A$8:$B$464,GUS_tabl_21!$A$5:$B$4886),2,FALSE)))),TRIM(VLOOKUP(IF(AND(LEN($A1768)=4,VALUE(RIGHT($A1768,2))&gt;60),$A1768&amp;"01 1",$A1768),IF(AND(LEN($A1768)=4,VALUE(RIGHT($A1768,2))&lt;60),GUS_tabl_2!$A$8:$B$464,GUS_tabl_21!$A$5:$B$4886),2,FALSE)),LEFT(TRIM(VLOOKUP(IF(AND(LEN($A1768)=4,VALUE(RIGHT($A1768,2))&gt;60),$A1768&amp;"01 1",$A1768),IF(AND(LEN($A1768)=4,VALUE(RIGHT($A1768,2))&lt;60),GUS_tabl_2!$A$8:$B$464,GUS_tabl_21!$A$5:$B$4886),2,FALSE)),SUM(FIND("..",TRIM(VLOOKUP(IF(AND(LEN($A1768)=4,VALUE(RIGHT($A1768,2))&gt;60),$A1768&amp;"01 1",$A1768),IF(AND(LEN($A1768)=4,VALUE(RIGHT($A1768,2))&lt;60),GUS_tabl_2!$A$8:$B$464,GUS_tabl_21!$A$5:$B$4886),2,FALSE))),-1)))))</f>
        <v>gm. w. Besko</v>
      </c>
      <c r="D1768" s="141">
        <f>IF(OR($A1768="",ISERROR(VALUE(LEFT($A1768,6)))),"",IF(LEN($A1768)=2,SUMIF($A1769:$A$2965,$A1768&amp;"??",$D1769:$D$2965),IF(AND(LEN($A1768)=4,VALUE(RIGHT($A1768,2))&lt;=60),SUMIF($A1769:$A$2965,$A1768&amp;"????",$D1769:$D$2965),VLOOKUP(IF(LEN($A1768)=4,$A1768&amp;"01 1",$A1768),GUS_tabl_21!$A$5:$F$4886,6,FALSE))))</f>
        <v>4508</v>
      </c>
      <c r="E1768" s="29"/>
    </row>
    <row r="1769" spans="1:5" ht="12" customHeight="1">
      <c r="A1769" s="155" t="str">
        <f>"181703 2"</f>
        <v>181703 2</v>
      </c>
      <c r="B1769" s="153" t="s">
        <v>76</v>
      </c>
      <c r="C1769" s="156" t="str">
        <f>IF(OR($A1769="",ISERROR(VALUE(LEFT($A1769,6)))),"",IF(LEN($A1769)=2,"WOJ. ",IF(LEN($A1769)=4,IF(VALUE(RIGHT($A1769,2))&gt;60,"","Powiat "),IF(VALUE(RIGHT($A1769,1))=1,"m. ",IF(VALUE(RIGHT($A1769,1))=2,"gm. w. ",IF(VALUE(RIGHT($A1769,1))=8,"dz. ","gm. m.-w. ")))))&amp;IF(LEN($A1769)=2,TRIM(UPPER(VLOOKUP($A1769,GUS_tabl_1!$A$7:$B$22,2,FALSE))),IF(ISERROR(FIND("..",TRIM(VLOOKUP(IF(AND(LEN($A1769)=4,VALUE(RIGHT($A1769,2))&gt;60),$A1769&amp;"01 1",$A1769),IF(AND(LEN($A1769)=4,VALUE(RIGHT($A1769,2))&lt;60),GUS_tabl_2!$A$8:$B$464,GUS_tabl_21!$A$5:$B$4886),2,FALSE)))),TRIM(VLOOKUP(IF(AND(LEN($A1769)=4,VALUE(RIGHT($A1769,2))&gt;60),$A1769&amp;"01 1",$A1769),IF(AND(LEN($A1769)=4,VALUE(RIGHT($A1769,2))&lt;60),GUS_tabl_2!$A$8:$B$464,GUS_tabl_21!$A$5:$B$4886),2,FALSE)),LEFT(TRIM(VLOOKUP(IF(AND(LEN($A1769)=4,VALUE(RIGHT($A1769,2))&gt;60),$A1769&amp;"01 1",$A1769),IF(AND(LEN($A1769)=4,VALUE(RIGHT($A1769,2))&lt;60),GUS_tabl_2!$A$8:$B$464,GUS_tabl_21!$A$5:$B$4886),2,FALSE)),SUM(FIND("..",TRIM(VLOOKUP(IF(AND(LEN($A1769)=4,VALUE(RIGHT($A1769,2))&gt;60),$A1769&amp;"01 1",$A1769),IF(AND(LEN($A1769)=4,VALUE(RIGHT($A1769,2))&lt;60),GUS_tabl_2!$A$8:$B$464,GUS_tabl_21!$A$5:$B$4886),2,FALSE))),-1)))))</f>
        <v>gm. w. Bukowsko</v>
      </c>
      <c r="D1769" s="141">
        <f>IF(OR($A1769="",ISERROR(VALUE(LEFT($A1769,6)))),"",IF(LEN($A1769)=2,SUMIF($A1770:$A$2965,$A1769&amp;"??",$D1770:$D$2965),IF(AND(LEN($A1769)=4,VALUE(RIGHT($A1769,2))&lt;=60),SUMIF($A1770:$A$2965,$A1769&amp;"????",$D1770:$D$2965),VLOOKUP(IF(LEN($A1769)=4,$A1769&amp;"01 1",$A1769),GUS_tabl_21!$A$5:$F$4886,6,FALSE))))</f>
        <v>5495</v>
      </c>
      <c r="E1769" s="29"/>
    </row>
    <row r="1770" spans="1:5" ht="12" customHeight="1">
      <c r="A1770" s="155" t="str">
        <f>"181704 2"</f>
        <v>181704 2</v>
      </c>
      <c r="B1770" s="153" t="s">
        <v>76</v>
      </c>
      <c r="C1770" s="156" t="str">
        <f>IF(OR($A1770="",ISERROR(VALUE(LEFT($A1770,6)))),"",IF(LEN($A1770)=2,"WOJ. ",IF(LEN($A1770)=4,IF(VALUE(RIGHT($A1770,2))&gt;60,"","Powiat "),IF(VALUE(RIGHT($A1770,1))=1,"m. ",IF(VALUE(RIGHT($A1770,1))=2,"gm. w. ",IF(VALUE(RIGHT($A1770,1))=8,"dz. ","gm. m.-w. ")))))&amp;IF(LEN($A1770)=2,TRIM(UPPER(VLOOKUP($A1770,GUS_tabl_1!$A$7:$B$22,2,FALSE))),IF(ISERROR(FIND("..",TRIM(VLOOKUP(IF(AND(LEN($A1770)=4,VALUE(RIGHT($A1770,2))&gt;60),$A1770&amp;"01 1",$A1770),IF(AND(LEN($A1770)=4,VALUE(RIGHT($A1770,2))&lt;60),GUS_tabl_2!$A$8:$B$464,GUS_tabl_21!$A$5:$B$4886),2,FALSE)))),TRIM(VLOOKUP(IF(AND(LEN($A1770)=4,VALUE(RIGHT($A1770,2))&gt;60),$A1770&amp;"01 1",$A1770),IF(AND(LEN($A1770)=4,VALUE(RIGHT($A1770,2))&lt;60),GUS_tabl_2!$A$8:$B$464,GUS_tabl_21!$A$5:$B$4886),2,FALSE)),LEFT(TRIM(VLOOKUP(IF(AND(LEN($A1770)=4,VALUE(RIGHT($A1770,2))&gt;60),$A1770&amp;"01 1",$A1770),IF(AND(LEN($A1770)=4,VALUE(RIGHT($A1770,2))&lt;60),GUS_tabl_2!$A$8:$B$464,GUS_tabl_21!$A$5:$B$4886),2,FALSE)),SUM(FIND("..",TRIM(VLOOKUP(IF(AND(LEN($A1770)=4,VALUE(RIGHT($A1770,2))&gt;60),$A1770&amp;"01 1",$A1770),IF(AND(LEN($A1770)=4,VALUE(RIGHT($A1770,2))&lt;60),GUS_tabl_2!$A$8:$B$464,GUS_tabl_21!$A$5:$B$4886),2,FALSE))),-1)))))</f>
        <v>gm. w. Komańcza</v>
      </c>
      <c r="D1770" s="141">
        <f>IF(OR($A1770="",ISERROR(VALUE(LEFT($A1770,6)))),"",IF(LEN($A1770)=2,SUMIF($A1771:$A$2965,$A1770&amp;"??",$D1771:$D$2965),IF(AND(LEN($A1770)=4,VALUE(RIGHT($A1770,2))&lt;=60),SUMIF($A1771:$A$2965,$A1770&amp;"????",$D1771:$D$2965),VLOOKUP(IF(LEN($A1770)=4,$A1770&amp;"01 1",$A1770),GUS_tabl_21!$A$5:$F$4886,6,FALSE))))</f>
        <v>4541</v>
      </c>
      <c r="E1770" s="29"/>
    </row>
    <row r="1771" spans="1:5" ht="12" customHeight="1">
      <c r="A1771" s="155" t="str">
        <f>"181705 2"</f>
        <v>181705 2</v>
      </c>
      <c r="B1771" s="153" t="s">
        <v>76</v>
      </c>
      <c r="C1771" s="156" t="str">
        <f>IF(OR($A1771="",ISERROR(VALUE(LEFT($A1771,6)))),"",IF(LEN($A1771)=2,"WOJ. ",IF(LEN($A1771)=4,IF(VALUE(RIGHT($A1771,2))&gt;60,"","Powiat "),IF(VALUE(RIGHT($A1771,1))=1,"m. ",IF(VALUE(RIGHT($A1771,1))=2,"gm. w. ",IF(VALUE(RIGHT($A1771,1))=8,"dz. ","gm. m.-w. ")))))&amp;IF(LEN($A1771)=2,TRIM(UPPER(VLOOKUP($A1771,GUS_tabl_1!$A$7:$B$22,2,FALSE))),IF(ISERROR(FIND("..",TRIM(VLOOKUP(IF(AND(LEN($A1771)=4,VALUE(RIGHT($A1771,2))&gt;60),$A1771&amp;"01 1",$A1771),IF(AND(LEN($A1771)=4,VALUE(RIGHT($A1771,2))&lt;60),GUS_tabl_2!$A$8:$B$464,GUS_tabl_21!$A$5:$B$4886),2,FALSE)))),TRIM(VLOOKUP(IF(AND(LEN($A1771)=4,VALUE(RIGHT($A1771,2))&gt;60),$A1771&amp;"01 1",$A1771),IF(AND(LEN($A1771)=4,VALUE(RIGHT($A1771,2))&lt;60),GUS_tabl_2!$A$8:$B$464,GUS_tabl_21!$A$5:$B$4886),2,FALSE)),LEFT(TRIM(VLOOKUP(IF(AND(LEN($A1771)=4,VALUE(RIGHT($A1771,2))&gt;60),$A1771&amp;"01 1",$A1771),IF(AND(LEN($A1771)=4,VALUE(RIGHT($A1771,2))&lt;60),GUS_tabl_2!$A$8:$B$464,GUS_tabl_21!$A$5:$B$4886),2,FALSE)),SUM(FIND("..",TRIM(VLOOKUP(IF(AND(LEN($A1771)=4,VALUE(RIGHT($A1771,2))&gt;60),$A1771&amp;"01 1",$A1771),IF(AND(LEN($A1771)=4,VALUE(RIGHT($A1771,2))&lt;60),GUS_tabl_2!$A$8:$B$464,GUS_tabl_21!$A$5:$B$4886),2,FALSE))),-1)))))</f>
        <v>gm. w. Sanok</v>
      </c>
      <c r="D1771" s="141">
        <f>IF(OR($A1771="",ISERROR(VALUE(LEFT($A1771,6)))),"",IF(LEN($A1771)=2,SUMIF($A1772:$A$2965,$A1771&amp;"??",$D1772:$D$2965),IF(AND(LEN($A1771)=4,VALUE(RIGHT($A1771,2))&lt;=60),SUMIF($A1772:$A$2965,$A1771&amp;"????",$D1772:$D$2965),VLOOKUP(IF(LEN($A1771)=4,$A1771&amp;"01 1",$A1771),GUS_tabl_21!$A$5:$F$4886,6,FALSE))))</f>
        <v>18086</v>
      </c>
      <c r="E1771" s="29"/>
    </row>
    <row r="1772" spans="1:5" ht="12" customHeight="1">
      <c r="A1772" s="155" t="str">
        <f>"181706 2"</f>
        <v>181706 2</v>
      </c>
      <c r="B1772" s="153" t="s">
        <v>76</v>
      </c>
      <c r="C1772" s="156" t="str">
        <f>IF(OR($A1772="",ISERROR(VALUE(LEFT($A1772,6)))),"",IF(LEN($A1772)=2,"WOJ. ",IF(LEN($A1772)=4,IF(VALUE(RIGHT($A1772,2))&gt;60,"","Powiat "),IF(VALUE(RIGHT($A1772,1))=1,"m. ",IF(VALUE(RIGHT($A1772,1))=2,"gm. w. ",IF(VALUE(RIGHT($A1772,1))=8,"dz. ","gm. m.-w. ")))))&amp;IF(LEN($A1772)=2,TRIM(UPPER(VLOOKUP($A1772,GUS_tabl_1!$A$7:$B$22,2,FALSE))),IF(ISERROR(FIND("..",TRIM(VLOOKUP(IF(AND(LEN($A1772)=4,VALUE(RIGHT($A1772,2))&gt;60),$A1772&amp;"01 1",$A1772),IF(AND(LEN($A1772)=4,VALUE(RIGHT($A1772,2))&lt;60),GUS_tabl_2!$A$8:$B$464,GUS_tabl_21!$A$5:$B$4886),2,FALSE)))),TRIM(VLOOKUP(IF(AND(LEN($A1772)=4,VALUE(RIGHT($A1772,2))&gt;60),$A1772&amp;"01 1",$A1772),IF(AND(LEN($A1772)=4,VALUE(RIGHT($A1772,2))&lt;60),GUS_tabl_2!$A$8:$B$464,GUS_tabl_21!$A$5:$B$4886),2,FALSE)),LEFT(TRIM(VLOOKUP(IF(AND(LEN($A1772)=4,VALUE(RIGHT($A1772,2))&gt;60),$A1772&amp;"01 1",$A1772),IF(AND(LEN($A1772)=4,VALUE(RIGHT($A1772,2))&lt;60),GUS_tabl_2!$A$8:$B$464,GUS_tabl_21!$A$5:$B$4886),2,FALSE)),SUM(FIND("..",TRIM(VLOOKUP(IF(AND(LEN($A1772)=4,VALUE(RIGHT($A1772,2))&gt;60),$A1772&amp;"01 1",$A1772),IF(AND(LEN($A1772)=4,VALUE(RIGHT($A1772,2))&lt;60),GUS_tabl_2!$A$8:$B$464,GUS_tabl_21!$A$5:$B$4886),2,FALSE))),-1)))))</f>
        <v>gm. w. Tyrawa Wołoska</v>
      </c>
      <c r="D1772" s="141">
        <f>IF(OR($A1772="",ISERROR(VALUE(LEFT($A1772,6)))),"",IF(LEN($A1772)=2,SUMIF($A1773:$A$2965,$A1772&amp;"??",$D1773:$D$2965),IF(AND(LEN($A1772)=4,VALUE(RIGHT($A1772,2))&lt;=60),SUMIF($A1773:$A$2965,$A1772&amp;"????",$D1773:$D$2965),VLOOKUP(IF(LEN($A1772)=4,$A1772&amp;"01 1",$A1772),GUS_tabl_21!$A$5:$F$4886,6,FALSE))))</f>
        <v>1978</v>
      </c>
      <c r="E1772" s="29"/>
    </row>
    <row r="1773" spans="1:5" ht="12" customHeight="1">
      <c r="A1773" s="155" t="str">
        <f>"181707 3"</f>
        <v>181707 3</v>
      </c>
      <c r="B1773" s="153" t="s">
        <v>76</v>
      </c>
      <c r="C1773" s="156" t="str">
        <f>IF(OR($A1773="",ISERROR(VALUE(LEFT($A1773,6)))),"",IF(LEN($A1773)=2,"WOJ. ",IF(LEN($A1773)=4,IF(VALUE(RIGHT($A1773,2))&gt;60,"","Powiat "),IF(VALUE(RIGHT($A1773,1))=1,"m. ",IF(VALUE(RIGHT($A1773,1))=2,"gm. w. ",IF(VALUE(RIGHT($A1773,1))=8,"dz. ","gm. m.-w. ")))))&amp;IF(LEN($A1773)=2,TRIM(UPPER(VLOOKUP($A1773,GUS_tabl_1!$A$7:$B$22,2,FALSE))),IF(ISERROR(FIND("..",TRIM(VLOOKUP(IF(AND(LEN($A1773)=4,VALUE(RIGHT($A1773,2))&gt;60),$A1773&amp;"01 1",$A1773),IF(AND(LEN($A1773)=4,VALUE(RIGHT($A1773,2))&lt;60),GUS_tabl_2!$A$8:$B$464,GUS_tabl_21!$A$5:$B$4886),2,FALSE)))),TRIM(VLOOKUP(IF(AND(LEN($A1773)=4,VALUE(RIGHT($A1773,2))&gt;60),$A1773&amp;"01 1",$A1773),IF(AND(LEN($A1773)=4,VALUE(RIGHT($A1773,2))&lt;60),GUS_tabl_2!$A$8:$B$464,GUS_tabl_21!$A$5:$B$4886),2,FALSE)),LEFT(TRIM(VLOOKUP(IF(AND(LEN($A1773)=4,VALUE(RIGHT($A1773,2))&gt;60),$A1773&amp;"01 1",$A1773),IF(AND(LEN($A1773)=4,VALUE(RIGHT($A1773,2))&lt;60),GUS_tabl_2!$A$8:$B$464,GUS_tabl_21!$A$5:$B$4886),2,FALSE)),SUM(FIND("..",TRIM(VLOOKUP(IF(AND(LEN($A1773)=4,VALUE(RIGHT($A1773,2))&gt;60),$A1773&amp;"01 1",$A1773),IF(AND(LEN($A1773)=4,VALUE(RIGHT($A1773,2))&lt;60),GUS_tabl_2!$A$8:$B$464,GUS_tabl_21!$A$5:$B$4886),2,FALSE))),-1)))))</f>
        <v>gm. m.-w. Zagórz</v>
      </c>
      <c r="D1773" s="141">
        <f>IF(OR($A1773="",ISERROR(VALUE(LEFT($A1773,6)))),"",IF(LEN($A1773)=2,SUMIF($A1774:$A$2965,$A1773&amp;"??",$D1774:$D$2965),IF(AND(LEN($A1773)=4,VALUE(RIGHT($A1773,2))&lt;=60),SUMIF($A1774:$A$2965,$A1773&amp;"????",$D1774:$D$2965),VLOOKUP(IF(LEN($A1773)=4,$A1773&amp;"01 1",$A1773),GUS_tabl_21!$A$5:$F$4886,6,FALSE))))</f>
        <v>13126</v>
      </c>
      <c r="E1773" s="29"/>
    </row>
    <row r="1774" spans="1:5" ht="12" customHeight="1">
      <c r="A1774" s="155" t="str">
        <f>"181708 2"</f>
        <v>181708 2</v>
      </c>
      <c r="B1774" s="153" t="s">
        <v>76</v>
      </c>
      <c r="C1774" s="156" t="str">
        <f>IF(OR($A1774="",ISERROR(VALUE(LEFT($A1774,6)))),"",IF(LEN($A1774)=2,"WOJ. ",IF(LEN($A1774)=4,IF(VALUE(RIGHT($A1774,2))&gt;60,"","Powiat "),IF(VALUE(RIGHT($A1774,1))=1,"m. ",IF(VALUE(RIGHT($A1774,1))=2,"gm. w. ",IF(VALUE(RIGHT($A1774,1))=8,"dz. ","gm. m.-w. ")))))&amp;IF(LEN($A1774)=2,TRIM(UPPER(VLOOKUP($A1774,GUS_tabl_1!$A$7:$B$22,2,FALSE))),IF(ISERROR(FIND("..",TRIM(VLOOKUP(IF(AND(LEN($A1774)=4,VALUE(RIGHT($A1774,2))&gt;60),$A1774&amp;"01 1",$A1774),IF(AND(LEN($A1774)=4,VALUE(RIGHT($A1774,2))&lt;60),GUS_tabl_2!$A$8:$B$464,GUS_tabl_21!$A$5:$B$4886),2,FALSE)))),TRIM(VLOOKUP(IF(AND(LEN($A1774)=4,VALUE(RIGHT($A1774,2))&gt;60),$A1774&amp;"01 1",$A1774),IF(AND(LEN($A1774)=4,VALUE(RIGHT($A1774,2))&lt;60),GUS_tabl_2!$A$8:$B$464,GUS_tabl_21!$A$5:$B$4886),2,FALSE)),LEFT(TRIM(VLOOKUP(IF(AND(LEN($A1774)=4,VALUE(RIGHT($A1774,2))&gt;60),$A1774&amp;"01 1",$A1774),IF(AND(LEN($A1774)=4,VALUE(RIGHT($A1774,2))&lt;60),GUS_tabl_2!$A$8:$B$464,GUS_tabl_21!$A$5:$B$4886),2,FALSE)),SUM(FIND("..",TRIM(VLOOKUP(IF(AND(LEN($A1774)=4,VALUE(RIGHT($A1774,2))&gt;60),$A1774&amp;"01 1",$A1774),IF(AND(LEN($A1774)=4,VALUE(RIGHT($A1774,2))&lt;60),GUS_tabl_2!$A$8:$B$464,GUS_tabl_21!$A$5:$B$4886),2,FALSE))),-1)))))</f>
        <v>gm. w. Zarszyn</v>
      </c>
      <c r="D1774" s="141">
        <f>IF(OR($A1774="",ISERROR(VALUE(LEFT($A1774,6)))),"",IF(LEN($A1774)=2,SUMIF($A1775:$A$2965,$A1774&amp;"??",$D1775:$D$2965),IF(AND(LEN($A1774)=4,VALUE(RIGHT($A1774,2))&lt;=60),SUMIF($A1775:$A$2965,$A1774&amp;"????",$D1775:$D$2965),VLOOKUP(IF(LEN($A1774)=4,$A1774&amp;"01 1",$A1774),GUS_tabl_21!$A$5:$F$4886,6,FALSE))))</f>
        <v>9292</v>
      </c>
      <c r="E1774" s="29"/>
    </row>
    <row r="1775" spans="1:5" ht="12" customHeight="1">
      <c r="A1775" s="152" t="str">
        <f>"1818"</f>
        <v>1818</v>
      </c>
      <c r="B1775" s="153" t="s">
        <v>76</v>
      </c>
      <c r="C1775" s="154" t="str">
        <f>IF(OR($A1775="",ISERROR(VALUE(LEFT($A1775,6)))),"",IF(LEN($A1775)=2,"WOJ. ",IF(LEN($A1775)=4,IF(VALUE(RIGHT($A1775,2))&gt;60,"","Powiat "),IF(VALUE(RIGHT($A1775,1))=1,"m. ",IF(VALUE(RIGHT($A1775,1))=2,"gm. w. ",IF(VALUE(RIGHT($A1775,1))=8,"dz. ","gm. m.-w. ")))))&amp;IF(LEN($A1775)=2,TRIM(UPPER(VLOOKUP($A1775,GUS_tabl_1!$A$7:$B$22,2,FALSE))),IF(ISERROR(FIND("..",TRIM(VLOOKUP(IF(AND(LEN($A1775)=4,VALUE(RIGHT($A1775,2))&gt;60),$A1775&amp;"01 1",$A1775),IF(AND(LEN($A1775)=4,VALUE(RIGHT($A1775,2))&lt;60),GUS_tabl_2!$A$8:$B$464,GUS_tabl_21!$A$5:$B$4886),2,FALSE)))),TRIM(VLOOKUP(IF(AND(LEN($A1775)=4,VALUE(RIGHT($A1775,2))&gt;60),$A1775&amp;"01 1",$A1775),IF(AND(LEN($A1775)=4,VALUE(RIGHT($A1775,2))&lt;60),GUS_tabl_2!$A$8:$B$464,GUS_tabl_21!$A$5:$B$4886),2,FALSE)),LEFT(TRIM(VLOOKUP(IF(AND(LEN($A1775)=4,VALUE(RIGHT($A1775,2))&gt;60),$A1775&amp;"01 1",$A1775),IF(AND(LEN($A1775)=4,VALUE(RIGHT($A1775,2))&lt;60),GUS_tabl_2!$A$8:$B$464,GUS_tabl_21!$A$5:$B$4886),2,FALSE)),SUM(FIND("..",TRIM(VLOOKUP(IF(AND(LEN($A1775)=4,VALUE(RIGHT($A1775,2))&gt;60),$A1775&amp;"01 1",$A1775),IF(AND(LEN($A1775)=4,VALUE(RIGHT($A1775,2))&lt;60),GUS_tabl_2!$A$8:$B$464,GUS_tabl_21!$A$5:$B$4886),2,FALSE))),-1)))))</f>
        <v>Powiat stalowowolski</v>
      </c>
      <c r="D1775" s="140">
        <f>IF(OR($A1775="",ISERROR(VALUE(LEFT($A1775,6)))),"",IF(LEN($A1775)=2,SUMIF($A1776:$A$2965,$A1775&amp;"??",$D1776:$D$2965),IF(AND(LEN($A1775)=4,VALUE(RIGHT($A1775,2))&lt;=60),SUMIF($A1776:$A$2965,$A1775&amp;"????",$D1776:$D$2965),VLOOKUP(IF(LEN($A1775)=4,$A1775&amp;"01 1",$A1775),GUS_tabl_21!$A$5:$F$4886,6,FALSE))))</f>
        <v>106037</v>
      </c>
      <c r="E1775" s="29"/>
    </row>
    <row r="1776" spans="1:5" ht="12" customHeight="1">
      <c r="A1776" s="155" t="str">
        <f>"181801 1"</f>
        <v>181801 1</v>
      </c>
      <c r="B1776" s="153" t="s">
        <v>76</v>
      </c>
      <c r="C1776" s="156" t="str">
        <f>IF(OR($A1776="",ISERROR(VALUE(LEFT($A1776,6)))),"",IF(LEN($A1776)=2,"WOJ. ",IF(LEN($A1776)=4,IF(VALUE(RIGHT($A1776,2))&gt;60,"","Powiat "),IF(VALUE(RIGHT($A1776,1))=1,"m. ",IF(VALUE(RIGHT($A1776,1))=2,"gm. w. ",IF(VALUE(RIGHT($A1776,1))=8,"dz. ","gm. m.-w. ")))))&amp;IF(LEN($A1776)=2,TRIM(UPPER(VLOOKUP($A1776,GUS_tabl_1!$A$7:$B$22,2,FALSE))),IF(ISERROR(FIND("..",TRIM(VLOOKUP(IF(AND(LEN($A1776)=4,VALUE(RIGHT($A1776,2))&gt;60),$A1776&amp;"01 1",$A1776),IF(AND(LEN($A1776)=4,VALUE(RIGHT($A1776,2))&lt;60),GUS_tabl_2!$A$8:$B$464,GUS_tabl_21!$A$5:$B$4886),2,FALSE)))),TRIM(VLOOKUP(IF(AND(LEN($A1776)=4,VALUE(RIGHT($A1776,2))&gt;60),$A1776&amp;"01 1",$A1776),IF(AND(LEN($A1776)=4,VALUE(RIGHT($A1776,2))&lt;60),GUS_tabl_2!$A$8:$B$464,GUS_tabl_21!$A$5:$B$4886),2,FALSE)),LEFT(TRIM(VLOOKUP(IF(AND(LEN($A1776)=4,VALUE(RIGHT($A1776,2))&gt;60),$A1776&amp;"01 1",$A1776),IF(AND(LEN($A1776)=4,VALUE(RIGHT($A1776,2))&lt;60),GUS_tabl_2!$A$8:$B$464,GUS_tabl_21!$A$5:$B$4886),2,FALSE)),SUM(FIND("..",TRIM(VLOOKUP(IF(AND(LEN($A1776)=4,VALUE(RIGHT($A1776,2))&gt;60),$A1776&amp;"01 1",$A1776),IF(AND(LEN($A1776)=4,VALUE(RIGHT($A1776,2))&lt;60),GUS_tabl_2!$A$8:$B$464,GUS_tabl_21!$A$5:$B$4886),2,FALSE))),-1)))))</f>
        <v>m. Stalowa Wola</v>
      </c>
      <c r="D1776" s="141">
        <f>IF(OR($A1776="",ISERROR(VALUE(LEFT($A1776,6)))),"",IF(LEN($A1776)=2,SUMIF($A1777:$A$2965,$A1776&amp;"??",$D1777:$D$2965),IF(AND(LEN($A1776)=4,VALUE(RIGHT($A1776,2))&lt;=60),SUMIF($A1777:$A$2965,$A1776&amp;"????",$D1777:$D$2965),VLOOKUP(IF(LEN($A1776)=4,$A1776&amp;"01 1",$A1776),GUS_tabl_21!$A$5:$F$4886,6,FALSE))))</f>
        <v>60466</v>
      </c>
      <c r="E1776" s="29"/>
    </row>
    <row r="1777" spans="1:5" ht="12" customHeight="1">
      <c r="A1777" s="155" t="str">
        <f>"181802 2"</f>
        <v>181802 2</v>
      </c>
      <c r="B1777" s="153" t="s">
        <v>76</v>
      </c>
      <c r="C1777" s="156" t="str">
        <f>IF(OR($A1777="",ISERROR(VALUE(LEFT($A1777,6)))),"",IF(LEN($A1777)=2,"WOJ. ",IF(LEN($A1777)=4,IF(VALUE(RIGHT($A1777,2))&gt;60,"","Powiat "),IF(VALUE(RIGHT($A1777,1))=1,"m. ",IF(VALUE(RIGHT($A1777,1))=2,"gm. w. ",IF(VALUE(RIGHT($A1777,1))=8,"dz. ","gm. m.-w. ")))))&amp;IF(LEN($A1777)=2,TRIM(UPPER(VLOOKUP($A1777,GUS_tabl_1!$A$7:$B$22,2,FALSE))),IF(ISERROR(FIND("..",TRIM(VLOOKUP(IF(AND(LEN($A1777)=4,VALUE(RIGHT($A1777,2))&gt;60),$A1777&amp;"01 1",$A1777),IF(AND(LEN($A1777)=4,VALUE(RIGHT($A1777,2))&lt;60),GUS_tabl_2!$A$8:$B$464,GUS_tabl_21!$A$5:$B$4886),2,FALSE)))),TRIM(VLOOKUP(IF(AND(LEN($A1777)=4,VALUE(RIGHT($A1777,2))&gt;60),$A1777&amp;"01 1",$A1777),IF(AND(LEN($A1777)=4,VALUE(RIGHT($A1777,2))&lt;60),GUS_tabl_2!$A$8:$B$464,GUS_tabl_21!$A$5:$B$4886),2,FALSE)),LEFT(TRIM(VLOOKUP(IF(AND(LEN($A1777)=4,VALUE(RIGHT($A1777,2))&gt;60),$A1777&amp;"01 1",$A1777),IF(AND(LEN($A1777)=4,VALUE(RIGHT($A1777,2))&lt;60),GUS_tabl_2!$A$8:$B$464,GUS_tabl_21!$A$5:$B$4886),2,FALSE)),SUM(FIND("..",TRIM(VLOOKUP(IF(AND(LEN($A1777)=4,VALUE(RIGHT($A1777,2))&gt;60),$A1777&amp;"01 1",$A1777),IF(AND(LEN($A1777)=4,VALUE(RIGHT($A1777,2))&lt;60),GUS_tabl_2!$A$8:$B$464,GUS_tabl_21!$A$5:$B$4886),2,FALSE))),-1)))))</f>
        <v>gm. w. Bojanów</v>
      </c>
      <c r="D1777" s="141">
        <f>IF(OR($A1777="",ISERROR(VALUE(LEFT($A1777,6)))),"",IF(LEN($A1777)=2,SUMIF($A1778:$A$2965,$A1777&amp;"??",$D1778:$D$2965),IF(AND(LEN($A1777)=4,VALUE(RIGHT($A1777,2))&lt;=60),SUMIF($A1778:$A$2965,$A1777&amp;"????",$D1778:$D$2965),VLOOKUP(IF(LEN($A1777)=4,$A1777&amp;"01 1",$A1777),GUS_tabl_21!$A$5:$F$4886,6,FALSE))))</f>
        <v>7602</v>
      </c>
      <c r="E1777" s="29"/>
    </row>
    <row r="1778" spans="1:5" ht="12" customHeight="1">
      <c r="A1778" s="155" t="str">
        <f>"181803 2"</f>
        <v>181803 2</v>
      </c>
      <c r="B1778" s="153" t="s">
        <v>76</v>
      </c>
      <c r="C1778" s="156" t="str">
        <f>IF(OR($A1778="",ISERROR(VALUE(LEFT($A1778,6)))),"",IF(LEN($A1778)=2,"WOJ. ",IF(LEN($A1778)=4,IF(VALUE(RIGHT($A1778,2))&gt;60,"","Powiat "),IF(VALUE(RIGHT($A1778,1))=1,"m. ",IF(VALUE(RIGHT($A1778,1))=2,"gm. w. ",IF(VALUE(RIGHT($A1778,1))=8,"dz. ","gm. m.-w. ")))))&amp;IF(LEN($A1778)=2,TRIM(UPPER(VLOOKUP($A1778,GUS_tabl_1!$A$7:$B$22,2,FALSE))),IF(ISERROR(FIND("..",TRIM(VLOOKUP(IF(AND(LEN($A1778)=4,VALUE(RIGHT($A1778,2))&gt;60),$A1778&amp;"01 1",$A1778),IF(AND(LEN($A1778)=4,VALUE(RIGHT($A1778,2))&lt;60),GUS_tabl_2!$A$8:$B$464,GUS_tabl_21!$A$5:$B$4886),2,FALSE)))),TRIM(VLOOKUP(IF(AND(LEN($A1778)=4,VALUE(RIGHT($A1778,2))&gt;60),$A1778&amp;"01 1",$A1778),IF(AND(LEN($A1778)=4,VALUE(RIGHT($A1778,2))&lt;60),GUS_tabl_2!$A$8:$B$464,GUS_tabl_21!$A$5:$B$4886),2,FALSE)),LEFT(TRIM(VLOOKUP(IF(AND(LEN($A1778)=4,VALUE(RIGHT($A1778,2))&gt;60),$A1778&amp;"01 1",$A1778),IF(AND(LEN($A1778)=4,VALUE(RIGHT($A1778,2))&lt;60),GUS_tabl_2!$A$8:$B$464,GUS_tabl_21!$A$5:$B$4886),2,FALSE)),SUM(FIND("..",TRIM(VLOOKUP(IF(AND(LEN($A1778)=4,VALUE(RIGHT($A1778,2))&gt;60),$A1778&amp;"01 1",$A1778),IF(AND(LEN($A1778)=4,VALUE(RIGHT($A1778,2))&lt;60),GUS_tabl_2!$A$8:$B$464,GUS_tabl_21!$A$5:$B$4886),2,FALSE))),-1)))))</f>
        <v>gm. w. Pysznica</v>
      </c>
      <c r="D1778" s="141">
        <f>IF(OR($A1778="",ISERROR(VALUE(LEFT($A1778,6)))),"",IF(LEN($A1778)=2,SUMIF($A1779:$A$2965,$A1778&amp;"??",$D1779:$D$2965),IF(AND(LEN($A1778)=4,VALUE(RIGHT($A1778,2))&lt;=60),SUMIF($A1779:$A$2965,$A1778&amp;"????",$D1779:$D$2965),VLOOKUP(IF(LEN($A1778)=4,$A1778&amp;"01 1",$A1778),GUS_tabl_21!$A$5:$F$4886,6,FALSE))))</f>
        <v>11194</v>
      </c>
      <c r="E1778" s="29"/>
    </row>
    <row r="1779" spans="1:5" ht="12" customHeight="1">
      <c r="A1779" s="155" t="str">
        <f>"181804 2"</f>
        <v>181804 2</v>
      </c>
      <c r="B1779" s="153" t="s">
        <v>76</v>
      </c>
      <c r="C1779" s="156" t="str">
        <f>IF(OR($A1779="",ISERROR(VALUE(LEFT($A1779,6)))),"",IF(LEN($A1779)=2,"WOJ. ",IF(LEN($A1779)=4,IF(VALUE(RIGHT($A1779,2))&gt;60,"","Powiat "),IF(VALUE(RIGHT($A1779,1))=1,"m. ",IF(VALUE(RIGHT($A1779,1))=2,"gm. w. ",IF(VALUE(RIGHT($A1779,1))=8,"dz. ","gm. m.-w. ")))))&amp;IF(LEN($A1779)=2,TRIM(UPPER(VLOOKUP($A1779,GUS_tabl_1!$A$7:$B$22,2,FALSE))),IF(ISERROR(FIND("..",TRIM(VLOOKUP(IF(AND(LEN($A1779)=4,VALUE(RIGHT($A1779,2))&gt;60),$A1779&amp;"01 1",$A1779),IF(AND(LEN($A1779)=4,VALUE(RIGHT($A1779,2))&lt;60),GUS_tabl_2!$A$8:$B$464,GUS_tabl_21!$A$5:$B$4886),2,FALSE)))),TRIM(VLOOKUP(IF(AND(LEN($A1779)=4,VALUE(RIGHT($A1779,2))&gt;60),$A1779&amp;"01 1",$A1779),IF(AND(LEN($A1779)=4,VALUE(RIGHT($A1779,2))&lt;60),GUS_tabl_2!$A$8:$B$464,GUS_tabl_21!$A$5:$B$4886),2,FALSE)),LEFT(TRIM(VLOOKUP(IF(AND(LEN($A1779)=4,VALUE(RIGHT($A1779,2))&gt;60),$A1779&amp;"01 1",$A1779),IF(AND(LEN($A1779)=4,VALUE(RIGHT($A1779,2))&lt;60),GUS_tabl_2!$A$8:$B$464,GUS_tabl_21!$A$5:$B$4886),2,FALSE)),SUM(FIND("..",TRIM(VLOOKUP(IF(AND(LEN($A1779)=4,VALUE(RIGHT($A1779,2))&gt;60),$A1779&amp;"01 1",$A1779),IF(AND(LEN($A1779)=4,VALUE(RIGHT($A1779,2))&lt;60),GUS_tabl_2!$A$8:$B$464,GUS_tabl_21!$A$5:$B$4886),2,FALSE))),-1)))))</f>
        <v>gm. w. Radomyśl nad Sanem</v>
      </c>
      <c r="D1779" s="141">
        <f>IF(OR($A1779="",ISERROR(VALUE(LEFT($A1779,6)))),"",IF(LEN($A1779)=2,SUMIF($A1780:$A$2965,$A1779&amp;"??",$D1780:$D$2965),IF(AND(LEN($A1779)=4,VALUE(RIGHT($A1779,2))&lt;=60),SUMIF($A1780:$A$2965,$A1779&amp;"????",$D1780:$D$2965),VLOOKUP(IF(LEN($A1779)=4,$A1779&amp;"01 1",$A1779),GUS_tabl_21!$A$5:$F$4886,6,FALSE))))</f>
        <v>7311</v>
      </c>
      <c r="E1779" s="29"/>
    </row>
    <row r="1780" spans="1:5" ht="12" customHeight="1">
      <c r="A1780" s="155" t="str">
        <f>"181805 3"</f>
        <v>181805 3</v>
      </c>
      <c r="B1780" s="153" t="s">
        <v>76</v>
      </c>
      <c r="C1780" s="159" t="str">
        <f>IF(OR($A1780="",ISERROR(VALUE(LEFT($A1780,6)))),"",IF(LEN($A1780)=2,"WOJ. ",IF(LEN($A1780)=4,IF(VALUE(RIGHT($A1780,2))&gt;60,"","Powiat "),IF(VALUE(RIGHT($A1780,1))=1,"m. ",IF(VALUE(RIGHT($A1780,1))=2,"gm. w. ",IF(VALUE(RIGHT($A1780,1))=8,"dz. ","gm. m.-w. ")))))&amp;IF(LEN($A1780)=2,TRIM(UPPER(VLOOKUP($A1780,GUS_tabl_1!$A$7:$B$22,2,FALSE))),IF(ISERROR(FIND("..",TRIM(VLOOKUP(IF(AND(LEN($A1780)=4,VALUE(RIGHT($A1780,2))&gt;60),$A1780&amp;"01 1",$A1780),IF(AND(LEN($A1780)=4,VALUE(RIGHT($A1780,2))&lt;60),GUS_tabl_2!$A$8:$B$464,GUS_tabl_21!$A$5:$B$4886),2,FALSE)))),TRIM(VLOOKUP(IF(AND(LEN($A1780)=4,VALUE(RIGHT($A1780,2))&gt;60),$A1780&amp;"01 1",$A1780),IF(AND(LEN($A1780)=4,VALUE(RIGHT($A1780,2))&lt;60),GUS_tabl_2!$A$8:$B$464,GUS_tabl_21!$A$5:$B$4886),2,FALSE)),LEFT(TRIM(VLOOKUP(IF(AND(LEN($A1780)=4,VALUE(RIGHT($A1780,2))&gt;60),$A1780&amp;"01 1",$A1780),IF(AND(LEN($A1780)=4,VALUE(RIGHT($A1780,2))&lt;60),GUS_tabl_2!$A$8:$B$464,GUS_tabl_21!$A$5:$B$4886),2,FALSE)),SUM(FIND("..",TRIM(VLOOKUP(IF(AND(LEN($A1780)=4,VALUE(RIGHT($A1780,2))&gt;60),$A1780&amp;"01 1",$A1780),IF(AND(LEN($A1780)=4,VALUE(RIGHT($A1780,2))&lt;60),GUS_tabl_2!$A$8:$B$464,GUS_tabl_21!$A$5:$B$4886),2,FALSE))),-1)))))</f>
        <v>gm. m.-w. Zaklików</v>
      </c>
      <c r="D1780" s="141">
        <f>IF(OR($A1780="",ISERROR(VALUE(LEFT($A1780,6)))),"",IF(LEN($A1780)=2,SUMIF($A1781:$A$2965,$A1780&amp;"??",$D1781:$D$2965),IF(AND(LEN($A1780)=4,VALUE(RIGHT($A1780,2))&lt;=60),SUMIF($A1781:$A$2965,$A1780&amp;"????",$D1781:$D$2965),VLOOKUP(IF(LEN($A1780)=4,$A1780&amp;"01 1",$A1780),GUS_tabl_21!$A$5:$F$4886,6,FALSE))))</f>
        <v>8516</v>
      </c>
      <c r="E1780" s="29"/>
    </row>
    <row r="1781" spans="1:5" ht="12" customHeight="1">
      <c r="A1781" s="155" t="str">
        <f>"181806 2"</f>
        <v>181806 2</v>
      </c>
      <c r="B1781" s="153" t="s">
        <v>76</v>
      </c>
      <c r="C1781" s="156" t="str">
        <f>IF(OR($A1781="",ISERROR(VALUE(LEFT($A1781,6)))),"",IF(LEN($A1781)=2,"WOJ. ",IF(LEN($A1781)=4,IF(VALUE(RIGHT($A1781,2))&gt;60,"","Powiat "),IF(VALUE(RIGHT($A1781,1))=1,"m. ",IF(VALUE(RIGHT($A1781,1))=2,"gm. w. ",IF(VALUE(RIGHT($A1781,1))=8,"dz. ","gm. m.-w. ")))))&amp;IF(LEN($A1781)=2,TRIM(UPPER(VLOOKUP($A1781,GUS_tabl_1!$A$7:$B$22,2,FALSE))),IF(ISERROR(FIND("..",TRIM(VLOOKUP(IF(AND(LEN($A1781)=4,VALUE(RIGHT($A1781,2))&gt;60),$A1781&amp;"01 1",$A1781),IF(AND(LEN($A1781)=4,VALUE(RIGHT($A1781,2))&lt;60),GUS_tabl_2!$A$8:$B$464,GUS_tabl_21!$A$5:$B$4886),2,FALSE)))),TRIM(VLOOKUP(IF(AND(LEN($A1781)=4,VALUE(RIGHT($A1781,2))&gt;60),$A1781&amp;"01 1",$A1781),IF(AND(LEN($A1781)=4,VALUE(RIGHT($A1781,2))&lt;60),GUS_tabl_2!$A$8:$B$464,GUS_tabl_21!$A$5:$B$4886),2,FALSE)),LEFT(TRIM(VLOOKUP(IF(AND(LEN($A1781)=4,VALUE(RIGHT($A1781,2))&gt;60),$A1781&amp;"01 1",$A1781),IF(AND(LEN($A1781)=4,VALUE(RIGHT($A1781,2))&lt;60),GUS_tabl_2!$A$8:$B$464,GUS_tabl_21!$A$5:$B$4886),2,FALSE)),SUM(FIND("..",TRIM(VLOOKUP(IF(AND(LEN($A1781)=4,VALUE(RIGHT($A1781,2))&gt;60),$A1781&amp;"01 1",$A1781),IF(AND(LEN($A1781)=4,VALUE(RIGHT($A1781,2))&lt;60),GUS_tabl_2!$A$8:$B$464,GUS_tabl_21!$A$5:$B$4886),2,FALSE))),-1)))))</f>
        <v>gm. w. Zaleszany</v>
      </c>
      <c r="D1781" s="141">
        <f>IF(OR($A1781="",ISERROR(VALUE(LEFT($A1781,6)))),"",IF(LEN($A1781)=2,SUMIF($A1782:$A$2965,$A1781&amp;"??",$D1782:$D$2965),IF(AND(LEN($A1781)=4,VALUE(RIGHT($A1781,2))&lt;=60),SUMIF($A1782:$A$2965,$A1781&amp;"????",$D1782:$D$2965),VLOOKUP(IF(LEN($A1781)=4,$A1781&amp;"01 1",$A1781),GUS_tabl_21!$A$5:$F$4886,6,FALSE))))</f>
        <v>10948</v>
      </c>
      <c r="E1781" s="29"/>
    </row>
    <row r="1782" spans="1:5" ht="12" customHeight="1">
      <c r="A1782" s="152" t="str">
        <f>"1819"</f>
        <v>1819</v>
      </c>
      <c r="B1782" s="153" t="s">
        <v>76</v>
      </c>
      <c r="C1782" s="154" t="str">
        <f>IF(OR($A1782="",ISERROR(VALUE(LEFT($A1782,6)))),"",IF(LEN($A1782)=2,"WOJ. ",IF(LEN($A1782)=4,IF(VALUE(RIGHT($A1782,2))&gt;60,"","Powiat "),IF(VALUE(RIGHT($A1782,1))=1,"m. ",IF(VALUE(RIGHT($A1782,1))=2,"gm. w. ",IF(VALUE(RIGHT($A1782,1))=8,"dz. ","gm. m.-w. ")))))&amp;IF(LEN($A1782)=2,TRIM(UPPER(VLOOKUP($A1782,GUS_tabl_1!$A$7:$B$22,2,FALSE))),IF(ISERROR(FIND("..",TRIM(VLOOKUP(IF(AND(LEN($A1782)=4,VALUE(RIGHT($A1782,2))&gt;60),$A1782&amp;"01 1",$A1782),IF(AND(LEN($A1782)=4,VALUE(RIGHT($A1782,2))&lt;60),GUS_tabl_2!$A$8:$B$464,GUS_tabl_21!$A$5:$B$4886),2,FALSE)))),TRIM(VLOOKUP(IF(AND(LEN($A1782)=4,VALUE(RIGHT($A1782,2))&gt;60),$A1782&amp;"01 1",$A1782),IF(AND(LEN($A1782)=4,VALUE(RIGHT($A1782,2))&lt;60),GUS_tabl_2!$A$8:$B$464,GUS_tabl_21!$A$5:$B$4886),2,FALSE)),LEFT(TRIM(VLOOKUP(IF(AND(LEN($A1782)=4,VALUE(RIGHT($A1782,2))&gt;60),$A1782&amp;"01 1",$A1782),IF(AND(LEN($A1782)=4,VALUE(RIGHT($A1782,2))&lt;60),GUS_tabl_2!$A$8:$B$464,GUS_tabl_21!$A$5:$B$4886),2,FALSE)),SUM(FIND("..",TRIM(VLOOKUP(IF(AND(LEN($A1782)=4,VALUE(RIGHT($A1782,2))&gt;60),$A1782&amp;"01 1",$A1782),IF(AND(LEN($A1782)=4,VALUE(RIGHT($A1782,2))&lt;60),GUS_tabl_2!$A$8:$B$464,GUS_tabl_21!$A$5:$B$4886),2,FALSE))),-1)))))</f>
        <v>Powiat strzyżowski</v>
      </c>
      <c r="D1782" s="140">
        <f>IF(OR($A1782="",ISERROR(VALUE(LEFT($A1782,6)))),"",IF(LEN($A1782)=2,SUMIF($A1783:$A$2965,$A1782&amp;"??",$D1783:$D$2965),IF(AND(LEN($A1782)=4,VALUE(RIGHT($A1782,2))&lt;=60),SUMIF($A1783:$A$2965,$A1782&amp;"????",$D1783:$D$2965),VLOOKUP(IF(LEN($A1782)=4,$A1782&amp;"01 1",$A1782),GUS_tabl_21!$A$5:$F$4886,6,FALSE))))</f>
        <v>61386</v>
      </c>
      <c r="E1782" s="29"/>
    </row>
    <row r="1783" spans="1:5" ht="12" customHeight="1">
      <c r="A1783" s="155" t="str">
        <f>"181901 2"</f>
        <v>181901 2</v>
      </c>
      <c r="B1783" s="153" t="s">
        <v>76</v>
      </c>
      <c r="C1783" s="156" t="str">
        <f>IF(OR($A1783="",ISERROR(VALUE(LEFT($A1783,6)))),"",IF(LEN($A1783)=2,"WOJ. ",IF(LEN($A1783)=4,IF(VALUE(RIGHT($A1783,2))&gt;60,"","Powiat "),IF(VALUE(RIGHT($A1783,1))=1,"m. ",IF(VALUE(RIGHT($A1783,1))=2,"gm. w. ",IF(VALUE(RIGHT($A1783,1))=8,"dz. ","gm. m.-w. ")))))&amp;IF(LEN($A1783)=2,TRIM(UPPER(VLOOKUP($A1783,GUS_tabl_1!$A$7:$B$22,2,FALSE))),IF(ISERROR(FIND("..",TRIM(VLOOKUP(IF(AND(LEN($A1783)=4,VALUE(RIGHT($A1783,2))&gt;60),$A1783&amp;"01 1",$A1783),IF(AND(LEN($A1783)=4,VALUE(RIGHT($A1783,2))&lt;60),GUS_tabl_2!$A$8:$B$464,GUS_tabl_21!$A$5:$B$4886),2,FALSE)))),TRIM(VLOOKUP(IF(AND(LEN($A1783)=4,VALUE(RIGHT($A1783,2))&gt;60),$A1783&amp;"01 1",$A1783),IF(AND(LEN($A1783)=4,VALUE(RIGHT($A1783,2))&lt;60),GUS_tabl_2!$A$8:$B$464,GUS_tabl_21!$A$5:$B$4886),2,FALSE)),LEFT(TRIM(VLOOKUP(IF(AND(LEN($A1783)=4,VALUE(RIGHT($A1783,2))&gt;60),$A1783&amp;"01 1",$A1783),IF(AND(LEN($A1783)=4,VALUE(RIGHT($A1783,2))&lt;60),GUS_tabl_2!$A$8:$B$464,GUS_tabl_21!$A$5:$B$4886),2,FALSE)),SUM(FIND("..",TRIM(VLOOKUP(IF(AND(LEN($A1783)=4,VALUE(RIGHT($A1783,2))&gt;60),$A1783&amp;"01 1",$A1783),IF(AND(LEN($A1783)=4,VALUE(RIGHT($A1783,2))&lt;60),GUS_tabl_2!$A$8:$B$464,GUS_tabl_21!$A$5:$B$4886),2,FALSE))),-1)))))</f>
        <v>gm. w. Czudec</v>
      </c>
      <c r="D1783" s="141">
        <f>IF(OR($A1783="",ISERROR(VALUE(LEFT($A1783,6)))),"",IF(LEN($A1783)=2,SUMIF($A1784:$A$2965,$A1783&amp;"??",$D1784:$D$2965),IF(AND(LEN($A1783)=4,VALUE(RIGHT($A1783,2))&lt;=60),SUMIF($A1784:$A$2965,$A1783&amp;"????",$D1784:$D$2965),VLOOKUP(IF(LEN($A1783)=4,$A1783&amp;"01 1",$A1783),GUS_tabl_21!$A$5:$F$4886,6,FALSE))))</f>
        <v>11808</v>
      </c>
      <c r="E1783" s="29"/>
    </row>
    <row r="1784" spans="1:5" ht="12" customHeight="1">
      <c r="A1784" s="155" t="str">
        <f>"181902 2"</f>
        <v>181902 2</v>
      </c>
      <c r="B1784" s="153" t="s">
        <v>76</v>
      </c>
      <c r="C1784" s="156" t="str">
        <f>IF(OR($A1784="",ISERROR(VALUE(LEFT($A1784,6)))),"",IF(LEN($A1784)=2,"WOJ. ",IF(LEN($A1784)=4,IF(VALUE(RIGHT($A1784,2))&gt;60,"","Powiat "),IF(VALUE(RIGHT($A1784,1))=1,"m. ",IF(VALUE(RIGHT($A1784,1))=2,"gm. w. ",IF(VALUE(RIGHT($A1784,1))=8,"dz. ","gm. m.-w. ")))))&amp;IF(LEN($A1784)=2,TRIM(UPPER(VLOOKUP($A1784,GUS_tabl_1!$A$7:$B$22,2,FALSE))),IF(ISERROR(FIND("..",TRIM(VLOOKUP(IF(AND(LEN($A1784)=4,VALUE(RIGHT($A1784,2))&gt;60),$A1784&amp;"01 1",$A1784),IF(AND(LEN($A1784)=4,VALUE(RIGHT($A1784,2))&lt;60),GUS_tabl_2!$A$8:$B$464,GUS_tabl_21!$A$5:$B$4886),2,FALSE)))),TRIM(VLOOKUP(IF(AND(LEN($A1784)=4,VALUE(RIGHT($A1784,2))&gt;60),$A1784&amp;"01 1",$A1784),IF(AND(LEN($A1784)=4,VALUE(RIGHT($A1784,2))&lt;60),GUS_tabl_2!$A$8:$B$464,GUS_tabl_21!$A$5:$B$4886),2,FALSE)),LEFT(TRIM(VLOOKUP(IF(AND(LEN($A1784)=4,VALUE(RIGHT($A1784,2))&gt;60),$A1784&amp;"01 1",$A1784),IF(AND(LEN($A1784)=4,VALUE(RIGHT($A1784,2))&lt;60),GUS_tabl_2!$A$8:$B$464,GUS_tabl_21!$A$5:$B$4886),2,FALSE)),SUM(FIND("..",TRIM(VLOOKUP(IF(AND(LEN($A1784)=4,VALUE(RIGHT($A1784,2))&gt;60),$A1784&amp;"01 1",$A1784),IF(AND(LEN($A1784)=4,VALUE(RIGHT($A1784,2))&lt;60),GUS_tabl_2!$A$8:$B$464,GUS_tabl_21!$A$5:$B$4886),2,FALSE))),-1)))))</f>
        <v>gm. w. Frysztak</v>
      </c>
      <c r="D1784" s="141">
        <f>IF(OR($A1784="",ISERROR(VALUE(LEFT($A1784,6)))),"",IF(LEN($A1784)=2,SUMIF($A1785:$A$2965,$A1784&amp;"??",$D1785:$D$2965),IF(AND(LEN($A1784)=4,VALUE(RIGHT($A1784,2))&lt;=60),SUMIF($A1785:$A$2965,$A1784&amp;"????",$D1785:$D$2965),VLOOKUP(IF(LEN($A1784)=4,$A1784&amp;"01 1",$A1784),GUS_tabl_21!$A$5:$F$4886,6,FALSE))))</f>
        <v>10361</v>
      </c>
      <c r="E1784" s="29"/>
    </row>
    <row r="1785" spans="1:5" ht="12" customHeight="1">
      <c r="A1785" s="155" t="str">
        <f>"181903 2"</f>
        <v>181903 2</v>
      </c>
      <c r="B1785" s="153" t="s">
        <v>76</v>
      </c>
      <c r="C1785" s="156" t="str">
        <f>IF(OR($A1785="",ISERROR(VALUE(LEFT($A1785,6)))),"",IF(LEN($A1785)=2,"WOJ. ",IF(LEN($A1785)=4,IF(VALUE(RIGHT($A1785,2))&gt;60,"","Powiat "),IF(VALUE(RIGHT($A1785,1))=1,"m. ",IF(VALUE(RIGHT($A1785,1))=2,"gm. w. ",IF(VALUE(RIGHT($A1785,1))=8,"dz. ","gm. m.-w. ")))))&amp;IF(LEN($A1785)=2,TRIM(UPPER(VLOOKUP($A1785,GUS_tabl_1!$A$7:$B$22,2,FALSE))),IF(ISERROR(FIND("..",TRIM(VLOOKUP(IF(AND(LEN($A1785)=4,VALUE(RIGHT($A1785,2))&gt;60),$A1785&amp;"01 1",$A1785),IF(AND(LEN($A1785)=4,VALUE(RIGHT($A1785,2))&lt;60),GUS_tabl_2!$A$8:$B$464,GUS_tabl_21!$A$5:$B$4886),2,FALSE)))),TRIM(VLOOKUP(IF(AND(LEN($A1785)=4,VALUE(RIGHT($A1785,2))&gt;60),$A1785&amp;"01 1",$A1785),IF(AND(LEN($A1785)=4,VALUE(RIGHT($A1785,2))&lt;60),GUS_tabl_2!$A$8:$B$464,GUS_tabl_21!$A$5:$B$4886),2,FALSE)),LEFT(TRIM(VLOOKUP(IF(AND(LEN($A1785)=4,VALUE(RIGHT($A1785,2))&gt;60),$A1785&amp;"01 1",$A1785),IF(AND(LEN($A1785)=4,VALUE(RIGHT($A1785,2))&lt;60),GUS_tabl_2!$A$8:$B$464,GUS_tabl_21!$A$5:$B$4886),2,FALSE)),SUM(FIND("..",TRIM(VLOOKUP(IF(AND(LEN($A1785)=4,VALUE(RIGHT($A1785,2))&gt;60),$A1785&amp;"01 1",$A1785),IF(AND(LEN($A1785)=4,VALUE(RIGHT($A1785,2))&lt;60),GUS_tabl_2!$A$8:$B$464,GUS_tabl_21!$A$5:$B$4886),2,FALSE))),-1)))))</f>
        <v>gm. w. Niebylec</v>
      </c>
      <c r="D1785" s="141">
        <f>IF(OR($A1785="",ISERROR(VALUE(LEFT($A1785,6)))),"",IF(LEN($A1785)=2,SUMIF($A1786:$A$2965,$A1785&amp;"??",$D1786:$D$2965),IF(AND(LEN($A1785)=4,VALUE(RIGHT($A1785,2))&lt;=60),SUMIF($A1786:$A$2965,$A1785&amp;"????",$D1786:$D$2965),VLOOKUP(IF(LEN($A1785)=4,$A1785&amp;"01 1",$A1785),GUS_tabl_21!$A$5:$F$4886,6,FALSE))))</f>
        <v>10541</v>
      </c>
      <c r="E1785" s="29"/>
    </row>
    <row r="1786" spans="1:5" ht="12" customHeight="1">
      <c r="A1786" s="155" t="str">
        <f>"181904 3"</f>
        <v>181904 3</v>
      </c>
      <c r="B1786" s="153" t="s">
        <v>76</v>
      </c>
      <c r="C1786" s="156" t="str">
        <f>IF(OR($A1786="",ISERROR(VALUE(LEFT($A1786,6)))),"",IF(LEN($A1786)=2,"WOJ. ",IF(LEN($A1786)=4,IF(VALUE(RIGHT($A1786,2))&gt;60,"","Powiat "),IF(VALUE(RIGHT($A1786,1))=1,"m. ",IF(VALUE(RIGHT($A1786,1))=2,"gm. w. ",IF(VALUE(RIGHT($A1786,1))=8,"dz. ","gm. m.-w. ")))))&amp;IF(LEN($A1786)=2,TRIM(UPPER(VLOOKUP($A1786,GUS_tabl_1!$A$7:$B$22,2,FALSE))),IF(ISERROR(FIND("..",TRIM(VLOOKUP(IF(AND(LEN($A1786)=4,VALUE(RIGHT($A1786,2))&gt;60),$A1786&amp;"01 1",$A1786),IF(AND(LEN($A1786)=4,VALUE(RIGHT($A1786,2))&lt;60),GUS_tabl_2!$A$8:$B$464,GUS_tabl_21!$A$5:$B$4886),2,FALSE)))),TRIM(VLOOKUP(IF(AND(LEN($A1786)=4,VALUE(RIGHT($A1786,2))&gt;60),$A1786&amp;"01 1",$A1786),IF(AND(LEN($A1786)=4,VALUE(RIGHT($A1786,2))&lt;60),GUS_tabl_2!$A$8:$B$464,GUS_tabl_21!$A$5:$B$4886),2,FALSE)),LEFT(TRIM(VLOOKUP(IF(AND(LEN($A1786)=4,VALUE(RIGHT($A1786,2))&gt;60),$A1786&amp;"01 1",$A1786),IF(AND(LEN($A1786)=4,VALUE(RIGHT($A1786,2))&lt;60),GUS_tabl_2!$A$8:$B$464,GUS_tabl_21!$A$5:$B$4886),2,FALSE)),SUM(FIND("..",TRIM(VLOOKUP(IF(AND(LEN($A1786)=4,VALUE(RIGHT($A1786,2))&gt;60),$A1786&amp;"01 1",$A1786),IF(AND(LEN($A1786)=4,VALUE(RIGHT($A1786,2))&lt;60),GUS_tabl_2!$A$8:$B$464,GUS_tabl_21!$A$5:$B$4886),2,FALSE))),-1)))))</f>
        <v>gm. m.-w. Strzyżów</v>
      </c>
      <c r="D1786" s="141">
        <f>IF(OR($A1786="",ISERROR(VALUE(LEFT($A1786,6)))),"",IF(LEN($A1786)=2,SUMIF($A1787:$A$2965,$A1786&amp;"??",$D1787:$D$2965),IF(AND(LEN($A1786)=4,VALUE(RIGHT($A1786,2))&lt;=60),SUMIF($A1787:$A$2965,$A1786&amp;"????",$D1787:$D$2965),VLOOKUP(IF(LEN($A1786)=4,$A1786&amp;"01 1",$A1786),GUS_tabl_21!$A$5:$F$4886,6,FALSE))))</f>
        <v>20677</v>
      </c>
      <c r="E1786" s="29"/>
    </row>
    <row r="1787" spans="1:5" ht="12" customHeight="1">
      <c r="A1787" s="155" t="str">
        <f>"181905 2"</f>
        <v>181905 2</v>
      </c>
      <c r="B1787" s="153" t="s">
        <v>76</v>
      </c>
      <c r="C1787" s="156" t="str">
        <f>IF(OR($A1787="",ISERROR(VALUE(LEFT($A1787,6)))),"",IF(LEN($A1787)=2,"WOJ. ",IF(LEN($A1787)=4,IF(VALUE(RIGHT($A1787,2))&gt;60,"","Powiat "),IF(VALUE(RIGHT($A1787,1))=1,"m. ",IF(VALUE(RIGHT($A1787,1))=2,"gm. w. ",IF(VALUE(RIGHT($A1787,1))=8,"dz. ","gm. m.-w. ")))))&amp;IF(LEN($A1787)=2,TRIM(UPPER(VLOOKUP($A1787,GUS_tabl_1!$A$7:$B$22,2,FALSE))),IF(ISERROR(FIND("..",TRIM(VLOOKUP(IF(AND(LEN($A1787)=4,VALUE(RIGHT($A1787,2))&gt;60),$A1787&amp;"01 1",$A1787),IF(AND(LEN($A1787)=4,VALUE(RIGHT($A1787,2))&lt;60),GUS_tabl_2!$A$8:$B$464,GUS_tabl_21!$A$5:$B$4886),2,FALSE)))),TRIM(VLOOKUP(IF(AND(LEN($A1787)=4,VALUE(RIGHT($A1787,2))&gt;60),$A1787&amp;"01 1",$A1787),IF(AND(LEN($A1787)=4,VALUE(RIGHT($A1787,2))&lt;60),GUS_tabl_2!$A$8:$B$464,GUS_tabl_21!$A$5:$B$4886),2,FALSE)),LEFT(TRIM(VLOOKUP(IF(AND(LEN($A1787)=4,VALUE(RIGHT($A1787,2))&gt;60),$A1787&amp;"01 1",$A1787),IF(AND(LEN($A1787)=4,VALUE(RIGHT($A1787,2))&lt;60),GUS_tabl_2!$A$8:$B$464,GUS_tabl_21!$A$5:$B$4886),2,FALSE)),SUM(FIND("..",TRIM(VLOOKUP(IF(AND(LEN($A1787)=4,VALUE(RIGHT($A1787,2))&gt;60),$A1787&amp;"01 1",$A1787),IF(AND(LEN($A1787)=4,VALUE(RIGHT($A1787,2))&lt;60),GUS_tabl_2!$A$8:$B$464,GUS_tabl_21!$A$5:$B$4886),2,FALSE))),-1)))))</f>
        <v>gm. w. Wiśniowa</v>
      </c>
      <c r="D1787" s="141">
        <f>IF(OR($A1787="",ISERROR(VALUE(LEFT($A1787,6)))),"",IF(LEN($A1787)=2,SUMIF($A1788:$A$2965,$A1787&amp;"??",$D1788:$D$2965),IF(AND(LEN($A1787)=4,VALUE(RIGHT($A1787,2))&lt;=60),SUMIF($A1788:$A$2965,$A1787&amp;"????",$D1788:$D$2965),VLOOKUP(IF(LEN($A1787)=4,$A1787&amp;"01 1",$A1787),GUS_tabl_21!$A$5:$F$4886,6,FALSE))))</f>
        <v>7999</v>
      </c>
      <c r="E1787" s="29"/>
    </row>
    <row r="1788" spans="1:5" ht="12" customHeight="1">
      <c r="A1788" s="152" t="str">
        <f>"1820"</f>
        <v>1820</v>
      </c>
      <c r="B1788" s="153" t="s">
        <v>76</v>
      </c>
      <c r="C1788" s="154" t="str">
        <f>IF(OR($A1788="",ISERROR(VALUE(LEFT($A1788,6)))),"",IF(LEN($A1788)=2,"WOJ. ",IF(LEN($A1788)=4,IF(VALUE(RIGHT($A1788,2))&gt;60,"","Powiat "),IF(VALUE(RIGHT($A1788,1))=1,"m. ",IF(VALUE(RIGHT($A1788,1))=2,"gm. w. ",IF(VALUE(RIGHT($A1788,1))=8,"dz. ","gm. m.-w. ")))))&amp;IF(LEN($A1788)=2,TRIM(UPPER(VLOOKUP($A1788,GUS_tabl_1!$A$7:$B$22,2,FALSE))),IF(ISERROR(FIND("..",TRIM(VLOOKUP(IF(AND(LEN($A1788)=4,VALUE(RIGHT($A1788,2))&gt;60),$A1788&amp;"01 1",$A1788),IF(AND(LEN($A1788)=4,VALUE(RIGHT($A1788,2))&lt;60),GUS_tabl_2!$A$8:$B$464,GUS_tabl_21!$A$5:$B$4886),2,FALSE)))),TRIM(VLOOKUP(IF(AND(LEN($A1788)=4,VALUE(RIGHT($A1788,2))&gt;60),$A1788&amp;"01 1",$A1788),IF(AND(LEN($A1788)=4,VALUE(RIGHT($A1788,2))&lt;60),GUS_tabl_2!$A$8:$B$464,GUS_tabl_21!$A$5:$B$4886),2,FALSE)),LEFT(TRIM(VLOOKUP(IF(AND(LEN($A1788)=4,VALUE(RIGHT($A1788,2))&gt;60),$A1788&amp;"01 1",$A1788),IF(AND(LEN($A1788)=4,VALUE(RIGHT($A1788,2))&lt;60),GUS_tabl_2!$A$8:$B$464,GUS_tabl_21!$A$5:$B$4886),2,FALSE)),SUM(FIND("..",TRIM(VLOOKUP(IF(AND(LEN($A1788)=4,VALUE(RIGHT($A1788,2))&gt;60),$A1788&amp;"01 1",$A1788),IF(AND(LEN($A1788)=4,VALUE(RIGHT($A1788,2))&lt;60),GUS_tabl_2!$A$8:$B$464,GUS_tabl_21!$A$5:$B$4886),2,FALSE))),-1)))))</f>
        <v>Powiat tarnobrzeski</v>
      </c>
      <c r="D1788" s="140">
        <f>IF(OR($A1788="",ISERROR(VALUE(LEFT($A1788,6)))),"",IF(LEN($A1788)=2,SUMIF($A1789:$A$2965,$A1788&amp;"??",$D1789:$D$2965),IF(AND(LEN($A1788)=4,VALUE(RIGHT($A1788,2))&lt;=60),SUMIF($A1789:$A$2965,$A1788&amp;"????",$D1789:$D$2965),VLOOKUP(IF(LEN($A1788)=4,$A1788&amp;"01 1",$A1788),GUS_tabl_21!$A$5:$F$4886,6,FALSE))))</f>
        <v>52965</v>
      </c>
      <c r="E1788" s="29"/>
    </row>
    <row r="1789" spans="1:5" ht="12" customHeight="1">
      <c r="A1789" s="155" t="str">
        <f>"182001 3"</f>
        <v>182001 3</v>
      </c>
      <c r="B1789" s="153" t="s">
        <v>76</v>
      </c>
      <c r="C1789" s="156" t="str">
        <f>IF(OR($A1789="",ISERROR(VALUE(LEFT($A1789,6)))),"",IF(LEN($A1789)=2,"WOJ. ",IF(LEN($A1789)=4,IF(VALUE(RIGHT($A1789,2))&gt;60,"","Powiat "),IF(VALUE(RIGHT($A1789,1))=1,"m. ",IF(VALUE(RIGHT($A1789,1))=2,"gm. w. ",IF(VALUE(RIGHT($A1789,1))=8,"dz. ","gm. m.-w. ")))))&amp;IF(LEN($A1789)=2,TRIM(UPPER(VLOOKUP($A1789,GUS_tabl_1!$A$7:$B$22,2,FALSE))),IF(ISERROR(FIND("..",TRIM(VLOOKUP(IF(AND(LEN($A1789)=4,VALUE(RIGHT($A1789,2))&gt;60),$A1789&amp;"01 1",$A1789),IF(AND(LEN($A1789)=4,VALUE(RIGHT($A1789,2))&lt;60),GUS_tabl_2!$A$8:$B$464,GUS_tabl_21!$A$5:$B$4886),2,FALSE)))),TRIM(VLOOKUP(IF(AND(LEN($A1789)=4,VALUE(RIGHT($A1789,2))&gt;60),$A1789&amp;"01 1",$A1789),IF(AND(LEN($A1789)=4,VALUE(RIGHT($A1789,2))&lt;60),GUS_tabl_2!$A$8:$B$464,GUS_tabl_21!$A$5:$B$4886),2,FALSE)),LEFT(TRIM(VLOOKUP(IF(AND(LEN($A1789)=4,VALUE(RIGHT($A1789,2))&gt;60),$A1789&amp;"01 1",$A1789),IF(AND(LEN($A1789)=4,VALUE(RIGHT($A1789,2))&lt;60),GUS_tabl_2!$A$8:$B$464,GUS_tabl_21!$A$5:$B$4886),2,FALSE)),SUM(FIND("..",TRIM(VLOOKUP(IF(AND(LEN($A1789)=4,VALUE(RIGHT($A1789,2))&gt;60),$A1789&amp;"01 1",$A1789),IF(AND(LEN($A1789)=4,VALUE(RIGHT($A1789,2))&lt;60),GUS_tabl_2!$A$8:$B$464,GUS_tabl_21!$A$5:$B$4886),2,FALSE))),-1)))))</f>
        <v>gm. m.-w. Baranów Sandomierski</v>
      </c>
      <c r="D1789" s="141">
        <f>IF(OR($A1789="",ISERROR(VALUE(LEFT($A1789,6)))),"",IF(LEN($A1789)=2,SUMIF($A1790:$A$2965,$A1789&amp;"??",$D1790:$D$2965),IF(AND(LEN($A1789)=4,VALUE(RIGHT($A1789,2))&lt;=60),SUMIF($A1790:$A$2965,$A1789&amp;"????",$D1790:$D$2965),VLOOKUP(IF(LEN($A1789)=4,$A1789&amp;"01 1",$A1789),GUS_tabl_21!$A$5:$F$4886,6,FALSE))))</f>
        <v>11852</v>
      </c>
      <c r="E1789" s="29"/>
    </row>
    <row r="1790" spans="1:5" ht="12" customHeight="1">
      <c r="A1790" s="155" t="str">
        <f>"182002 2"</f>
        <v>182002 2</v>
      </c>
      <c r="B1790" s="153" t="s">
        <v>76</v>
      </c>
      <c r="C1790" s="156" t="str">
        <f>IF(OR($A1790="",ISERROR(VALUE(LEFT($A1790,6)))),"",IF(LEN($A1790)=2,"WOJ. ",IF(LEN($A1790)=4,IF(VALUE(RIGHT($A1790,2))&gt;60,"","Powiat "),IF(VALUE(RIGHT($A1790,1))=1,"m. ",IF(VALUE(RIGHT($A1790,1))=2,"gm. w. ",IF(VALUE(RIGHT($A1790,1))=8,"dz. ","gm. m.-w. ")))))&amp;IF(LEN($A1790)=2,TRIM(UPPER(VLOOKUP($A1790,GUS_tabl_1!$A$7:$B$22,2,FALSE))),IF(ISERROR(FIND("..",TRIM(VLOOKUP(IF(AND(LEN($A1790)=4,VALUE(RIGHT($A1790,2))&gt;60),$A1790&amp;"01 1",$A1790),IF(AND(LEN($A1790)=4,VALUE(RIGHT($A1790,2))&lt;60),GUS_tabl_2!$A$8:$B$464,GUS_tabl_21!$A$5:$B$4886),2,FALSE)))),TRIM(VLOOKUP(IF(AND(LEN($A1790)=4,VALUE(RIGHT($A1790,2))&gt;60),$A1790&amp;"01 1",$A1790),IF(AND(LEN($A1790)=4,VALUE(RIGHT($A1790,2))&lt;60),GUS_tabl_2!$A$8:$B$464,GUS_tabl_21!$A$5:$B$4886),2,FALSE)),LEFT(TRIM(VLOOKUP(IF(AND(LEN($A1790)=4,VALUE(RIGHT($A1790,2))&gt;60),$A1790&amp;"01 1",$A1790),IF(AND(LEN($A1790)=4,VALUE(RIGHT($A1790,2))&lt;60),GUS_tabl_2!$A$8:$B$464,GUS_tabl_21!$A$5:$B$4886),2,FALSE)),SUM(FIND("..",TRIM(VLOOKUP(IF(AND(LEN($A1790)=4,VALUE(RIGHT($A1790,2))&gt;60),$A1790&amp;"01 1",$A1790),IF(AND(LEN($A1790)=4,VALUE(RIGHT($A1790,2))&lt;60),GUS_tabl_2!$A$8:$B$464,GUS_tabl_21!$A$5:$B$4886),2,FALSE))),-1)))))</f>
        <v>gm. w. Gorzyce</v>
      </c>
      <c r="D1790" s="141">
        <f>IF(OR($A1790="",ISERROR(VALUE(LEFT($A1790,6)))),"",IF(LEN($A1790)=2,SUMIF($A1791:$A$2965,$A1790&amp;"??",$D1791:$D$2965),IF(AND(LEN($A1790)=4,VALUE(RIGHT($A1790,2))&lt;=60),SUMIF($A1791:$A$2965,$A1790&amp;"????",$D1791:$D$2965),VLOOKUP(IF(LEN($A1790)=4,$A1790&amp;"01 1",$A1790),GUS_tabl_21!$A$5:$F$4886,6,FALSE))))</f>
        <v>13102</v>
      </c>
      <c r="E1790" s="29"/>
    </row>
    <row r="1791" spans="1:5" ht="12" customHeight="1">
      <c r="A1791" s="155" t="str">
        <f>"182003 2"</f>
        <v>182003 2</v>
      </c>
      <c r="B1791" s="153" t="s">
        <v>76</v>
      </c>
      <c r="C1791" s="156" t="str">
        <f>IF(OR($A1791="",ISERROR(VALUE(LEFT($A1791,6)))),"",IF(LEN($A1791)=2,"WOJ. ",IF(LEN($A1791)=4,IF(VALUE(RIGHT($A1791,2))&gt;60,"","Powiat "),IF(VALUE(RIGHT($A1791,1))=1,"m. ",IF(VALUE(RIGHT($A1791,1))=2,"gm. w. ",IF(VALUE(RIGHT($A1791,1))=8,"dz. ","gm. m.-w. ")))))&amp;IF(LEN($A1791)=2,TRIM(UPPER(VLOOKUP($A1791,GUS_tabl_1!$A$7:$B$22,2,FALSE))),IF(ISERROR(FIND("..",TRIM(VLOOKUP(IF(AND(LEN($A1791)=4,VALUE(RIGHT($A1791,2))&gt;60),$A1791&amp;"01 1",$A1791),IF(AND(LEN($A1791)=4,VALUE(RIGHT($A1791,2))&lt;60),GUS_tabl_2!$A$8:$B$464,GUS_tabl_21!$A$5:$B$4886),2,FALSE)))),TRIM(VLOOKUP(IF(AND(LEN($A1791)=4,VALUE(RIGHT($A1791,2))&gt;60),$A1791&amp;"01 1",$A1791),IF(AND(LEN($A1791)=4,VALUE(RIGHT($A1791,2))&lt;60),GUS_tabl_2!$A$8:$B$464,GUS_tabl_21!$A$5:$B$4886),2,FALSE)),LEFT(TRIM(VLOOKUP(IF(AND(LEN($A1791)=4,VALUE(RIGHT($A1791,2))&gt;60),$A1791&amp;"01 1",$A1791),IF(AND(LEN($A1791)=4,VALUE(RIGHT($A1791,2))&lt;60),GUS_tabl_2!$A$8:$B$464,GUS_tabl_21!$A$5:$B$4886),2,FALSE)),SUM(FIND("..",TRIM(VLOOKUP(IF(AND(LEN($A1791)=4,VALUE(RIGHT($A1791,2))&gt;60),$A1791&amp;"01 1",$A1791),IF(AND(LEN($A1791)=4,VALUE(RIGHT($A1791,2))&lt;60),GUS_tabl_2!$A$8:$B$464,GUS_tabl_21!$A$5:$B$4886),2,FALSE))),-1)))))</f>
        <v>gm. w. Grębów</v>
      </c>
      <c r="D1791" s="141">
        <f>IF(OR($A1791="",ISERROR(VALUE(LEFT($A1791,6)))),"",IF(LEN($A1791)=2,SUMIF($A1792:$A$2965,$A1791&amp;"??",$D1792:$D$2965),IF(AND(LEN($A1791)=4,VALUE(RIGHT($A1791,2))&lt;=60),SUMIF($A1792:$A$2965,$A1791&amp;"????",$D1792:$D$2965),VLOOKUP(IF(LEN($A1791)=4,$A1791&amp;"01 1",$A1791),GUS_tabl_21!$A$5:$F$4886,6,FALSE))))</f>
        <v>9984</v>
      </c>
      <c r="E1791" s="29"/>
    </row>
    <row r="1792" spans="1:5" ht="12" customHeight="1">
      <c r="A1792" s="155" t="str">
        <f>"182004 3"</f>
        <v>182004 3</v>
      </c>
      <c r="B1792" s="153" t="s">
        <v>76</v>
      </c>
      <c r="C1792" s="156" t="str">
        <f>IF(OR($A1792="",ISERROR(VALUE(LEFT($A1792,6)))),"",IF(LEN($A1792)=2,"WOJ. ",IF(LEN($A1792)=4,IF(VALUE(RIGHT($A1792,2))&gt;60,"","Powiat "),IF(VALUE(RIGHT($A1792,1))=1,"m. ",IF(VALUE(RIGHT($A1792,1))=2,"gm. w. ",IF(VALUE(RIGHT($A1792,1))=8,"dz. ","gm. m.-w. ")))))&amp;IF(LEN($A1792)=2,TRIM(UPPER(VLOOKUP($A1792,GUS_tabl_1!$A$7:$B$22,2,FALSE))),IF(ISERROR(FIND("..",TRIM(VLOOKUP(IF(AND(LEN($A1792)=4,VALUE(RIGHT($A1792,2))&gt;60),$A1792&amp;"01 1",$A1792),IF(AND(LEN($A1792)=4,VALUE(RIGHT($A1792,2))&lt;60),GUS_tabl_2!$A$8:$B$464,GUS_tabl_21!$A$5:$B$4886),2,FALSE)))),TRIM(VLOOKUP(IF(AND(LEN($A1792)=4,VALUE(RIGHT($A1792,2))&gt;60),$A1792&amp;"01 1",$A1792),IF(AND(LEN($A1792)=4,VALUE(RIGHT($A1792,2))&lt;60),GUS_tabl_2!$A$8:$B$464,GUS_tabl_21!$A$5:$B$4886),2,FALSE)),LEFT(TRIM(VLOOKUP(IF(AND(LEN($A1792)=4,VALUE(RIGHT($A1792,2))&gt;60),$A1792&amp;"01 1",$A1792),IF(AND(LEN($A1792)=4,VALUE(RIGHT($A1792,2))&lt;60),GUS_tabl_2!$A$8:$B$464,GUS_tabl_21!$A$5:$B$4886),2,FALSE)),SUM(FIND("..",TRIM(VLOOKUP(IF(AND(LEN($A1792)=4,VALUE(RIGHT($A1792,2))&gt;60),$A1792&amp;"01 1",$A1792),IF(AND(LEN($A1792)=4,VALUE(RIGHT($A1792,2))&lt;60),GUS_tabl_2!$A$8:$B$464,GUS_tabl_21!$A$5:$B$4886),2,FALSE))),-1)))))</f>
        <v>gm. m.-w. Nowa Dęba</v>
      </c>
      <c r="D1792" s="141">
        <f>IF(OR($A1792="",ISERROR(VALUE(LEFT($A1792,6)))),"",IF(LEN($A1792)=2,SUMIF($A1793:$A$2965,$A1792&amp;"??",$D1793:$D$2965),IF(AND(LEN($A1792)=4,VALUE(RIGHT($A1792,2))&lt;=60),SUMIF($A1793:$A$2965,$A1792&amp;"????",$D1793:$D$2965),VLOOKUP(IF(LEN($A1792)=4,$A1792&amp;"01 1",$A1792),GUS_tabl_21!$A$5:$F$4886,6,FALSE))))</f>
        <v>18027</v>
      </c>
      <c r="E1792" s="29"/>
    </row>
    <row r="1793" spans="1:5" ht="12" customHeight="1">
      <c r="A1793" s="152"/>
      <c r="B1793" s="153" t="s">
        <v>76</v>
      </c>
      <c r="C1793" s="154" t="s">
        <v>0</v>
      </c>
      <c r="D1793" s="140" t="str">
        <f>IF(OR($A1793="",ISERROR(VALUE(LEFT($A1793,6)))),"",IF(LEN($A1793)=2,SUMIF($A1794:$A$2965,$A1793&amp;"??",$D1794:$D$2965),IF(AND(LEN($A1793)=4,VALUE(RIGHT($A1793,2))&lt;=60),SUMIF($A1794:$A$2965,$A1793&amp;"????",$D1794:$D$2965),VLOOKUP(IF(LEN($A1793)=4,$A1793&amp;"01 1",$A1793),GUS_tabl_21!$A$5:$F$4886,6,FALSE))))</f>
        <v/>
      </c>
      <c r="E1793" s="29"/>
    </row>
    <row r="1794" spans="1:5" ht="12" customHeight="1">
      <c r="A1794" s="152"/>
      <c r="B1794" s="153" t="s">
        <v>76</v>
      </c>
      <c r="C1794" s="162" t="s">
        <v>1</v>
      </c>
      <c r="D1794" s="140" t="str">
        <f>IF(OR($A1794="",ISERROR(VALUE(LEFT($A1794,6)))),"",IF(LEN($A1794)=2,SUMIF($A1795:$A$2965,$A1794&amp;"??",$D1795:$D$2965),IF(AND(LEN($A1794)=4,VALUE(RIGHT($A1794,2))&lt;=60),SUMIF($A1795:$A$2965,$A1794&amp;"????",$D1795:$D$2965),VLOOKUP(IF(LEN($A1794)=4,$A1794&amp;"01 1",$A1794),GUS_tabl_21!$A$5:$F$4886,6,FALSE))))</f>
        <v/>
      </c>
      <c r="E1794" s="29"/>
    </row>
    <row r="1795" spans="1:5" ht="12" customHeight="1">
      <c r="A1795" s="152" t="str">
        <f>"1861"</f>
        <v>1861</v>
      </c>
      <c r="B1795" s="153" t="s">
        <v>76</v>
      </c>
      <c r="C1795" s="154" t="str">
        <f>IF(OR($A1795="",ISERROR(VALUE(LEFT($A1795,6)))),"",IF(LEN($A1795)=2,"WOJ. ",IF(LEN($A1795)=4,IF(VALUE(RIGHT($A1795,2))&gt;60,"","Powiat "),IF(VALUE(RIGHT($A1795,1))=1,"m. ",IF(VALUE(RIGHT($A1795,1))=2,"gm. w. ",IF(VALUE(RIGHT($A1795,1))=8,"dz. ","gm. m.-w. ")))))&amp;IF(LEN($A1795)=2,TRIM(UPPER(VLOOKUP($A1795,GUS_tabl_1!$A$7:$B$22,2,FALSE))),IF(ISERROR(FIND("..",TRIM(VLOOKUP(IF(AND(LEN($A1795)=4,VALUE(RIGHT($A1795,2))&gt;60),$A1795&amp;"01 1",$A1795),IF(AND(LEN($A1795)=4,VALUE(RIGHT($A1795,2))&lt;60),GUS_tabl_2!$A$8:$B$464,GUS_tabl_21!$A$5:$B$4886),2,FALSE)))),TRIM(VLOOKUP(IF(AND(LEN($A1795)=4,VALUE(RIGHT($A1795,2))&gt;60),$A1795&amp;"01 1",$A1795),IF(AND(LEN($A1795)=4,VALUE(RIGHT($A1795,2))&lt;60),GUS_tabl_2!$A$8:$B$464,GUS_tabl_21!$A$5:$B$4886),2,FALSE)),LEFT(TRIM(VLOOKUP(IF(AND(LEN($A1795)=4,VALUE(RIGHT($A1795,2))&gt;60),$A1795&amp;"01 1",$A1795),IF(AND(LEN($A1795)=4,VALUE(RIGHT($A1795,2))&lt;60),GUS_tabl_2!$A$8:$B$464,GUS_tabl_21!$A$5:$B$4886),2,FALSE)),SUM(FIND("..",TRIM(VLOOKUP(IF(AND(LEN($A1795)=4,VALUE(RIGHT($A1795,2))&gt;60),$A1795&amp;"01 1",$A1795),IF(AND(LEN($A1795)=4,VALUE(RIGHT($A1795,2))&lt;60),GUS_tabl_2!$A$8:$B$464,GUS_tabl_21!$A$5:$B$4886),2,FALSE))),-1)))))</f>
        <v>Krosno</v>
      </c>
      <c r="D1795" s="140">
        <f>IF(OR($A1795="",ISERROR(VALUE(LEFT($A1795,6)))),"",IF(LEN($A1795)=2,SUMIF($A1796:$A$2965,$A1795&amp;"??",$D1796:$D$2965),IF(AND(LEN($A1795)=4,VALUE(RIGHT($A1795,2))&lt;=60),SUMIF($A1796:$A$2965,$A1795&amp;"????",$D1796:$D$2965),VLOOKUP(IF(LEN($A1795)=4,$A1795&amp;"01 1",$A1795),GUS_tabl_21!$A$5:$F$4886,6,FALSE))))</f>
        <v>46291</v>
      </c>
      <c r="E1795" s="29"/>
    </row>
    <row r="1796" spans="1:5" ht="12" customHeight="1">
      <c r="A1796" s="152" t="str">
        <f>"1862"</f>
        <v>1862</v>
      </c>
      <c r="B1796" s="153" t="s">
        <v>76</v>
      </c>
      <c r="C1796" s="154" t="str">
        <f>IF(OR($A1796="",ISERROR(VALUE(LEFT($A1796,6)))),"",IF(LEN($A1796)=2,"WOJ. ",IF(LEN($A1796)=4,IF(VALUE(RIGHT($A1796,2))&gt;60,"","Powiat "),IF(VALUE(RIGHT($A1796,1))=1,"m. ",IF(VALUE(RIGHT($A1796,1))=2,"gm. w. ",IF(VALUE(RIGHT($A1796,1))=8,"dz. ","gm. m.-w. ")))))&amp;IF(LEN($A1796)=2,TRIM(UPPER(VLOOKUP($A1796,GUS_tabl_1!$A$7:$B$22,2,FALSE))),IF(ISERROR(FIND("..",TRIM(VLOOKUP(IF(AND(LEN($A1796)=4,VALUE(RIGHT($A1796,2))&gt;60),$A1796&amp;"01 1",$A1796),IF(AND(LEN($A1796)=4,VALUE(RIGHT($A1796,2))&lt;60),GUS_tabl_2!$A$8:$B$464,GUS_tabl_21!$A$5:$B$4886),2,FALSE)))),TRIM(VLOOKUP(IF(AND(LEN($A1796)=4,VALUE(RIGHT($A1796,2))&gt;60),$A1796&amp;"01 1",$A1796),IF(AND(LEN($A1796)=4,VALUE(RIGHT($A1796,2))&lt;60),GUS_tabl_2!$A$8:$B$464,GUS_tabl_21!$A$5:$B$4886),2,FALSE)),LEFT(TRIM(VLOOKUP(IF(AND(LEN($A1796)=4,VALUE(RIGHT($A1796,2))&gt;60),$A1796&amp;"01 1",$A1796),IF(AND(LEN($A1796)=4,VALUE(RIGHT($A1796,2))&lt;60),GUS_tabl_2!$A$8:$B$464,GUS_tabl_21!$A$5:$B$4886),2,FALSE)),SUM(FIND("..",TRIM(VLOOKUP(IF(AND(LEN($A1796)=4,VALUE(RIGHT($A1796,2))&gt;60),$A1796&amp;"01 1",$A1796),IF(AND(LEN($A1796)=4,VALUE(RIGHT($A1796,2))&lt;60),GUS_tabl_2!$A$8:$B$464,GUS_tabl_21!$A$5:$B$4886),2,FALSE))),-1)))))</f>
        <v>Przemyśl (c)</v>
      </c>
      <c r="D1796" s="140">
        <f>IF(OR($A1796="",ISERROR(VALUE(LEFT($A1796,6)))),"",IF(LEN($A1796)=2,SUMIF($A1797:$A$2965,$A1796&amp;"??",$D1797:$D$2965),IF(AND(LEN($A1796)=4,VALUE(RIGHT($A1796,2))&lt;=60),SUMIF($A1797:$A$2965,$A1796&amp;"????",$D1797:$D$2965),VLOOKUP(IF(LEN($A1796)=4,$A1796&amp;"01 1",$A1796),GUS_tabl_21!$A$5:$F$4886,6,FALSE))))</f>
        <v>60689</v>
      </c>
      <c r="E1796" s="29"/>
    </row>
    <row r="1797" spans="1:5" ht="12" customHeight="1">
      <c r="A1797" s="152" t="str">
        <f>"1863"</f>
        <v>1863</v>
      </c>
      <c r="B1797" s="153" t="s">
        <v>76</v>
      </c>
      <c r="C1797" s="154" t="str">
        <f>IF(OR($A1797="",ISERROR(VALUE(LEFT($A1797,6)))),"",IF(LEN($A1797)=2,"WOJ. ",IF(LEN($A1797)=4,IF(VALUE(RIGHT($A1797,2))&gt;60,"","Powiat "),IF(VALUE(RIGHT($A1797,1))=1,"m. ",IF(VALUE(RIGHT($A1797,1))=2,"gm. w. ",IF(VALUE(RIGHT($A1797,1))=8,"dz. ","gm. m.-w. ")))))&amp;IF(LEN($A1797)=2,TRIM(UPPER(VLOOKUP($A1797,GUS_tabl_1!$A$7:$B$22,2,FALSE))),IF(ISERROR(FIND("..",TRIM(VLOOKUP(IF(AND(LEN($A1797)=4,VALUE(RIGHT($A1797,2))&gt;60),$A1797&amp;"01 1",$A1797),IF(AND(LEN($A1797)=4,VALUE(RIGHT($A1797,2))&lt;60),GUS_tabl_2!$A$8:$B$464,GUS_tabl_21!$A$5:$B$4886),2,FALSE)))),TRIM(VLOOKUP(IF(AND(LEN($A1797)=4,VALUE(RIGHT($A1797,2))&gt;60),$A1797&amp;"01 1",$A1797),IF(AND(LEN($A1797)=4,VALUE(RIGHT($A1797,2))&lt;60),GUS_tabl_2!$A$8:$B$464,GUS_tabl_21!$A$5:$B$4886),2,FALSE)),LEFT(TRIM(VLOOKUP(IF(AND(LEN($A1797)=4,VALUE(RIGHT($A1797,2))&gt;60),$A1797&amp;"01 1",$A1797),IF(AND(LEN($A1797)=4,VALUE(RIGHT($A1797,2))&lt;60),GUS_tabl_2!$A$8:$B$464,GUS_tabl_21!$A$5:$B$4886),2,FALSE)),SUM(FIND("..",TRIM(VLOOKUP(IF(AND(LEN($A1797)=4,VALUE(RIGHT($A1797,2))&gt;60),$A1797&amp;"01 1",$A1797),IF(AND(LEN($A1797)=4,VALUE(RIGHT($A1797,2))&lt;60),GUS_tabl_2!$A$8:$B$464,GUS_tabl_21!$A$5:$B$4886),2,FALSE))),-1)))))</f>
        <v>Rzeszów (a)</v>
      </c>
      <c r="D1797" s="140">
        <f>IF(OR($A1797="",ISERROR(VALUE(LEFT($A1797,6)))),"",IF(LEN($A1797)=2,SUMIF($A1798:$A$2965,$A1797&amp;"??",$D1798:$D$2965),IF(AND(LEN($A1797)=4,VALUE(RIGHT($A1797,2))&lt;=60),SUMIF($A1798:$A$2965,$A1797&amp;"????",$D1798:$D$2965),VLOOKUP(IF(LEN($A1797)=4,$A1797&amp;"01 1",$A1797),GUS_tabl_21!$A$5:$F$4886,6,FALSE))))</f>
        <v>196208</v>
      </c>
      <c r="E1797" s="29"/>
    </row>
    <row r="1798" spans="1:5" ht="12" customHeight="1" thickBot="1">
      <c r="A1798" s="152" t="str">
        <f>"1864"</f>
        <v>1864</v>
      </c>
      <c r="B1798" s="153" t="s">
        <v>76</v>
      </c>
      <c r="C1798" s="154" t="str">
        <f>IF(OR($A1798="",ISERROR(VALUE(LEFT($A1798,6)))),"",IF(LEN($A1798)=2,"WOJ. ",IF(LEN($A1798)=4,IF(VALUE(RIGHT($A1798,2))&gt;60,"","Powiat "),IF(VALUE(RIGHT($A1798,1))=1,"m. ",IF(VALUE(RIGHT($A1798,1))=2,"gm. w. ",IF(VALUE(RIGHT($A1798,1))=8,"dz. ","gm. m.-w. ")))))&amp;IF(LEN($A1798)=2,TRIM(UPPER(VLOOKUP($A1798,GUS_tabl_1!$A$7:$B$22,2,FALSE))),IF(ISERROR(FIND("..",TRIM(VLOOKUP(IF(AND(LEN($A1798)=4,VALUE(RIGHT($A1798,2))&gt;60),$A1798&amp;"01 1",$A1798),IF(AND(LEN($A1798)=4,VALUE(RIGHT($A1798,2))&lt;60),GUS_tabl_2!$A$8:$B$464,GUS_tabl_21!$A$5:$B$4886),2,FALSE)))),TRIM(VLOOKUP(IF(AND(LEN($A1798)=4,VALUE(RIGHT($A1798,2))&gt;60),$A1798&amp;"01 1",$A1798),IF(AND(LEN($A1798)=4,VALUE(RIGHT($A1798,2))&lt;60),GUS_tabl_2!$A$8:$B$464,GUS_tabl_21!$A$5:$B$4886),2,FALSE)),LEFT(TRIM(VLOOKUP(IF(AND(LEN($A1798)=4,VALUE(RIGHT($A1798,2))&gt;60),$A1798&amp;"01 1",$A1798),IF(AND(LEN($A1798)=4,VALUE(RIGHT($A1798,2))&lt;60),GUS_tabl_2!$A$8:$B$464,GUS_tabl_21!$A$5:$B$4886),2,FALSE)),SUM(FIND("..",TRIM(VLOOKUP(IF(AND(LEN($A1798)=4,VALUE(RIGHT($A1798,2))&gt;60),$A1798&amp;"01 1",$A1798),IF(AND(LEN($A1798)=4,VALUE(RIGHT($A1798,2))&lt;60),GUS_tabl_2!$A$8:$B$464,GUS_tabl_21!$A$5:$B$4886),2,FALSE))),-1)))))</f>
        <v>Tarnobrzeg</v>
      </c>
      <c r="D1798" s="140">
        <f>IF(OR($A1798="",ISERROR(VALUE(LEFT($A1798,6)))),"",IF(LEN($A1798)=2,SUMIF($A1799:$A$2965,$A1798&amp;"??",$D1799:$D$2965),IF(AND(LEN($A1798)=4,VALUE(RIGHT($A1798,2))&lt;=60),SUMIF($A1799:$A$2965,$A1798&amp;"????",$D1799:$D$2965),VLOOKUP(IF(LEN($A1798)=4,$A1798&amp;"01 1",$A1798),GUS_tabl_21!$A$5:$F$4886,6,FALSE))))</f>
        <v>46745</v>
      </c>
      <c r="E1798" s="29"/>
    </row>
    <row r="1799" spans="1:5" ht="29.25" customHeight="1" thickTop="1">
      <c r="A1799" s="241" t="s">
        <v>97</v>
      </c>
      <c r="B1799" s="247" t="s">
        <v>60</v>
      </c>
      <c r="C1799" s="243" t="s">
        <v>7311</v>
      </c>
      <c r="D1799" s="257" t="s">
        <v>7</v>
      </c>
    </row>
    <row r="1800" spans="1:5" ht="25.5" customHeight="1" thickBot="1">
      <c r="A1800" s="242"/>
      <c r="B1800" s="254"/>
      <c r="C1800" s="244"/>
      <c r="D1800" s="258"/>
    </row>
    <row r="1801" spans="1:5" ht="12" customHeight="1" thickTop="1">
      <c r="A1801" s="158"/>
      <c r="B1801" s="153"/>
      <c r="C1801" s="154" t="str">
        <f>IF(OR($A1801="",ISERROR(VALUE(LEFT($A1801,6)))),"",IF(LEN($A1801)=2,"WOJ. ",IF(LEN($A1801)=4,IF(VALUE(RIGHT($A1801,2))&gt;60,"","Powiat "),IF(VALUE(RIGHT($A1801,1))=1,"m. ",IF(VALUE(RIGHT($A1801,1))=2,"gm. w. ",IF(VALUE(RIGHT($A1801,1))=8,"dz. ","gm. m.-w. ")))))&amp;IF(LEN($A1801)=2,TRIM(UPPER(VLOOKUP($A1801,GUS_tabl_1!$A$7:$B$22,2,FALSE))),IF(ISERROR(FIND("..",TRIM(VLOOKUP(IF(AND(LEN($A1801)=4,VALUE(RIGHT($A1801,2))&gt;60),$A1801&amp;"01 1",$A1801),IF(AND(LEN($A1801)=4,VALUE(RIGHT($A1801,2))&lt;60),GUS_tabl_2!$A$8:$B$464,GUS_tabl_21!$A$5:$B$4886),2,FALSE)))),TRIM(VLOOKUP(IF(AND(LEN($A1801)=4,VALUE(RIGHT($A1801,2))&gt;60),$A1801&amp;"01 1",$A1801),IF(AND(LEN($A1801)=4,VALUE(RIGHT($A1801,2))&lt;60),GUS_tabl_2!$A$8:$B$464,GUS_tabl_21!$A$5:$B$4886),2,FALSE)),LEFT(TRIM(VLOOKUP(IF(AND(LEN($A1801)=4,VALUE(RIGHT($A1801,2))&gt;60),$A1801&amp;"01 1",$A1801),IF(AND(LEN($A1801)=4,VALUE(RIGHT($A1801,2))&lt;60),GUS_tabl_2!$A$8:$B$464,GUS_tabl_21!$A$5:$B$4886),2,FALSE)),SUM(FIND("..",TRIM(VLOOKUP(IF(AND(LEN($A1801)=4,VALUE(RIGHT($A1801,2))&gt;60),$A1801&amp;"01 1",$A1801),IF(AND(LEN($A1801)=4,VALUE(RIGHT($A1801,2))&lt;60),GUS_tabl_2!$A$8:$B$464,GUS_tabl_21!$A$5:$B$4886),2,FALSE))),-1)))))</f>
        <v/>
      </c>
      <c r="D1801" s="140" t="str">
        <f>IF(OR($A1801="",ISERROR(VALUE(LEFT($A1801,6)))),"",IF(LEN($A1801)=2,SUMIF($A1802:$A$2965,$A1801&amp;"??",$D1802:$D$2965),IF(AND(LEN($A1801)=4,VALUE(RIGHT($A1801,2))&lt;=60),SUMIF($A1802:$A$2965,$A1801&amp;"????",$D1802:$D$2965),VLOOKUP(IF(LEN($A1801)=4,$A1801&amp;"01 1",$A1801),GUS_tabl_21!$A$5:$F$4886,6,FALSE))))</f>
        <v/>
      </c>
      <c r="E1801" s="29"/>
    </row>
    <row r="1802" spans="1:5" ht="12" customHeight="1">
      <c r="A1802" s="152" t="str">
        <f>"20"</f>
        <v>20</v>
      </c>
      <c r="B1802" s="153" t="s">
        <v>55</v>
      </c>
      <c r="C1802" s="154" t="str">
        <f>IF(OR($A1802="",ISERROR(VALUE(LEFT($A1802,6)))),"",IF(LEN($A1802)=2,"WOJ. ",IF(LEN($A1802)=4,IF(VALUE(RIGHT($A1802,2))&gt;60,"","Powiat "),IF(VALUE(RIGHT($A1802,1))=1,"m. ",IF(VALUE(RIGHT($A1802,1))=2,"gm. w. ",IF(VALUE(RIGHT($A1802,1))=8,"dz. ","gm. m.-w. ")))))&amp;IF(LEN($A1802)=2,TRIM(UPPER(VLOOKUP($A1802,GUS_tabl_1!$A$7:$B$22,2,FALSE))),IF(ISERROR(FIND("..",TRIM(VLOOKUP(IF(AND(LEN($A1802)=4,VALUE(RIGHT($A1802,2))&gt;60),$A1802&amp;"01 1",$A1802),IF(AND(LEN($A1802)=4,VALUE(RIGHT($A1802,2))&lt;60),GUS_tabl_2!$A$8:$B$464,GUS_tabl_21!$A$5:$B$4886),2,FALSE)))),TRIM(VLOOKUP(IF(AND(LEN($A1802)=4,VALUE(RIGHT($A1802,2))&gt;60),$A1802&amp;"01 1",$A1802),IF(AND(LEN($A1802)=4,VALUE(RIGHT($A1802,2))&lt;60),GUS_tabl_2!$A$8:$B$464,GUS_tabl_21!$A$5:$B$4886),2,FALSE)),LEFT(TRIM(VLOOKUP(IF(AND(LEN($A1802)=4,VALUE(RIGHT($A1802,2))&gt;60),$A1802&amp;"01 1",$A1802),IF(AND(LEN($A1802)=4,VALUE(RIGHT($A1802,2))&lt;60),GUS_tabl_2!$A$8:$B$464,GUS_tabl_21!$A$5:$B$4886),2,FALSE)),SUM(FIND("..",TRIM(VLOOKUP(IF(AND(LEN($A1802)=4,VALUE(RIGHT($A1802,2))&gt;60),$A1802&amp;"01 1",$A1802),IF(AND(LEN($A1802)=4,VALUE(RIGHT($A1802,2))&lt;60),GUS_tabl_2!$A$8:$B$464,GUS_tabl_21!$A$5:$B$4886),2,FALSE))),-1)))))</f>
        <v>WOJ. PODLASKIE</v>
      </c>
      <c r="D1802" s="140">
        <f>IF(OR($A1802="",ISERROR(VALUE(LEFT($A1802,6)))),"",IF(LEN($A1802)=2,SUMIF($A1803:$A$2965,$A1802&amp;"??",$D1803:$D$2965),IF(AND(LEN($A1802)=4,VALUE(RIGHT($A1802,2))&lt;=60),SUMIF($A1803:$A$2965,$A1802&amp;"????",$D1803:$D$2965),VLOOKUP(IF(LEN($A1802)=4,$A1802&amp;"01 1",$A1802),GUS_tabl_21!$A$5:$F$4886,6,FALSE))))</f>
        <v>1178353</v>
      </c>
      <c r="E1802" s="29"/>
    </row>
    <row r="1803" spans="1:5" ht="12" customHeight="1">
      <c r="A1803" s="152"/>
      <c r="B1803" s="153" t="s">
        <v>55</v>
      </c>
      <c r="C1803" s="154" t="str">
        <f>IF(OR($A1803="",ISERROR(VALUE(LEFT($A1803,6)))),"",IF(LEN($A1803)=2,"WOJ. ",IF(LEN($A1803)=4,IF(VALUE(RIGHT($A1803,2))&gt;60,"","Powiat "),IF(VALUE(RIGHT($A1803,1))=1,"m. ",IF(VALUE(RIGHT($A1803,1))=2,"gm. w. ",IF(VALUE(RIGHT($A1803,1))=8,"dz. ","gm. m.-w. ")))))&amp;IF(LEN($A1803)=2,TRIM(UPPER(VLOOKUP($A1803,GUS_tabl_1!$A$7:$B$22,2,FALSE))),IF(ISERROR(FIND("..",TRIM(VLOOKUP(IF(AND(LEN($A1803)=4,VALUE(RIGHT($A1803,2))&gt;60),$A1803&amp;"01 1",$A1803),IF(AND(LEN($A1803)=4,VALUE(RIGHT($A1803,2))&lt;60),GUS_tabl_2!$A$8:$B$464,GUS_tabl_21!$A$5:$B$4886),2,FALSE)))),TRIM(VLOOKUP(IF(AND(LEN($A1803)=4,VALUE(RIGHT($A1803,2))&gt;60),$A1803&amp;"01 1",$A1803),IF(AND(LEN($A1803)=4,VALUE(RIGHT($A1803,2))&lt;60),GUS_tabl_2!$A$8:$B$464,GUS_tabl_21!$A$5:$B$4886),2,FALSE)),LEFT(TRIM(VLOOKUP(IF(AND(LEN($A1803)=4,VALUE(RIGHT($A1803,2))&gt;60),$A1803&amp;"01 1",$A1803),IF(AND(LEN($A1803)=4,VALUE(RIGHT($A1803,2))&lt;60),GUS_tabl_2!$A$8:$B$464,GUS_tabl_21!$A$5:$B$4886),2,FALSE)),SUM(FIND("..",TRIM(VLOOKUP(IF(AND(LEN($A1803)=4,VALUE(RIGHT($A1803,2))&gt;60),$A1803&amp;"01 1",$A1803),IF(AND(LEN($A1803)=4,VALUE(RIGHT($A1803,2))&lt;60),GUS_tabl_2!$A$8:$B$464,GUS_tabl_21!$A$5:$B$4886),2,FALSE))),-1)))))</f>
        <v/>
      </c>
      <c r="D1803" s="140" t="str">
        <f>IF(OR($A1803="",ISERROR(VALUE(LEFT($A1803,6)))),"",IF(LEN($A1803)=2,SUMIF($A1804:$A$2965,$A1803&amp;"??",$D1804:$D$2965),IF(AND(LEN($A1803)=4,VALUE(RIGHT($A1803,2))&lt;=60),SUMIF($A1804:$A$2965,$A1803&amp;"????",$D1804:$D$2965),VLOOKUP(IF(LEN($A1803)=4,$A1803&amp;"01 1",$A1803),GUS_tabl_21!$A$5:$F$4886,6,FALSE))))</f>
        <v/>
      </c>
      <c r="E1803" s="29"/>
    </row>
    <row r="1804" spans="1:5" ht="12" customHeight="1">
      <c r="A1804" s="152" t="str">
        <f>"2001"</f>
        <v>2001</v>
      </c>
      <c r="B1804" s="153" t="s">
        <v>55</v>
      </c>
      <c r="C1804" s="154" t="str">
        <f>IF(OR($A1804="",ISERROR(VALUE(LEFT($A1804,6)))),"",IF(LEN($A1804)=2,"WOJ. ",IF(LEN($A1804)=4,IF(VALUE(RIGHT($A1804,2))&gt;60,"","Powiat "),IF(VALUE(RIGHT($A1804,1))=1,"m. ",IF(VALUE(RIGHT($A1804,1))=2,"gm. w. ",IF(VALUE(RIGHT($A1804,1))=8,"dz. ","gm. m.-w. ")))))&amp;IF(LEN($A1804)=2,TRIM(UPPER(VLOOKUP($A1804,GUS_tabl_1!$A$7:$B$22,2,FALSE))),IF(ISERROR(FIND("..",TRIM(VLOOKUP(IF(AND(LEN($A1804)=4,VALUE(RIGHT($A1804,2))&gt;60),$A1804&amp;"01 1",$A1804),IF(AND(LEN($A1804)=4,VALUE(RIGHT($A1804,2))&lt;60),GUS_tabl_2!$A$8:$B$464,GUS_tabl_21!$A$5:$B$4886),2,FALSE)))),TRIM(VLOOKUP(IF(AND(LEN($A1804)=4,VALUE(RIGHT($A1804,2))&gt;60),$A1804&amp;"01 1",$A1804),IF(AND(LEN($A1804)=4,VALUE(RIGHT($A1804,2))&lt;60),GUS_tabl_2!$A$8:$B$464,GUS_tabl_21!$A$5:$B$4886),2,FALSE)),LEFT(TRIM(VLOOKUP(IF(AND(LEN($A1804)=4,VALUE(RIGHT($A1804,2))&gt;60),$A1804&amp;"01 1",$A1804),IF(AND(LEN($A1804)=4,VALUE(RIGHT($A1804,2))&lt;60),GUS_tabl_2!$A$8:$B$464,GUS_tabl_21!$A$5:$B$4886),2,FALSE)),SUM(FIND("..",TRIM(VLOOKUP(IF(AND(LEN($A1804)=4,VALUE(RIGHT($A1804,2))&gt;60),$A1804&amp;"01 1",$A1804),IF(AND(LEN($A1804)=4,VALUE(RIGHT($A1804,2))&lt;60),GUS_tabl_2!$A$8:$B$464,GUS_tabl_21!$A$5:$B$4886),2,FALSE))),-1)))))</f>
        <v>Powiat augustowski</v>
      </c>
      <c r="D1804" s="140">
        <f>IF(OR($A1804="",ISERROR(VALUE(LEFT($A1804,6)))),"",IF(LEN($A1804)=2,SUMIF($A1805:$A$2965,$A1804&amp;"??",$D1805:$D$2965),IF(AND(LEN($A1804)=4,VALUE(RIGHT($A1804,2))&lt;=60),SUMIF($A1805:$A$2965,$A1804&amp;"????",$D1805:$D$2965),VLOOKUP(IF(LEN($A1804)=4,$A1804&amp;"01 1",$A1804),GUS_tabl_21!$A$5:$F$4886,6,FALSE))))</f>
        <v>58068</v>
      </c>
      <c r="E1804" s="29"/>
    </row>
    <row r="1805" spans="1:5" ht="12" customHeight="1">
      <c r="A1805" s="155" t="str">
        <f>"200101 1"</f>
        <v>200101 1</v>
      </c>
      <c r="B1805" s="153" t="s">
        <v>55</v>
      </c>
      <c r="C1805" s="156" t="str">
        <f>IF(OR($A1805="",ISERROR(VALUE(LEFT($A1805,6)))),"",IF(LEN($A1805)=2,"WOJ. ",IF(LEN($A1805)=4,IF(VALUE(RIGHT($A1805,2))&gt;60,"","Powiat "),IF(VALUE(RIGHT($A1805,1))=1,"m. ",IF(VALUE(RIGHT($A1805,1))=2,"gm. w. ",IF(VALUE(RIGHT($A1805,1))=8,"dz. ","gm. m.-w. ")))))&amp;IF(LEN($A1805)=2,TRIM(UPPER(VLOOKUP($A1805,GUS_tabl_1!$A$7:$B$22,2,FALSE))),IF(ISERROR(FIND("..",TRIM(VLOOKUP(IF(AND(LEN($A1805)=4,VALUE(RIGHT($A1805,2))&gt;60),$A1805&amp;"01 1",$A1805),IF(AND(LEN($A1805)=4,VALUE(RIGHT($A1805,2))&lt;60),GUS_tabl_2!$A$8:$B$464,GUS_tabl_21!$A$5:$B$4886),2,FALSE)))),TRIM(VLOOKUP(IF(AND(LEN($A1805)=4,VALUE(RIGHT($A1805,2))&gt;60),$A1805&amp;"01 1",$A1805),IF(AND(LEN($A1805)=4,VALUE(RIGHT($A1805,2))&lt;60),GUS_tabl_2!$A$8:$B$464,GUS_tabl_21!$A$5:$B$4886),2,FALSE)),LEFT(TRIM(VLOOKUP(IF(AND(LEN($A1805)=4,VALUE(RIGHT($A1805,2))&gt;60),$A1805&amp;"01 1",$A1805),IF(AND(LEN($A1805)=4,VALUE(RIGHT($A1805,2))&lt;60),GUS_tabl_2!$A$8:$B$464,GUS_tabl_21!$A$5:$B$4886),2,FALSE)),SUM(FIND("..",TRIM(VLOOKUP(IF(AND(LEN($A1805)=4,VALUE(RIGHT($A1805,2))&gt;60),$A1805&amp;"01 1",$A1805),IF(AND(LEN($A1805)=4,VALUE(RIGHT($A1805,2))&lt;60),GUS_tabl_2!$A$8:$B$464,GUS_tabl_21!$A$5:$B$4886),2,FALSE))),-1)))))</f>
        <v>m. Augustów</v>
      </c>
      <c r="D1805" s="141">
        <f>IF(OR($A1805="",ISERROR(VALUE(LEFT($A1805,6)))),"",IF(LEN($A1805)=2,SUMIF($A1806:$A$2965,$A1805&amp;"??",$D1806:$D$2965),IF(AND(LEN($A1805)=4,VALUE(RIGHT($A1805,2))&lt;=60),SUMIF($A1806:$A$2965,$A1805&amp;"????",$D1806:$D$2965),VLOOKUP(IF(LEN($A1805)=4,$A1805&amp;"01 1",$A1805),GUS_tabl_21!$A$5:$F$4886,6,FALSE))))</f>
        <v>30153</v>
      </c>
      <c r="E1805" s="29"/>
    </row>
    <row r="1806" spans="1:5" ht="12" customHeight="1">
      <c r="A1806" s="155" t="str">
        <f>"200102 2"</f>
        <v>200102 2</v>
      </c>
      <c r="B1806" s="153" t="s">
        <v>55</v>
      </c>
      <c r="C1806" s="156" t="str">
        <f>IF(OR($A1806="",ISERROR(VALUE(LEFT($A1806,6)))),"",IF(LEN($A1806)=2,"WOJ. ",IF(LEN($A1806)=4,IF(VALUE(RIGHT($A1806,2))&gt;60,"","Powiat "),IF(VALUE(RIGHT($A1806,1))=1,"m. ",IF(VALUE(RIGHT($A1806,1))=2,"gm. w. ",IF(VALUE(RIGHT($A1806,1))=8,"dz. ","gm. m.-w. ")))))&amp;IF(LEN($A1806)=2,TRIM(UPPER(VLOOKUP($A1806,GUS_tabl_1!$A$7:$B$22,2,FALSE))),IF(ISERROR(FIND("..",TRIM(VLOOKUP(IF(AND(LEN($A1806)=4,VALUE(RIGHT($A1806,2))&gt;60),$A1806&amp;"01 1",$A1806),IF(AND(LEN($A1806)=4,VALUE(RIGHT($A1806,2))&lt;60),GUS_tabl_2!$A$8:$B$464,GUS_tabl_21!$A$5:$B$4886),2,FALSE)))),TRIM(VLOOKUP(IF(AND(LEN($A1806)=4,VALUE(RIGHT($A1806,2))&gt;60),$A1806&amp;"01 1",$A1806),IF(AND(LEN($A1806)=4,VALUE(RIGHT($A1806,2))&lt;60),GUS_tabl_2!$A$8:$B$464,GUS_tabl_21!$A$5:$B$4886),2,FALSE)),LEFT(TRIM(VLOOKUP(IF(AND(LEN($A1806)=4,VALUE(RIGHT($A1806,2))&gt;60),$A1806&amp;"01 1",$A1806),IF(AND(LEN($A1806)=4,VALUE(RIGHT($A1806,2))&lt;60),GUS_tabl_2!$A$8:$B$464,GUS_tabl_21!$A$5:$B$4886),2,FALSE)),SUM(FIND("..",TRIM(VLOOKUP(IF(AND(LEN($A1806)=4,VALUE(RIGHT($A1806,2))&gt;60),$A1806&amp;"01 1",$A1806),IF(AND(LEN($A1806)=4,VALUE(RIGHT($A1806,2))&lt;60),GUS_tabl_2!$A$8:$B$464,GUS_tabl_21!$A$5:$B$4886),2,FALSE))),-1)))))</f>
        <v>gm. w. Augustów</v>
      </c>
      <c r="D1806" s="141">
        <f>IF(OR($A1806="",ISERROR(VALUE(LEFT($A1806,6)))),"",IF(LEN($A1806)=2,SUMIF($A1807:$A$2965,$A1806&amp;"??",$D1807:$D$2965),IF(AND(LEN($A1806)=4,VALUE(RIGHT($A1806,2))&lt;=60),SUMIF($A1807:$A$2965,$A1806&amp;"????",$D1807:$D$2965),VLOOKUP(IF(LEN($A1806)=4,$A1806&amp;"01 1",$A1806),GUS_tabl_21!$A$5:$F$4886,6,FALSE))))</f>
        <v>6759</v>
      </c>
      <c r="E1806" s="29"/>
    </row>
    <row r="1807" spans="1:5" ht="12" customHeight="1">
      <c r="A1807" s="155" t="str">
        <f>"200103 2"</f>
        <v>200103 2</v>
      </c>
      <c r="B1807" s="153" t="s">
        <v>55</v>
      </c>
      <c r="C1807" s="156" t="str">
        <f>IF(OR($A1807="",ISERROR(VALUE(LEFT($A1807,6)))),"",IF(LEN($A1807)=2,"WOJ. ",IF(LEN($A1807)=4,IF(VALUE(RIGHT($A1807,2))&gt;60,"","Powiat "),IF(VALUE(RIGHT($A1807,1))=1,"m. ",IF(VALUE(RIGHT($A1807,1))=2,"gm. w. ",IF(VALUE(RIGHT($A1807,1))=8,"dz. ","gm. m.-w. ")))))&amp;IF(LEN($A1807)=2,TRIM(UPPER(VLOOKUP($A1807,GUS_tabl_1!$A$7:$B$22,2,FALSE))),IF(ISERROR(FIND("..",TRIM(VLOOKUP(IF(AND(LEN($A1807)=4,VALUE(RIGHT($A1807,2))&gt;60),$A1807&amp;"01 1",$A1807),IF(AND(LEN($A1807)=4,VALUE(RIGHT($A1807,2))&lt;60),GUS_tabl_2!$A$8:$B$464,GUS_tabl_21!$A$5:$B$4886),2,FALSE)))),TRIM(VLOOKUP(IF(AND(LEN($A1807)=4,VALUE(RIGHT($A1807,2))&gt;60),$A1807&amp;"01 1",$A1807),IF(AND(LEN($A1807)=4,VALUE(RIGHT($A1807,2))&lt;60),GUS_tabl_2!$A$8:$B$464,GUS_tabl_21!$A$5:$B$4886),2,FALSE)),LEFT(TRIM(VLOOKUP(IF(AND(LEN($A1807)=4,VALUE(RIGHT($A1807,2))&gt;60),$A1807&amp;"01 1",$A1807),IF(AND(LEN($A1807)=4,VALUE(RIGHT($A1807,2))&lt;60),GUS_tabl_2!$A$8:$B$464,GUS_tabl_21!$A$5:$B$4886),2,FALSE)),SUM(FIND("..",TRIM(VLOOKUP(IF(AND(LEN($A1807)=4,VALUE(RIGHT($A1807,2))&gt;60),$A1807&amp;"01 1",$A1807),IF(AND(LEN($A1807)=4,VALUE(RIGHT($A1807,2))&lt;60),GUS_tabl_2!$A$8:$B$464,GUS_tabl_21!$A$5:$B$4886),2,FALSE))),-1)))))</f>
        <v>gm. w. Bargłów Kościelny</v>
      </c>
      <c r="D1807" s="141">
        <f>IF(OR($A1807="",ISERROR(VALUE(LEFT($A1807,6)))),"",IF(LEN($A1807)=2,SUMIF($A1808:$A$2965,$A1807&amp;"??",$D1808:$D$2965),IF(AND(LEN($A1807)=4,VALUE(RIGHT($A1807,2))&lt;=60),SUMIF($A1808:$A$2965,$A1807&amp;"????",$D1808:$D$2965),VLOOKUP(IF(LEN($A1807)=4,$A1807&amp;"01 1",$A1807),GUS_tabl_21!$A$5:$F$4886,6,FALSE))))</f>
        <v>5496</v>
      </c>
      <c r="E1807" s="29"/>
    </row>
    <row r="1808" spans="1:5" ht="12" customHeight="1">
      <c r="A1808" s="155" t="str">
        <f>"200104 3"</f>
        <v>200104 3</v>
      </c>
      <c r="B1808" s="153" t="s">
        <v>55</v>
      </c>
      <c r="C1808" s="156" t="str">
        <f>IF(OR($A1808="",ISERROR(VALUE(LEFT($A1808,6)))),"",IF(LEN($A1808)=2,"WOJ. ",IF(LEN($A1808)=4,IF(VALUE(RIGHT($A1808,2))&gt;60,"","Powiat "),IF(VALUE(RIGHT($A1808,1))=1,"m. ",IF(VALUE(RIGHT($A1808,1))=2,"gm. w. ",IF(VALUE(RIGHT($A1808,1))=8,"dz. ","gm. m.-w. ")))))&amp;IF(LEN($A1808)=2,TRIM(UPPER(VLOOKUP($A1808,GUS_tabl_1!$A$7:$B$22,2,FALSE))),IF(ISERROR(FIND("..",TRIM(VLOOKUP(IF(AND(LEN($A1808)=4,VALUE(RIGHT($A1808,2))&gt;60),$A1808&amp;"01 1",$A1808),IF(AND(LEN($A1808)=4,VALUE(RIGHT($A1808,2))&lt;60),GUS_tabl_2!$A$8:$B$464,GUS_tabl_21!$A$5:$B$4886),2,FALSE)))),TRIM(VLOOKUP(IF(AND(LEN($A1808)=4,VALUE(RIGHT($A1808,2))&gt;60),$A1808&amp;"01 1",$A1808),IF(AND(LEN($A1808)=4,VALUE(RIGHT($A1808,2))&lt;60),GUS_tabl_2!$A$8:$B$464,GUS_tabl_21!$A$5:$B$4886),2,FALSE)),LEFT(TRIM(VLOOKUP(IF(AND(LEN($A1808)=4,VALUE(RIGHT($A1808,2))&gt;60),$A1808&amp;"01 1",$A1808),IF(AND(LEN($A1808)=4,VALUE(RIGHT($A1808,2))&lt;60),GUS_tabl_2!$A$8:$B$464,GUS_tabl_21!$A$5:$B$4886),2,FALSE)),SUM(FIND("..",TRIM(VLOOKUP(IF(AND(LEN($A1808)=4,VALUE(RIGHT($A1808,2))&gt;60),$A1808&amp;"01 1",$A1808),IF(AND(LEN($A1808)=4,VALUE(RIGHT($A1808,2))&lt;60),GUS_tabl_2!$A$8:$B$464,GUS_tabl_21!$A$5:$B$4886),2,FALSE))),-1)))))</f>
        <v>gm. m.-w. Lipsk</v>
      </c>
      <c r="D1808" s="141">
        <f>IF(OR($A1808="",ISERROR(VALUE(LEFT($A1808,6)))),"",IF(LEN($A1808)=2,SUMIF($A1809:$A$2965,$A1808&amp;"??",$D1809:$D$2965),IF(AND(LEN($A1808)=4,VALUE(RIGHT($A1808,2))&lt;=60),SUMIF($A1809:$A$2965,$A1808&amp;"????",$D1809:$D$2965),VLOOKUP(IF(LEN($A1808)=4,$A1808&amp;"01 1",$A1808),GUS_tabl_21!$A$5:$F$4886,6,FALSE))))</f>
        <v>5059</v>
      </c>
      <c r="E1808" s="29"/>
    </row>
    <row r="1809" spans="1:5" ht="12" customHeight="1">
      <c r="A1809" s="155" t="str">
        <f>"200105 2"</f>
        <v>200105 2</v>
      </c>
      <c r="B1809" s="153" t="s">
        <v>55</v>
      </c>
      <c r="C1809" s="156" t="str">
        <f>IF(OR($A1809="",ISERROR(VALUE(LEFT($A1809,6)))),"",IF(LEN($A1809)=2,"WOJ. ",IF(LEN($A1809)=4,IF(VALUE(RIGHT($A1809,2))&gt;60,"","Powiat "),IF(VALUE(RIGHT($A1809,1))=1,"m. ",IF(VALUE(RIGHT($A1809,1))=2,"gm. w. ",IF(VALUE(RIGHT($A1809,1))=8,"dz. ","gm. m.-w. ")))))&amp;IF(LEN($A1809)=2,TRIM(UPPER(VLOOKUP($A1809,GUS_tabl_1!$A$7:$B$22,2,FALSE))),IF(ISERROR(FIND("..",TRIM(VLOOKUP(IF(AND(LEN($A1809)=4,VALUE(RIGHT($A1809,2))&gt;60),$A1809&amp;"01 1",$A1809),IF(AND(LEN($A1809)=4,VALUE(RIGHT($A1809,2))&lt;60),GUS_tabl_2!$A$8:$B$464,GUS_tabl_21!$A$5:$B$4886),2,FALSE)))),TRIM(VLOOKUP(IF(AND(LEN($A1809)=4,VALUE(RIGHT($A1809,2))&gt;60),$A1809&amp;"01 1",$A1809),IF(AND(LEN($A1809)=4,VALUE(RIGHT($A1809,2))&lt;60),GUS_tabl_2!$A$8:$B$464,GUS_tabl_21!$A$5:$B$4886),2,FALSE)),LEFT(TRIM(VLOOKUP(IF(AND(LEN($A1809)=4,VALUE(RIGHT($A1809,2))&gt;60),$A1809&amp;"01 1",$A1809),IF(AND(LEN($A1809)=4,VALUE(RIGHT($A1809,2))&lt;60),GUS_tabl_2!$A$8:$B$464,GUS_tabl_21!$A$5:$B$4886),2,FALSE)),SUM(FIND("..",TRIM(VLOOKUP(IF(AND(LEN($A1809)=4,VALUE(RIGHT($A1809,2))&gt;60),$A1809&amp;"01 1",$A1809),IF(AND(LEN($A1809)=4,VALUE(RIGHT($A1809,2))&lt;60),GUS_tabl_2!$A$8:$B$464,GUS_tabl_21!$A$5:$B$4886),2,FALSE))),-1)))))</f>
        <v>gm. w. Nowinka</v>
      </c>
      <c r="D1809" s="141">
        <f>IF(OR($A1809="",ISERROR(VALUE(LEFT($A1809,6)))),"",IF(LEN($A1809)=2,SUMIF($A1810:$A$2965,$A1809&amp;"??",$D1810:$D$2965),IF(AND(LEN($A1809)=4,VALUE(RIGHT($A1809,2))&lt;=60),SUMIF($A1810:$A$2965,$A1809&amp;"????",$D1810:$D$2965),VLOOKUP(IF(LEN($A1809)=4,$A1809&amp;"01 1",$A1809),GUS_tabl_21!$A$5:$F$4886,6,FALSE))))</f>
        <v>2953</v>
      </c>
      <c r="E1809" s="29"/>
    </row>
    <row r="1810" spans="1:5" ht="12" customHeight="1">
      <c r="A1810" s="155" t="str">
        <f>"200106 2"</f>
        <v>200106 2</v>
      </c>
      <c r="B1810" s="153" t="s">
        <v>55</v>
      </c>
      <c r="C1810" s="156" t="str">
        <f>IF(OR($A1810="",ISERROR(VALUE(LEFT($A1810,6)))),"",IF(LEN($A1810)=2,"WOJ. ",IF(LEN($A1810)=4,IF(VALUE(RIGHT($A1810,2))&gt;60,"","Powiat "),IF(VALUE(RIGHT($A1810,1))=1,"m. ",IF(VALUE(RIGHT($A1810,1))=2,"gm. w. ",IF(VALUE(RIGHT($A1810,1))=8,"dz. ","gm. m.-w. ")))))&amp;IF(LEN($A1810)=2,TRIM(UPPER(VLOOKUP($A1810,GUS_tabl_1!$A$7:$B$22,2,FALSE))),IF(ISERROR(FIND("..",TRIM(VLOOKUP(IF(AND(LEN($A1810)=4,VALUE(RIGHT($A1810,2))&gt;60),$A1810&amp;"01 1",$A1810),IF(AND(LEN($A1810)=4,VALUE(RIGHT($A1810,2))&lt;60),GUS_tabl_2!$A$8:$B$464,GUS_tabl_21!$A$5:$B$4886),2,FALSE)))),TRIM(VLOOKUP(IF(AND(LEN($A1810)=4,VALUE(RIGHT($A1810,2))&gt;60),$A1810&amp;"01 1",$A1810),IF(AND(LEN($A1810)=4,VALUE(RIGHT($A1810,2))&lt;60),GUS_tabl_2!$A$8:$B$464,GUS_tabl_21!$A$5:$B$4886),2,FALSE)),LEFT(TRIM(VLOOKUP(IF(AND(LEN($A1810)=4,VALUE(RIGHT($A1810,2))&gt;60),$A1810&amp;"01 1",$A1810),IF(AND(LEN($A1810)=4,VALUE(RIGHT($A1810,2))&lt;60),GUS_tabl_2!$A$8:$B$464,GUS_tabl_21!$A$5:$B$4886),2,FALSE)),SUM(FIND("..",TRIM(VLOOKUP(IF(AND(LEN($A1810)=4,VALUE(RIGHT($A1810,2))&gt;60),$A1810&amp;"01 1",$A1810),IF(AND(LEN($A1810)=4,VALUE(RIGHT($A1810,2))&lt;60),GUS_tabl_2!$A$8:$B$464,GUS_tabl_21!$A$5:$B$4886),2,FALSE))),-1)))))</f>
        <v>gm. w. Płaska (c)</v>
      </c>
      <c r="D1810" s="141">
        <f>IF(OR($A1810="",ISERROR(VALUE(LEFT($A1810,6)))),"",IF(LEN($A1810)=2,SUMIF($A1811:$A$2965,$A1810&amp;"??",$D1811:$D$2965),IF(AND(LEN($A1810)=4,VALUE(RIGHT($A1810,2))&lt;=60),SUMIF($A1811:$A$2965,$A1810&amp;"????",$D1811:$D$2965),VLOOKUP(IF(LEN($A1810)=4,$A1810&amp;"01 1",$A1810),GUS_tabl_21!$A$5:$F$4886,6,FALSE))))</f>
        <v>2583</v>
      </c>
      <c r="E1810" s="29"/>
    </row>
    <row r="1811" spans="1:5" ht="12" customHeight="1">
      <c r="A1811" s="155" t="str">
        <f>"200107 2"</f>
        <v>200107 2</v>
      </c>
      <c r="B1811" s="153" t="s">
        <v>55</v>
      </c>
      <c r="C1811" s="156" t="str">
        <f>IF(OR($A1811="",ISERROR(VALUE(LEFT($A1811,6)))),"",IF(LEN($A1811)=2,"WOJ. ",IF(LEN($A1811)=4,IF(VALUE(RIGHT($A1811,2))&gt;60,"","Powiat "),IF(VALUE(RIGHT($A1811,1))=1,"m. ",IF(VALUE(RIGHT($A1811,1))=2,"gm. w. ",IF(VALUE(RIGHT($A1811,1))=8,"dz. ","gm. m.-w. ")))))&amp;IF(LEN($A1811)=2,TRIM(UPPER(VLOOKUP($A1811,GUS_tabl_1!$A$7:$B$22,2,FALSE))),IF(ISERROR(FIND("..",TRIM(VLOOKUP(IF(AND(LEN($A1811)=4,VALUE(RIGHT($A1811,2))&gt;60),$A1811&amp;"01 1",$A1811),IF(AND(LEN($A1811)=4,VALUE(RIGHT($A1811,2))&lt;60),GUS_tabl_2!$A$8:$B$464,GUS_tabl_21!$A$5:$B$4886),2,FALSE)))),TRIM(VLOOKUP(IF(AND(LEN($A1811)=4,VALUE(RIGHT($A1811,2))&gt;60),$A1811&amp;"01 1",$A1811),IF(AND(LEN($A1811)=4,VALUE(RIGHT($A1811,2))&lt;60),GUS_tabl_2!$A$8:$B$464,GUS_tabl_21!$A$5:$B$4886),2,FALSE)),LEFT(TRIM(VLOOKUP(IF(AND(LEN($A1811)=4,VALUE(RIGHT($A1811,2))&gt;60),$A1811&amp;"01 1",$A1811),IF(AND(LEN($A1811)=4,VALUE(RIGHT($A1811,2))&lt;60),GUS_tabl_2!$A$8:$B$464,GUS_tabl_21!$A$5:$B$4886),2,FALSE)),SUM(FIND("..",TRIM(VLOOKUP(IF(AND(LEN($A1811)=4,VALUE(RIGHT($A1811,2))&gt;60),$A1811&amp;"01 1",$A1811),IF(AND(LEN($A1811)=4,VALUE(RIGHT($A1811,2))&lt;60),GUS_tabl_2!$A$8:$B$464,GUS_tabl_21!$A$5:$B$4886),2,FALSE))),-1)))))</f>
        <v>gm. w. Sztabin</v>
      </c>
      <c r="D1811" s="141">
        <f>IF(OR($A1811="",ISERROR(VALUE(LEFT($A1811,6)))),"",IF(LEN($A1811)=2,SUMIF($A1812:$A$2965,$A1811&amp;"??",$D1812:$D$2965),IF(AND(LEN($A1811)=4,VALUE(RIGHT($A1811,2))&lt;=60),SUMIF($A1812:$A$2965,$A1811&amp;"????",$D1812:$D$2965),VLOOKUP(IF(LEN($A1811)=4,$A1811&amp;"01 1",$A1811),GUS_tabl_21!$A$5:$F$4886,6,FALSE))))</f>
        <v>5065</v>
      </c>
      <c r="E1811" s="29"/>
    </row>
    <row r="1812" spans="1:5" ht="12" customHeight="1">
      <c r="A1812" s="152" t="str">
        <f>"2002"</f>
        <v>2002</v>
      </c>
      <c r="B1812" s="153" t="s">
        <v>55</v>
      </c>
      <c r="C1812" s="154" t="str">
        <f>IF(OR($A1812="",ISERROR(VALUE(LEFT($A1812,6)))),"",IF(LEN($A1812)=2,"WOJ. ",IF(LEN($A1812)=4,IF(VALUE(RIGHT($A1812,2))&gt;60,"","Powiat "),IF(VALUE(RIGHT($A1812,1))=1,"m. ",IF(VALUE(RIGHT($A1812,1))=2,"gm. w. ",IF(VALUE(RIGHT($A1812,1))=8,"dz. ","gm. m.-w. ")))))&amp;IF(LEN($A1812)=2,TRIM(UPPER(VLOOKUP($A1812,GUS_tabl_1!$A$7:$B$22,2,FALSE))),IF(ISERROR(FIND("..",TRIM(VLOOKUP(IF(AND(LEN($A1812)=4,VALUE(RIGHT($A1812,2))&gt;60),$A1812&amp;"01 1",$A1812),IF(AND(LEN($A1812)=4,VALUE(RIGHT($A1812,2))&lt;60),GUS_tabl_2!$A$8:$B$464,GUS_tabl_21!$A$5:$B$4886),2,FALSE)))),TRIM(VLOOKUP(IF(AND(LEN($A1812)=4,VALUE(RIGHT($A1812,2))&gt;60),$A1812&amp;"01 1",$A1812),IF(AND(LEN($A1812)=4,VALUE(RIGHT($A1812,2))&lt;60),GUS_tabl_2!$A$8:$B$464,GUS_tabl_21!$A$5:$B$4886),2,FALSE)),LEFT(TRIM(VLOOKUP(IF(AND(LEN($A1812)=4,VALUE(RIGHT($A1812,2))&gt;60),$A1812&amp;"01 1",$A1812),IF(AND(LEN($A1812)=4,VALUE(RIGHT($A1812,2))&lt;60),GUS_tabl_2!$A$8:$B$464,GUS_tabl_21!$A$5:$B$4886),2,FALSE)),SUM(FIND("..",TRIM(VLOOKUP(IF(AND(LEN($A1812)=4,VALUE(RIGHT($A1812,2))&gt;60),$A1812&amp;"01 1",$A1812),IF(AND(LEN($A1812)=4,VALUE(RIGHT($A1812,2))&lt;60),GUS_tabl_2!$A$8:$B$464,GUS_tabl_21!$A$5:$B$4886),2,FALSE))),-1)))))</f>
        <v>Powiat białostocki</v>
      </c>
      <c r="D1812" s="140">
        <f>IF(OR($A1812="",ISERROR(VALUE(LEFT($A1812,6)))),"",IF(LEN($A1812)=2,SUMIF($A1813:$A$2965,$A1812&amp;"??",$D1813:$D$2965),IF(AND(LEN($A1812)=4,VALUE(RIGHT($A1812,2))&lt;=60),SUMIF($A1813:$A$2965,$A1812&amp;"????",$D1813:$D$2965),VLOOKUP(IF(LEN($A1812)=4,$A1812&amp;"01 1",$A1812),GUS_tabl_21!$A$5:$F$4886,6,FALSE))))</f>
        <v>149611</v>
      </c>
      <c r="E1812" s="29"/>
    </row>
    <row r="1813" spans="1:5" ht="12" customHeight="1">
      <c r="A1813" s="155" t="str">
        <f>"200201 3"</f>
        <v>200201 3</v>
      </c>
      <c r="B1813" s="153" t="s">
        <v>55</v>
      </c>
      <c r="C1813" s="156" t="str">
        <f>IF(OR($A1813="",ISERROR(VALUE(LEFT($A1813,6)))),"",IF(LEN($A1813)=2,"WOJ. ",IF(LEN($A1813)=4,IF(VALUE(RIGHT($A1813,2))&gt;60,"","Powiat "),IF(VALUE(RIGHT($A1813,1))=1,"m. ",IF(VALUE(RIGHT($A1813,1))=2,"gm. w. ",IF(VALUE(RIGHT($A1813,1))=8,"dz. ","gm. m.-w. ")))))&amp;IF(LEN($A1813)=2,TRIM(UPPER(VLOOKUP($A1813,GUS_tabl_1!$A$7:$B$22,2,FALSE))),IF(ISERROR(FIND("..",TRIM(VLOOKUP(IF(AND(LEN($A1813)=4,VALUE(RIGHT($A1813,2))&gt;60),$A1813&amp;"01 1",$A1813),IF(AND(LEN($A1813)=4,VALUE(RIGHT($A1813,2))&lt;60),GUS_tabl_2!$A$8:$B$464,GUS_tabl_21!$A$5:$B$4886),2,FALSE)))),TRIM(VLOOKUP(IF(AND(LEN($A1813)=4,VALUE(RIGHT($A1813,2))&gt;60),$A1813&amp;"01 1",$A1813),IF(AND(LEN($A1813)=4,VALUE(RIGHT($A1813,2))&lt;60),GUS_tabl_2!$A$8:$B$464,GUS_tabl_21!$A$5:$B$4886),2,FALSE)),LEFT(TRIM(VLOOKUP(IF(AND(LEN($A1813)=4,VALUE(RIGHT($A1813,2))&gt;60),$A1813&amp;"01 1",$A1813),IF(AND(LEN($A1813)=4,VALUE(RIGHT($A1813,2))&lt;60),GUS_tabl_2!$A$8:$B$464,GUS_tabl_21!$A$5:$B$4886),2,FALSE)),SUM(FIND("..",TRIM(VLOOKUP(IF(AND(LEN($A1813)=4,VALUE(RIGHT($A1813,2))&gt;60),$A1813&amp;"01 1",$A1813),IF(AND(LEN($A1813)=4,VALUE(RIGHT($A1813,2))&lt;60),GUS_tabl_2!$A$8:$B$464,GUS_tabl_21!$A$5:$B$4886),2,FALSE))),-1)))))</f>
        <v>gm. m.-w. Choroszcz</v>
      </c>
      <c r="D1813" s="141">
        <f>IF(OR($A1813="",ISERROR(VALUE(LEFT($A1813,6)))),"",IF(LEN($A1813)=2,SUMIF($A1814:$A$2965,$A1813&amp;"??",$D1814:$D$2965),IF(AND(LEN($A1813)=4,VALUE(RIGHT($A1813,2))&lt;=60),SUMIF($A1814:$A$2965,$A1813&amp;"????",$D1814:$D$2965),VLOOKUP(IF(LEN($A1813)=4,$A1813&amp;"01 1",$A1813),GUS_tabl_21!$A$5:$F$4886,6,FALSE))))</f>
        <v>15528</v>
      </c>
      <c r="E1813" s="29"/>
    </row>
    <row r="1814" spans="1:5" ht="12" customHeight="1">
      <c r="A1814" s="155" t="str">
        <f>"200202 3"</f>
        <v>200202 3</v>
      </c>
      <c r="B1814" s="153" t="s">
        <v>55</v>
      </c>
      <c r="C1814" s="156" t="str">
        <f>IF(OR($A1814="",ISERROR(VALUE(LEFT($A1814,6)))),"",IF(LEN($A1814)=2,"WOJ. ",IF(LEN($A1814)=4,IF(VALUE(RIGHT($A1814,2))&gt;60,"","Powiat "),IF(VALUE(RIGHT($A1814,1))=1,"m. ",IF(VALUE(RIGHT($A1814,1))=2,"gm. w. ",IF(VALUE(RIGHT($A1814,1))=8,"dz. ","gm. m.-w. ")))))&amp;IF(LEN($A1814)=2,TRIM(UPPER(VLOOKUP($A1814,GUS_tabl_1!$A$7:$B$22,2,FALSE))),IF(ISERROR(FIND("..",TRIM(VLOOKUP(IF(AND(LEN($A1814)=4,VALUE(RIGHT($A1814,2))&gt;60),$A1814&amp;"01 1",$A1814),IF(AND(LEN($A1814)=4,VALUE(RIGHT($A1814,2))&lt;60),GUS_tabl_2!$A$8:$B$464,GUS_tabl_21!$A$5:$B$4886),2,FALSE)))),TRIM(VLOOKUP(IF(AND(LEN($A1814)=4,VALUE(RIGHT($A1814,2))&gt;60),$A1814&amp;"01 1",$A1814),IF(AND(LEN($A1814)=4,VALUE(RIGHT($A1814,2))&lt;60),GUS_tabl_2!$A$8:$B$464,GUS_tabl_21!$A$5:$B$4886),2,FALSE)),LEFT(TRIM(VLOOKUP(IF(AND(LEN($A1814)=4,VALUE(RIGHT($A1814,2))&gt;60),$A1814&amp;"01 1",$A1814),IF(AND(LEN($A1814)=4,VALUE(RIGHT($A1814,2))&lt;60),GUS_tabl_2!$A$8:$B$464,GUS_tabl_21!$A$5:$B$4886),2,FALSE)),SUM(FIND("..",TRIM(VLOOKUP(IF(AND(LEN($A1814)=4,VALUE(RIGHT($A1814,2))&gt;60),$A1814&amp;"01 1",$A1814),IF(AND(LEN($A1814)=4,VALUE(RIGHT($A1814,2))&lt;60),GUS_tabl_2!$A$8:$B$464,GUS_tabl_21!$A$5:$B$4886),2,FALSE))),-1)))))</f>
        <v>gm. m.-w. Czarna Białostocka</v>
      </c>
      <c r="D1814" s="141">
        <f>IF(OR($A1814="",ISERROR(VALUE(LEFT($A1814,6)))),"",IF(LEN($A1814)=2,SUMIF($A1815:$A$2965,$A1814&amp;"??",$D1815:$D$2965),IF(AND(LEN($A1814)=4,VALUE(RIGHT($A1814,2))&lt;=60),SUMIF($A1815:$A$2965,$A1814&amp;"????",$D1815:$D$2965),VLOOKUP(IF(LEN($A1814)=4,$A1814&amp;"01 1",$A1814),GUS_tabl_21!$A$5:$F$4886,6,FALSE))))</f>
        <v>11314</v>
      </c>
      <c r="E1814" s="29"/>
    </row>
    <row r="1815" spans="1:5" ht="12" customHeight="1">
      <c r="A1815" s="155" t="str">
        <f>"200203 2"</f>
        <v>200203 2</v>
      </c>
      <c r="B1815" s="153" t="s">
        <v>55</v>
      </c>
      <c r="C1815" s="156" t="str">
        <f>IF(OR($A1815="",ISERROR(VALUE(LEFT($A1815,6)))),"",IF(LEN($A1815)=2,"WOJ. ",IF(LEN($A1815)=4,IF(VALUE(RIGHT($A1815,2))&gt;60,"","Powiat "),IF(VALUE(RIGHT($A1815,1))=1,"m. ",IF(VALUE(RIGHT($A1815,1))=2,"gm. w. ",IF(VALUE(RIGHT($A1815,1))=8,"dz. ","gm. m.-w. ")))))&amp;IF(LEN($A1815)=2,TRIM(UPPER(VLOOKUP($A1815,GUS_tabl_1!$A$7:$B$22,2,FALSE))),IF(ISERROR(FIND("..",TRIM(VLOOKUP(IF(AND(LEN($A1815)=4,VALUE(RIGHT($A1815,2))&gt;60),$A1815&amp;"01 1",$A1815),IF(AND(LEN($A1815)=4,VALUE(RIGHT($A1815,2))&lt;60),GUS_tabl_2!$A$8:$B$464,GUS_tabl_21!$A$5:$B$4886),2,FALSE)))),TRIM(VLOOKUP(IF(AND(LEN($A1815)=4,VALUE(RIGHT($A1815,2))&gt;60),$A1815&amp;"01 1",$A1815),IF(AND(LEN($A1815)=4,VALUE(RIGHT($A1815,2))&lt;60),GUS_tabl_2!$A$8:$B$464,GUS_tabl_21!$A$5:$B$4886),2,FALSE)),LEFT(TRIM(VLOOKUP(IF(AND(LEN($A1815)=4,VALUE(RIGHT($A1815,2))&gt;60),$A1815&amp;"01 1",$A1815),IF(AND(LEN($A1815)=4,VALUE(RIGHT($A1815,2))&lt;60),GUS_tabl_2!$A$8:$B$464,GUS_tabl_21!$A$5:$B$4886),2,FALSE)),SUM(FIND("..",TRIM(VLOOKUP(IF(AND(LEN($A1815)=4,VALUE(RIGHT($A1815,2))&gt;60),$A1815&amp;"01 1",$A1815),IF(AND(LEN($A1815)=4,VALUE(RIGHT($A1815,2))&lt;60),GUS_tabl_2!$A$8:$B$464,GUS_tabl_21!$A$5:$B$4886),2,FALSE))),-1)))))</f>
        <v>gm. w. Dobrzyniewo Duże</v>
      </c>
      <c r="D1815" s="141">
        <f>IF(OR($A1815="",ISERROR(VALUE(LEFT($A1815,6)))),"",IF(LEN($A1815)=2,SUMIF($A1816:$A$2965,$A1815&amp;"??",$D1816:$D$2965),IF(AND(LEN($A1815)=4,VALUE(RIGHT($A1815,2))&lt;=60),SUMIF($A1816:$A$2965,$A1815&amp;"????",$D1816:$D$2965),VLOOKUP(IF(LEN($A1815)=4,$A1815&amp;"01 1",$A1815),GUS_tabl_21!$A$5:$F$4886,6,FALSE))))</f>
        <v>9423</v>
      </c>
      <c r="E1815" s="29"/>
    </row>
    <row r="1816" spans="1:5" ht="12" customHeight="1">
      <c r="A1816" s="155" t="str">
        <f>"200204 2"</f>
        <v>200204 2</v>
      </c>
      <c r="B1816" s="153" t="s">
        <v>55</v>
      </c>
      <c r="C1816" s="156" t="str">
        <f>IF(OR($A1816="",ISERROR(VALUE(LEFT($A1816,6)))),"",IF(LEN($A1816)=2,"WOJ. ",IF(LEN($A1816)=4,IF(VALUE(RIGHT($A1816,2))&gt;60,"","Powiat "),IF(VALUE(RIGHT($A1816,1))=1,"m. ",IF(VALUE(RIGHT($A1816,1))=2,"gm. w. ",IF(VALUE(RIGHT($A1816,1))=8,"dz. ","gm. m.-w. ")))))&amp;IF(LEN($A1816)=2,TRIM(UPPER(VLOOKUP($A1816,GUS_tabl_1!$A$7:$B$22,2,FALSE))),IF(ISERROR(FIND("..",TRIM(VLOOKUP(IF(AND(LEN($A1816)=4,VALUE(RIGHT($A1816,2))&gt;60),$A1816&amp;"01 1",$A1816),IF(AND(LEN($A1816)=4,VALUE(RIGHT($A1816,2))&lt;60),GUS_tabl_2!$A$8:$B$464,GUS_tabl_21!$A$5:$B$4886),2,FALSE)))),TRIM(VLOOKUP(IF(AND(LEN($A1816)=4,VALUE(RIGHT($A1816,2))&gt;60),$A1816&amp;"01 1",$A1816),IF(AND(LEN($A1816)=4,VALUE(RIGHT($A1816,2))&lt;60),GUS_tabl_2!$A$8:$B$464,GUS_tabl_21!$A$5:$B$4886),2,FALSE)),LEFT(TRIM(VLOOKUP(IF(AND(LEN($A1816)=4,VALUE(RIGHT($A1816,2))&gt;60),$A1816&amp;"01 1",$A1816),IF(AND(LEN($A1816)=4,VALUE(RIGHT($A1816,2))&lt;60),GUS_tabl_2!$A$8:$B$464,GUS_tabl_21!$A$5:$B$4886),2,FALSE)),SUM(FIND("..",TRIM(VLOOKUP(IF(AND(LEN($A1816)=4,VALUE(RIGHT($A1816,2))&gt;60),$A1816&amp;"01 1",$A1816),IF(AND(LEN($A1816)=4,VALUE(RIGHT($A1816,2))&lt;60),GUS_tabl_2!$A$8:$B$464,GUS_tabl_21!$A$5:$B$4886),2,FALSE))),-1)))))</f>
        <v>gm. w. Gródek (c)</v>
      </c>
      <c r="D1816" s="141">
        <f>IF(OR($A1816="",ISERROR(VALUE(LEFT($A1816,6)))),"",IF(LEN($A1816)=2,SUMIF($A1817:$A$2965,$A1816&amp;"??",$D1817:$D$2965),IF(AND(LEN($A1816)=4,VALUE(RIGHT($A1816,2))&lt;=60),SUMIF($A1817:$A$2965,$A1816&amp;"????",$D1817:$D$2965),VLOOKUP(IF(LEN($A1816)=4,$A1816&amp;"01 1",$A1816),GUS_tabl_21!$A$5:$F$4886,6,FALSE))))</f>
        <v>5141</v>
      </c>
      <c r="E1816" s="29"/>
    </row>
    <row r="1817" spans="1:5" ht="12" customHeight="1">
      <c r="A1817" s="155" t="str">
        <f>"200205 2"</f>
        <v>200205 2</v>
      </c>
      <c r="B1817" s="153" t="s">
        <v>55</v>
      </c>
      <c r="C1817" s="156" t="str">
        <f>IF(OR($A1817="",ISERROR(VALUE(LEFT($A1817,6)))),"",IF(LEN($A1817)=2,"WOJ. ",IF(LEN($A1817)=4,IF(VALUE(RIGHT($A1817,2))&gt;60,"","Powiat "),IF(VALUE(RIGHT($A1817,1))=1,"m. ",IF(VALUE(RIGHT($A1817,1))=2,"gm. w. ",IF(VALUE(RIGHT($A1817,1))=8,"dz. ","gm. m.-w. ")))))&amp;IF(LEN($A1817)=2,TRIM(UPPER(VLOOKUP($A1817,GUS_tabl_1!$A$7:$B$22,2,FALSE))),IF(ISERROR(FIND("..",TRIM(VLOOKUP(IF(AND(LEN($A1817)=4,VALUE(RIGHT($A1817,2))&gt;60),$A1817&amp;"01 1",$A1817),IF(AND(LEN($A1817)=4,VALUE(RIGHT($A1817,2))&lt;60),GUS_tabl_2!$A$8:$B$464,GUS_tabl_21!$A$5:$B$4886),2,FALSE)))),TRIM(VLOOKUP(IF(AND(LEN($A1817)=4,VALUE(RIGHT($A1817,2))&gt;60),$A1817&amp;"01 1",$A1817),IF(AND(LEN($A1817)=4,VALUE(RIGHT($A1817,2))&lt;60),GUS_tabl_2!$A$8:$B$464,GUS_tabl_21!$A$5:$B$4886),2,FALSE)),LEFT(TRIM(VLOOKUP(IF(AND(LEN($A1817)=4,VALUE(RIGHT($A1817,2))&gt;60),$A1817&amp;"01 1",$A1817),IF(AND(LEN($A1817)=4,VALUE(RIGHT($A1817,2))&lt;60),GUS_tabl_2!$A$8:$B$464,GUS_tabl_21!$A$5:$B$4886),2,FALSE)),SUM(FIND("..",TRIM(VLOOKUP(IF(AND(LEN($A1817)=4,VALUE(RIGHT($A1817,2))&gt;60),$A1817&amp;"01 1",$A1817),IF(AND(LEN($A1817)=4,VALUE(RIGHT($A1817,2))&lt;60),GUS_tabl_2!$A$8:$B$464,GUS_tabl_21!$A$5:$B$4886),2,FALSE))),-1)))))</f>
        <v>gm. w. Juchnowiec Kościelny</v>
      </c>
      <c r="D1817" s="141">
        <f>IF(OR($A1817="",ISERROR(VALUE(LEFT($A1817,6)))),"",IF(LEN($A1817)=2,SUMIF($A1818:$A$2965,$A1817&amp;"??",$D1818:$D$2965),IF(AND(LEN($A1817)=4,VALUE(RIGHT($A1817,2))&lt;=60),SUMIF($A1818:$A$2965,$A1817&amp;"????",$D1818:$D$2965),VLOOKUP(IF(LEN($A1817)=4,$A1817&amp;"01 1",$A1817),GUS_tabl_21!$A$5:$F$4886,6,FALSE))))</f>
        <v>16572</v>
      </c>
      <c r="E1817" s="29"/>
    </row>
    <row r="1818" spans="1:5" ht="12" customHeight="1">
      <c r="A1818" s="155" t="str">
        <f>"200206 3"</f>
        <v>200206 3</v>
      </c>
      <c r="B1818" s="153" t="s">
        <v>55</v>
      </c>
      <c r="C1818" s="156" t="str">
        <f>IF(OR($A1818="",ISERROR(VALUE(LEFT($A1818,6)))),"",IF(LEN($A1818)=2,"WOJ. ",IF(LEN($A1818)=4,IF(VALUE(RIGHT($A1818,2))&gt;60,"","Powiat "),IF(VALUE(RIGHT($A1818,1))=1,"m. ",IF(VALUE(RIGHT($A1818,1))=2,"gm. w. ",IF(VALUE(RIGHT($A1818,1))=8,"dz. ","gm. m.-w. ")))))&amp;IF(LEN($A1818)=2,TRIM(UPPER(VLOOKUP($A1818,GUS_tabl_1!$A$7:$B$22,2,FALSE))),IF(ISERROR(FIND("..",TRIM(VLOOKUP(IF(AND(LEN($A1818)=4,VALUE(RIGHT($A1818,2))&gt;60),$A1818&amp;"01 1",$A1818),IF(AND(LEN($A1818)=4,VALUE(RIGHT($A1818,2))&lt;60),GUS_tabl_2!$A$8:$B$464,GUS_tabl_21!$A$5:$B$4886),2,FALSE)))),TRIM(VLOOKUP(IF(AND(LEN($A1818)=4,VALUE(RIGHT($A1818,2))&gt;60),$A1818&amp;"01 1",$A1818),IF(AND(LEN($A1818)=4,VALUE(RIGHT($A1818,2))&lt;60),GUS_tabl_2!$A$8:$B$464,GUS_tabl_21!$A$5:$B$4886),2,FALSE)),LEFT(TRIM(VLOOKUP(IF(AND(LEN($A1818)=4,VALUE(RIGHT($A1818,2))&gt;60),$A1818&amp;"01 1",$A1818),IF(AND(LEN($A1818)=4,VALUE(RIGHT($A1818,2))&lt;60),GUS_tabl_2!$A$8:$B$464,GUS_tabl_21!$A$5:$B$4886),2,FALSE)),SUM(FIND("..",TRIM(VLOOKUP(IF(AND(LEN($A1818)=4,VALUE(RIGHT($A1818,2))&gt;60),$A1818&amp;"01 1",$A1818),IF(AND(LEN($A1818)=4,VALUE(RIGHT($A1818,2))&lt;60),GUS_tabl_2!$A$8:$B$464,GUS_tabl_21!$A$5:$B$4886),2,FALSE))),-1)))))</f>
        <v>gm. m.-w. Łapy</v>
      </c>
      <c r="D1818" s="141">
        <f>IF(OR($A1818="",ISERROR(VALUE(LEFT($A1818,6)))),"",IF(LEN($A1818)=2,SUMIF($A1819:$A$2965,$A1818&amp;"??",$D1819:$D$2965),IF(AND(LEN($A1818)=4,VALUE(RIGHT($A1818,2))&lt;=60),SUMIF($A1819:$A$2965,$A1818&amp;"????",$D1819:$D$2965),VLOOKUP(IF(LEN($A1818)=4,$A1818&amp;"01 1",$A1818),GUS_tabl_21!$A$5:$F$4886,6,FALSE))))</f>
        <v>21848</v>
      </c>
      <c r="E1818" s="29"/>
    </row>
    <row r="1819" spans="1:5" ht="12" customHeight="1">
      <c r="A1819" s="155" t="str">
        <f>"200207 3"</f>
        <v>200207 3</v>
      </c>
      <c r="B1819" s="153" t="s">
        <v>55</v>
      </c>
      <c r="C1819" s="156" t="str">
        <f>IF(OR($A1819="",ISERROR(VALUE(LEFT($A1819,6)))),"",IF(LEN($A1819)=2,"WOJ. ",IF(LEN($A1819)=4,IF(VALUE(RIGHT($A1819,2))&gt;60,"","Powiat "),IF(VALUE(RIGHT($A1819,1))=1,"m. ",IF(VALUE(RIGHT($A1819,1))=2,"gm. w. ",IF(VALUE(RIGHT($A1819,1))=8,"dz. ","gm. m.-w. ")))))&amp;IF(LEN($A1819)=2,TRIM(UPPER(VLOOKUP($A1819,GUS_tabl_1!$A$7:$B$22,2,FALSE))),IF(ISERROR(FIND("..",TRIM(VLOOKUP(IF(AND(LEN($A1819)=4,VALUE(RIGHT($A1819,2))&gt;60),$A1819&amp;"01 1",$A1819),IF(AND(LEN($A1819)=4,VALUE(RIGHT($A1819,2))&lt;60),GUS_tabl_2!$A$8:$B$464,GUS_tabl_21!$A$5:$B$4886),2,FALSE)))),TRIM(VLOOKUP(IF(AND(LEN($A1819)=4,VALUE(RIGHT($A1819,2))&gt;60),$A1819&amp;"01 1",$A1819),IF(AND(LEN($A1819)=4,VALUE(RIGHT($A1819,2))&lt;60),GUS_tabl_2!$A$8:$B$464,GUS_tabl_21!$A$5:$B$4886),2,FALSE)),LEFT(TRIM(VLOOKUP(IF(AND(LEN($A1819)=4,VALUE(RIGHT($A1819,2))&gt;60),$A1819&amp;"01 1",$A1819),IF(AND(LEN($A1819)=4,VALUE(RIGHT($A1819,2))&lt;60),GUS_tabl_2!$A$8:$B$464,GUS_tabl_21!$A$5:$B$4886),2,FALSE)),SUM(FIND("..",TRIM(VLOOKUP(IF(AND(LEN($A1819)=4,VALUE(RIGHT($A1819,2))&gt;60),$A1819&amp;"01 1",$A1819),IF(AND(LEN($A1819)=4,VALUE(RIGHT($A1819,2))&lt;60),GUS_tabl_2!$A$8:$B$464,GUS_tabl_21!$A$5:$B$4886),2,FALSE))),-1)))))</f>
        <v>gm. m.-w. Michałowo</v>
      </c>
      <c r="D1819" s="141">
        <f>IF(OR($A1819="",ISERROR(VALUE(LEFT($A1819,6)))),"",IF(LEN($A1819)=2,SUMIF($A1820:$A$2965,$A1819&amp;"??",$D1820:$D$2965),IF(AND(LEN($A1819)=4,VALUE(RIGHT($A1819,2))&lt;=60),SUMIF($A1820:$A$2965,$A1819&amp;"????",$D1820:$D$2965),VLOOKUP(IF(LEN($A1819)=4,$A1819&amp;"01 1",$A1819),GUS_tabl_21!$A$5:$F$4886,6,FALSE))))</f>
        <v>6565</v>
      </c>
      <c r="E1819" s="29"/>
    </row>
    <row r="1820" spans="1:5" ht="12" customHeight="1">
      <c r="A1820" s="155" t="str">
        <f>"200208 2"</f>
        <v>200208 2</v>
      </c>
      <c r="B1820" s="153" t="s">
        <v>55</v>
      </c>
      <c r="C1820" s="156" t="str">
        <f>IF(OR($A1820="",ISERROR(VALUE(LEFT($A1820,6)))),"",IF(LEN($A1820)=2,"WOJ. ",IF(LEN($A1820)=4,IF(VALUE(RIGHT($A1820,2))&gt;60,"","Powiat "),IF(VALUE(RIGHT($A1820,1))=1,"m. ",IF(VALUE(RIGHT($A1820,1))=2,"gm. w. ",IF(VALUE(RIGHT($A1820,1))=8,"dz. ","gm. m.-w. ")))))&amp;IF(LEN($A1820)=2,TRIM(UPPER(VLOOKUP($A1820,GUS_tabl_1!$A$7:$B$22,2,FALSE))),IF(ISERROR(FIND("..",TRIM(VLOOKUP(IF(AND(LEN($A1820)=4,VALUE(RIGHT($A1820,2))&gt;60),$A1820&amp;"01 1",$A1820),IF(AND(LEN($A1820)=4,VALUE(RIGHT($A1820,2))&lt;60),GUS_tabl_2!$A$8:$B$464,GUS_tabl_21!$A$5:$B$4886),2,FALSE)))),TRIM(VLOOKUP(IF(AND(LEN($A1820)=4,VALUE(RIGHT($A1820,2))&gt;60),$A1820&amp;"01 1",$A1820),IF(AND(LEN($A1820)=4,VALUE(RIGHT($A1820,2))&lt;60),GUS_tabl_2!$A$8:$B$464,GUS_tabl_21!$A$5:$B$4886),2,FALSE)),LEFT(TRIM(VLOOKUP(IF(AND(LEN($A1820)=4,VALUE(RIGHT($A1820,2))&gt;60),$A1820&amp;"01 1",$A1820),IF(AND(LEN($A1820)=4,VALUE(RIGHT($A1820,2))&lt;60),GUS_tabl_2!$A$8:$B$464,GUS_tabl_21!$A$5:$B$4886),2,FALSE)),SUM(FIND("..",TRIM(VLOOKUP(IF(AND(LEN($A1820)=4,VALUE(RIGHT($A1820,2))&gt;60),$A1820&amp;"01 1",$A1820),IF(AND(LEN($A1820)=4,VALUE(RIGHT($A1820,2))&lt;60),GUS_tabl_2!$A$8:$B$464,GUS_tabl_21!$A$5:$B$4886),2,FALSE))),-1)))))</f>
        <v>gm. w. Poświętne</v>
      </c>
      <c r="D1820" s="141">
        <f>IF(OR($A1820="",ISERROR(VALUE(LEFT($A1820,6)))),"",IF(LEN($A1820)=2,SUMIF($A1821:$A$2965,$A1820&amp;"??",$D1821:$D$2965),IF(AND(LEN($A1820)=4,VALUE(RIGHT($A1820,2))&lt;=60),SUMIF($A1821:$A$2965,$A1820&amp;"????",$D1821:$D$2965),VLOOKUP(IF(LEN($A1820)=4,$A1820&amp;"01 1",$A1820),GUS_tabl_21!$A$5:$F$4886,6,FALSE))))</f>
        <v>3364</v>
      </c>
      <c r="E1820" s="29"/>
    </row>
    <row r="1821" spans="1:5" ht="12" customHeight="1">
      <c r="A1821" s="155" t="str">
        <f>"200209 3"</f>
        <v>200209 3</v>
      </c>
      <c r="B1821" s="153" t="s">
        <v>55</v>
      </c>
      <c r="C1821" s="156" t="str">
        <f>IF(OR($A1821="",ISERROR(VALUE(LEFT($A1821,6)))),"",IF(LEN($A1821)=2,"WOJ. ",IF(LEN($A1821)=4,IF(VALUE(RIGHT($A1821,2))&gt;60,"","Powiat "),IF(VALUE(RIGHT($A1821,1))=1,"m. ",IF(VALUE(RIGHT($A1821,1))=2,"gm. w. ",IF(VALUE(RIGHT($A1821,1))=8,"dz. ","gm. m.-w. ")))))&amp;IF(LEN($A1821)=2,TRIM(UPPER(VLOOKUP($A1821,GUS_tabl_1!$A$7:$B$22,2,FALSE))),IF(ISERROR(FIND("..",TRIM(VLOOKUP(IF(AND(LEN($A1821)=4,VALUE(RIGHT($A1821,2))&gt;60),$A1821&amp;"01 1",$A1821),IF(AND(LEN($A1821)=4,VALUE(RIGHT($A1821,2))&lt;60),GUS_tabl_2!$A$8:$B$464,GUS_tabl_21!$A$5:$B$4886),2,FALSE)))),TRIM(VLOOKUP(IF(AND(LEN($A1821)=4,VALUE(RIGHT($A1821,2))&gt;60),$A1821&amp;"01 1",$A1821),IF(AND(LEN($A1821)=4,VALUE(RIGHT($A1821,2))&lt;60),GUS_tabl_2!$A$8:$B$464,GUS_tabl_21!$A$5:$B$4886),2,FALSE)),LEFT(TRIM(VLOOKUP(IF(AND(LEN($A1821)=4,VALUE(RIGHT($A1821,2))&gt;60),$A1821&amp;"01 1",$A1821),IF(AND(LEN($A1821)=4,VALUE(RIGHT($A1821,2))&lt;60),GUS_tabl_2!$A$8:$B$464,GUS_tabl_21!$A$5:$B$4886),2,FALSE)),SUM(FIND("..",TRIM(VLOOKUP(IF(AND(LEN($A1821)=4,VALUE(RIGHT($A1821,2))&gt;60),$A1821&amp;"01 1",$A1821),IF(AND(LEN($A1821)=4,VALUE(RIGHT($A1821,2))&lt;60),GUS_tabl_2!$A$8:$B$464,GUS_tabl_21!$A$5:$B$4886),2,FALSE))),-1)))))</f>
        <v>gm. m.-w. Supraśl</v>
      </c>
      <c r="D1821" s="141">
        <f>IF(OR($A1821="",ISERROR(VALUE(LEFT($A1821,6)))),"",IF(LEN($A1821)=2,SUMIF($A1822:$A$2965,$A1821&amp;"??",$D1822:$D$2965),IF(AND(LEN($A1821)=4,VALUE(RIGHT($A1821,2))&lt;=60),SUMIF($A1822:$A$2965,$A1821&amp;"????",$D1822:$D$2965),VLOOKUP(IF(LEN($A1821)=4,$A1821&amp;"01 1",$A1821),GUS_tabl_21!$A$5:$F$4886,6,FALSE))))</f>
        <v>15676</v>
      </c>
      <c r="E1821" s="29"/>
    </row>
    <row r="1822" spans="1:5" ht="12" customHeight="1">
      <c r="A1822" s="155" t="str">
        <f>"200210 3"</f>
        <v>200210 3</v>
      </c>
      <c r="B1822" s="153" t="s">
        <v>55</v>
      </c>
      <c r="C1822" s="156" t="str">
        <f>IF(OR($A1822="",ISERROR(VALUE(LEFT($A1822,6)))),"",IF(LEN($A1822)=2,"WOJ. ",IF(LEN($A1822)=4,IF(VALUE(RIGHT($A1822,2))&gt;60,"","Powiat "),IF(VALUE(RIGHT($A1822,1))=1,"m. ",IF(VALUE(RIGHT($A1822,1))=2,"gm. w. ",IF(VALUE(RIGHT($A1822,1))=8,"dz. ","gm. m.-w. ")))))&amp;IF(LEN($A1822)=2,TRIM(UPPER(VLOOKUP($A1822,GUS_tabl_1!$A$7:$B$22,2,FALSE))),IF(ISERROR(FIND("..",TRIM(VLOOKUP(IF(AND(LEN($A1822)=4,VALUE(RIGHT($A1822,2))&gt;60),$A1822&amp;"01 1",$A1822),IF(AND(LEN($A1822)=4,VALUE(RIGHT($A1822,2))&lt;60),GUS_tabl_2!$A$8:$B$464,GUS_tabl_21!$A$5:$B$4886),2,FALSE)))),TRIM(VLOOKUP(IF(AND(LEN($A1822)=4,VALUE(RIGHT($A1822,2))&gt;60),$A1822&amp;"01 1",$A1822),IF(AND(LEN($A1822)=4,VALUE(RIGHT($A1822,2))&lt;60),GUS_tabl_2!$A$8:$B$464,GUS_tabl_21!$A$5:$B$4886),2,FALSE)),LEFT(TRIM(VLOOKUP(IF(AND(LEN($A1822)=4,VALUE(RIGHT($A1822,2))&gt;60),$A1822&amp;"01 1",$A1822),IF(AND(LEN($A1822)=4,VALUE(RIGHT($A1822,2))&lt;60),GUS_tabl_2!$A$8:$B$464,GUS_tabl_21!$A$5:$B$4886),2,FALSE)),SUM(FIND("..",TRIM(VLOOKUP(IF(AND(LEN($A1822)=4,VALUE(RIGHT($A1822,2))&gt;60),$A1822&amp;"01 1",$A1822),IF(AND(LEN($A1822)=4,VALUE(RIGHT($A1822,2))&lt;60),GUS_tabl_2!$A$8:$B$464,GUS_tabl_21!$A$5:$B$4886),2,FALSE))),-1)))))</f>
        <v>gm. m.-w. Suraż</v>
      </c>
      <c r="D1822" s="141">
        <f>IF(OR($A1822="",ISERROR(VALUE(LEFT($A1822,6)))),"",IF(LEN($A1822)=2,SUMIF($A1823:$A$2965,$A1822&amp;"??",$D1823:$D$2965),IF(AND(LEN($A1822)=4,VALUE(RIGHT($A1822,2))&lt;=60),SUMIF($A1823:$A$2965,$A1822&amp;"????",$D1823:$D$2965),VLOOKUP(IF(LEN($A1822)=4,$A1822&amp;"01 1",$A1822),GUS_tabl_21!$A$5:$F$4886,6,FALSE))))</f>
        <v>1967</v>
      </c>
      <c r="E1822" s="29"/>
    </row>
    <row r="1823" spans="1:5" ht="12" customHeight="1">
      <c r="A1823" s="155" t="str">
        <f>"200211 2"</f>
        <v>200211 2</v>
      </c>
      <c r="B1823" s="153" t="s">
        <v>55</v>
      </c>
      <c r="C1823" s="156" t="str">
        <f>IF(OR($A1823="",ISERROR(VALUE(LEFT($A1823,6)))),"",IF(LEN($A1823)=2,"WOJ. ",IF(LEN($A1823)=4,IF(VALUE(RIGHT($A1823,2))&gt;60,"","Powiat "),IF(VALUE(RIGHT($A1823,1))=1,"m. ",IF(VALUE(RIGHT($A1823,1))=2,"gm. w. ",IF(VALUE(RIGHT($A1823,1))=8,"dz. ","gm. m.-w. ")))))&amp;IF(LEN($A1823)=2,TRIM(UPPER(VLOOKUP($A1823,GUS_tabl_1!$A$7:$B$22,2,FALSE))),IF(ISERROR(FIND("..",TRIM(VLOOKUP(IF(AND(LEN($A1823)=4,VALUE(RIGHT($A1823,2))&gt;60),$A1823&amp;"01 1",$A1823),IF(AND(LEN($A1823)=4,VALUE(RIGHT($A1823,2))&lt;60),GUS_tabl_2!$A$8:$B$464,GUS_tabl_21!$A$5:$B$4886),2,FALSE)))),TRIM(VLOOKUP(IF(AND(LEN($A1823)=4,VALUE(RIGHT($A1823,2))&gt;60),$A1823&amp;"01 1",$A1823),IF(AND(LEN($A1823)=4,VALUE(RIGHT($A1823,2))&lt;60),GUS_tabl_2!$A$8:$B$464,GUS_tabl_21!$A$5:$B$4886),2,FALSE)),LEFT(TRIM(VLOOKUP(IF(AND(LEN($A1823)=4,VALUE(RIGHT($A1823,2))&gt;60),$A1823&amp;"01 1",$A1823),IF(AND(LEN($A1823)=4,VALUE(RIGHT($A1823,2))&lt;60),GUS_tabl_2!$A$8:$B$464,GUS_tabl_21!$A$5:$B$4886),2,FALSE)),SUM(FIND("..",TRIM(VLOOKUP(IF(AND(LEN($A1823)=4,VALUE(RIGHT($A1823,2))&gt;60),$A1823&amp;"01 1",$A1823),IF(AND(LEN($A1823)=4,VALUE(RIGHT($A1823,2))&lt;60),GUS_tabl_2!$A$8:$B$464,GUS_tabl_21!$A$5:$B$4886),2,FALSE))),-1)))))</f>
        <v>gm. w. Turośń Kościelna</v>
      </c>
      <c r="D1823" s="141">
        <f>IF(OR($A1823="",ISERROR(VALUE(LEFT($A1823,6)))),"",IF(LEN($A1823)=2,SUMIF($A1824:$A$2965,$A1823&amp;"??",$D1824:$D$2965),IF(AND(LEN($A1823)=4,VALUE(RIGHT($A1823,2))&lt;=60),SUMIF($A1824:$A$2965,$A1823&amp;"????",$D1824:$D$2965),VLOOKUP(IF(LEN($A1823)=4,$A1823&amp;"01 1",$A1823),GUS_tabl_21!$A$5:$F$4886,6,FALSE))))</f>
        <v>6411</v>
      </c>
      <c r="E1823" s="29"/>
    </row>
    <row r="1824" spans="1:5" ht="12" customHeight="1">
      <c r="A1824" s="155" t="str">
        <f>"200212 3"</f>
        <v>200212 3</v>
      </c>
      <c r="B1824" s="153" t="s">
        <v>55</v>
      </c>
      <c r="C1824" s="156" t="str">
        <f>IF(OR($A1824="",ISERROR(VALUE(LEFT($A1824,6)))),"",IF(LEN($A1824)=2,"WOJ. ",IF(LEN($A1824)=4,IF(VALUE(RIGHT($A1824,2))&gt;60,"","Powiat "),IF(VALUE(RIGHT($A1824,1))=1,"m. ",IF(VALUE(RIGHT($A1824,1))=2,"gm. w. ",IF(VALUE(RIGHT($A1824,1))=8,"dz. ","gm. m.-w. ")))))&amp;IF(LEN($A1824)=2,TRIM(UPPER(VLOOKUP($A1824,GUS_tabl_1!$A$7:$B$22,2,FALSE))),IF(ISERROR(FIND("..",TRIM(VLOOKUP(IF(AND(LEN($A1824)=4,VALUE(RIGHT($A1824,2))&gt;60),$A1824&amp;"01 1",$A1824),IF(AND(LEN($A1824)=4,VALUE(RIGHT($A1824,2))&lt;60),GUS_tabl_2!$A$8:$B$464,GUS_tabl_21!$A$5:$B$4886),2,FALSE)))),TRIM(VLOOKUP(IF(AND(LEN($A1824)=4,VALUE(RIGHT($A1824,2))&gt;60),$A1824&amp;"01 1",$A1824),IF(AND(LEN($A1824)=4,VALUE(RIGHT($A1824,2))&lt;60),GUS_tabl_2!$A$8:$B$464,GUS_tabl_21!$A$5:$B$4886),2,FALSE)),LEFT(TRIM(VLOOKUP(IF(AND(LEN($A1824)=4,VALUE(RIGHT($A1824,2))&gt;60),$A1824&amp;"01 1",$A1824),IF(AND(LEN($A1824)=4,VALUE(RIGHT($A1824,2))&lt;60),GUS_tabl_2!$A$8:$B$464,GUS_tabl_21!$A$5:$B$4886),2,FALSE)),SUM(FIND("..",TRIM(VLOOKUP(IF(AND(LEN($A1824)=4,VALUE(RIGHT($A1824,2))&gt;60),$A1824&amp;"01 1",$A1824),IF(AND(LEN($A1824)=4,VALUE(RIGHT($A1824,2))&lt;60),GUS_tabl_2!$A$8:$B$464,GUS_tabl_21!$A$5:$B$4886),2,FALSE))),-1)))))</f>
        <v>gm. m.-w. Tykocin</v>
      </c>
      <c r="D1824" s="141">
        <f>IF(OR($A1824="",ISERROR(VALUE(LEFT($A1824,6)))),"",IF(LEN($A1824)=2,SUMIF($A1825:$A$2965,$A1824&amp;"??",$D1825:$D$2965),IF(AND(LEN($A1824)=4,VALUE(RIGHT($A1824,2))&lt;=60),SUMIF($A1825:$A$2965,$A1824&amp;"????",$D1825:$D$2965),VLOOKUP(IF(LEN($A1824)=4,$A1824&amp;"01 1",$A1824),GUS_tabl_21!$A$5:$F$4886,6,FALSE))))</f>
        <v>6194</v>
      </c>
      <c r="E1824" s="29"/>
    </row>
    <row r="1825" spans="1:5" ht="12" customHeight="1">
      <c r="A1825" s="155" t="str">
        <f>"200213 3"</f>
        <v>200213 3</v>
      </c>
      <c r="B1825" s="153" t="s">
        <v>55</v>
      </c>
      <c r="C1825" s="156" t="str">
        <f>IF(OR($A1825="",ISERROR(VALUE(LEFT($A1825,6)))),"",IF(LEN($A1825)=2,"WOJ. ",IF(LEN($A1825)=4,IF(VALUE(RIGHT($A1825,2))&gt;60,"","Powiat "),IF(VALUE(RIGHT($A1825,1))=1,"m. ",IF(VALUE(RIGHT($A1825,1))=2,"gm. w. ",IF(VALUE(RIGHT($A1825,1))=8,"dz. ","gm. m.-w. ")))))&amp;IF(LEN($A1825)=2,TRIM(UPPER(VLOOKUP($A1825,GUS_tabl_1!$A$7:$B$22,2,FALSE))),IF(ISERROR(FIND("..",TRIM(VLOOKUP(IF(AND(LEN($A1825)=4,VALUE(RIGHT($A1825,2))&gt;60),$A1825&amp;"01 1",$A1825),IF(AND(LEN($A1825)=4,VALUE(RIGHT($A1825,2))&lt;60),GUS_tabl_2!$A$8:$B$464,GUS_tabl_21!$A$5:$B$4886),2,FALSE)))),TRIM(VLOOKUP(IF(AND(LEN($A1825)=4,VALUE(RIGHT($A1825,2))&gt;60),$A1825&amp;"01 1",$A1825),IF(AND(LEN($A1825)=4,VALUE(RIGHT($A1825,2))&lt;60),GUS_tabl_2!$A$8:$B$464,GUS_tabl_21!$A$5:$B$4886),2,FALSE)),LEFT(TRIM(VLOOKUP(IF(AND(LEN($A1825)=4,VALUE(RIGHT($A1825,2))&gt;60),$A1825&amp;"01 1",$A1825),IF(AND(LEN($A1825)=4,VALUE(RIGHT($A1825,2))&lt;60),GUS_tabl_2!$A$8:$B$464,GUS_tabl_21!$A$5:$B$4886),2,FALSE)),SUM(FIND("..",TRIM(VLOOKUP(IF(AND(LEN($A1825)=4,VALUE(RIGHT($A1825,2))&gt;60),$A1825&amp;"01 1",$A1825),IF(AND(LEN($A1825)=4,VALUE(RIGHT($A1825,2))&lt;60),GUS_tabl_2!$A$8:$B$464,GUS_tabl_21!$A$5:$B$4886),2,FALSE))),-1)))))</f>
        <v>gm. m.-w. Wasilków</v>
      </c>
      <c r="D1825" s="141">
        <f>IF(OR($A1825="",ISERROR(VALUE(LEFT($A1825,6)))),"",IF(LEN($A1825)=2,SUMIF($A1826:$A$2965,$A1825&amp;"??",$D1826:$D$2965),IF(AND(LEN($A1825)=4,VALUE(RIGHT($A1825,2))&lt;=60),SUMIF($A1826:$A$2965,$A1825&amp;"????",$D1826:$D$2965),VLOOKUP(IF(LEN($A1825)=4,$A1825&amp;"01 1",$A1825),GUS_tabl_21!$A$5:$F$4886,6,FALSE))))</f>
        <v>17560</v>
      </c>
      <c r="E1825" s="29"/>
    </row>
    <row r="1826" spans="1:5" ht="12" customHeight="1">
      <c r="A1826" s="155" t="str">
        <f>"200214 3"</f>
        <v>200214 3</v>
      </c>
      <c r="B1826" s="153" t="s">
        <v>55</v>
      </c>
      <c r="C1826" s="156" t="str">
        <f>IF(OR($A1826="",ISERROR(VALUE(LEFT($A1826,6)))),"",IF(LEN($A1826)=2,"WOJ. ",IF(LEN($A1826)=4,IF(VALUE(RIGHT($A1826,2))&gt;60,"","Powiat "),IF(VALUE(RIGHT($A1826,1))=1,"m. ",IF(VALUE(RIGHT($A1826,1))=2,"gm. w. ",IF(VALUE(RIGHT($A1826,1))=8,"dz. ","gm. m.-w. ")))))&amp;IF(LEN($A1826)=2,TRIM(UPPER(VLOOKUP($A1826,GUS_tabl_1!$A$7:$B$22,2,FALSE))),IF(ISERROR(FIND("..",TRIM(VLOOKUP(IF(AND(LEN($A1826)=4,VALUE(RIGHT($A1826,2))&gt;60),$A1826&amp;"01 1",$A1826),IF(AND(LEN($A1826)=4,VALUE(RIGHT($A1826,2))&lt;60),GUS_tabl_2!$A$8:$B$464,GUS_tabl_21!$A$5:$B$4886),2,FALSE)))),TRIM(VLOOKUP(IF(AND(LEN($A1826)=4,VALUE(RIGHT($A1826,2))&gt;60),$A1826&amp;"01 1",$A1826),IF(AND(LEN($A1826)=4,VALUE(RIGHT($A1826,2))&lt;60),GUS_tabl_2!$A$8:$B$464,GUS_tabl_21!$A$5:$B$4886),2,FALSE)),LEFT(TRIM(VLOOKUP(IF(AND(LEN($A1826)=4,VALUE(RIGHT($A1826,2))&gt;60),$A1826&amp;"01 1",$A1826),IF(AND(LEN($A1826)=4,VALUE(RIGHT($A1826,2))&lt;60),GUS_tabl_2!$A$8:$B$464,GUS_tabl_21!$A$5:$B$4886),2,FALSE)),SUM(FIND("..",TRIM(VLOOKUP(IF(AND(LEN($A1826)=4,VALUE(RIGHT($A1826,2))&gt;60),$A1826&amp;"01 1",$A1826),IF(AND(LEN($A1826)=4,VALUE(RIGHT($A1826,2))&lt;60),GUS_tabl_2!$A$8:$B$464,GUS_tabl_21!$A$5:$B$4886),2,FALSE))),-1)))))</f>
        <v>gm. m.-w. Zabłudów</v>
      </c>
      <c r="D1826" s="141">
        <f>IF(OR($A1826="",ISERROR(VALUE(LEFT($A1826,6)))),"",IF(LEN($A1826)=2,SUMIF($A1827:$A$2965,$A1826&amp;"??",$D1827:$D$2965),IF(AND(LEN($A1826)=4,VALUE(RIGHT($A1826,2))&lt;=60),SUMIF($A1827:$A$2965,$A1826&amp;"????",$D1827:$D$2965),VLOOKUP(IF(LEN($A1826)=4,$A1826&amp;"01 1",$A1826),GUS_tabl_21!$A$5:$F$4886,6,FALSE))))</f>
        <v>9331</v>
      </c>
      <c r="E1826" s="29"/>
    </row>
    <row r="1827" spans="1:5" ht="12" customHeight="1">
      <c r="A1827" s="155" t="str">
        <f>"200215 2"</f>
        <v>200215 2</v>
      </c>
      <c r="B1827" s="153" t="s">
        <v>55</v>
      </c>
      <c r="C1827" s="156" t="str">
        <f>IF(OR($A1827="",ISERROR(VALUE(LEFT($A1827,6)))),"",IF(LEN($A1827)=2,"WOJ. ",IF(LEN($A1827)=4,IF(VALUE(RIGHT($A1827,2))&gt;60,"","Powiat "),IF(VALUE(RIGHT($A1827,1))=1,"m. ",IF(VALUE(RIGHT($A1827,1))=2,"gm. w. ",IF(VALUE(RIGHT($A1827,1))=8,"dz. ","gm. m.-w. ")))))&amp;IF(LEN($A1827)=2,TRIM(UPPER(VLOOKUP($A1827,GUS_tabl_1!$A$7:$B$22,2,FALSE))),IF(ISERROR(FIND("..",TRIM(VLOOKUP(IF(AND(LEN($A1827)=4,VALUE(RIGHT($A1827,2))&gt;60),$A1827&amp;"01 1",$A1827),IF(AND(LEN($A1827)=4,VALUE(RIGHT($A1827,2))&lt;60),GUS_tabl_2!$A$8:$B$464,GUS_tabl_21!$A$5:$B$4886),2,FALSE)))),TRIM(VLOOKUP(IF(AND(LEN($A1827)=4,VALUE(RIGHT($A1827,2))&gt;60),$A1827&amp;"01 1",$A1827),IF(AND(LEN($A1827)=4,VALUE(RIGHT($A1827,2))&lt;60),GUS_tabl_2!$A$8:$B$464,GUS_tabl_21!$A$5:$B$4886),2,FALSE)),LEFT(TRIM(VLOOKUP(IF(AND(LEN($A1827)=4,VALUE(RIGHT($A1827,2))&gt;60),$A1827&amp;"01 1",$A1827),IF(AND(LEN($A1827)=4,VALUE(RIGHT($A1827,2))&lt;60),GUS_tabl_2!$A$8:$B$464,GUS_tabl_21!$A$5:$B$4886),2,FALSE)),SUM(FIND("..",TRIM(VLOOKUP(IF(AND(LEN($A1827)=4,VALUE(RIGHT($A1827,2))&gt;60),$A1827&amp;"01 1",$A1827),IF(AND(LEN($A1827)=4,VALUE(RIGHT($A1827,2))&lt;60),GUS_tabl_2!$A$8:$B$464,GUS_tabl_21!$A$5:$B$4886),2,FALSE))),-1)))))</f>
        <v>gm. w. Zawady</v>
      </c>
      <c r="D1827" s="141">
        <f>IF(OR($A1827="",ISERROR(VALUE(LEFT($A1827,6)))),"",IF(LEN($A1827)=2,SUMIF($A1828:$A$2965,$A1827&amp;"??",$D1828:$D$2965),IF(AND(LEN($A1827)=4,VALUE(RIGHT($A1827,2))&lt;=60),SUMIF($A1828:$A$2965,$A1827&amp;"????",$D1828:$D$2965),VLOOKUP(IF(LEN($A1827)=4,$A1827&amp;"01 1",$A1827),GUS_tabl_21!$A$5:$F$4886,6,FALSE))))</f>
        <v>2717</v>
      </c>
      <c r="E1827" s="29"/>
    </row>
    <row r="1828" spans="1:5" ht="12" customHeight="1">
      <c r="A1828" s="152" t="str">
        <f>"2003"</f>
        <v>2003</v>
      </c>
      <c r="B1828" s="153" t="s">
        <v>55</v>
      </c>
      <c r="C1828" s="154" t="str">
        <f>IF(OR($A1828="",ISERROR(VALUE(LEFT($A1828,6)))),"",IF(LEN($A1828)=2,"WOJ. ",IF(LEN($A1828)=4,IF(VALUE(RIGHT($A1828,2))&gt;60,"","Powiat "),IF(VALUE(RIGHT($A1828,1))=1,"m. ",IF(VALUE(RIGHT($A1828,1))=2,"gm. w. ",IF(VALUE(RIGHT($A1828,1))=8,"dz. ","gm. m.-w. ")))))&amp;IF(LEN($A1828)=2,TRIM(UPPER(VLOOKUP($A1828,GUS_tabl_1!$A$7:$B$22,2,FALSE))),IF(ISERROR(FIND("..",TRIM(VLOOKUP(IF(AND(LEN($A1828)=4,VALUE(RIGHT($A1828,2))&gt;60),$A1828&amp;"01 1",$A1828),IF(AND(LEN($A1828)=4,VALUE(RIGHT($A1828,2))&lt;60),GUS_tabl_2!$A$8:$B$464,GUS_tabl_21!$A$5:$B$4886),2,FALSE)))),TRIM(VLOOKUP(IF(AND(LEN($A1828)=4,VALUE(RIGHT($A1828,2))&gt;60),$A1828&amp;"01 1",$A1828),IF(AND(LEN($A1828)=4,VALUE(RIGHT($A1828,2))&lt;60),GUS_tabl_2!$A$8:$B$464,GUS_tabl_21!$A$5:$B$4886),2,FALSE)),LEFT(TRIM(VLOOKUP(IF(AND(LEN($A1828)=4,VALUE(RIGHT($A1828,2))&gt;60),$A1828&amp;"01 1",$A1828),IF(AND(LEN($A1828)=4,VALUE(RIGHT($A1828,2))&lt;60),GUS_tabl_2!$A$8:$B$464,GUS_tabl_21!$A$5:$B$4886),2,FALSE)),SUM(FIND("..",TRIM(VLOOKUP(IF(AND(LEN($A1828)=4,VALUE(RIGHT($A1828,2))&gt;60),$A1828&amp;"01 1",$A1828),IF(AND(LEN($A1828)=4,VALUE(RIGHT($A1828,2))&lt;60),GUS_tabl_2!$A$8:$B$464,GUS_tabl_21!$A$5:$B$4886),2,FALSE))),-1)))))</f>
        <v>Powiat bielski</v>
      </c>
      <c r="D1828" s="140">
        <f>IF(OR($A1828="",ISERROR(VALUE(LEFT($A1828,6)))),"",IF(LEN($A1828)=2,SUMIF($A1829:$A$2965,$A1828&amp;"??",$D1829:$D$2965),IF(AND(LEN($A1828)=4,VALUE(RIGHT($A1828,2))&lt;=60),SUMIF($A1829:$A$2965,$A1828&amp;"????",$D1829:$D$2965),VLOOKUP(IF(LEN($A1828)=4,$A1828&amp;"01 1",$A1828),GUS_tabl_21!$A$5:$F$4886,6,FALSE))))</f>
        <v>54353</v>
      </c>
      <c r="E1828" s="29"/>
    </row>
    <row r="1829" spans="1:5" ht="12" customHeight="1">
      <c r="A1829" s="155" t="str">
        <f>"200301 1"</f>
        <v>200301 1</v>
      </c>
      <c r="B1829" s="153" t="s">
        <v>55</v>
      </c>
      <c r="C1829" s="156" t="str">
        <f>IF(OR($A1829="",ISERROR(VALUE(LEFT($A1829,6)))),"",IF(LEN($A1829)=2,"WOJ. ",IF(LEN($A1829)=4,IF(VALUE(RIGHT($A1829,2))&gt;60,"","Powiat "),IF(VALUE(RIGHT($A1829,1))=1,"m. ",IF(VALUE(RIGHT($A1829,1))=2,"gm. w. ",IF(VALUE(RIGHT($A1829,1))=8,"dz. ","gm. m.-w. ")))))&amp;IF(LEN($A1829)=2,TRIM(UPPER(VLOOKUP($A1829,GUS_tabl_1!$A$7:$B$22,2,FALSE))),IF(ISERROR(FIND("..",TRIM(VLOOKUP(IF(AND(LEN($A1829)=4,VALUE(RIGHT($A1829,2))&gt;60),$A1829&amp;"01 1",$A1829),IF(AND(LEN($A1829)=4,VALUE(RIGHT($A1829,2))&lt;60),GUS_tabl_2!$A$8:$B$464,GUS_tabl_21!$A$5:$B$4886),2,FALSE)))),TRIM(VLOOKUP(IF(AND(LEN($A1829)=4,VALUE(RIGHT($A1829,2))&gt;60),$A1829&amp;"01 1",$A1829),IF(AND(LEN($A1829)=4,VALUE(RIGHT($A1829,2))&lt;60),GUS_tabl_2!$A$8:$B$464,GUS_tabl_21!$A$5:$B$4886),2,FALSE)),LEFT(TRIM(VLOOKUP(IF(AND(LEN($A1829)=4,VALUE(RIGHT($A1829,2))&gt;60),$A1829&amp;"01 1",$A1829),IF(AND(LEN($A1829)=4,VALUE(RIGHT($A1829,2))&lt;60),GUS_tabl_2!$A$8:$B$464,GUS_tabl_21!$A$5:$B$4886),2,FALSE)),SUM(FIND("..",TRIM(VLOOKUP(IF(AND(LEN($A1829)=4,VALUE(RIGHT($A1829,2))&gt;60),$A1829&amp;"01 1",$A1829),IF(AND(LEN($A1829)=4,VALUE(RIGHT($A1829,2))&lt;60),GUS_tabl_2!$A$8:$B$464,GUS_tabl_21!$A$5:$B$4886),2,FALSE))),-1)))))</f>
        <v>m. Bielsk Podlaski</v>
      </c>
      <c r="D1829" s="141">
        <f>IF(OR($A1829="",ISERROR(VALUE(LEFT($A1829,6)))),"",IF(LEN($A1829)=2,SUMIF($A1830:$A$2965,$A1829&amp;"??",$D1830:$D$2965),IF(AND(LEN($A1829)=4,VALUE(RIGHT($A1829,2))&lt;=60),SUMIF($A1830:$A$2965,$A1829&amp;"????",$D1830:$D$2965),VLOOKUP(IF(LEN($A1829)=4,$A1829&amp;"01 1",$A1829),GUS_tabl_21!$A$5:$F$4886,6,FALSE))))</f>
        <v>25262</v>
      </c>
      <c r="E1829" s="29"/>
    </row>
    <row r="1830" spans="1:5" ht="12" customHeight="1">
      <c r="A1830" s="155" t="str">
        <f>"200302 1"</f>
        <v>200302 1</v>
      </c>
      <c r="B1830" s="153" t="s">
        <v>55</v>
      </c>
      <c r="C1830" s="156" t="str">
        <f>IF(OR($A1830="",ISERROR(VALUE(LEFT($A1830,6)))),"",IF(LEN($A1830)=2,"WOJ. ",IF(LEN($A1830)=4,IF(VALUE(RIGHT($A1830,2))&gt;60,"","Powiat "),IF(VALUE(RIGHT($A1830,1))=1,"m. ",IF(VALUE(RIGHT($A1830,1))=2,"gm. w. ",IF(VALUE(RIGHT($A1830,1))=8,"dz. ","gm. m.-w. ")))))&amp;IF(LEN($A1830)=2,TRIM(UPPER(VLOOKUP($A1830,GUS_tabl_1!$A$7:$B$22,2,FALSE))),IF(ISERROR(FIND("..",TRIM(VLOOKUP(IF(AND(LEN($A1830)=4,VALUE(RIGHT($A1830,2))&gt;60),$A1830&amp;"01 1",$A1830),IF(AND(LEN($A1830)=4,VALUE(RIGHT($A1830,2))&lt;60),GUS_tabl_2!$A$8:$B$464,GUS_tabl_21!$A$5:$B$4886),2,FALSE)))),TRIM(VLOOKUP(IF(AND(LEN($A1830)=4,VALUE(RIGHT($A1830,2))&gt;60),$A1830&amp;"01 1",$A1830),IF(AND(LEN($A1830)=4,VALUE(RIGHT($A1830,2))&lt;60),GUS_tabl_2!$A$8:$B$464,GUS_tabl_21!$A$5:$B$4886),2,FALSE)),LEFT(TRIM(VLOOKUP(IF(AND(LEN($A1830)=4,VALUE(RIGHT($A1830,2))&gt;60),$A1830&amp;"01 1",$A1830),IF(AND(LEN($A1830)=4,VALUE(RIGHT($A1830,2))&lt;60),GUS_tabl_2!$A$8:$B$464,GUS_tabl_21!$A$5:$B$4886),2,FALSE)),SUM(FIND("..",TRIM(VLOOKUP(IF(AND(LEN($A1830)=4,VALUE(RIGHT($A1830,2))&gt;60),$A1830&amp;"01 1",$A1830),IF(AND(LEN($A1830)=4,VALUE(RIGHT($A1830,2))&lt;60),GUS_tabl_2!$A$8:$B$464,GUS_tabl_21!$A$5:$B$4886),2,FALSE))),-1)))))</f>
        <v>m. Brańsk</v>
      </c>
      <c r="D1830" s="141">
        <f>IF(OR($A1830="",ISERROR(VALUE(LEFT($A1830,6)))),"",IF(LEN($A1830)=2,SUMIF($A1831:$A$2965,$A1830&amp;"??",$D1831:$D$2965),IF(AND(LEN($A1830)=4,VALUE(RIGHT($A1830,2))&lt;=60),SUMIF($A1831:$A$2965,$A1830&amp;"????",$D1831:$D$2965),VLOOKUP(IF(LEN($A1830)=4,$A1830&amp;"01 1",$A1830),GUS_tabl_21!$A$5:$F$4886,6,FALSE))))</f>
        <v>3753</v>
      </c>
      <c r="E1830" s="29"/>
    </row>
    <row r="1831" spans="1:5" ht="12" customHeight="1">
      <c r="A1831" s="155" t="str">
        <f>"200303 2"</f>
        <v>200303 2</v>
      </c>
      <c r="B1831" s="153" t="s">
        <v>55</v>
      </c>
      <c r="C1831" s="156" t="str">
        <f>IF(OR($A1831="",ISERROR(VALUE(LEFT($A1831,6)))),"",IF(LEN($A1831)=2,"WOJ. ",IF(LEN($A1831)=4,IF(VALUE(RIGHT($A1831,2))&gt;60,"","Powiat "),IF(VALUE(RIGHT($A1831,1))=1,"m. ",IF(VALUE(RIGHT($A1831,1))=2,"gm. w. ",IF(VALUE(RIGHT($A1831,1))=8,"dz. ","gm. m.-w. ")))))&amp;IF(LEN($A1831)=2,TRIM(UPPER(VLOOKUP($A1831,GUS_tabl_1!$A$7:$B$22,2,FALSE))),IF(ISERROR(FIND("..",TRIM(VLOOKUP(IF(AND(LEN($A1831)=4,VALUE(RIGHT($A1831,2))&gt;60),$A1831&amp;"01 1",$A1831),IF(AND(LEN($A1831)=4,VALUE(RIGHT($A1831,2))&lt;60),GUS_tabl_2!$A$8:$B$464,GUS_tabl_21!$A$5:$B$4886),2,FALSE)))),TRIM(VLOOKUP(IF(AND(LEN($A1831)=4,VALUE(RIGHT($A1831,2))&gt;60),$A1831&amp;"01 1",$A1831),IF(AND(LEN($A1831)=4,VALUE(RIGHT($A1831,2))&lt;60),GUS_tabl_2!$A$8:$B$464,GUS_tabl_21!$A$5:$B$4886),2,FALSE)),LEFT(TRIM(VLOOKUP(IF(AND(LEN($A1831)=4,VALUE(RIGHT($A1831,2))&gt;60),$A1831&amp;"01 1",$A1831),IF(AND(LEN($A1831)=4,VALUE(RIGHT($A1831,2))&lt;60),GUS_tabl_2!$A$8:$B$464,GUS_tabl_21!$A$5:$B$4886),2,FALSE)),SUM(FIND("..",TRIM(VLOOKUP(IF(AND(LEN($A1831)=4,VALUE(RIGHT($A1831,2))&gt;60),$A1831&amp;"01 1",$A1831),IF(AND(LEN($A1831)=4,VALUE(RIGHT($A1831,2))&lt;60),GUS_tabl_2!$A$8:$B$464,GUS_tabl_21!$A$5:$B$4886),2,FALSE))),-1)))))</f>
        <v>gm. w. Bielsk Podlaski</v>
      </c>
      <c r="D1831" s="141">
        <f>IF(OR($A1831="",ISERROR(VALUE(LEFT($A1831,6)))),"",IF(LEN($A1831)=2,SUMIF($A1832:$A$2965,$A1831&amp;"??",$D1832:$D$2965),IF(AND(LEN($A1831)=4,VALUE(RIGHT($A1831,2))&lt;=60),SUMIF($A1832:$A$2965,$A1831&amp;"????",$D1832:$D$2965),VLOOKUP(IF(LEN($A1831)=4,$A1831&amp;"01 1",$A1831),GUS_tabl_21!$A$5:$F$4886,6,FALSE))))</f>
        <v>6606</v>
      </c>
      <c r="E1831" s="29"/>
    </row>
    <row r="1832" spans="1:5" ht="12" customHeight="1">
      <c r="A1832" s="155" t="str">
        <f>"200304 2"</f>
        <v>200304 2</v>
      </c>
      <c r="B1832" s="153" t="s">
        <v>55</v>
      </c>
      <c r="C1832" s="156" t="str">
        <f>IF(OR($A1832="",ISERROR(VALUE(LEFT($A1832,6)))),"",IF(LEN($A1832)=2,"WOJ. ",IF(LEN($A1832)=4,IF(VALUE(RIGHT($A1832,2))&gt;60,"","Powiat "),IF(VALUE(RIGHT($A1832,1))=1,"m. ",IF(VALUE(RIGHT($A1832,1))=2,"gm. w. ",IF(VALUE(RIGHT($A1832,1))=8,"dz. ","gm. m.-w. ")))))&amp;IF(LEN($A1832)=2,TRIM(UPPER(VLOOKUP($A1832,GUS_tabl_1!$A$7:$B$22,2,FALSE))),IF(ISERROR(FIND("..",TRIM(VLOOKUP(IF(AND(LEN($A1832)=4,VALUE(RIGHT($A1832,2))&gt;60),$A1832&amp;"01 1",$A1832),IF(AND(LEN($A1832)=4,VALUE(RIGHT($A1832,2))&lt;60),GUS_tabl_2!$A$8:$B$464,GUS_tabl_21!$A$5:$B$4886),2,FALSE)))),TRIM(VLOOKUP(IF(AND(LEN($A1832)=4,VALUE(RIGHT($A1832,2))&gt;60),$A1832&amp;"01 1",$A1832),IF(AND(LEN($A1832)=4,VALUE(RIGHT($A1832,2))&lt;60),GUS_tabl_2!$A$8:$B$464,GUS_tabl_21!$A$5:$B$4886),2,FALSE)),LEFT(TRIM(VLOOKUP(IF(AND(LEN($A1832)=4,VALUE(RIGHT($A1832,2))&gt;60),$A1832&amp;"01 1",$A1832),IF(AND(LEN($A1832)=4,VALUE(RIGHT($A1832,2))&lt;60),GUS_tabl_2!$A$8:$B$464,GUS_tabl_21!$A$5:$B$4886),2,FALSE)),SUM(FIND("..",TRIM(VLOOKUP(IF(AND(LEN($A1832)=4,VALUE(RIGHT($A1832,2))&gt;60),$A1832&amp;"01 1",$A1832),IF(AND(LEN($A1832)=4,VALUE(RIGHT($A1832,2))&lt;60),GUS_tabl_2!$A$8:$B$464,GUS_tabl_21!$A$5:$B$4886),2,FALSE))),-1)))))</f>
        <v>gm. w. Boćki</v>
      </c>
      <c r="D1832" s="141">
        <f>IF(OR($A1832="",ISERROR(VALUE(LEFT($A1832,6)))),"",IF(LEN($A1832)=2,SUMIF($A1833:$A$2965,$A1832&amp;"??",$D1833:$D$2965),IF(AND(LEN($A1832)=4,VALUE(RIGHT($A1832,2))&lt;=60),SUMIF($A1833:$A$2965,$A1832&amp;"????",$D1833:$D$2965),VLOOKUP(IF(LEN($A1832)=4,$A1832&amp;"01 1",$A1832),GUS_tabl_21!$A$5:$F$4886,6,FALSE))))</f>
        <v>4185</v>
      </c>
      <c r="E1832" s="29"/>
    </row>
    <row r="1833" spans="1:5" ht="12" customHeight="1">
      <c r="A1833" s="155" t="str">
        <f>"200305 2"</f>
        <v>200305 2</v>
      </c>
      <c r="B1833" s="153" t="s">
        <v>55</v>
      </c>
      <c r="C1833" s="156" t="str">
        <f>IF(OR($A1833="",ISERROR(VALUE(LEFT($A1833,6)))),"",IF(LEN($A1833)=2,"WOJ. ",IF(LEN($A1833)=4,IF(VALUE(RIGHT($A1833,2))&gt;60,"","Powiat "),IF(VALUE(RIGHT($A1833,1))=1,"m. ",IF(VALUE(RIGHT($A1833,1))=2,"gm. w. ",IF(VALUE(RIGHT($A1833,1))=8,"dz. ","gm. m.-w. ")))))&amp;IF(LEN($A1833)=2,TRIM(UPPER(VLOOKUP($A1833,GUS_tabl_1!$A$7:$B$22,2,FALSE))),IF(ISERROR(FIND("..",TRIM(VLOOKUP(IF(AND(LEN($A1833)=4,VALUE(RIGHT($A1833,2))&gt;60),$A1833&amp;"01 1",$A1833),IF(AND(LEN($A1833)=4,VALUE(RIGHT($A1833,2))&lt;60),GUS_tabl_2!$A$8:$B$464,GUS_tabl_21!$A$5:$B$4886),2,FALSE)))),TRIM(VLOOKUP(IF(AND(LEN($A1833)=4,VALUE(RIGHT($A1833,2))&gt;60),$A1833&amp;"01 1",$A1833),IF(AND(LEN($A1833)=4,VALUE(RIGHT($A1833,2))&lt;60),GUS_tabl_2!$A$8:$B$464,GUS_tabl_21!$A$5:$B$4886),2,FALSE)),LEFT(TRIM(VLOOKUP(IF(AND(LEN($A1833)=4,VALUE(RIGHT($A1833,2))&gt;60),$A1833&amp;"01 1",$A1833),IF(AND(LEN($A1833)=4,VALUE(RIGHT($A1833,2))&lt;60),GUS_tabl_2!$A$8:$B$464,GUS_tabl_21!$A$5:$B$4886),2,FALSE)),SUM(FIND("..",TRIM(VLOOKUP(IF(AND(LEN($A1833)=4,VALUE(RIGHT($A1833,2))&gt;60),$A1833&amp;"01 1",$A1833),IF(AND(LEN($A1833)=4,VALUE(RIGHT($A1833,2))&lt;60),GUS_tabl_2!$A$8:$B$464,GUS_tabl_21!$A$5:$B$4886),2,FALSE))),-1)))))</f>
        <v>gm. w. Brańsk</v>
      </c>
      <c r="D1833" s="141">
        <f>IF(OR($A1833="",ISERROR(VALUE(LEFT($A1833,6)))),"",IF(LEN($A1833)=2,SUMIF($A1834:$A$2965,$A1833&amp;"??",$D1834:$D$2965),IF(AND(LEN($A1833)=4,VALUE(RIGHT($A1833,2))&lt;=60),SUMIF($A1834:$A$2965,$A1833&amp;"????",$D1834:$D$2965),VLOOKUP(IF(LEN($A1833)=4,$A1833&amp;"01 1",$A1833),GUS_tabl_21!$A$5:$F$4886,6,FALSE))))</f>
        <v>5630</v>
      </c>
      <c r="E1833" s="29"/>
    </row>
    <row r="1834" spans="1:5" ht="12" customHeight="1">
      <c r="A1834" s="155" t="str">
        <f>"200306 2"</f>
        <v>200306 2</v>
      </c>
      <c r="B1834" s="153" t="s">
        <v>55</v>
      </c>
      <c r="C1834" s="156" t="str">
        <f>IF(OR($A1834="",ISERROR(VALUE(LEFT($A1834,6)))),"",IF(LEN($A1834)=2,"WOJ. ",IF(LEN($A1834)=4,IF(VALUE(RIGHT($A1834,2))&gt;60,"","Powiat "),IF(VALUE(RIGHT($A1834,1))=1,"m. ",IF(VALUE(RIGHT($A1834,1))=2,"gm. w. ",IF(VALUE(RIGHT($A1834,1))=8,"dz. ","gm. m.-w. ")))))&amp;IF(LEN($A1834)=2,TRIM(UPPER(VLOOKUP($A1834,GUS_tabl_1!$A$7:$B$22,2,FALSE))),IF(ISERROR(FIND("..",TRIM(VLOOKUP(IF(AND(LEN($A1834)=4,VALUE(RIGHT($A1834,2))&gt;60),$A1834&amp;"01 1",$A1834),IF(AND(LEN($A1834)=4,VALUE(RIGHT($A1834,2))&lt;60),GUS_tabl_2!$A$8:$B$464,GUS_tabl_21!$A$5:$B$4886),2,FALSE)))),TRIM(VLOOKUP(IF(AND(LEN($A1834)=4,VALUE(RIGHT($A1834,2))&gt;60),$A1834&amp;"01 1",$A1834),IF(AND(LEN($A1834)=4,VALUE(RIGHT($A1834,2))&lt;60),GUS_tabl_2!$A$8:$B$464,GUS_tabl_21!$A$5:$B$4886),2,FALSE)),LEFT(TRIM(VLOOKUP(IF(AND(LEN($A1834)=4,VALUE(RIGHT($A1834,2))&gt;60),$A1834&amp;"01 1",$A1834),IF(AND(LEN($A1834)=4,VALUE(RIGHT($A1834,2))&lt;60),GUS_tabl_2!$A$8:$B$464,GUS_tabl_21!$A$5:$B$4886),2,FALSE)),SUM(FIND("..",TRIM(VLOOKUP(IF(AND(LEN($A1834)=4,VALUE(RIGHT($A1834,2))&gt;60),$A1834&amp;"01 1",$A1834),IF(AND(LEN($A1834)=4,VALUE(RIGHT($A1834,2))&lt;60),GUS_tabl_2!$A$8:$B$464,GUS_tabl_21!$A$5:$B$4886),2,FALSE))),-1)))))</f>
        <v>gm. w. Orla</v>
      </c>
      <c r="D1834" s="141">
        <f>IF(OR($A1834="",ISERROR(VALUE(LEFT($A1834,6)))),"",IF(LEN($A1834)=2,SUMIF($A1835:$A$2965,$A1834&amp;"??",$D1835:$D$2965),IF(AND(LEN($A1834)=4,VALUE(RIGHT($A1834,2))&lt;=60),SUMIF($A1835:$A$2965,$A1834&amp;"????",$D1835:$D$2965),VLOOKUP(IF(LEN($A1834)=4,$A1834&amp;"01 1",$A1834),GUS_tabl_21!$A$5:$F$4886,6,FALSE))))</f>
        <v>2702</v>
      </c>
      <c r="E1834" s="29"/>
    </row>
    <row r="1835" spans="1:5" ht="12" customHeight="1">
      <c r="A1835" s="155" t="str">
        <f>"200307 2"</f>
        <v>200307 2</v>
      </c>
      <c r="B1835" s="153" t="s">
        <v>55</v>
      </c>
      <c r="C1835" s="156" t="str">
        <f>IF(OR($A1835="",ISERROR(VALUE(LEFT($A1835,6)))),"",IF(LEN($A1835)=2,"WOJ. ",IF(LEN($A1835)=4,IF(VALUE(RIGHT($A1835,2))&gt;60,"","Powiat "),IF(VALUE(RIGHT($A1835,1))=1,"m. ",IF(VALUE(RIGHT($A1835,1))=2,"gm. w. ",IF(VALUE(RIGHT($A1835,1))=8,"dz. ","gm. m.-w. ")))))&amp;IF(LEN($A1835)=2,TRIM(UPPER(VLOOKUP($A1835,GUS_tabl_1!$A$7:$B$22,2,FALSE))),IF(ISERROR(FIND("..",TRIM(VLOOKUP(IF(AND(LEN($A1835)=4,VALUE(RIGHT($A1835,2))&gt;60),$A1835&amp;"01 1",$A1835),IF(AND(LEN($A1835)=4,VALUE(RIGHT($A1835,2))&lt;60),GUS_tabl_2!$A$8:$B$464,GUS_tabl_21!$A$5:$B$4886),2,FALSE)))),TRIM(VLOOKUP(IF(AND(LEN($A1835)=4,VALUE(RIGHT($A1835,2))&gt;60),$A1835&amp;"01 1",$A1835),IF(AND(LEN($A1835)=4,VALUE(RIGHT($A1835,2))&lt;60),GUS_tabl_2!$A$8:$B$464,GUS_tabl_21!$A$5:$B$4886),2,FALSE)),LEFT(TRIM(VLOOKUP(IF(AND(LEN($A1835)=4,VALUE(RIGHT($A1835,2))&gt;60),$A1835&amp;"01 1",$A1835),IF(AND(LEN($A1835)=4,VALUE(RIGHT($A1835,2))&lt;60),GUS_tabl_2!$A$8:$B$464,GUS_tabl_21!$A$5:$B$4886),2,FALSE)),SUM(FIND("..",TRIM(VLOOKUP(IF(AND(LEN($A1835)=4,VALUE(RIGHT($A1835,2))&gt;60),$A1835&amp;"01 1",$A1835),IF(AND(LEN($A1835)=4,VALUE(RIGHT($A1835,2))&lt;60),GUS_tabl_2!$A$8:$B$464,GUS_tabl_21!$A$5:$B$4886),2,FALSE))),-1)))))</f>
        <v>gm. w. Rudka</v>
      </c>
      <c r="D1835" s="141">
        <f>IF(OR($A1835="",ISERROR(VALUE(LEFT($A1835,6)))),"",IF(LEN($A1835)=2,SUMIF($A1836:$A$2965,$A1835&amp;"??",$D1836:$D$2965),IF(AND(LEN($A1835)=4,VALUE(RIGHT($A1835,2))&lt;=60),SUMIF($A1836:$A$2965,$A1835&amp;"????",$D1836:$D$2965),VLOOKUP(IF(LEN($A1835)=4,$A1835&amp;"01 1",$A1835),GUS_tabl_21!$A$5:$F$4886,6,FALSE))))</f>
        <v>1868</v>
      </c>
      <c r="E1835" s="29"/>
    </row>
    <row r="1836" spans="1:5" ht="12" customHeight="1">
      <c r="A1836" s="155" t="str">
        <f>"200308 2"</f>
        <v>200308 2</v>
      </c>
      <c r="B1836" s="153" t="s">
        <v>55</v>
      </c>
      <c r="C1836" s="156" t="str">
        <f>IF(OR($A1836="",ISERROR(VALUE(LEFT($A1836,6)))),"",IF(LEN($A1836)=2,"WOJ. ",IF(LEN($A1836)=4,IF(VALUE(RIGHT($A1836,2))&gt;60,"","Powiat "),IF(VALUE(RIGHT($A1836,1))=1,"m. ",IF(VALUE(RIGHT($A1836,1))=2,"gm. w. ",IF(VALUE(RIGHT($A1836,1))=8,"dz. ","gm. m.-w. ")))))&amp;IF(LEN($A1836)=2,TRIM(UPPER(VLOOKUP($A1836,GUS_tabl_1!$A$7:$B$22,2,FALSE))),IF(ISERROR(FIND("..",TRIM(VLOOKUP(IF(AND(LEN($A1836)=4,VALUE(RIGHT($A1836,2))&gt;60),$A1836&amp;"01 1",$A1836),IF(AND(LEN($A1836)=4,VALUE(RIGHT($A1836,2))&lt;60),GUS_tabl_2!$A$8:$B$464,GUS_tabl_21!$A$5:$B$4886),2,FALSE)))),TRIM(VLOOKUP(IF(AND(LEN($A1836)=4,VALUE(RIGHT($A1836,2))&gt;60),$A1836&amp;"01 1",$A1836),IF(AND(LEN($A1836)=4,VALUE(RIGHT($A1836,2))&lt;60),GUS_tabl_2!$A$8:$B$464,GUS_tabl_21!$A$5:$B$4886),2,FALSE)),LEFT(TRIM(VLOOKUP(IF(AND(LEN($A1836)=4,VALUE(RIGHT($A1836,2))&gt;60),$A1836&amp;"01 1",$A1836),IF(AND(LEN($A1836)=4,VALUE(RIGHT($A1836,2))&lt;60),GUS_tabl_2!$A$8:$B$464,GUS_tabl_21!$A$5:$B$4886),2,FALSE)),SUM(FIND("..",TRIM(VLOOKUP(IF(AND(LEN($A1836)=4,VALUE(RIGHT($A1836,2))&gt;60),$A1836&amp;"01 1",$A1836),IF(AND(LEN($A1836)=4,VALUE(RIGHT($A1836,2))&lt;60),GUS_tabl_2!$A$8:$B$464,GUS_tabl_21!$A$5:$B$4886),2,FALSE))),-1)))))</f>
        <v>gm. w. Wyszki</v>
      </c>
      <c r="D1836" s="141">
        <f>IF(OR($A1836="",ISERROR(VALUE(LEFT($A1836,6)))),"",IF(LEN($A1836)=2,SUMIF($A1837:$A$2965,$A1836&amp;"??",$D1837:$D$2965),IF(AND(LEN($A1836)=4,VALUE(RIGHT($A1836,2))&lt;=60),SUMIF($A1837:$A$2965,$A1836&amp;"????",$D1837:$D$2965),VLOOKUP(IF(LEN($A1836)=4,$A1836&amp;"01 1",$A1836),GUS_tabl_21!$A$5:$F$4886,6,FALSE))))</f>
        <v>4347</v>
      </c>
      <c r="E1836" s="29"/>
    </row>
    <row r="1837" spans="1:5" ht="12" customHeight="1">
      <c r="A1837" s="152" t="str">
        <f>"2004"</f>
        <v>2004</v>
      </c>
      <c r="B1837" s="153" t="s">
        <v>55</v>
      </c>
      <c r="C1837" s="154" t="str">
        <f>IF(OR($A1837="",ISERROR(VALUE(LEFT($A1837,6)))),"",IF(LEN($A1837)=2,"WOJ. ",IF(LEN($A1837)=4,IF(VALUE(RIGHT($A1837,2))&gt;60,"","Powiat "),IF(VALUE(RIGHT($A1837,1))=1,"m. ",IF(VALUE(RIGHT($A1837,1))=2,"gm. w. ",IF(VALUE(RIGHT($A1837,1))=8,"dz. ","gm. m.-w. ")))))&amp;IF(LEN($A1837)=2,TRIM(UPPER(VLOOKUP($A1837,GUS_tabl_1!$A$7:$B$22,2,FALSE))),IF(ISERROR(FIND("..",TRIM(VLOOKUP(IF(AND(LEN($A1837)=4,VALUE(RIGHT($A1837,2))&gt;60),$A1837&amp;"01 1",$A1837),IF(AND(LEN($A1837)=4,VALUE(RIGHT($A1837,2))&lt;60),GUS_tabl_2!$A$8:$B$464,GUS_tabl_21!$A$5:$B$4886),2,FALSE)))),TRIM(VLOOKUP(IF(AND(LEN($A1837)=4,VALUE(RIGHT($A1837,2))&gt;60),$A1837&amp;"01 1",$A1837),IF(AND(LEN($A1837)=4,VALUE(RIGHT($A1837,2))&lt;60),GUS_tabl_2!$A$8:$B$464,GUS_tabl_21!$A$5:$B$4886),2,FALSE)),LEFT(TRIM(VLOOKUP(IF(AND(LEN($A1837)=4,VALUE(RIGHT($A1837,2))&gt;60),$A1837&amp;"01 1",$A1837),IF(AND(LEN($A1837)=4,VALUE(RIGHT($A1837,2))&lt;60),GUS_tabl_2!$A$8:$B$464,GUS_tabl_21!$A$5:$B$4886),2,FALSE)),SUM(FIND("..",TRIM(VLOOKUP(IF(AND(LEN($A1837)=4,VALUE(RIGHT($A1837,2))&gt;60),$A1837&amp;"01 1",$A1837),IF(AND(LEN($A1837)=4,VALUE(RIGHT($A1837,2))&lt;60),GUS_tabl_2!$A$8:$B$464,GUS_tabl_21!$A$5:$B$4886),2,FALSE))),-1)))))</f>
        <v>Powiat grajewski</v>
      </c>
      <c r="D1837" s="140">
        <f>IF(OR($A1837="",ISERROR(VALUE(LEFT($A1837,6)))),"",IF(LEN($A1837)=2,SUMIF($A1838:$A$2965,$A1837&amp;"??",$D1838:$D$2965),IF(AND(LEN($A1837)=4,VALUE(RIGHT($A1837,2))&lt;=60),SUMIF($A1838:$A$2965,$A1837&amp;"????",$D1838:$D$2965),VLOOKUP(IF(LEN($A1837)=4,$A1837&amp;"01 1",$A1837),GUS_tabl_21!$A$5:$F$4886,6,FALSE))))</f>
        <v>47210</v>
      </c>
      <c r="E1837" s="29"/>
    </row>
    <row r="1838" spans="1:5" ht="12" customHeight="1">
      <c r="A1838" s="155" t="str">
        <f>"200401 1"</f>
        <v>200401 1</v>
      </c>
      <c r="B1838" s="153" t="s">
        <v>55</v>
      </c>
      <c r="C1838" s="156" t="str">
        <f>IF(OR($A1838="",ISERROR(VALUE(LEFT($A1838,6)))),"",IF(LEN($A1838)=2,"WOJ. ",IF(LEN($A1838)=4,IF(VALUE(RIGHT($A1838,2))&gt;60,"","Powiat "),IF(VALUE(RIGHT($A1838,1))=1,"m. ",IF(VALUE(RIGHT($A1838,1))=2,"gm. w. ",IF(VALUE(RIGHT($A1838,1))=8,"dz. ","gm. m.-w. ")))))&amp;IF(LEN($A1838)=2,TRIM(UPPER(VLOOKUP($A1838,GUS_tabl_1!$A$7:$B$22,2,FALSE))),IF(ISERROR(FIND("..",TRIM(VLOOKUP(IF(AND(LEN($A1838)=4,VALUE(RIGHT($A1838,2))&gt;60),$A1838&amp;"01 1",$A1838),IF(AND(LEN($A1838)=4,VALUE(RIGHT($A1838,2))&lt;60),GUS_tabl_2!$A$8:$B$464,GUS_tabl_21!$A$5:$B$4886),2,FALSE)))),TRIM(VLOOKUP(IF(AND(LEN($A1838)=4,VALUE(RIGHT($A1838,2))&gt;60),$A1838&amp;"01 1",$A1838),IF(AND(LEN($A1838)=4,VALUE(RIGHT($A1838,2))&lt;60),GUS_tabl_2!$A$8:$B$464,GUS_tabl_21!$A$5:$B$4886),2,FALSE)),LEFT(TRIM(VLOOKUP(IF(AND(LEN($A1838)=4,VALUE(RIGHT($A1838,2))&gt;60),$A1838&amp;"01 1",$A1838),IF(AND(LEN($A1838)=4,VALUE(RIGHT($A1838,2))&lt;60),GUS_tabl_2!$A$8:$B$464,GUS_tabl_21!$A$5:$B$4886),2,FALSE)),SUM(FIND("..",TRIM(VLOOKUP(IF(AND(LEN($A1838)=4,VALUE(RIGHT($A1838,2))&gt;60),$A1838&amp;"01 1",$A1838),IF(AND(LEN($A1838)=4,VALUE(RIGHT($A1838,2))&lt;60),GUS_tabl_2!$A$8:$B$464,GUS_tabl_21!$A$5:$B$4886),2,FALSE))),-1)))))</f>
        <v>m. Grajewo</v>
      </c>
      <c r="D1838" s="141">
        <f>IF(OR($A1838="",ISERROR(VALUE(LEFT($A1838,6)))),"",IF(LEN($A1838)=2,SUMIF($A1839:$A$2965,$A1838&amp;"??",$D1839:$D$2965),IF(AND(LEN($A1838)=4,VALUE(RIGHT($A1838,2))&lt;=60),SUMIF($A1839:$A$2965,$A1838&amp;"????",$D1839:$D$2965),VLOOKUP(IF(LEN($A1838)=4,$A1838&amp;"01 1",$A1838),GUS_tabl_21!$A$5:$F$4886,6,FALSE))))</f>
        <v>21900</v>
      </c>
      <c r="E1838" s="29"/>
    </row>
    <row r="1839" spans="1:5" ht="12" customHeight="1">
      <c r="A1839" s="155" t="str">
        <f>"200402 2"</f>
        <v>200402 2</v>
      </c>
      <c r="B1839" s="153" t="s">
        <v>55</v>
      </c>
      <c r="C1839" s="156" t="str">
        <f>IF(OR($A1839="",ISERROR(VALUE(LEFT($A1839,6)))),"",IF(LEN($A1839)=2,"WOJ. ",IF(LEN($A1839)=4,IF(VALUE(RIGHT($A1839,2))&gt;60,"","Powiat "),IF(VALUE(RIGHT($A1839,1))=1,"m. ",IF(VALUE(RIGHT($A1839,1))=2,"gm. w. ",IF(VALUE(RIGHT($A1839,1))=8,"dz. ","gm. m.-w. ")))))&amp;IF(LEN($A1839)=2,TRIM(UPPER(VLOOKUP($A1839,GUS_tabl_1!$A$7:$B$22,2,FALSE))),IF(ISERROR(FIND("..",TRIM(VLOOKUP(IF(AND(LEN($A1839)=4,VALUE(RIGHT($A1839,2))&gt;60),$A1839&amp;"01 1",$A1839),IF(AND(LEN($A1839)=4,VALUE(RIGHT($A1839,2))&lt;60),GUS_tabl_2!$A$8:$B$464,GUS_tabl_21!$A$5:$B$4886),2,FALSE)))),TRIM(VLOOKUP(IF(AND(LEN($A1839)=4,VALUE(RIGHT($A1839,2))&gt;60),$A1839&amp;"01 1",$A1839),IF(AND(LEN($A1839)=4,VALUE(RIGHT($A1839,2))&lt;60),GUS_tabl_2!$A$8:$B$464,GUS_tabl_21!$A$5:$B$4886),2,FALSE)),LEFT(TRIM(VLOOKUP(IF(AND(LEN($A1839)=4,VALUE(RIGHT($A1839,2))&gt;60),$A1839&amp;"01 1",$A1839),IF(AND(LEN($A1839)=4,VALUE(RIGHT($A1839,2))&lt;60),GUS_tabl_2!$A$8:$B$464,GUS_tabl_21!$A$5:$B$4886),2,FALSE)),SUM(FIND("..",TRIM(VLOOKUP(IF(AND(LEN($A1839)=4,VALUE(RIGHT($A1839,2))&gt;60),$A1839&amp;"01 1",$A1839),IF(AND(LEN($A1839)=4,VALUE(RIGHT($A1839,2))&lt;60),GUS_tabl_2!$A$8:$B$464,GUS_tabl_21!$A$5:$B$4886),2,FALSE))),-1)))))</f>
        <v>gm. w. Grajewo</v>
      </c>
      <c r="D1839" s="141">
        <f>IF(OR($A1839="",ISERROR(VALUE(LEFT($A1839,6)))),"",IF(LEN($A1839)=2,SUMIF($A1840:$A$2965,$A1839&amp;"??",$D1840:$D$2965),IF(AND(LEN($A1839)=4,VALUE(RIGHT($A1839,2))&lt;=60),SUMIF($A1840:$A$2965,$A1839&amp;"????",$D1840:$D$2965),VLOOKUP(IF(LEN($A1839)=4,$A1839&amp;"01 1",$A1839),GUS_tabl_21!$A$5:$F$4886,6,FALSE))))</f>
        <v>5789</v>
      </c>
      <c r="E1839" s="29"/>
    </row>
    <row r="1840" spans="1:5" ht="12" customHeight="1">
      <c r="A1840" s="155" t="str">
        <f>"200403 2"</f>
        <v>200403 2</v>
      </c>
      <c r="B1840" s="153" t="s">
        <v>55</v>
      </c>
      <c r="C1840" s="156" t="str">
        <f>IF(OR($A1840="",ISERROR(VALUE(LEFT($A1840,6)))),"",IF(LEN($A1840)=2,"WOJ. ",IF(LEN($A1840)=4,IF(VALUE(RIGHT($A1840,2))&gt;60,"","Powiat "),IF(VALUE(RIGHT($A1840,1))=1,"m. ",IF(VALUE(RIGHT($A1840,1))=2,"gm. w. ",IF(VALUE(RIGHT($A1840,1))=8,"dz. ","gm. m.-w. ")))))&amp;IF(LEN($A1840)=2,TRIM(UPPER(VLOOKUP($A1840,GUS_tabl_1!$A$7:$B$22,2,FALSE))),IF(ISERROR(FIND("..",TRIM(VLOOKUP(IF(AND(LEN($A1840)=4,VALUE(RIGHT($A1840,2))&gt;60),$A1840&amp;"01 1",$A1840),IF(AND(LEN($A1840)=4,VALUE(RIGHT($A1840,2))&lt;60),GUS_tabl_2!$A$8:$B$464,GUS_tabl_21!$A$5:$B$4886),2,FALSE)))),TRIM(VLOOKUP(IF(AND(LEN($A1840)=4,VALUE(RIGHT($A1840,2))&gt;60),$A1840&amp;"01 1",$A1840),IF(AND(LEN($A1840)=4,VALUE(RIGHT($A1840,2))&lt;60),GUS_tabl_2!$A$8:$B$464,GUS_tabl_21!$A$5:$B$4886),2,FALSE)),LEFT(TRIM(VLOOKUP(IF(AND(LEN($A1840)=4,VALUE(RIGHT($A1840,2))&gt;60),$A1840&amp;"01 1",$A1840),IF(AND(LEN($A1840)=4,VALUE(RIGHT($A1840,2))&lt;60),GUS_tabl_2!$A$8:$B$464,GUS_tabl_21!$A$5:$B$4886),2,FALSE)),SUM(FIND("..",TRIM(VLOOKUP(IF(AND(LEN($A1840)=4,VALUE(RIGHT($A1840,2))&gt;60),$A1840&amp;"01 1",$A1840),IF(AND(LEN($A1840)=4,VALUE(RIGHT($A1840,2))&lt;60),GUS_tabl_2!$A$8:$B$464,GUS_tabl_21!$A$5:$B$4886),2,FALSE))),-1)))))</f>
        <v>gm. w. Radziłów</v>
      </c>
      <c r="D1840" s="141">
        <f>IF(OR($A1840="",ISERROR(VALUE(LEFT($A1840,6)))),"",IF(LEN($A1840)=2,SUMIF($A1841:$A$2965,$A1840&amp;"??",$D1841:$D$2965),IF(AND(LEN($A1840)=4,VALUE(RIGHT($A1840,2))&lt;=60),SUMIF($A1841:$A$2965,$A1840&amp;"????",$D1841:$D$2965),VLOOKUP(IF(LEN($A1840)=4,$A1840&amp;"01 1",$A1840),GUS_tabl_21!$A$5:$F$4886,6,FALSE))))</f>
        <v>4722</v>
      </c>
      <c r="E1840" s="29"/>
    </row>
    <row r="1841" spans="1:5" ht="12" customHeight="1">
      <c r="A1841" s="155" t="str">
        <f>"200404 3"</f>
        <v>200404 3</v>
      </c>
      <c r="B1841" s="153" t="s">
        <v>55</v>
      </c>
      <c r="C1841" s="156" t="str">
        <f>IF(OR($A1841="",ISERROR(VALUE(LEFT($A1841,6)))),"",IF(LEN($A1841)=2,"WOJ. ",IF(LEN($A1841)=4,IF(VALUE(RIGHT($A1841,2))&gt;60,"","Powiat "),IF(VALUE(RIGHT($A1841,1))=1,"m. ",IF(VALUE(RIGHT($A1841,1))=2,"gm. w. ",IF(VALUE(RIGHT($A1841,1))=8,"dz. ","gm. m.-w. ")))))&amp;IF(LEN($A1841)=2,TRIM(UPPER(VLOOKUP($A1841,GUS_tabl_1!$A$7:$B$22,2,FALSE))),IF(ISERROR(FIND("..",TRIM(VLOOKUP(IF(AND(LEN($A1841)=4,VALUE(RIGHT($A1841,2))&gt;60),$A1841&amp;"01 1",$A1841),IF(AND(LEN($A1841)=4,VALUE(RIGHT($A1841,2))&lt;60),GUS_tabl_2!$A$8:$B$464,GUS_tabl_21!$A$5:$B$4886),2,FALSE)))),TRIM(VLOOKUP(IF(AND(LEN($A1841)=4,VALUE(RIGHT($A1841,2))&gt;60),$A1841&amp;"01 1",$A1841),IF(AND(LEN($A1841)=4,VALUE(RIGHT($A1841,2))&lt;60),GUS_tabl_2!$A$8:$B$464,GUS_tabl_21!$A$5:$B$4886),2,FALSE)),LEFT(TRIM(VLOOKUP(IF(AND(LEN($A1841)=4,VALUE(RIGHT($A1841,2))&gt;60),$A1841&amp;"01 1",$A1841),IF(AND(LEN($A1841)=4,VALUE(RIGHT($A1841,2))&lt;60),GUS_tabl_2!$A$8:$B$464,GUS_tabl_21!$A$5:$B$4886),2,FALSE)),SUM(FIND("..",TRIM(VLOOKUP(IF(AND(LEN($A1841)=4,VALUE(RIGHT($A1841,2))&gt;60),$A1841&amp;"01 1",$A1841),IF(AND(LEN($A1841)=4,VALUE(RIGHT($A1841,2))&lt;60),GUS_tabl_2!$A$8:$B$464,GUS_tabl_21!$A$5:$B$4886),2,FALSE))),-1)))))</f>
        <v>gm. m.-w. Rajgród</v>
      </c>
      <c r="D1841" s="141">
        <f>IF(OR($A1841="",ISERROR(VALUE(LEFT($A1841,6)))),"",IF(LEN($A1841)=2,SUMIF($A1842:$A$2965,$A1841&amp;"??",$D1842:$D$2965),IF(AND(LEN($A1841)=4,VALUE(RIGHT($A1841,2))&lt;=60),SUMIF($A1842:$A$2965,$A1841&amp;"????",$D1842:$D$2965),VLOOKUP(IF(LEN($A1841)=4,$A1841&amp;"01 1",$A1841),GUS_tabl_21!$A$5:$F$4886,6,FALSE))))</f>
        <v>5176</v>
      </c>
      <c r="E1841" s="29"/>
    </row>
    <row r="1842" spans="1:5" ht="12" customHeight="1">
      <c r="A1842" s="155" t="str">
        <f>"200405 3"</f>
        <v>200405 3</v>
      </c>
      <c r="B1842" s="153" t="s">
        <v>55</v>
      </c>
      <c r="C1842" s="156" t="str">
        <f>IF(OR($A1842="",ISERROR(VALUE(LEFT($A1842,6)))),"",IF(LEN($A1842)=2,"WOJ. ",IF(LEN($A1842)=4,IF(VALUE(RIGHT($A1842,2))&gt;60,"","Powiat "),IF(VALUE(RIGHT($A1842,1))=1,"m. ",IF(VALUE(RIGHT($A1842,1))=2,"gm. w. ",IF(VALUE(RIGHT($A1842,1))=8,"dz. ","gm. m.-w. ")))))&amp;IF(LEN($A1842)=2,TRIM(UPPER(VLOOKUP($A1842,GUS_tabl_1!$A$7:$B$22,2,FALSE))),IF(ISERROR(FIND("..",TRIM(VLOOKUP(IF(AND(LEN($A1842)=4,VALUE(RIGHT($A1842,2))&gt;60),$A1842&amp;"01 1",$A1842),IF(AND(LEN($A1842)=4,VALUE(RIGHT($A1842,2))&lt;60),GUS_tabl_2!$A$8:$B$464,GUS_tabl_21!$A$5:$B$4886),2,FALSE)))),TRIM(VLOOKUP(IF(AND(LEN($A1842)=4,VALUE(RIGHT($A1842,2))&gt;60),$A1842&amp;"01 1",$A1842),IF(AND(LEN($A1842)=4,VALUE(RIGHT($A1842,2))&lt;60),GUS_tabl_2!$A$8:$B$464,GUS_tabl_21!$A$5:$B$4886),2,FALSE)),LEFT(TRIM(VLOOKUP(IF(AND(LEN($A1842)=4,VALUE(RIGHT($A1842,2))&gt;60),$A1842&amp;"01 1",$A1842),IF(AND(LEN($A1842)=4,VALUE(RIGHT($A1842,2))&lt;60),GUS_tabl_2!$A$8:$B$464,GUS_tabl_21!$A$5:$B$4886),2,FALSE)),SUM(FIND("..",TRIM(VLOOKUP(IF(AND(LEN($A1842)=4,VALUE(RIGHT($A1842,2))&gt;60),$A1842&amp;"01 1",$A1842),IF(AND(LEN($A1842)=4,VALUE(RIGHT($A1842,2))&lt;60),GUS_tabl_2!$A$8:$B$464,GUS_tabl_21!$A$5:$B$4886),2,FALSE))),-1)))))</f>
        <v>gm. m.-w. Szczuczyn</v>
      </c>
      <c r="D1842" s="141">
        <f>IF(OR($A1842="",ISERROR(VALUE(LEFT($A1842,6)))),"",IF(LEN($A1842)=2,SUMIF($A1843:$A$2965,$A1842&amp;"??",$D1843:$D$2965),IF(AND(LEN($A1842)=4,VALUE(RIGHT($A1842,2))&lt;=60),SUMIF($A1843:$A$2965,$A1842&amp;"????",$D1843:$D$2965),VLOOKUP(IF(LEN($A1842)=4,$A1842&amp;"01 1",$A1842),GUS_tabl_21!$A$5:$F$4886,6,FALSE))))</f>
        <v>6026</v>
      </c>
      <c r="E1842" s="29"/>
    </row>
    <row r="1843" spans="1:5" ht="12" customHeight="1">
      <c r="A1843" s="155" t="str">
        <f>"200406 2"</f>
        <v>200406 2</v>
      </c>
      <c r="B1843" s="153" t="s">
        <v>55</v>
      </c>
      <c r="C1843" s="156" t="str">
        <f>IF(OR($A1843="",ISERROR(VALUE(LEFT($A1843,6)))),"",IF(LEN($A1843)=2,"WOJ. ",IF(LEN($A1843)=4,IF(VALUE(RIGHT($A1843,2))&gt;60,"","Powiat "),IF(VALUE(RIGHT($A1843,1))=1,"m. ",IF(VALUE(RIGHT($A1843,1))=2,"gm. w. ",IF(VALUE(RIGHT($A1843,1))=8,"dz. ","gm. m.-w. ")))))&amp;IF(LEN($A1843)=2,TRIM(UPPER(VLOOKUP($A1843,GUS_tabl_1!$A$7:$B$22,2,FALSE))),IF(ISERROR(FIND("..",TRIM(VLOOKUP(IF(AND(LEN($A1843)=4,VALUE(RIGHT($A1843,2))&gt;60),$A1843&amp;"01 1",$A1843),IF(AND(LEN($A1843)=4,VALUE(RIGHT($A1843,2))&lt;60),GUS_tabl_2!$A$8:$B$464,GUS_tabl_21!$A$5:$B$4886),2,FALSE)))),TRIM(VLOOKUP(IF(AND(LEN($A1843)=4,VALUE(RIGHT($A1843,2))&gt;60),$A1843&amp;"01 1",$A1843),IF(AND(LEN($A1843)=4,VALUE(RIGHT($A1843,2))&lt;60),GUS_tabl_2!$A$8:$B$464,GUS_tabl_21!$A$5:$B$4886),2,FALSE)),LEFT(TRIM(VLOOKUP(IF(AND(LEN($A1843)=4,VALUE(RIGHT($A1843,2))&gt;60),$A1843&amp;"01 1",$A1843),IF(AND(LEN($A1843)=4,VALUE(RIGHT($A1843,2))&lt;60),GUS_tabl_2!$A$8:$B$464,GUS_tabl_21!$A$5:$B$4886),2,FALSE)),SUM(FIND("..",TRIM(VLOOKUP(IF(AND(LEN($A1843)=4,VALUE(RIGHT($A1843,2))&gt;60),$A1843&amp;"01 1",$A1843),IF(AND(LEN($A1843)=4,VALUE(RIGHT($A1843,2))&lt;60),GUS_tabl_2!$A$8:$B$464,GUS_tabl_21!$A$5:$B$4886),2,FALSE))),-1)))))</f>
        <v>gm. w. Wąsosz</v>
      </c>
      <c r="D1843" s="141">
        <f>IF(OR($A1843="",ISERROR(VALUE(LEFT($A1843,6)))),"",IF(LEN($A1843)=2,SUMIF($A1844:$A$2965,$A1843&amp;"??",$D1844:$D$2965),IF(AND(LEN($A1843)=4,VALUE(RIGHT($A1843,2))&lt;=60),SUMIF($A1844:$A$2965,$A1843&amp;"????",$D1844:$D$2965),VLOOKUP(IF(LEN($A1843)=4,$A1843&amp;"01 1",$A1843),GUS_tabl_21!$A$5:$F$4886,6,FALSE))))</f>
        <v>3597</v>
      </c>
      <c r="E1843" s="29"/>
    </row>
    <row r="1844" spans="1:5" ht="12" customHeight="1">
      <c r="A1844" s="152" t="str">
        <f>"2005"</f>
        <v>2005</v>
      </c>
      <c r="B1844" s="153" t="s">
        <v>55</v>
      </c>
      <c r="C1844" s="154" t="str">
        <f>IF(OR($A1844="",ISERROR(VALUE(LEFT($A1844,6)))),"",IF(LEN($A1844)=2,"WOJ. ",IF(LEN($A1844)=4,IF(VALUE(RIGHT($A1844,2))&gt;60,"","Powiat "),IF(VALUE(RIGHT($A1844,1))=1,"m. ",IF(VALUE(RIGHT($A1844,1))=2,"gm. w. ",IF(VALUE(RIGHT($A1844,1))=8,"dz. ","gm. m.-w. ")))))&amp;IF(LEN($A1844)=2,TRIM(UPPER(VLOOKUP($A1844,GUS_tabl_1!$A$7:$B$22,2,FALSE))),IF(ISERROR(FIND("..",TRIM(VLOOKUP(IF(AND(LEN($A1844)=4,VALUE(RIGHT($A1844,2))&gt;60),$A1844&amp;"01 1",$A1844),IF(AND(LEN($A1844)=4,VALUE(RIGHT($A1844,2))&lt;60),GUS_tabl_2!$A$8:$B$464,GUS_tabl_21!$A$5:$B$4886),2,FALSE)))),TRIM(VLOOKUP(IF(AND(LEN($A1844)=4,VALUE(RIGHT($A1844,2))&gt;60),$A1844&amp;"01 1",$A1844),IF(AND(LEN($A1844)=4,VALUE(RIGHT($A1844,2))&lt;60),GUS_tabl_2!$A$8:$B$464,GUS_tabl_21!$A$5:$B$4886),2,FALSE)),LEFT(TRIM(VLOOKUP(IF(AND(LEN($A1844)=4,VALUE(RIGHT($A1844,2))&gt;60),$A1844&amp;"01 1",$A1844),IF(AND(LEN($A1844)=4,VALUE(RIGHT($A1844,2))&lt;60),GUS_tabl_2!$A$8:$B$464,GUS_tabl_21!$A$5:$B$4886),2,FALSE)),SUM(FIND("..",TRIM(VLOOKUP(IF(AND(LEN($A1844)=4,VALUE(RIGHT($A1844,2))&gt;60),$A1844&amp;"01 1",$A1844),IF(AND(LEN($A1844)=4,VALUE(RIGHT($A1844,2))&lt;60),GUS_tabl_2!$A$8:$B$464,GUS_tabl_21!$A$5:$B$4886),2,FALSE))),-1)))))</f>
        <v>Powiat hajnowski</v>
      </c>
      <c r="D1844" s="140">
        <f>IF(OR($A1844="",ISERROR(VALUE(LEFT($A1844,6)))),"",IF(LEN($A1844)=2,SUMIF($A1845:$A$2965,$A1844&amp;"??",$D1845:$D$2965),IF(AND(LEN($A1844)=4,VALUE(RIGHT($A1844,2))&lt;=60),SUMIF($A1845:$A$2965,$A1844&amp;"????",$D1845:$D$2965),VLOOKUP(IF(LEN($A1844)=4,$A1844&amp;"01 1",$A1844),GUS_tabl_21!$A$5:$F$4886,6,FALSE))))</f>
        <v>42610</v>
      </c>
      <c r="E1844" s="29"/>
    </row>
    <row r="1845" spans="1:5" ht="12" customHeight="1">
      <c r="A1845" s="155" t="str">
        <f>"200501 1"</f>
        <v>200501 1</v>
      </c>
      <c r="B1845" s="153" t="s">
        <v>55</v>
      </c>
      <c r="C1845" s="156" t="str">
        <f>IF(OR($A1845="",ISERROR(VALUE(LEFT($A1845,6)))),"",IF(LEN($A1845)=2,"WOJ. ",IF(LEN($A1845)=4,IF(VALUE(RIGHT($A1845,2))&gt;60,"","Powiat "),IF(VALUE(RIGHT($A1845,1))=1,"m. ",IF(VALUE(RIGHT($A1845,1))=2,"gm. w. ",IF(VALUE(RIGHT($A1845,1))=8,"dz. ","gm. m.-w. ")))))&amp;IF(LEN($A1845)=2,TRIM(UPPER(VLOOKUP($A1845,GUS_tabl_1!$A$7:$B$22,2,FALSE))),IF(ISERROR(FIND("..",TRIM(VLOOKUP(IF(AND(LEN($A1845)=4,VALUE(RIGHT($A1845,2))&gt;60),$A1845&amp;"01 1",$A1845),IF(AND(LEN($A1845)=4,VALUE(RIGHT($A1845,2))&lt;60),GUS_tabl_2!$A$8:$B$464,GUS_tabl_21!$A$5:$B$4886),2,FALSE)))),TRIM(VLOOKUP(IF(AND(LEN($A1845)=4,VALUE(RIGHT($A1845,2))&gt;60),$A1845&amp;"01 1",$A1845),IF(AND(LEN($A1845)=4,VALUE(RIGHT($A1845,2))&lt;60),GUS_tabl_2!$A$8:$B$464,GUS_tabl_21!$A$5:$B$4886),2,FALSE)),LEFT(TRIM(VLOOKUP(IF(AND(LEN($A1845)=4,VALUE(RIGHT($A1845,2))&gt;60),$A1845&amp;"01 1",$A1845),IF(AND(LEN($A1845)=4,VALUE(RIGHT($A1845,2))&lt;60),GUS_tabl_2!$A$8:$B$464,GUS_tabl_21!$A$5:$B$4886),2,FALSE)),SUM(FIND("..",TRIM(VLOOKUP(IF(AND(LEN($A1845)=4,VALUE(RIGHT($A1845,2))&gt;60),$A1845&amp;"01 1",$A1845),IF(AND(LEN($A1845)=4,VALUE(RIGHT($A1845,2))&lt;60),GUS_tabl_2!$A$8:$B$464,GUS_tabl_21!$A$5:$B$4886),2,FALSE))),-1)))))</f>
        <v>m. Hajnówka</v>
      </c>
      <c r="D1845" s="141">
        <f>IF(OR($A1845="",ISERROR(VALUE(LEFT($A1845,6)))),"",IF(LEN($A1845)=2,SUMIF($A1846:$A$2965,$A1845&amp;"??",$D1846:$D$2965),IF(AND(LEN($A1845)=4,VALUE(RIGHT($A1845,2))&lt;=60),SUMIF($A1846:$A$2965,$A1845&amp;"????",$D1846:$D$2965),VLOOKUP(IF(LEN($A1845)=4,$A1845&amp;"01 1",$A1845),GUS_tabl_21!$A$5:$F$4886,6,FALSE))))</f>
        <v>20488</v>
      </c>
      <c r="E1845" s="29"/>
    </row>
    <row r="1846" spans="1:5" ht="12" customHeight="1">
      <c r="A1846" s="155" t="str">
        <f>"200502 2"</f>
        <v>200502 2</v>
      </c>
      <c r="B1846" s="153" t="s">
        <v>55</v>
      </c>
      <c r="C1846" s="156" t="str">
        <f>IF(OR($A1846="",ISERROR(VALUE(LEFT($A1846,6)))),"",IF(LEN($A1846)=2,"WOJ. ",IF(LEN($A1846)=4,IF(VALUE(RIGHT($A1846,2))&gt;60,"","Powiat "),IF(VALUE(RIGHT($A1846,1))=1,"m. ",IF(VALUE(RIGHT($A1846,1))=2,"gm. w. ",IF(VALUE(RIGHT($A1846,1))=8,"dz. ","gm. m.-w. ")))))&amp;IF(LEN($A1846)=2,TRIM(UPPER(VLOOKUP($A1846,GUS_tabl_1!$A$7:$B$22,2,FALSE))),IF(ISERROR(FIND("..",TRIM(VLOOKUP(IF(AND(LEN($A1846)=4,VALUE(RIGHT($A1846,2))&gt;60),$A1846&amp;"01 1",$A1846),IF(AND(LEN($A1846)=4,VALUE(RIGHT($A1846,2))&lt;60),GUS_tabl_2!$A$8:$B$464,GUS_tabl_21!$A$5:$B$4886),2,FALSE)))),TRIM(VLOOKUP(IF(AND(LEN($A1846)=4,VALUE(RIGHT($A1846,2))&gt;60),$A1846&amp;"01 1",$A1846),IF(AND(LEN($A1846)=4,VALUE(RIGHT($A1846,2))&lt;60),GUS_tabl_2!$A$8:$B$464,GUS_tabl_21!$A$5:$B$4886),2,FALSE)),LEFT(TRIM(VLOOKUP(IF(AND(LEN($A1846)=4,VALUE(RIGHT($A1846,2))&gt;60),$A1846&amp;"01 1",$A1846),IF(AND(LEN($A1846)=4,VALUE(RIGHT($A1846,2))&lt;60),GUS_tabl_2!$A$8:$B$464,GUS_tabl_21!$A$5:$B$4886),2,FALSE)),SUM(FIND("..",TRIM(VLOOKUP(IF(AND(LEN($A1846)=4,VALUE(RIGHT($A1846,2))&gt;60),$A1846&amp;"01 1",$A1846),IF(AND(LEN($A1846)=4,VALUE(RIGHT($A1846,2))&lt;60),GUS_tabl_2!$A$8:$B$464,GUS_tabl_21!$A$5:$B$4886),2,FALSE))),-1)))))</f>
        <v>gm. w. Białowieża (c)</v>
      </c>
      <c r="D1846" s="141">
        <f>IF(OR($A1846="",ISERROR(VALUE(LEFT($A1846,6)))),"",IF(LEN($A1846)=2,SUMIF($A1847:$A$2965,$A1846&amp;"??",$D1847:$D$2965),IF(AND(LEN($A1846)=4,VALUE(RIGHT($A1846,2))&lt;=60),SUMIF($A1847:$A$2965,$A1846&amp;"????",$D1847:$D$2965),VLOOKUP(IF(LEN($A1846)=4,$A1846&amp;"01 1",$A1846),GUS_tabl_21!$A$5:$F$4886,6,FALSE))))</f>
        <v>2191</v>
      </c>
      <c r="E1846" s="29"/>
    </row>
    <row r="1847" spans="1:5" ht="12" customHeight="1">
      <c r="A1847" s="155" t="str">
        <f>"200503 2"</f>
        <v>200503 2</v>
      </c>
      <c r="B1847" s="153" t="s">
        <v>55</v>
      </c>
      <c r="C1847" s="156" t="str">
        <f>IF(OR($A1847="",ISERROR(VALUE(LEFT($A1847,6)))),"",IF(LEN($A1847)=2,"WOJ. ",IF(LEN($A1847)=4,IF(VALUE(RIGHT($A1847,2))&gt;60,"","Powiat "),IF(VALUE(RIGHT($A1847,1))=1,"m. ",IF(VALUE(RIGHT($A1847,1))=2,"gm. w. ",IF(VALUE(RIGHT($A1847,1))=8,"dz. ","gm. m.-w. ")))))&amp;IF(LEN($A1847)=2,TRIM(UPPER(VLOOKUP($A1847,GUS_tabl_1!$A$7:$B$22,2,FALSE))),IF(ISERROR(FIND("..",TRIM(VLOOKUP(IF(AND(LEN($A1847)=4,VALUE(RIGHT($A1847,2))&gt;60),$A1847&amp;"01 1",$A1847),IF(AND(LEN($A1847)=4,VALUE(RIGHT($A1847,2))&lt;60),GUS_tabl_2!$A$8:$B$464,GUS_tabl_21!$A$5:$B$4886),2,FALSE)))),TRIM(VLOOKUP(IF(AND(LEN($A1847)=4,VALUE(RIGHT($A1847,2))&gt;60),$A1847&amp;"01 1",$A1847),IF(AND(LEN($A1847)=4,VALUE(RIGHT($A1847,2))&lt;60),GUS_tabl_2!$A$8:$B$464,GUS_tabl_21!$A$5:$B$4886),2,FALSE)),LEFT(TRIM(VLOOKUP(IF(AND(LEN($A1847)=4,VALUE(RIGHT($A1847,2))&gt;60),$A1847&amp;"01 1",$A1847),IF(AND(LEN($A1847)=4,VALUE(RIGHT($A1847,2))&lt;60),GUS_tabl_2!$A$8:$B$464,GUS_tabl_21!$A$5:$B$4886),2,FALSE)),SUM(FIND("..",TRIM(VLOOKUP(IF(AND(LEN($A1847)=4,VALUE(RIGHT($A1847,2))&gt;60),$A1847&amp;"01 1",$A1847),IF(AND(LEN($A1847)=4,VALUE(RIGHT($A1847,2))&lt;60),GUS_tabl_2!$A$8:$B$464,GUS_tabl_21!$A$5:$B$4886),2,FALSE))),-1)))))</f>
        <v>gm. w. Czeremcha (c)</v>
      </c>
      <c r="D1847" s="141">
        <f>IF(OR($A1847="",ISERROR(VALUE(LEFT($A1847,6)))),"",IF(LEN($A1847)=2,SUMIF($A1848:$A$2965,$A1847&amp;"??",$D1848:$D$2965),IF(AND(LEN($A1847)=4,VALUE(RIGHT($A1847,2))&lt;=60),SUMIF($A1848:$A$2965,$A1847&amp;"????",$D1848:$D$2965),VLOOKUP(IF(LEN($A1847)=4,$A1847&amp;"01 1",$A1847),GUS_tabl_21!$A$5:$F$4886,6,FALSE))))</f>
        <v>3115</v>
      </c>
      <c r="E1847" s="29"/>
    </row>
    <row r="1848" spans="1:5" ht="12" customHeight="1">
      <c r="A1848" s="155" t="str">
        <f>"200504 2"</f>
        <v>200504 2</v>
      </c>
      <c r="B1848" s="153" t="s">
        <v>55</v>
      </c>
      <c r="C1848" s="156" t="str">
        <f>IF(OR($A1848="",ISERROR(VALUE(LEFT($A1848,6)))),"",IF(LEN($A1848)=2,"WOJ. ",IF(LEN($A1848)=4,IF(VALUE(RIGHT($A1848,2))&gt;60,"","Powiat "),IF(VALUE(RIGHT($A1848,1))=1,"m. ",IF(VALUE(RIGHT($A1848,1))=2,"gm. w. ",IF(VALUE(RIGHT($A1848,1))=8,"dz. ","gm. m.-w. ")))))&amp;IF(LEN($A1848)=2,TRIM(UPPER(VLOOKUP($A1848,GUS_tabl_1!$A$7:$B$22,2,FALSE))),IF(ISERROR(FIND("..",TRIM(VLOOKUP(IF(AND(LEN($A1848)=4,VALUE(RIGHT($A1848,2))&gt;60),$A1848&amp;"01 1",$A1848),IF(AND(LEN($A1848)=4,VALUE(RIGHT($A1848,2))&lt;60),GUS_tabl_2!$A$8:$B$464,GUS_tabl_21!$A$5:$B$4886),2,FALSE)))),TRIM(VLOOKUP(IF(AND(LEN($A1848)=4,VALUE(RIGHT($A1848,2))&gt;60),$A1848&amp;"01 1",$A1848),IF(AND(LEN($A1848)=4,VALUE(RIGHT($A1848,2))&lt;60),GUS_tabl_2!$A$8:$B$464,GUS_tabl_21!$A$5:$B$4886),2,FALSE)),LEFT(TRIM(VLOOKUP(IF(AND(LEN($A1848)=4,VALUE(RIGHT($A1848,2))&gt;60),$A1848&amp;"01 1",$A1848),IF(AND(LEN($A1848)=4,VALUE(RIGHT($A1848,2))&lt;60),GUS_tabl_2!$A$8:$B$464,GUS_tabl_21!$A$5:$B$4886),2,FALSE)),SUM(FIND("..",TRIM(VLOOKUP(IF(AND(LEN($A1848)=4,VALUE(RIGHT($A1848,2))&gt;60),$A1848&amp;"01 1",$A1848),IF(AND(LEN($A1848)=4,VALUE(RIGHT($A1848,2))&lt;60),GUS_tabl_2!$A$8:$B$464,GUS_tabl_21!$A$5:$B$4886),2,FALSE))),-1)))))</f>
        <v>gm. w. Czyże</v>
      </c>
      <c r="D1848" s="141">
        <f>IF(OR($A1848="",ISERROR(VALUE(LEFT($A1848,6)))),"",IF(LEN($A1848)=2,SUMIF($A1849:$A$2965,$A1848&amp;"??",$D1849:$D$2965),IF(AND(LEN($A1848)=4,VALUE(RIGHT($A1848,2))&lt;=60),SUMIF($A1849:$A$2965,$A1848&amp;"????",$D1849:$D$2965),VLOOKUP(IF(LEN($A1848)=4,$A1848&amp;"01 1",$A1848),GUS_tabl_21!$A$5:$F$4886,6,FALSE))))</f>
        <v>1960</v>
      </c>
      <c r="E1848" s="29"/>
    </row>
    <row r="1849" spans="1:5" ht="12" customHeight="1">
      <c r="A1849" s="155" t="str">
        <f>"200505 2"</f>
        <v>200505 2</v>
      </c>
      <c r="B1849" s="153" t="s">
        <v>55</v>
      </c>
      <c r="C1849" s="156" t="str">
        <f>IF(OR($A1849="",ISERROR(VALUE(LEFT($A1849,6)))),"",IF(LEN($A1849)=2,"WOJ. ",IF(LEN($A1849)=4,IF(VALUE(RIGHT($A1849,2))&gt;60,"","Powiat "),IF(VALUE(RIGHT($A1849,1))=1,"m. ",IF(VALUE(RIGHT($A1849,1))=2,"gm. w. ",IF(VALUE(RIGHT($A1849,1))=8,"dz. ","gm. m.-w. ")))))&amp;IF(LEN($A1849)=2,TRIM(UPPER(VLOOKUP($A1849,GUS_tabl_1!$A$7:$B$22,2,FALSE))),IF(ISERROR(FIND("..",TRIM(VLOOKUP(IF(AND(LEN($A1849)=4,VALUE(RIGHT($A1849,2))&gt;60),$A1849&amp;"01 1",$A1849),IF(AND(LEN($A1849)=4,VALUE(RIGHT($A1849,2))&lt;60),GUS_tabl_2!$A$8:$B$464,GUS_tabl_21!$A$5:$B$4886),2,FALSE)))),TRIM(VLOOKUP(IF(AND(LEN($A1849)=4,VALUE(RIGHT($A1849,2))&gt;60),$A1849&amp;"01 1",$A1849),IF(AND(LEN($A1849)=4,VALUE(RIGHT($A1849,2))&lt;60),GUS_tabl_2!$A$8:$B$464,GUS_tabl_21!$A$5:$B$4886),2,FALSE)),LEFT(TRIM(VLOOKUP(IF(AND(LEN($A1849)=4,VALUE(RIGHT($A1849,2))&gt;60),$A1849&amp;"01 1",$A1849),IF(AND(LEN($A1849)=4,VALUE(RIGHT($A1849,2))&lt;60),GUS_tabl_2!$A$8:$B$464,GUS_tabl_21!$A$5:$B$4886),2,FALSE)),SUM(FIND("..",TRIM(VLOOKUP(IF(AND(LEN($A1849)=4,VALUE(RIGHT($A1849,2))&gt;60),$A1849&amp;"01 1",$A1849),IF(AND(LEN($A1849)=4,VALUE(RIGHT($A1849,2))&lt;60),GUS_tabl_2!$A$8:$B$464,GUS_tabl_21!$A$5:$B$4886),2,FALSE))),-1)))))</f>
        <v>gm. w. Dubicze Cerkiewne</v>
      </c>
      <c r="D1849" s="141">
        <f>IF(OR($A1849="",ISERROR(VALUE(LEFT($A1849,6)))),"",IF(LEN($A1849)=2,SUMIF($A1850:$A$2965,$A1849&amp;"??",$D1850:$D$2965),IF(AND(LEN($A1849)=4,VALUE(RIGHT($A1849,2))&lt;=60),SUMIF($A1850:$A$2965,$A1849&amp;"????",$D1850:$D$2965),VLOOKUP(IF(LEN($A1849)=4,$A1849&amp;"01 1",$A1849),GUS_tabl_21!$A$5:$F$4886,6,FALSE))))</f>
        <v>1484</v>
      </c>
      <c r="E1849" s="29"/>
    </row>
    <row r="1850" spans="1:5" ht="12" customHeight="1">
      <c r="A1850" s="155" t="str">
        <f>"200506 2"</f>
        <v>200506 2</v>
      </c>
      <c r="B1850" s="153" t="s">
        <v>55</v>
      </c>
      <c r="C1850" s="156" t="str">
        <f>IF(OR($A1850="",ISERROR(VALUE(LEFT($A1850,6)))),"",IF(LEN($A1850)=2,"WOJ. ",IF(LEN($A1850)=4,IF(VALUE(RIGHT($A1850,2))&gt;60,"","Powiat "),IF(VALUE(RIGHT($A1850,1))=1,"m. ",IF(VALUE(RIGHT($A1850,1))=2,"gm. w. ",IF(VALUE(RIGHT($A1850,1))=8,"dz. ","gm. m.-w. ")))))&amp;IF(LEN($A1850)=2,TRIM(UPPER(VLOOKUP($A1850,GUS_tabl_1!$A$7:$B$22,2,FALSE))),IF(ISERROR(FIND("..",TRIM(VLOOKUP(IF(AND(LEN($A1850)=4,VALUE(RIGHT($A1850,2))&gt;60),$A1850&amp;"01 1",$A1850),IF(AND(LEN($A1850)=4,VALUE(RIGHT($A1850,2))&lt;60),GUS_tabl_2!$A$8:$B$464,GUS_tabl_21!$A$5:$B$4886),2,FALSE)))),TRIM(VLOOKUP(IF(AND(LEN($A1850)=4,VALUE(RIGHT($A1850,2))&gt;60),$A1850&amp;"01 1",$A1850),IF(AND(LEN($A1850)=4,VALUE(RIGHT($A1850,2))&lt;60),GUS_tabl_2!$A$8:$B$464,GUS_tabl_21!$A$5:$B$4886),2,FALSE)),LEFT(TRIM(VLOOKUP(IF(AND(LEN($A1850)=4,VALUE(RIGHT($A1850,2))&gt;60),$A1850&amp;"01 1",$A1850),IF(AND(LEN($A1850)=4,VALUE(RIGHT($A1850,2))&lt;60),GUS_tabl_2!$A$8:$B$464,GUS_tabl_21!$A$5:$B$4886),2,FALSE)),SUM(FIND("..",TRIM(VLOOKUP(IF(AND(LEN($A1850)=4,VALUE(RIGHT($A1850,2))&gt;60),$A1850&amp;"01 1",$A1850),IF(AND(LEN($A1850)=4,VALUE(RIGHT($A1850,2))&lt;60),GUS_tabl_2!$A$8:$B$464,GUS_tabl_21!$A$5:$B$4886),2,FALSE))),-1)))))</f>
        <v>gm. w. Hajnówka</v>
      </c>
      <c r="D1850" s="141">
        <f>IF(OR($A1850="",ISERROR(VALUE(LEFT($A1850,6)))),"",IF(LEN($A1850)=2,SUMIF($A1851:$A$2965,$A1850&amp;"??",$D1851:$D$2965),IF(AND(LEN($A1850)=4,VALUE(RIGHT($A1850,2))&lt;=60),SUMIF($A1851:$A$2965,$A1850&amp;"????",$D1851:$D$2965),VLOOKUP(IF(LEN($A1850)=4,$A1850&amp;"01 1",$A1850),GUS_tabl_21!$A$5:$F$4886,6,FALSE))))</f>
        <v>3843</v>
      </c>
      <c r="E1850" s="29"/>
    </row>
    <row r="1851" spans="1:5" ht="12" customHeight="1">
      <c r="A1851" s="155" t="str">
        <f>"200507 3"</f>
        <v>200507 3</v>
      </c>
      <c r="B1851" s="153" t="s">
        <v>55</v>
      </c>
      <c r="C1851" s="156" t="str">
        <f>IF(OR($A1851="",ISERROR(VALUE(LEFT($A1851,6)))),"",IF(LEN($A1851)=2,"WOJ. ",IF(LEN($A1851)=4,IF(VALUE(RIGHT($A1851,2))&gt;60,"","Powiat "),IF(VALUE(RIGHT($A1851,1))=1,"m. ",IF(VALUE(RIGHT($A1851,1))=2,"gm. w. ",IF(VALUE(RIGHT($A1851,1))=8,"dz. ","gm. m.-w. ")))))&amp;IF(LEN($A1851)=2,TRIM(UPPER(VLOOKUP($A1851,GUS_tabl_1!$A$7:$B$22,2,FALSE))),IF(ISERROR(FIND("..",TRIM(VLOOKUP(IF(AND(LEN($A1851)=4,VALUE(RIGHT($A1851,2))&gt;60),$A1851&amp;"01 1",$A1851),IF(AND(LEN($A1851)=4,VALUE(RIGHT($A1851,2))&lt;60),GUS_tabl_2!$A$8:$B$464,GUS_tabl_21!$A$5:$B$4886),2,FALSE)))),TRIM(VLOOKUP(IF(AND(LEN($A1851)=4,VALUE(RIGHT($A1851,2))&gt;60),$A1851&amp;"01 1",$A1851),IF(AND(LEN($A1851)=4,VALUE(RIGHT($A1851,2))&lt;60),GUS_tabl_2!$A$8:$B$464,GUS_tabl_21!$A$5:$B$4886),2,FALSE)),LEFT(TRIM(VLOOKUP(IF(AND(LEN($A1851)=4,VALUE(RIGHT($A1851,2))&gt;60),$A1851&amp;"01 1",$A1851),IF(AND(LEN($A1851)=4,VALUE(RIGHT($A1851,2))&lt;60),GUS_tabl_2!$A$8:$B$464,GUS_tabl_21!$A$5:$B$4886),2,FALSE)),SUM(FIND("..",TRIM(VLOOKUP(IF(AND(LEN($A1851)=4,VALUE(RIGHT($A1851,2))&gt;60),$A1851&amp;"01 1",$A1851),IF(AND(LEN($A1851)=4,VALUE(RIGHT($A1851,2))&lt;60),GUS_tabl_2!$A$8:$B$464,GUS_tabl_21!$A$5:$B$4886),2,FALSE))),-1)))))</f>
        <v>gm. m.-w. Kleszczele</v>
      </c>
      <c r="D1851" s="141">
        <f>IF(OR($A1851="",ISERROR(VALUE(LEFT($A1851,6)))),"",IF(LEN($A1851)=2,SUMIF($A1852:$A$2965,$A1851&amp;"??",$D1852:$D$2965),IF(AND(LEN($A1851)=4,VALUE(RIGHT($A1851,2))&lt;=60),SUMIF($A1852:$A$2965,$A1851&amp;"????",$D1852:$D$2965),VLOOKUP(IF(LEN($A1851)=4,$A1851&amp;"01 1",$A1851),GUS_tabl_21!$A$5:$F$4886,6,FALSE))))</f>
        <v>2466</v>
      </c>
      <c r="E1851" s="29"/>
    </row>
    <row r="1852" spans="1:5" ht="12" customHeight="1">
      <c r="A1852" s="155" t="str">
        <f>"200508 2"</f>
        <v>200508 2</v>
      </c>
      <c r="B1852" s="153" t="s">
        <v>55</v>
      </c>
      <c r="C1852" s="156" t="str">
        <f>IF(OR($A1852="",ISERROR(VALUE(LEFT($A1852,6)))),"",IF(LEN($A1852)=2,"WOJ. ",IF(LEN($A1852)=4,IF(VALUE(RIGHT($A1852,2))&gt;60,"","Powiat "),IF(VALUE(RIGHT($A1852,1))=1,"m. ",IF(VALUE(RIGHT($A1852,1))=2,"gm. w. ",IF(VALUE(RIGHT($A1852,1))=8,"dz. ","gm. m.-w. ")))))&amp;IF(LEN($A1852)=2,TRIM(UPPER(VLOOKUP($A1852,GUS_tabl_1!$A$7:$B$22,2,FALSE))),IF(ISERROR(FIND("..",TRIM(VLOOKUP(IF(AND(LEN($A1852)=4,VALUE(RIGHT($A1852,2))&gt;60),$A1852&amp;"01 1",$A1852),IF(AND(LEN($A1852)=4,VALUE(RIGHT($A1852,2))&lt;60),GUS_tabl_2!$A$8:$B$464,GUS_tabl_21!$A$5:$B$4886),2,FALSE)))),TRIM(VLOOKUP(IF(AND(LEN($A1852)=4,VALUE(RIGHT($A1852,2))&gt;60),$A1852&amp;"01 1",$A1852),IF(AND(LEN($A1852)=4,VALUE(RIGHT($A1852,2))&lt;60),GUS_tabl_2!$A$8:$B$464,GUS_tabl_21!$A$5:$B$4886),2,FALSE)),LEFT(TRIM(VLOOKUP(IF(AND(LEN($A1852)=4,VALUE(RIGHT($A1852,2))&gt;60),$A1852&amp;"01 1",$A1852),IF(AND(LEN($A1852)=4,VALUE(RIGHT($A1852,2))&lt;60),GUS_tabl_2!$A$8:$B$464,GUS_tabl_21!$A$5:$B$4886),2,FALSE)),SUM(FIND("..",TRIM(VLOOKUP(IF(AND(LEN($A1852)=4,VALUE(RIGHT($A1852,2))&gt;60),$A1852&amp;"01 1",$A1852),IF(AND(LEN($A1852)=4,VALUE(RIGHT($A1852,2))&lt;60),GUS_tabl_2!$A$8:$B$464,GUS_tabl_21!$A$5:$B$4886),2,FALSE))),-1)))))</f>
        <v>gm. w. Narew</v>
      </c>
      <c r="D1852" s="141">
        <f>IF(OR($A1852="",ISERROR(VALUE(LEFT($A1852,6)))),"",IF(LEN($A1852)=2,SUMIF($A1853:$A$2965,$A1852&amp;"??",$D1853:$D$2965),IF(AND(LEN($A1852)=4,VALUE(RIGHT($A1852,2))&lt;=60),SUMIF($A1853:$A$2965,$A1852&amp;"????",$D1853:$D$2965),VLOOKUP(IF(LEN($A1852)=4,$A1852&amp;"01 1",$A1852),GUS_tabl_21!$A$5:$F$4886,6,FALSE))))</f>
        <v>3454</v>
      </c>
      <c r="E1852" s="29"/>
    </row>
    <row r="1853" spans="1:5" ht="12" customHeight="1">
      <c r="A1853" s="155" t="str">
        <f>"200509 2"</f>
        <v>200509 2</v>
      </c>
      <c r="B1853" s="153" t="s">
        <v>55</v>
      </c>
      <c r="C1853" s="156" t="str">
        <f>IF(OR($A1853="",ISERROR(VALUE(LEFT($A1853,6)))),"",IF(LEN($A1853)=2,"WOJ. ",IF(LEN($A1853)=4,IF(VALUE(RIGHT($A1853,2))&gt;60,"","Powiat "),IF(VALUE(RIGHT($A1853,1))=1,"m. ",IF(VALUE(RIGHT($A1853,1))=2,"gm. w. ",IF(VALUE(RIGHT($A1853,1))=8,"dz. ","gm. m.-w. ")))))&amp;IF(LEN($A1853)=2,TRIM(UPPER(VLOOKUP($A1853,GUS_tabl_1!$A$7:$B$22,2,FALSE))),IF(ISERROR(FIND("..",TRIM(VLOOKUP(IF(AND(LEN($A1853)=4,VALUE(RIGHT($A1853,2))&gt;60),$A1853&amp;"01 1",$A1853),IF(AND(LEN($A1853)=4,VALUE(RIGHT($A1853,2))&lt;60),GUS_tabl_2!$A$8:$B$464,GUS_tabl_21!$A$5:$B$4886),2,FALSE)))),TRIM(VLOOKUP(IF(AND(LEN($A1853)=4,VALUE(RIGHT($A1853,2))&gt;60),$A1853&amp;"01 1",$A1853),IF(AND(LEN($A1853)=4,VALUE(RIGHT($A1853,2))&lt;60),GUS_tabl_2!$A$8:$B$464,GUS_tabl_21!$A$5:$B$4886),2,FALSE)),LEFT(TRIM(VLOOKUP(IF(AND(LEN($A1853)=4,VALUE(RIGHT($A1853,2))&gt;60),$A1853&amp;"01 1",$A1853),IF(AND(LEN($A1853)=4,VALUE(RIGHT($A1853,2))&lt;60),GUS_tabl_2!$A$8:$B$464,GUS_tabl_21!$A$5:$B$4886),2,FALSE)),SUM(FIND("..",TRIM(VLOOKUP(IF(AND(LEN($A1853)=4,VALUE(RIGHT($A1853,2))&gt;60),$A1853&amp;"01 1",$A1853),IF(AND(LEN($A1853)=4,VALUE(RIGHT($A1853,2))&lt;60),GUS_tabl_2!$A$8:$B$464,GUS_tabl_21!$A$5:$B$4886),2,FALSE))),-1)))))</f>
        <v>gm. w. Narewka (c)</v>
      </c>
      <c r="D1853" s="141">
        <f>IF(OR($A1853="",ISERROR(VALUE(LEFT($A1853,6)))),"",IF(LEN($A1853)=2,SUMIF($A1854:$A$2965,$A1853&amp;"??",$D1854:$D$2965),IF(AND(LEN($A1853)=4,VALUE(RIGHT($A1853,2))&lt;=60),SUMIF($A1854:$A$2965,$A1853&amp;"????",$D1854:$D$2965),VLOOKUP(IF(LEN($A1853)=4,$A1853&amp;"01 1",$A1853),GUS_tabl_21!$A$5:$F$4886,6,FALSE))))</f>
        <v>3609</v>
      </c>
      <c r="E1853" s="29"/>
    </row>
    <row r="1854" spans="1:5" ht="12" customHeight="1">
      <c r="A1854" s="152" t="str">
        <f>"2006"</f>
        <v>2006</v>
      </c>
      <c r="B1854" s="153" t="s">
        <v>55</v>
      </c>
      <c r="C1854" s="154" t="str">
        <f>IF(OR($A1854="",ISERROR(VALUE(LEFT($A1854,6)))),"",IF(LEN($A1854)=2,"WOJ. ",IF(LEN($A1854)=4,IF(VALUE(RIGHT($A1854,2))&gt;60,"","Powiat "),IF(VALUE(RIGHT($A1854,1))=1,"m. ",IF(VALUE(RIGHT($A1854,1))=2,"gm. w. ",IF(VALUE(RIGHT($A1854,1))=8,"dz. ","gm. m.-w. ")))))&amp;IF(LEN($A1854)=2,TRIM(UPPER(VLOOKUP($A1854,GUS_tabl_1!$A$7:$B$22,2,FALSE))),IF(ISERROR(FIND("..",TRIM(VLOOKUP(IF(AND(LEN($A1854)=4,VALUE(RIGHT($A1854,2))&gt;60),$A1854&amp;"01 1",$A1854),IF(AND(LEN($A1854)=4,VALUE(RIGHT($A1854,2))&lt;60),GUS_tabl_2!$A$8:$B$464,GUS_tabl_21!$A$5:$B$4886),2,FALSE)))),TRIM(VLOOKUP(IF(AND(LEN($A1854)=4,VALUE(RIGHT($A1854,2))&gt;60),$A1854&amp;"01 1",$A1854),IF(AND(LEN($A1854)=4,VALUE(RIGHT($A1854,2))&lt;60),GUS_tabl_2!$A$8:$B$464,GUS_tabl_21!$A$5:$B$4886),2,FALSE)),LEFT(TRIM(VLOOKUP(IF(AND(LEN($A1854)=4,VALUE(RIGHT($A1854,2))&gt;60),$A1854&amp;"01 1",$A1854),IF(AND(LEN($A1854)=4,VALUE(RIGHT($A1854,2))&lt;60),GUS_tabl_2!$A$8:$B$464,GUS_tabl_21!$A$5:$B$4886),2,FALSE)),SUM(FIND("..",TRIM(VLOOKUP(IF(AND(LEN($A1854)=4,VALUE(RIGHT($A1854,2))&gt;60),$A1854&amp;"01 1",$A1854),IF(AND(LEN($A1854)=4,VALUE(RIGHT($A1854,2))&lt;60),GUS_tabl_2!$A$8:$B$464,GUS_tabl_21!$A$5:$B$4886),2,FALSE))),-1)))))</f>
        <v>Powiat kolneński</v>
      </c>
      <c r="D1854" s="140">
        <f>IF(OR($A1854="",ISERROR(VALUE(LEFT($A1854,6)))),"",IF(LEN($A1854)=2,SUMIF($A1855:$A$2965,$A1854&amp;"??",$D1855:$D$2965),IF(AND(LEN($A1854)=4,VALUE(RIGHT($A1854,2))&lt;=60),SUMIF($A1855:$A$2965,$A1854&amp;"????",$D1855:$D$2965),VLOOKUP(IF(LEN($A1854)=4,$A1854&amp;"01 1",$A1854),GUS_tabl_21!$A$5:$F$4886,6,FALSE))))</f>
        <v>38057</v>
      </c>
      <c r="E1854" s="29"/>
    </row>
    <row r="1855" spans="1:5" ht="12" customHeight="1">
      <c r="A1855" s="155" t="str">
        <f>"200601 1"</f>
        <v>200601 1</v>
      </c>
      <c r="B1855" s="153" t="s">
        <v>55</v>
      </c>
      <c r="C1855" s="156" t="str">
        <f>IF(OR($A1855="",ISERROR(VALUE(LEFT($A1855,6)))),"",IF(LEN($A1855)=2,"WOJ. ",IF(LEN($A1855)=4,IF(VALUE(RIGHT($A1855,2))&gt;60,"","Powiat "),IF(VALUE(RIGHT($A1855,1))=1,"m. ",IF(VALUE(RIGHT($A1855,1))=2,"gm. w. ",IF(VALUE(RIGHT($A1855,1))=8,"dz. ","gm. m.-w. ")))))&amp;IF(LEN($A1855)=2,TRIM(UPPER(VLOOKUP($A1855,GUS_tabl_1!$A$7:$B$22,2,FALSE))),IF(ISERROR(FIND("..",TRIM(VLOOKUP(IF(AND(LEN($A1855)=4,VALUE(RIGHT($A1855,2))&gt;60),$A1855&amp;"01 1",$A1855),IF(AND(LEN($A1855)=4,VALUE(RIGHT($A1855,2))&lt;60),GUS_tabl_2!$A$8:$B$464,GUS_tabl_21!$A$5:$B$4886),2,FALSE)))),TRIM(VLOOKUP(IF(AND(LEN($A1855)=4,VALUE(RIGHT($A1855,2))&gt;60),$A1855&amp;"01 1",$A1855),IF(AND(LEN($A1855)=4,VALUE(RIGHT($A1855,2))&lt;60),GUS_tabl_2!$A$8:$B$464,GUS_tabl_21!$A$5:$B$4886),2,FALSE)),LEFT(TRIM(VLOOKUP(IF(AND(LEN($A1855)=4,VALUE(RIGHT($A1855,2))&gt;60),$A1855&amp;"01 1",$A1855),IF(AND(LEN($A1855)=4,VALUE(RIGHT($A1855,2))&lt;60),GUS_tabl_2!$A$8:$B$464,GUS_tabl_21!$A$5:$B$4886),2,FALSE)),SUM(FIND("..",TRIM(VLOOKUP(IF(AND(LEN($A1855)=4,VALUE(RIGHT($A1855,2))&gt;60),$A1855&amp;"01 1",$A1855),IF(AND(LEN($A1855)=4,VALUE(RIGHT($A1855,2))&lt;60),GUS_tabl_2!$A$8:$B$464,GUS_tabl_21!$A$5:$B$4886),2,FALSE))),-1)))))</f>
        <v>m. Kolno</v>
      </c>
      <c r="D1855" s="141">
        <f>IF(OR($A1855="",ISERROR(VALUE(LEFT($A1855,6)))),"",IF(LEN($A1855)=2,SUMIF($A1856:$A$2965,$A1855&amp;"??",$D1856:$D$2965),IF(AND(LEN($A1855)=4,VALUE(RIGHT($A1855,2))&lt;=60),SUMIF($A1856:$A$2965,$A1855&amp;"????",$D1856:$D$2965),VLOOKUP(IF(LEN($A1855)=4,$A1855&amp;"01 1",$A1855),GUS_tabl_21!$A$5:$F$4886,6,FALSE))))</f>
        <v>10199</v>
      </c>
      <c r="E1855" s="29"/>
    </row>
    <row r="1856" spans="1:5" ht="12" customHeight="1">
      <c r="A1856" s="155" t="str">
        <f>"200602 2"</f>
        <v>200602 2</v>
      </c>
      <c r="B1856" s="153" t="s">
        <v>55</v>
      </c>
      <c r="C1856" s="156" t="str">
        <f>IF(OR($A1856="",ISERROR(VALUE(LEFT($A1856,6)))),"",IF(LEN($A1856)=2,"WOJ. ",IF(LEN($A1856)=4,IF(VALUE(RIGHT($A1856,2))&gt;60,"","Powiat "),IF(VALUE(RIGHT($A1856,1))=1,"m. ",IF(VALUE(RIGHT($A1856,1))=2,"gm. w. ",IF(VALUE(RIGHT($A1856,1))=8,"dz. ","gm. m.-w. ")))))&amp;IF(LEN($A1856)=2,TRIM(UPPER(VLOOKUP($A1856,GUS_tabl_1!$A$7:$B$22,2,FALSE))),IF(ISERROR(FIND("..",TRIM(VLOOKUP(IF(AND(LEN($A1856)=4,VALUE(RIGHT($A1856,2))&gt;60),$A1856&amp;"01 1",$A1856),IF(AND(LEN($A1856)=4,VALUE(RIGHT($A1856,2))&lt;60),GUS_tabl_2!$A$8:$B$464,GUS_tabl_21!$A$5:$B$4886),2,FALSE)))),TRIM(VLOOKUP(IF(AND(LEN($A1856)=4,VALUE(RIGHT($A1856,2))&gt;60),$A1856&amp;"01 1",$A1856),IF(AND(LEN($A1856)=4,VALUE(RIGHT($A1856,2))&lt;60),GUS_tabl_2!$A$8:$B$464,GUS_tabl_21!$A$5:$B$4886),2,FALSE)),LEFT(TRIM(VLOOKUP(IF(AND(LEN($A1856)=4,VALUE(RIGHT($A1856,2))&gt;60),$A1856&amp;"01 1",$A1856),IF(AND(LEN($A1856)=4,VALUE(RIGHT($A1856,2))&lt;60),GUS_tabl_2!$A$8:$B$464,GUS_tabl_21!$A$5:$B$4886),2,FALSE)),SUM(FIND("..",TRIM(VLOOKUP(IF(AND(LEN($A1856)=4,VALUE(RIGHT($A1856,2))&gt;60),$A1856&amp;"01 1",$A1856),IF(AND(LEN($A1856)=4,VALUE(RIGHT($A1856,2))&lt;60),GUS_tabl_2!$A$8:$B$464,GUS_tabl_21!$A$5:$B$4886),2,FALSE))),-1)))))</f>
        <v>gm. w. Grabowo</v>
      </c>
      <c r="D1856" s="141">
        <f>IF(OR($A1856="",ISERROR(VALUE(LEFT($A1856,6)))),"",IF(LEN($A1856)=2,SUMIF($A1857:$A$2965,$A1856&amp;"??",$D1857:$D$2965),IF(AND(LEN($A1856)=4,VALUE(RIGHT($A1856,2))&lt;=60),SUMIF($A1857:$A$2965,$A1856&amp;"????",$D1857:$D$2965),VLOOKUP(IF(LEN($A1856)=4,$A1856&amp;"01 1",$A1856),GUS_tabl_21!$A$5:$F$4886,6,FALSE))))</f>
        <v>3399</v>
      </c>
      <c r="E1856" s="29"/>
    </row>
    <row r="1857" spans="1:5" ht="12" customHeight="1">
      <c r="A1857" s="155" t="str">
        <f>"200603 2"</f>
        <v>200603 2</v>
      </c>
      <c r="B1857" s="153" t="s">
        <v>55</v>
      </c>
      <c r="C1857" s="156" t="str">
        <f>IF(OR($A1857="",ISERROR(VALUE(LEFT($A1857,6)))),"",IF(LEN($A1857)=2,"WOJ. ",IF(LEN($A1857)=4,IF(VALUE(RIGHT($A1857,2))&gt;60,"","Powiat "),IF(VALUE(RIGHT($A1857,1))=1,"m. ",IF(VALUE(RIGHT($A1857,1))=2,"gm. w. ",IF(VALUE(RIGHT($A1857,1))=8,"dz. ","gm. m.-w. ")))))&amp;IF(LEN($A1857)=2,TRIM(UPPER(VLOOKUP($A1857,GUS_tabl_1!$A$7:$B$22,2,FALSE))),IF(ISERROR(FIND("..",TRIM(VLOOKUP(IF(AND(LEN($A1857)=4,VALUE(RIGHT($A1857,2))&gt;60),$A1857&amp;"01 1",$A1857),IF(AND(LEN($A1857)=4,VALUE(RIGHT($A1857,2))&lt;60),GUS_tabl_2!$A$8:$B$464,GUS_tabl_21!$A$5:$B$4886),2,FALSE)))),TRIM(VLOOKUP(IF(AND(LEN($A1857)=4,VALUE(RIGHT($A1857,2))&gt;60),$A1857&amp;"01 1",$A1857),IF(AND(LEN($A1857)=4,VALUE(RIGHT($A1857,2))&lt;60),GUS_tabl_2!$A$8:$B$464,GUS_tabl_21!$A$5:$B$4886),2,FALSE)),LEFT(TRIM(VLOOKUP(IF(AND(LEN($A1857)=4,VALUE(RIGHT($A1857,2))&gt;60),$A1857&amp;"01 1",$A1857),IF(AND(LEN($A1857)=4,VALUE(RIGHT($A1857,2))&lt;60),GUS_tabl_2!$A$8:$B$464,GUS_tabl_21!$A$5:$B$4886),2,FALSE)),SUM(FIND("..",TRIM(VLOOKUP(IF(AND(LEN($A1857)=4,VALUE(RIGHT($A1857,2))&gt;60),$A1857&amp;"01 1",$A1857),IF(AND(LEN($A1857)=4,VALUE(RIGHT($A1857,2))&lt;60),GUS_tabl_2!$A$8:$B$464,GUS_tabl_21!$A$5:$B$4886),2,FALSE))),-1)))))</f>
        <v>gm. w. Kolno</v>
      </c>
      <c r="D1857" s="141">
        <f>IF(OR($A1857="",ISERROR(VALUE(LEFT($A1857,6)))),"",IF(LEN($A1857)=2,SUMIF($A1858:$A$2965,$A1857&amp;"??",$D1858:$D$2965),IF(AND(LEN($A1857)=4,VALUE(RIGHT($A1857,2))&lt;=60),SUMIF($A1858:$A$2965,$A1857&amp;"????",$D1858:$D$2965),VLOOKUP(IF(LEN($A1857)=4,$A1857&amp;"01 1",$A1857),GUS_tabl_21!$A$5:$F$4886,6,FALSE))))</f>
        <v>8525</v>
      </c>
      <c r="E1857" s="29"/>
    </row>
    <row r="1858" spans="1:5" ht="12" customHeight="1">
      <c r="A1858" s="155" t="str">
        <f>"200604 2"</f>
        <v>200604 2</v>
      </c>
      <c r="B1858" s="153" t="s">
        <v>55</v>
      </c>
      <c r="C1858" s="156" t="str">
        <f>IF(OR($A1858="",ISERROR(VALUE(LEFT($A1858,6)))),"",IF(LEN($A1858)=2,"WOJ. ",IF(LEN($A1858)=4,IF(VALUE(RIGHT($A1858,2))&gt;60,"","Powiat "),IF(VALUE(RIGHT($A1858,1))=1,"m. ",IF(VALUE(RIGHT($A1858,1))=2,"gm. w. ",IF(VALUE(RIGHT($A1858,1))=8,"dz. ","gm. m.-w. ")))))&amp;IF(LEN($A1858)=2,TRIM(UPPER(VLOOKUP($A1858,GUS_tabl_1!$A$7:$B$22,2,FALSE))),IF(ISERROR(FIND("..",TRIM(VLOOKUP(IF(AND(LEN($A1858)=4,VALUE(RIGHT($A1858,2))&gt;60),$A1858&amp;"01 1",$A1858),IF(AND(LEN($A1858)=4,VALUE(RIGHT($A1858,2))&lt;60),GUS_tabl_2!$A$8:$B$464,GUS_tabl_21!$A$5:$B$4886),2,FALSE)))),TRIM(VLOOKUP(IF(AND(LEN($A1858)=4,VALUE(RIGHT($A1858,2))&gt;60),$A1858&amp;"01 1",$A1858),IF(AND(LEN($A1858)=4,VALUE(RIGHT($A1858,2))&lt;60),GUS_tabl_2!$A$8:$B$464,GUS_tabl_21!$A$5:$B$4886),2,FALSE)),LEFT(TRIM(VLOOKUP(IF(AND(LEN($A1858)=4,VALUE(RIGHT($A1858,2))&gt;60),$A1858&amp;"01 1",$A1858),IF(AND(LEN($A1858)=4,VALUE(RIGHT($A1858,2))&lt;60),GUS_tabl_2!$A$8:$B$464,GUS_tabl_21!$A$5:$B$4886),2,FALSE)),SUM(FIND("..",TRIM(VLOOKUP(IF(AND(LEN($A1858)=4,VALUE(RIGHT($A1858,2))&gt;60),$A1858&amp;"01 1",$A1858),IF(AND(LEN($A1858)=4,VALUE(RIGHT($A1858,2))&lt;60),GUS_tabl_2!$A$8:$B$464,GUS_tabl_21!$A$5:$B$4886),2,FALSE))),-1)))))</f>
        <v>gm. w. Mały Płock</v>
      </c>
      <c r="D1858" s="141">
        <f>IF(OR($A1858="",ISERROR(VALUE(LEFT($A1858,6)))),"",IF(LEN($A1858)=2,SUMIF($A1859:$A$2965,$A1858&amp;"??",$D1859:$D$2965),IF(AND(LEN($A1858)=4,VALUE(RIGHT($A1858,2))&lt;=60),SUMIF($A1859:$A$2965,$A1858&amp;"????",$D1859:$D$2965),VLOOKUP(IF(LEN($A1858)=4,$A1858&amp;"01 1",$A1858),GUS_tabl_21!$A$5:$F$4886,6,FALSE))))</f>
        <v>4739</v>
      </c>
      <c r="E1858" s="29"/>
    </row>
    <row r="1859" spans="1:5" ht="12" customHeight="1">
      <c r="A1859" s="155" t="str">
        <f>"200605 3"</f>
        <v>200605 3</v>
      </c>
      <c r="B1859" s="153" t="s">
        <v>55</v>
      </c>
      <c r="C1859" s="156" t="str">
        <f>IF(OR($A1859="",ISERROR(VALUE(LEFT($A1859,6)))),"",IF(LEN($A1859)=2,"WOJ. ",IF(LEN($A1859)=4,IF(VALUE(RIGHT($A1859,2))&gt;60,"","Powiat "),IF(VALUE(RIGHT($A1859,1))=1,"m. ",IF(VALUE(RIGHT($A1859,1))=2,"gm. w. ",IF(VALUE(RIGHT($A1859,1))=8,"dz. ","gm. m.-w. ")))))&amp;IF(LEN($A1859)=2,TRIM(UPPER(VLOOKUP($A1859,GUS_tabl_1!$A$7:$B$22,2,FALSE))),IF(ISERROR(FIND("..",TRIM(VLOOKUP(IF(AND(LEN($A1859)=4,VALUE(RIGHT($A1859,2))&gt;60),$A1859&amp;"01 1",$A1859),IF(AND(LEN($A1859)=4,VALUE(RIGHT($A1859,2))&lt;60),GUS_tabl_2!$A$8:$B$464,GUS_tabl_21!$A$5:$B$4886),2,FALSE)))),TRIM(VLOOKUP(IF(AND(LEN($A1859)=4,VALUE(RIGHT($A1859,2))&gt;60),$A1859&amp;"01 1",$A1859),IF(AND(LEN($A1859)=4,VALUE(RIGHT($A1859,2))&lt;60),GUS_tabl_2!$A$8:$B$464,GUS_tabl_21!$A$5:$B$4886),2,FALSE)),LEFT(TRIM(VLOOKUP(IF(AND(LEN($A1859)=4,VALUE(RIGHT($A1859,2))&gt;60),$A1859&amp;"01 1",$A1859),IF(AND(LEN($A1859)=4,VALUE(RIGHT($A1859,2))&lt;60),GUS_tabl_2!$A$8:$B$464,GUS_tabl_21!$A$5:$B$4886),2,FALSE)),SUM(FIND("..",TRIM(VLOOKUP(IF(AND(LEN($A1859)=4,VALUE(RIGHT($A1859,2))&gt;60),$A1859&amp;"01 1",$A1859),IF(AND(LEN($A1859)=4,VALUE(RIGHT($A1859,2))&lt;60),GUS_tabl_2!$A$8:$B$464,GUS_tabl_21!$A$5:$B$4886),2,FALSE))),-1)))))</f>
        <v>gm. m.-w. Stawiski</v>
      </c>
      <c r="D1859" s="141">
        <f>IF(OR($A1859="",ISERROR(VALUE(LEFT($A1859,6)))),"",IF(LEN($A1859)=2,SUMIF($A1860:$A$2965,$A1859&amp;"??",$D1860:$D$2965),IF(AND(LEN($A1859)=4,VALUE(RIGHT($A1859,2))&lt;=60),SUMIF($A1860:$A$2965,$A1859&amp;"????",$D1860:$D$2965),VLOOKUP(IF(LEN($A1859)=4,$A1859&amp;"01 1",$A1859),GUS_tabl_21!$A$5:$F$4886,6,FALSE))))</f>
        <v>6085</v>
      </c>
      <c r="E1859" s="29"/>
    </row>
    <row r="1860" spans="1:5" ht="12" customHeight="1">
      <c r="A1860" s="155" t="str">
        <f>"200606 2"</f>
        <v>200606 2</v>
      </c>
      <c r="B1860" s="153" t="s">
        <v>55</v>
      </c>
      <c r="C1860" s="156" t="str">
        <f>IF(OR($A1860="",ISERROR(VALUE(LEFT($A1860,6)))),"",IF(LEN($A1860)=2,"WOJ. ",IF(LEN($A1860)=4,IF(VALUE(RIGHT($A1860,2))&gt;60,"","Powiat "),IF(VALUE(RIGHT($A1860,1))=1,"m. ",IF(VALUE(RIGHT($A1860,1))=2,"gm. w. ",IF(VALUE(RIGHT($A1860,1))=8,"dz. ","gm. m.-w. ")))))&amp;IF(LEN($A1860)=2,TRIM(UPPER(VLOOKUP($A1860,GUS_tabl_1!$A$7:$B$22,2,FALSE))),IF(ISERROR(FIND("..",TRIM(VLOOKUP(IF(AND(LEN($A1860)=4,VALUE(RIGHT($A1860,2))&gt;60),$A1860&amp;"01 1",$A1860),IF(AND(LEN($A1860)=4,VALUE(RIGHT($A1860,2))&lt;60),GUS_tabl_2!$A$8:$B$464,GUS_tabl_21!$A$5:$B$4886),2,FALSE)))),TRIM(VLOOKUP(IF(AND(LEN($A1860)=4,VALUE(RIGHT($A1860,2))&gt;60),$A1860&amp;"01 1",$A1860),IF(AND(LEN($A1860)=4,VALUE(RIGHT($A1860,2))&lt;60),GUS_tabl_2!$A$8:$B$464,GUS_tabl_21!$A$5:$B$4886),2,FALSE)),LEFT(TRIM(VLOOKUP(IF(AND(LEN($A1860)=4,VALUE(RIGHT($A1860,2))&gt;60),$A1860&amp;"01 1",$A1860),IF(AND(LEN($A1860)=4,VALUE(RIGHT($A1860,2))&lt;60),GUS_tabl_2!$A$8:$B$464,GUS_tabl_21!$A$5:$B$4886),2,FALSE)),SUM(FIND("..",TRIM(VLOOKUP(IF(AND(LEN($A1860)=4,VALUE(RIGHT($A1860,2))&gt;60),$A1860&amp;"01 1",$A1860),IF(AND(LEN($A1860)=4,VALUE(RIGHT($A1860,2))&lt;60),GUS_tabl_2!$A$8:$B$464,GUS_tabl_21!$A$5:$B$4886),2,FALSE))),-1)))))</f>
        <v>gm. w. Turośl</v>
      </c>
      <c r="D1860" s="141">
        <f>IF(OR($A1860="",ISERROR(VALUE(LEFT($A1860,6)))),"",IF(LEN($A1860)=2,SUMIF($A1861:$A$2965,$A1860&amp;"??",$D1861:$D$2965),IF(AND(LEN($A1860)=4,VALUE(RIGHT($A1860,2))&lt;=60),SUMIF($A1861:$A$2965,$A1860&amp;"????",$D1861:$D$2965),VLOOKUP(IF(LEN($A1860)=4,$A1860&amp;"01 1",$A1860),GUS_tabl_21!$A$5:$F$4886,6,FALSE))))</f>
        <v>5110</v>
      </c>
      <c r="E1860" s="29"/>
    </row>
    <row r="1861" spans="1:5" ht="12" customHeight="1">
      <c r="A1861" s="152" t="str">
        <f>"2007"</f>
        <v>2007</v>
      </c>
      <c r="B1861" s="153" t="s">
        <v>55</v>
      </c>
      <c r="C1861" s="154" t="str">
        <f>IF(OR($A1861="",ISERROR(VALUE(LEFT($A1861,6)))),"",IF(LEN($A1861)=2,"WOJ. ",IF(LEN($A1861)=4,IF(VALUE(RIGHT($A1861,2))&gt;60,"","Powiat "),IF(VALUE(RIGHT($A1861,1))=1,"m. ",IF(VALUE(RIGHT($A1861,1))=2,"gm. w. ",IF(VALUE(RIGHT($A1861,1))=8,"dz. ","gm. m.-w. ")))))&amp;IF(LEN($A1861)=2,TRIM(UPPER(VLOOKUP($A1861,GUS_tabl_1!$A$7:$B$22,2,FALSE))),IF(ISERROR(FIND("..",TRIM(VLOOKUP(IF(AND(LEN($A1861)=4,VALUE(RIGHT($A1861,2))&gt;60),$A1861&amp;"01 1",$A1861),IF(AND(LEN($A1861)=4,VALUE(RIGHT($A1861,2))&lt;60),GUS_tabl_2!$A$8:$B$464,GUS_tabl_21!$A$5:$B$4886),2,FALSE)))),TRIM(VLOOKUP(IF(AND(LEN($A1861)=4,VALUE(RIGHT($A1861,2))&gt;60),$A1861&amp;"01 1",$A1861),IF(AND(LEN($A1861)=4,VALUE(RIGHT($A1861,2))&lt;60),GUS_tabl_2!$A$8:$B$464,GUS_tabl_21!$A$5:$B$4886),2,FALSE)),LEFT(TRIM(VLOOKUP(IF(AND(LEN($A1861)=4,VALUE(RIGHT($A1861,2))&gt;60),$A1861&amp;"01 1",$A1861),IF(AND(LEN($A1861)=4,VALUE(RIGHT($A1861,2))&lt;60),GUS_tabl_2!$A$8:$B$464,GUS_tabl_21!$A$5:$B$4886),2,FALSE)),SUM(FIND("..",TRIM(VLOOKUP(IF(AND(LEN($A1861)=4,VALUE(RIGHT($A1861,2))&gt;60),$A1861&amp;"01 1",$A1861),IF(AND(LEN($A1861)=4,VALUE(RIGHT($A1861,2))&lt;60),GUS_tabl_2!$A$8:$B$464,GUS_tabl_21!$A$5:$B$4886),2,FALSE))),-1)))))</f>
        <v>Powiat łomżyński</v>
      </c>
      <c r="D1861" s="140">
        <f>IF(OR($A1861="",ISERROR(VALUE(LEFT($A1861,6)))),"",IF(LEN($A1861)=2,SUMIF($A1862:$A$2965,$A1861&amp;"??",$D1862:$D$2965),IF(AND(LEN($A1861)=4,VALUE(RIGHT($A1861,2))&lt;=60),SUMIF($A1862:$A$2965,$A1861&amp;"????",$D1862:$D$2965),VLOOKUP(IF(LEN($A1861)=4,$A1861&amp;"01 1",$A1861),GUS_tabl_21!$A$5:$F$4886,6,FALSE))))</f>
        <v>50943</v>
      </c>
      <c r="E1861" s="29"/>
    </row>
    <row r="1862" spans="1:5" ht="12" customHeight="1">
      <c r="A1862" s="155" t="str">
        <f>"200701 3"</f>
        <v>200701 3</v>
      </c>
      <c r="B1862" s="153" t="s">
        <v>55</v>
      </c>
      <c r="C1862" s="156" t="str">
        <f>IF(OR($A1862="",ISERROR(VALUE(LEFT($A1862,6)))),"",IF(LEN($A1862)=2,"WOJ. ",IF(LEN($A1862)=4,IF(VALUE(RIGHT($A1862,2))&gt;60,"","Powiat "),IF(VALUE(RIGHT($A1862,1))=1,"m. ",IF(VALUE(RIGHT($A1862,1))=2,"gm. w. ",IF(VALUE(RIGHT($A1862,1))=8,"dz. ","gm. m.-w. ")))))&amp;IF(LEN($A1862)=2,TRIM(UPPER(VLOOKUP($A1862,GUS_tabl_1!$A$7:$B$22,2,FALSE))),IF(ISERROR(FIND("..",TRIM(VLOOKUP(IF(AND(LEN($A1862)=4,VALUE(RIGHT($A1862,2))&gt;60),$A1862&amp;"01 1",$A1862),IF(AND(LEN($A1862)=4,VALUE(RIGHT($A1862,2))&lt;60),GUS_tabl_2!$A$8:$B$464,GUS_tabl_21!$A$5:$B$4886),2,FALSE)))),TRIM(VLOOKUP(IF(AND(LEN($A1862)=4,VALUE(RIGHT($A1862,2))&gt;60),$A1862&amp;"01 1",$A1862),IF(AND(LEN($A1862)=4,VALUE(RIGHT($A1862,2))&lt;60),GUS_tabl_2!$A$8:$B$464,GUS_tabl_21!$A$5:$B$4886),2,FALSE)),LEFT(TRIM(VLOOKUP(IF(AND(LEN($A1862)=4,VALUE(RIGHT($A1862,2))&gt;60),$A1862&amp;"01 1",$A1862),IF(AND(LEN($A1862)=4,VALUE(RIGHT($A1862,2))&lt;60),GUS_tabl_2!$A$8:$B$464,GUS_tabl_21!$A$5:$B$4886),2,FALSE)),SUM(FIND("..",TRIM(VLOOKUP(IF(AND(LEN($A1862)=4,VALUE(RIGHT($A1862,2))&gt;60),$A1862&amp;"01 1",$A1862),IF(AND(LEN($A1862)=4,VALUE(RIGHT($A1862,2))&lt;60),GUS_tabl_2!$A$8:$B$464,GUS_tabl_21!$A$5:$B$4886),2,FALSE))),-1)))))</f>
        <v>gm. m.-w. Jedwabne</v>
      </c>
      <c r="D1862" s="141">
        <f>IF(OR($A1862="",ISERROR(VALUE(LEFT($A1862,6)))),"",IF(LEN($A1862)=2,SUMIF($A1863:$A$2965,$A1862&amp;"??",$D1863:$D$2965),IF(AND(LEN($A1862)=4,VALUE(RIGHT($A1862,2))&lt;=60),SUMIF($A1863:$A$2965,$A1862&amp;"????",$D1863:$D$2965),VLOOKUP(IF(LEN($A1862)=4,$A1862&amp;"01 1",$A1862),GUS_tabl_21!$A$5:$F$4886,6,FALSE))))</f>
        <v>5299</v>
      </c>
      <c r="E1862" s="29"/>
    </row>
    <row r="1863" spans="1:5" ht="12" customHeight="1">
      <c r="A1863" s="155" t="str">
        <f>"200702 2"</f>
        <v>200702 2</v>
      </c>
      <c r="B1863" s="153" t="s">
        <v>55</v>
      </c>
      <c r="C1863" s="156" t="str">
        <f>IF(OR($A1863="",ISERROR(VALUE(LEFT($A1863,6)))),"",IF(LEN($A1863)=2,"WOJ. ",IF(LEN($A1863)=4,IF(VALUE(RIGHT($A1863,2))&gt;60,"","Powiat "),IF(VALUE(RIGHT($A1863,1))=1,"m. ",IF(VALUE(RIGHT($A1863,1))=2,"gm. w. ",IF(VALUE(RIGHT($A1863,1))=8,"dz. ","gm. m.-w. ")))))&amp;IF(LEN($A1863)=2,TRIM(UPPER(VLOOKUP($A1863,GUS_tabl_1!$A$7:$B$22,2,FALSE))),IF(ISERROR(FIND("..",TRIM(VLOOKUP(IF(AND(LEN($A1863)=4,VALUE(RIGHT($A1863,2))&gt;60),$A1863&amp;"01 1",$A1863),IF(AND(LEN($A1863)=4,VALUE(RIGHT($A1863,2))&lt;60),GUS_tabl_2!$A$8:$B$464,GUS_tabl_21!$A$5:$B$4886),2,FALSE)))),TRIM(VLOOKUP(IF(AND(LEN($A1863)=4,VALUE(RIGHT($A1863,2))&gt;60),$A1863&amp;"01 1",$A1863),IF(AND(LEN($A1863)=4,VALUE(RIGHT($A1863,2))&lt;60),GUS_tabl_2!$A$8:$B$464,GUS_tabl_21!$A$5:$B$4886),2,FALSE)),LEFT(TRIM(VLOOKUP(IF(AND(LEN($A1863)=4,VALUE(RIGHT($A1863,2))&gt;60),$A1863&amp;"01 1",$A1863),IF(AND(LEN($A1863)=4,VALUE(RIGHT($A1863,2))&lt;60),GUS_tabl_2!$A$8:$B$464,GUS_tabl_21!$A$5:$B$4886),2,FALSE)),SUM(FIND("..",TRIM(VLOOKUP(IF(AND(LEN($A1863)=4,VALUE(RIGHT($A1863,2))&gt;60),$A1863&amp;"01 1",$A1863),IF(AND(LEN($A1863)=4,VALUE(RIGHT($A1863,2))&lt;60),GUS_tabl_2!$A$8:$B$464,GUS_tabl_21!$A$5:$B$4886),2,FALSE))),-1)))))</f>
        <v>gm. w. Łomża</v>
      </c>
      <c r="D1863" s="141">
        <f>IF(OR($A1863="",ISERROR(VALUE(LEFT($A1863,6)))),"",IF(LEN($A1863)=2,SUMIF($A1864:$A$2965,$A1863&amp;"??",$D1864:$D$2965),IF(AND(LEN($A1863)=4,VALUE(RIGHT($A1863,2))&lt;=60),SUMIF($A1864:$A$2965,$A1863&amp;"????",$D1864:$D$2965),VLOOKUP(IF(LEN($A1863)=4,$A1863&amp;"01 1",$A1863),GUS_tabl_21!$A$5:$F$4886,6,FALSE))))</f>
        <v>11162</v>
      </c>
      <c r="E1863" s="29"/>
    </row>
    <row r="1864" spans="1:5" ht="12" customHeight="1">
      <c r="A1864" s="155" t="str">
        <f>"200703 2"</f>
        <v>200703 2</v>
      </c>
      <c r="B1864" s="153" t="s">
        <v>55</v>
      </c>
      <c r="C1864" s="156" t="str">
        <f>IF(OR($A1864="",ISERROR(VALUE(LEFT($A1864,6)))),"",IF(LEN($A1864)=2,"WOJ. ",IF(LEN($A1864)=4,IF(VALUE(RIGHT($A1864,2))&gt;60,"","Powiat "),IF(VALUE(RIGHT($A1864,1))=1,"m. ",IF(VALUE(RIGHT($A1864,1))=2,"gm. w. ",IF(VALUE(RIGHT($A1864,1))=8,"dz. ","gm. m.-w. ")))))&amp;IF(LEN($A1864)=2,TRIM(UPPER(VLOOKUP($A1864,GUS_tabl_1!$A$7:$B$22,2,FALSE))),IF(ISERROR(FIND("..",TRIM(VLOOKUP(IF(AND(LEN($A1864)=4,VALUE(RIGHT($A1864,2))&gt;60),$A1864&amp;"01 1",$A1864),IF(AND(LEN($A1864)=4,VALUE(RIGHT($A1864,2))&lt;60),GUS_tabl_2!$A$8:$B$464,GUS_tabl_21!$A$5:$B$4886),2,FALSE)))),TRIM(VLOOKUP(IF(AND(LEN($A1864)=4,VALUE(RIGHT($A1864,2))&gt;60),$A1864&amp;"01 1",$A1864),IF(AND(LEN($A1864)=4,VALUE(RIGHT($A1864,2))&lt;60),GUS_tabl_2!$A$8:$B$464,GUS_tabl_21!$A$5:$B$4886),2,FALSE)),LEFT(TRIM(VLOOKUP(IF(AND(LEN($A1864)=4,VALUE(RIGHT($A1864,2))&gt;60),$A1864&amp;"01 1",$A1864),IF(AND(LEN($A1864)=4,VALUE(RIGHT($A1864,2))&lt;60),GUS_tabl_2!$A$8:$B$464,GUS_tabl_21!$A$5:$B$4886),2,FALSE)),SUM(FIND("..",TRIM(VLOOKUP(IF(AND(LEN($A1864)=4,VALUE(RIGHT($A1864,2))&gt;60),$A1864&amp;"01 1",$A1864),IF(AND(LEN($A1864)=4,VALUE(RIGHT($A1864,2))&lt;60),GUS_tabl_2!$A$8:$B$464,GUS_tabl_21!$A$5:$B$4886),2,FALSE))),-1)))))</f>
        <v>gm. w. Miastkowo</v>
      </c>
      <c r="D1864" s="141">
        <f>IF(OR($A1864="",ISERROR(VALUE(LEFT($A1864,6)))),"",IF(LEN($A1864)=2,SUMIF($A1865:$A$2965,$A1864&amp;"??",$D1865:$D$2965),IF(AND(LEN($A1864)=4,VALUE(RIGHT($A1864,2))&lt;=60),SUMIF($A1865:$A$2965,$A1864&amp;"????",$D1865:$D$2965),VLOOKUP(IF(LEN($A1864)=4,$A1864&amp;"01 1",$A1864),GUS_tabl_21!$A$5:$F$4886,6,FALSE))))</f>
        <v>4218</v>
      </c>
      <c r="E1864" s="29"/>
    </row>
    <row r="1865" spans="1:5" ht="12" customHeight="1">
      <c r="A1865" s="155" t="str">
        <f>"200704 3"</f>
        <v>200704 3</v>
      </c>
      <c r="B1865" s="153" t="s">
        <v>55</v>
      </c>
      <c r="C1865" s="156" t="str">
        <f>IF(OR($A1865="",ISERROR(VALUE(LEFT($A1865,6)))),"",IF(LEN($A1865)=2,"WOJ. ",IF(LEN($A1865)=4,IF(VALUE(RIGHT($A1865,2))&gt;60,"","Powiat "),IF(VALUE(RIGHT($A1865,1))=1,"m. ",IF(VALUE(RIGHT($A1865,1))=2,"gm. w. ",IF(VALUE(RIGHT($A1865,1))=8,"dz. ","gm. m.-w. ")))))&amp;IF(LEN($A1865)=2,TRIM(UPPER(VLOOKUP($A1865,GUS_tabl_1!$A$7:$B$22,2,FALSE))),IF(ISERROR(FIND("..",TRIM(VLOOKUP(IF(AND(LEN($A1865)=4,VALUE(RIGHT($A1865,2))&gt;60),$A1865&amp;"01 1",$A1865),IF(AND(LEN($A1865)=4,VALUE(RIGHT($A1865,2))&lt;60),GUS_tabl_2!$A$8:$B$464,GUS_tabl_21!$A$5:$B$4886),2,FALSE)))),TRIM(VLOOKUP(IF(AND(LEN($A1865)=4,VALUE(RIGHT($A1865,2))&gt;60),$A1865&amp;"01 1",$A1865),IF(AND(LEN($A1865)=4,VALUE(RIGHT($A1865,2))&lt;60),GUS_tabl_2!$A$8:$B$464,GUS_tabl_21!$A$5:$B$4886),2,FALSE)),LEFT(TRIM(VLOOKUP(IF(AND(LEN($A1865)=4,VALUE(RIGHT($A1865,2))&gt;60),$A1865&amp;"01 1",$A1865),IF(AND(LEN($A1865)=4,VALUE(RIGHT($A1865,2))&lt;60),GUS_tabl_2!$A$8:$B$464,GUS_tabl_21!$A$5:$B$4886),2,FALSE)),SUM(FIND("..",TRIM(VLOOKUP(IF(AND(LEN($A1865)=4,VALUE(RIGHT($A1865,2))&gt;60),$A1865&amp;"01 1",$A1865),IF(AND(LEN($A1865)=4,VALUE(RIGHT($A1865,2))&lt;60),GUS_tabl_2!$A$8:$B$464,GUS_tabl_21!$A$5:$B$4886),2,FALSE))),-1)))))</f>
        <v>gm. m.-w. Nowogród</v>
      </c>
      <c r="D1865" s="141">
        <f>IF(OR($A1865="",ISERROR(VALUE(LEFT($A1865,6)))),"",IF(LEN($A1865)=2,SUMIF($A1866:$A$2965,$A1865&amp;"??",$D1866:$D$2965),IF(AND(LEN($A1865)=4,VALUE(RIGHT($A1865,2))&lt;=60),SUMIF($A1866:$A$2965,$A1865&amp;"????",$D1866:$D$2965),VLOOKUP(IF(LEN($A1865)=4,$A1865&amp;"01 1",$A1865),GUS_tabl_21!$A$5:$F$4886,6,FALSE))))</f>
        <v>4028</v>
      </c>
      <c r="E1865" s="29"/>
    </row>
    <row r="1866" spans="1:5" ht="12" customHeight="1">
      <c r="A1866" s="155" t="str">
        <f>"200705 2"</f>
        <v>200705 2</v>
      </c>
      <c r="B1866" s="153" t="s">
        <v>55</v>
      </c>
      <c r="C1866" s="156" t="str">
        <f>IF(OR($A1866="",ISERROR(VALUE(LEFT($A1866,6)))),"",IF(LEN($A1866)=2,"WOJ. ",IF(LEN($A1866)=4,IF(VALUE(RIGHT($A1866,2))&gt;60,"","Powiat "),IF(VALUE(RIGHT($A1866,1))=1,"m. ",IF(VALUE(RIGHT($A1866,1))=2,"gm. w. ",IF(VALUE(RIGHT($A1866,1))=8,"dz. ","gm. m.-w. ")))))&amp;IF(LEN($A1866)=2,TRIM(UPPER(VLOOKUP($A1866,GUS_tabl_1!$A$7:$B$22,2,FALSE))),IF(ISERROR(FIND("..",TRIM(VLOOKUP(IF(AND(LEN($A1866)=4,VALUE(RIGHT($A1866,2))&gt;60),$A1866&amp;"01 1",$A1866),IF(AND(LEN($A1866)=4,VALUE(RIGHT($A1866,2))&lt;60),GUS_tabl_2!$A$8:$B$464,GUS_tabl_21!$A$5:$B$4886),2,FALSE)))),TRIM(VLOOKUP(IF(AND(LEN($A1866)=4,VALUE(RIGHT($A1866,2))&gt;60),$A1866&amp;"01 1",$A1866),IF(AND(LEN($A1866)=4,VALUE(RIGHT($A1866,2))&lt;60),GUS_tabl_2!$A$8:$B$464,GUS_tabl_21!$A$5:$B$4886),2,FALSE)),LEFT(TRIM(VLOOKUP(IF(AND(LEN($A1866)=4,VALUE(RIGHT($A1866,2))&gt;60),$A1866&amp;"01 1",$A1866),IF(AND(LEN($A1866)=4,VALUE(RIGHT($A1866,2))&lt;60),GUS_tabl_2!$A$8:$B$464,GUS_tabl_21!$A$5:$B$4886),2,FALSE)),SUM(FIND("..",TRIM(VLOOKUP(IF(AND(LEN($A1866)=4,VALUE(RIGHT($A1866,2))&gt;60),$A1866&amp;"01 1",$A1866),IF(AND(LEN($A1866)=4,VALUE(RIGHT($A1866,2))&lt;60),GUS_tabl_2!$A$8:$B$464,GUS_tabl_21!$A$5:$B$4886),2,FALSE))),-1)))))</f>
        <v>gm. w. Piątnica</v>
      </c>
      <c r="D1866" s="141">
        <f>IF(OR($A1866="",ISERROR(VALUE(LEFT($A1866,6)))),"",IF(LEN($A1866)=2,SUMIF($A1867:$A$2965,$A1866&amp;"??",$D1867:$D$2965),IF(AND(LEN($A1866)=4,VALUE(RIGHT($A1866,2))&lt;=60),SUMIF($A1867:$A$2965,$A1866&amp;"????",$D1867:$D$2965),VLOOKUP(IF(LEN($A1866)=4,$A1866&amp;"01 1",$A1866),GUS_tabl_21!$A$5:$F$4886,6,FALSE))))</f>
        <v>10702</v>
      </c>
      <c r="E1866" s="29"/>
    </row>
    <row r="1867" spans="1:5" ht="12" customHeight="1">
      <c r="A1867" s="155" t="str">
        <f>"200706 2"</f>
        <v>200706 2</v>
      </c>
      <c r="B1867" s="153" t="s">
        <v>55</v>
      </c>
      <c r="C1867" s="156" t="str">
        <f>IF(OR($A1867="",ISERROR(VALUE(LEFT($A1867,6)))),"",IF(LEN($A1867)=2,"WOJ. ",IF(LEN($A1867)=4,IF(VALUE(RIGHT($A1867,2))&gt;60,"","Powiat "),IF(VALUE(RIGHT($A1867,1))=1,"m. ",IF(VALUE(RIGHT($A1867,1))=2,"gm. w. ",IF(VALUE(RIGHT($A1867,1))=8,"dz. ","gm. m.-w. ")))))&amp;IF(LEN($A1867)=2,TRIM(UPPER(VLOOKUP($A1867,GUS_tabl_1!$A$7:$B$22,2,FALSE))),IF(ISERROR(FIND("..",TRIM(VLOOKUP(IF(AND(LEN($A1867)=4,VALUE(RIGHT($A1867,2))&gt;60),$A1867&amp;"01 1",$A1867),IF(AND(LEN($A1867)=4,VALUE(RIGHT($A1867,2))&lt;60),GUS_tabl_2!$A$8:$B$464,GUS_tabl_21!$A$5:$B$4886),2,FALSE)))),TRIM(VLOOKUP(IF(AND(LEN($A1867)=4,VALUE(RIGHT($A1867,2))&gt;60),$A1867&amp;"01 1",$A1867),IF(AND(LEN($A1867)=4,VALUE(RIGHT($A1867,2))&lt;60),GUS_tabl_2!$A$8:$B$464,GUS_tabl_21!$A$5:$B$4886),2,FALSE)),LEFT(TRIM(VLOOKUP(IF(AND(LEN($A1867)=4,VALUE(RIGHT($A1867,2))&gt;60),$A1867&amp;"01 1",$A1867),IF(AND(LEN($A1867)=4,VALUE(RIGHT($A1867,2))&lt;60),GUS_tabl_2!$A$8:$B$464,GUS_tabl_21!$A$5:$B$4886),2,FALSE)),SUM(FIND("..",TRIM(VLOOKUP(IF(AND(LEN($A1867)=4,VALUE(RIGHT($A1867,2))&gt;60),$A1867&amp;"01 1",$A1867),IF(AND(LEN($A1867)=4,VALUE(RIGHT($A1867,2))&lt;60),GUS_tabl_2!$A$8:$B$464,GUS_tabl_21!$A$5:$B$4886),2,FALSE))),-1)))))</f>
        <v>gm. w. Przytuły</v>
      </c>
      <c r="D1867" s="141">
        <f>IF(OR($A1867="",ISERROR(VALUE(LEFT($A1867,6)))),"",IF(LEN($A1867)=2,SUMIF($A1868:$A$2965,$A1867&amp;"??",$D1868:$D$2965),IF(AND(LEN($A1867)=4,VALUE(RIGHT($A1867,2))&lt;=60),SUMIF($A1868:$A$2965,$A1867&amp;"????",$D1868:$D$2965),VLOOKUP(IF(LEN($A1867)=4,$A1867&amp;"01 1",$A1867),GUS_tabl_21!$A$5:$F$4886,6,FALSE))))</f>
        <v>2073</v>
      </c>
      <c r="E1867" s="29"/>
    </row>
    <row r="1868" spans="1:5" ht="12" customHeight="1">
      <c r="A1868" s="155" t="str">
        <f>"200707 2"</f>
        <v>200707 2</v>
      </c>
      <c r="B1868" s="153" t="s">
        <v>55</v>
      </c>
      <c r="C1868" s="156" t="str">
        <f>IF(OR($A1868="",ISERROR(VALUE(LEFT($A1868,6)))),"",IF(LEN($A1868)=2,"WOJ. ",IF(LEN($A1868)=4,IF(VALUE(RIGHT($A1868,2))&gt;60,"","Powiat "),IF(VALUE(RIGHT($A1868,1))=1,"m. ",IF(VALUE(RIGHT($A1868,1))=2,"gm. w. ",IF(VALUE(RIGHT($A1868,1))=8,"dz. ","gm. m.-w. ")))))&amp;IF(LEN($A1868)=2,TRIM(UPPER(VLOOKUP($A1868,GUS_tabl_1!$A$7:$B$22,2,FALSE))),IF(ISERROR(FIND("..",TRIM(VLOOKUP(IF(AND(LEN($A1868)=4,VALUE(RIGHT($A1868,2))&gt;60),$A1868&amp;"01 1",$A1868),IF(AND(LEN($A1868)=4,VALUE(RIGHT($A1868,2))&lt;60),GUS_tabl_2!$A$8:$B$464,GUS_tabl_21!$A$5:$B$4886),2,FALSE)))),TRIM(VLOOKUP(IF(AND(LEN($A1868)=4,VALUE(RIGHT($A1868,2))&gt;60),$A1868&amp;"01 1",$A1868),IF(AND(LEN($A1868)=4,VALUE(RIGHT($A1868,2))&lt;60),GUS_tabl_2!$A$8:$B$464,GUS_tabl_21!$A$5:$B$4886),2,FALSE)),LEFT(TRIM(VLOOKUP(IF(AND(LEN($A1868)=4,VALUE(RIGHT($A1868,2))&gt;60),$A1868&amp;"01 1",$A1868),IF(AND(LEN($A1868)=4,VALUE(RIGHT($A1868,2))&lt;60),GUS_tabl_2!$A$8:$B$464,GUS_tabl_21!$A$5:$B$4886),2,FALSE)),SUM(FIND("..",TRIM(VLOOKUP(IF(AND(LEN($A1868)=4,VALUE(RIGHT($A1868,2))&gt;60),$A1868&amp;"01 1",$A1868),IF(AND(LEN($A1868)=4,VALUE(RIGHT($A1868,2))&lt;60),GUS_tabl_2!$A$8:$B$464,GUS_tabl_21!$A$5:$B$4886),2,FALSE))),-1)))))</f>
        <v>gm. w. Śniadowo</v>
      </c>
      <c r="D1868" s="141">
        <f>IF(OR($A1868="",ISERROR(VALUE(LEFT($A1868,6)))),"",IF(LEN($A1868)=2,SUMIF($A1869:$A$2965,$A1868&amp;"??",$D1869:$D$2965),IF(AND(LEN($A1868)=4,VALUE(RIGHT($A1868,2))&lt;=60),SUMIF($A1869:$A$2965,$A1868&amp;"????",$D1869:$D$2965),VLOOKUP(IF(LEN($A1868)=4,$A1868&amp;"01 1",$A1868),GUS_tabl_21!$A$5:$F$4886,6,FALSE))))</f>
        <v>5312</v>
      </c>
      <c r="E1868" s="29"/>
    </row>
    <row r="1869" spans="1:5" ht="12" customHeight="1">
      <c r="A1869" s="155" t="str">
        <f>"200708 2"</f>
        <v>200708 2</v>
      </c>
      <c r="B1869" s="153" t="s">
        <v>55</v>
      </c>
      <c r="C1869" s="156" t="str">
        <f>IF(OR($A1869="",ISERROR(VALUE(LEFT($A1869,6)))),"",IF(LEN($A1869)=2,"WOJ. ",IF(LEN($A1869)=4,IF(VALUE(RIGHT($A1869,2))&gt;60,"","Powiat "),IF(VALUE(RIGHT($A1869,1))=1,"m. ",IF(VALUE(RIGHT($A1869,1))=2,"gm. w. ",IF(VALUE(RIGHT($A1869,1))=8,"dz. ","gm. m.-w. ")))))&amp;IF(LEN($A1869)=2,TRIM(UPPER(VLOOKUP($A1869,GUS_tabl_1!$A$7:$B$22,2,FALSE))),IF(ISERROR(FIND("..",TRIM(VLOOKUP(IF(AND(LEN($A1869)=4,VALUE(RIGHT($A1869,2))&gt;60),$A1869&amp;"01 1",$A1869),IF(AND(LEN($A1869)=4,VALUE(RIGHT($A1869,2))&lt;60),GUS_tabl_2!$A$8:$B$464,GUS_tabl_21!$A$5:$B$4886),2,FALSE)))),TRIM(VLOOKUP(IF(AND(LEN($A1869)=4,VALUE(RIGHT($A1869,2))&gt;60),$A1869&amp;"01 1",$A1869),IF(AND(LEN($A1869)=4,VALUE(RIGHT($A1869,2))&lt;60),GUS_tabl_2!$A$8:$B$464,GUS_tabl_21!$A$5:$B$4886),2,FALSE)),LEFT(TRIM(VLOOKUP(IF(AND(LEN($A1869)=4,VALUE(RIGHT($A1869,2))&gt;60),$A1869&amp;"01 1",$A1869),IF(AND(LEN($A1869)=4,VALUE(RIGHT($A1869,2))&lt;60),GUS_tabl_2!$A$8:$B$464,GUS_tabl_21!$A$5:$B$4886),2,FALSE)),SUM(FIND("..",TRIM(VLOOKUP(IF(AND(LEN($A1869)=4,VALUE(RIGHT($A1869,2))&gt;60),$A1869&amp;"01 1",$A1869),IF(AND(LEN($A1869)=4,VALUE(RIGHT($A1869,2))&lt;60),GUS_tabl_2!$A$8:$B$464,GUS_tabl_21!$A$5:$B$4886),2,FALSE))),-1)))))</f>
        <v>gm. w. Wizna</v>
      </c>
      <c r="D1869" s="141">
        <f>IF(OR($A1869="",ISERROR(VALUE(LEFT($A1869,6)))),"",IF(LEN($A1869)=2,SUMIF($A1870:$A$2965,$A1869&amp;"??",$D1870:$D$2965),IF(AND(LEN($A1869)=4,VALUE(RIGHT($A1869,2))&lt;=60),SUMIF($A1870:$A$2965,$A1869&amp;"????",$D1870:$D$2965),VLOOKUP(IF(LEN($A1869)=4,$A1869&amp;"01 1",$A1869),GUS_tabl_21!$A$5:$F$4886,6,FALSE))))</f>
        <v>3957</v>
      </c>
      <c r="E1869" s="29"/>
    </row>
    <row r="1870" spans="1:5" ht="12" customHeight="1">
      <c r="A1870" s="155" t="str">
        <f>"200709 2"</f>
        <v>200709 2</v>
      </c>
      <c r="B1870" s="153" t="s">
        <v>55</v>
      </c>
      <c r="C1870" s="156" t="str">
        <f>IF(OR($A1870="",ISERROR(VALUE(LEFT($A1870,6)))),"",IF(LEN($A1870)=2,"WOJ. ",IF(LEN($A1870)=4,IF(VALUE(RIGHT($A1870,2))&gt;60,"","Powiat "),IF(VALUE(RIGHT($A1870,1))=1,"m. ",IF(VALUE(RIGHT($A1870,1))=2,"gm. w. ",IF(VALUE(RIGHT($A1870,1))=8,"dz. ","gm. m.-w. ")))))&amp;IF(LEN($A1870)=2,TRIM(UPPER(VLOOKUP($A1870,GUS_tabl_1!$A$7:$B$22,2,FALSE))),IF(ISERROR(FIND("..",TRIM(VLOOKUP(IF(AND(LEN($A1870)=4,VALUE(RIGHT($A1870,2))&gt;60),$A1870&amp;"01 1",$A1870),IF(AND(LEN($A1870)=4,VALUE(RIGHT($A1870,2))&lt;60),GUS_tabl_2!$A$8:$B$464,GUS_tabl_21!$A$5:$B$4886),2,FALSE)))),TRIM(VLOOKUP(IF(AND(LEN($A1870)=4,VALUE(RIGHT($A1870,2))&gt;60),$A1870&amp;"01 1",$A1870),IF(AND(LEN($A1870)=4,VALUE(RIGHT($A1870,2))&lt;60),GUS_tabl_2!$A$8:$B$464,GUS_tabl_21!$A$5:$B$4886),2,FALSE)),LEFT(TRIM(VLOOKUP(IF(AND(LEN($A1870)=4,VALUE(RIGHT($A1870,2))&gt;60),$A1870&amp;"01 1",$A1870),IF(AND(LEN($A1870)=4,VALUE(RIGHT($A1870,2))&lt;60),GUS_tabl_2!$A$8:$B$464,GUS_tabl_21!$A$5:$B$4886),2,FALSE)),SUM(FIND("..",TRIM(VLOOKUP(IF(AND(LEN($A1870)=4,VALUE(RIGHT($A1870,2))&gt;60),$A1870&amp;"01 1",$A1870),IF(AND(LEN($A1870)=4,VALUE(RIGHT($A1870,2))&lt;60),GUS_tabl_2!$A$8:$B$464,GUS_tabl_21!$A$5:$B$4886),2,FALSE))),-1)))))</f>
        <v>gm. w. Zbójna</v>
      </c>
      <c r="D1870" s="141">
        <f>IF(OR($A1870="",ISERROR(VALUE(LEFT($A1870,6)))),"",IF(LEN($A1870)=2,SUMIF($A1871:$A$2965,$A1870&amp;"??",$D1871:$D$2965),IF(AND(LEN($A1870)=4,VALUE(RIGHT($A1870,2))&lt;=60),SUMIF($A1871:$A$2965,$A1870&amp;"????",$D1871:$D$2965),VLOOKUP(IF(LEN($A1870)=4,$A1870&amp;"01 1",$A1870),GUS_tabl_21!$A$5:$F$4886,6,FALSE))))</f>
        <v>4192</v>
      </c>
      <c r="E1870" s="29"/>
    </row>
    <row r="1871" spans="1:5" ht="12" customHeight="1">
      <c r="A1871" s="152" t="str">
        <f>"2008"</f>
        <v>2008</v>
      </c>
      <c r="B1871" s="153" t="s">
        <v>55</v>
      </c>
      <c r="C1871" s="154" t="str">
        <f>IF(OR($A1871="",ISERROR(VALUE(LEFT($A1871,6)))),"",IF(LEN($A1871)=2,"WOJ. ",IF(LEN($A1871)=4,IF(VALUE(RIGHT($A1871,2))&gt;60,"","Powiat "),IF(VALUE(RIGHT($A1871,1))=1,"m. ",IF(VALUE(RIGHT($A1871,1))=2,"gm. w. ",IF(VALUE(RIGHT($A1871,1))=8,"dz. ","gm. m.-w. ")))))&amp;IF(LEN($A1871)=2,TRIM(UPPER(VLOOKUP($A1871,GUS_tabl_1!$A$7:$B$22,2,FALSE))),IF(ISERROR(FIND("..",TRIM(VLOOKUP(IF(AND(LEN($A1871)=4,VALUE(RIGHT($A1871,2))&gt;60),$A1871&amp;"01 1",$A1871),IF(AND(LEN($A1871)=4,VALUE(RIGHT($A1871,2))&lt;60),GUS_tabl_2!$A$8:$B$464,GUS_tabl_21!$A$5:$B$4886),2,FALSE)))),TRIM(VLOOKUP(IF(AND(LEN($A1871)=4,VALUE(RIGHT($A1871,2))&gt;60),$A1871&amp;"01 1",$A1871),IF(AND(LEN($A1871)=4,VALUE(RIGHT($A1871,2))&lt;60),GUS_tabl_2!$A$8:$B$464,GUS_tabl_21!$A$5:$B$4886),2,FALSE)),LEFT(TRIM(VLOOKUP(IF(AND(LEN($A1871)=4,VALUE(RIGHT($A1871,2))&gt;60),$A1871&amp;"01 1",$A1871),IF(AND(LEN($A1871)=4,VALUE(RIGHT($A1871,2))&lt;60),GUS_tabl_2!$A$8:$B$464,GUS_tabl_21!$A$5:$B$4886),2,FALSE)),SUM(FIND("..",TRIM(VLOOKUP(IF(AND(LEN($A1871)=4,VALUE(RIGHT($A1871,2))&gt;60),$A1871&amp;"01 1",$A1871),IF(AND(LEN($A1871)=4,VALUE(RIGHT($A1871,2))&lt;60),GUS_tabl_2!$A$8:$B$464,GUS_tabl_21!$A$5:$B$4886),2,FALSE))),-1)))))</f>
        <v>Powiat moniecki</v>
      </c>
      <c r="D1871" s="140">
        <f>IF(OR($A1871="",ISERROR(VALUE(LEFT($A1871,6)))),"",IF(LEN($A1871)=2,SUMIF($A1872:$A$2965,$A1871&amp;"??",$D1872:$D$2965),IF(AND(LEN($A1871)=4,VALUE(RIGHT($A1871,2))&lt;=60),SUMIF($A1872:$A$2965,$A1871&amp;"????",$D1872:$D$2965),VLOOKUP(IF(LEN($A1871)=4,$A1871&amp;"01 1",$A1871),GUS_tabl_21!$A$5:$F$4886,6,FALSE))))</f>
        <v>40412</v>
      </c>
      <c r="E1871" s="29"/>
    </row>
    <row r="1872" spans="1:5" ht="12" customHeight="1">
      <c r="A1872" s="155" t="str">
        <f>"200801 3"</f>
        <v>200801 3</v>
      </c>
      <c r="B1872" s="153" t="s">
        <v>55</v>
      </c>
      <c r="C1872" s="156" t="str">
        <f>IF(OR($A1872="",ISERROR(VALUE(LEFT($A1872,6)))),"",IF(LEN($A1872)=2,"WOJ. ",IF(LEN($A1872)=4,IF(VALUE(RIGHT($A1872,2))&gt;60,"","Powiat "),IF(VALUE(RIGHT($A1872,1))=1,"m. ",IF(VALUE(RIGHT($A1872,1))=2,"gm. w. ",IF(VALUE(RIGHT($A1872,1))=8,"dz. ","gm. m.-w. ")))))&amp;IF(LEN($A1872)=2,TRIM(UPPER(VLOOKUP($A1872,GUS_tabl_1!$A$7:$B$22,2,FALSE))),IF(ISERROR(FIND("..",TRIM(VLOOKUP(IF(AND(LEN($A1872)=4,VALUE(RIGHT($A1872,2))&gt;60),$A1872&amp;"01 1",$A1872),IF(AND(LEN($A1872)=4,VALUE(RIGHT($A1872,2))&lt;60),GUS_tabl_2!$A$8:$B$464,GUS_tabl_21!$A$5:$B$4886),2,FALSE)))),TRIM(VLOOKUP(IF(AND(LEN($A1872)=4,VALUE(RIGHT($A1872,2))&gt;60),$A1872&amp;"01 1",$A1872),IF(AND(LEN($A1872)=4,VALUE(RIGHT($A1872,2))&lt;60),GUS_tabl_2!$A$8:$B$464,GUS_tabl_21!$A$5:$B$4886),2,FALSE)),LEFT(TRIM(VLOOKUP(IF(AND(LEN($A1872)=4,VALUE(RIGHT($A1872,2))&gt;60),$A1872&amp;"01 1",$A1872),IF(AND(LEN($A1872)=4,VALUE(RIGHT($A1872,2))&lt;60),GUS_tabl_2!$A$8:$B$464,GUS_tabl_21!$A$5:$B$4886),2,FALSE)),SUM(FIND("..",TRIM(VLOOKUP(IF(AND(LEN($A1872)=4,VALUE(RIGHT($A1872,2))&gt;60),$A1872&amp;"01 1",$A1872),IF(AND(LEN($A1872)=4,VALUE(RIGHT($A1872,2))&lt;60),GUS_tabl_2!$A$8:$B$464,GUS_tabl_21!$A$5:$B$4886),2,FALSE))),-1)))))</f>
        <v>gm. m.-w. Goniądz</v>
      </c>
      <c r="D1872" s="141">
        <f>IF(OR($A1872="",ISERROR(VALUE(LEFT($A1872,6)))),"",IF(LEN($A1872)=2,SUMIF($A1873:$A$2965,$A1872&amp;"??",$D1873:$D$2965),IF(AND(LEN($A1872)=4,VALUE(RIGHT($A1872,2))&lt;=60),SUMIF($A1873:$A$2965,$A1872&amp;"????",$D1873:$D$2965),VLOOKUP(IF(LEN($A1872)=4,$A1872&amp;"01 1",$A1872),GUS_tabl_21!$A$5:$F$4886,6,FALSE))))</f>
        <v>4932</v>
      </c>
      <c r="E1872" s="29"/>
    </row>
    <row r="1873" spans="1:5" ht="12" customHeight="1">
      <c r="A1873" s="155" t="str">
        <f>"200802 2"</f>
        <v>200802 2</v>
      </c>
      <c r="B1873" s="153" t="s">
        <v>55</v>
      </c>
      <c r="C1873" s="156" t="str">
        <f>IF(OR($A1873="",ISERROR(VALUE(LEFT($A1873,6)))),"",IF(LEN($A1873)=2,"WOJ. ",IF(LEN($A1873)=4,IF(VALUE(RIGHT($A1873,2))&gt;60,"","Powiat "),IF(VALUE(RIGHT($A1873,1))=1,"m. ",IF(VALUE(RIGHT($A1873,1))=2,"gm. w. ",IF(VALUE(RIGHT($A1873,1))=8,"dz. ","gm. m.-w. ")))))&amp;IF(LEN($A1873)=2,TRIM(UPPER(VLOOKUP($A1873,GUS_tabl_1!$A$7:$B$22,2,FALSE))),IF(ISERROR(FIND("..",TRIM(VLOOKUP(IF(AND(LEN($A1873)=4,VALUE(RIGHT($A1873,2))&gt;60),$A1873&amp;"01 1",$A1873),IF(AND(LEN($A1873)=4,VALUE(RIGHT($A1873,2))&lt;60),GUS_tabl_2!$A$8:$B$464,GUS_tabl_21!$A$5:$B$4886),2,FALSE)))),TRIM(VLOOKUP(IF(AND(LEN($A1873)=4,VALUE(RIGHT($A1873,2))&gt;60),$A1873&amp;"01 1",$A1873),IF(AND(LEN($A1873)=4,VALUE(RIGHT($A1873,2))&lt;60),GUS_tabl_2!$A$8:$B$464,GUS_tabl_21!$A$5:$B$4886),2,FALSE)),LEFT(TRIM(VLOOKUP(IF(AND(LEN($A1873)=4,VALUE(RIGHT($A1873,2))&gt;60),$A1873&amp;"01 1",$A1873),IF(AND(LEN($A1873)=4,VALUE(RIGHT($A1873,2))&lt;60),GUS_tabl_2!$A$8:$B$464,GUS_tabl_21!$A$5:$B$4886),2,FALSE)),SUM(FIND("..",TRIM(VLOOKUP(IF(AND(LEN($A1873)=4,VALUE(RIGHT($A1873,2))&gt;60),$A1873&amp;"01 1",$A1873),IF(AND(LEN($A1873)=4,VALUE(RIGHT($A1873,2))&lt;60),GUS_tabl_2!$A$8:$B$464,GUS_tabl_21!$A$5:$B$4886),2,FALSE))),-1)))))</f>
        <v>gm. w. Jasionówka</v>
      </c>
      <c r="D1873" s="141">
        <f>IF(OR($A1873="",ISERROR(VALUE(LEFT($A1873,6)))),"",IF(LEN($A1873)=2,SUMIF($A1874:$A$2965,$A1873&amp;"??",$D1874:$D$2965),IF(AND(LEN($A1873)=4,VALUE(RIGHT($A1873,2))&lt;=60),SUMIF($A1874:$A$2965,$A1873&amp;"????",$D1874:$D$2965),VLOOKUP(IF(LEN($A1873)=4,$A1873&amp;"01 1",$A1873),GUS_tabl_21!$A$5:$F$4886,6,FALSE))))</f>
        <v>2765</v>
      </c>
      <c r="E1873" s="29"/>
    </row>
    <row r="1874" spans="1:5" ht="12" customHeight="1">
      <c r="A1874" s="155" t="str">
        <f>"200803 2"</f>
        <v>200803 2</v>
      </c>
      <c r="B1874" s="153" t="s">
        <v>55</v>
      </c>
      <c r="C1874" s="156" t="str">
        <f>IF(OR($A1874="",ISERROR(VALUE(LEFT($A1874,6)))),"",IF(LEN($A1874)=2,"WOJ. ",IF(LEN($A1874)=4,IF(VALUE(RIGHT($A1874,2))&gt;60,"","Powiat "),IF(VALUE(RIGHT($A1874,1))=1,"m. ",IF(VALUE(RIGHT($A1874,1))=2,"gm. w. ",IF(VALUE(RIGHT($A1874,1))=8,"dz. ","gm. m.-w. ")))))&amp;IF(LEN($A1874)=2,TRIM(UPPER(VLOOKUP($A1874,GUS_tabl_1!$A$7:$B$22,2,FALSE))),IF(ISERROR(FIND("..",TRIM(VLOOKUP(IF(AND(LEN($A1874)=4,VALUE(RIGHT($A1874,2))&gt;60),$A1874&amp;"01 1",$A1874),IF(AND(LEN($A1874)=4,VALUE(RIGHT($A1874,2))&lt;60),GUS_tabl_2!$A$8:$B$464,GUS_tabl_21!$A$5:$B$4886),2,FALSE)))),TRIM(VLOOKUP(IF(AND(LEN($A1874)=4,VALUE(RIGHT($A1874,2))&gt;60),$A1874&amp;"01 1",$A1874),IF(AND(LEN($A1874)=4,VALUE(RIGHT($A1874,2))&lt;60),GUS_tabl_2!$A$8:$B$464,GUS_tabl_21!$A$5:$B$4886),2,FALSE)),LEFT(TRIM(VLOOKUP(IF(AND(LEN($A1874)=4,VALUE(RIGHT($A1874,2))&gt;60),$A1874&amp;"01 1",$A1874),IF(AND(LEN($A1874)=4,VALUE(RIGHT($A1874,2))&lt;60),GUS_tabl_2!$A$8:$B$464,GUS_tabl_21!$A$5:$B$4886),2,FALSE)),SUM(FIND("..",TRIM(VLOOKUP(IF(AND(LEN($A1874)=4,VALUE(RIGHT($A1874,2))&gt;60),$A1874&amp;"01 1",$A1874),IF(AND(LEN($A1874)=4,VALUE(RIGHT($A1874,2))&lt;60),GUS_tabl_2!$A$8:$B$464,GUS_tabl_21!$A$5:$B$4886),2,FALSE))),-1)))))</f>
        <v>gm. w. Jaświły</v>
      </c>
      <c r="D1874" s="141">
        <f>IF(OR($A1874="",ISERROR(VALUE(LEFT($A1874,6)))),"",IF(LEN($A1874)=2,SUMIF($A1875:$A$2965,$A1874&amp;"??",$D1875:$D$2965),IF(AND(LEN($A1874)=4,VALUE(RIGHT($A1874,2))&lt;=60),SUMIF($A1875:$A$2965,$A1874&amp;"????",$D1875:$D$2965),VLOOKUP(IF(LEN($A1874)=4,$A1874&amp;"01 1",$A1874),GUS_tabl_21!$A$5:$F$4886,6,FALSE))))</f>
        <v>4847</v>
      </c>
      <c r="E1874" s="29"/>
    </row>
    <row r="1875" spans="1:5" ht="12" customHeight="1">
      <c r="A1875" s="155" t="str">
        <f>"200804 3"</f>
        <v>200804 3</v>
      </c>
      <c r="B1875" s="153" t="s">
        <v>55</v>
      </c>
      <c r="C1875" s="156" t="str">
        <f>IF(OR($A1875="",ISERROR(VALUE(LEFT($A1875,6)))),"",IF(LEN($A1875)=2,"WOJ. ",IF(LEN($A1875)=4,IF(VALUE(RIGHT($A1875,2))&gt;60,"","Powiat "),IF(VALUE(RIGHT($A1875,1))=1,"m. ",IF(VALUE(RIGHT($A1875,1))=2,"gm. w. ",IF(VALUE(RIGHT($A1875,1))=8,"dz. ","gm. m.-w. ")))))&amp;IF(LEN($A1875)=2,TRIM(UPPER(VLOOKUP($A1875,GUS_tabl_1!$A$7:$B$22,2,FALSE))),IF(ISERROR(FIND("..",TRIM(VLOOKUP(IF(AND(LEN($A1875)=4,VALUE(RIGHT($A1875,2))&gt;60),$A1875&amp;"01 1",$A1875),IF(AND(LEN($A1875)=4,VALUE(RIGHT($A1875,2))&lt;60),GUS_tabl_2!$A$8:$B$464,GUS_tabl_21!$A$5:$B$4886),2,FALSE)))),TRIM(VLOOKUP(IF(AND(LEN($A1875)=4,VALUE(RIGHT($A1875,2))&gt;60),$A1875&amp;"01 1",$A1875),IF(AND(LEN($A1875)=4,VALUE(RIGHT($A1875,2))&lt;60),GUS_tabl_2!$A$8:$B$464,GUS_tabl_21!$A$5:$B$4886),2,FALSE)),LEFT(TRIM(VLOOKUP(IF(AND(LEN($A1875)=4,VALUE(RIGHT($A1875,2))&gt;60),$A1875&amp;"01 1",$A1875),IF(AND(LEN($A1875)=4,VALUE(RIGHT($A1875,2))&lt;60),GUS_tabl_2!$A$8:$B$464,GUS_tabl_21!$A$5:$B$4886),2,FALSE)),SUM(FIND("..",TRIM(VLOOKUP(IF(AND(LEN($A1875)=4,VALUE(RIGHT($A1875,2))&gt;60),$A1875&amp;"01 1",$A1875),IF(AND(LEN($A1875)=4,VALUE(RIGHT($A1875,2))&lt;60),GUS_tabl_2!$A$8:$B$464,GUS_tabl_21!$A$5:$B$4886),2,FALSE))),-1)))))</f>
        <v>gm. m.-w. Knyszyn</v>
      </c>
      <c r="D1875" s="141">
        <f>IF(OR($A1875="",ISERROR(VALUE(LEFT($A1875,6)))),"",IF(LEN($A1875)=2,SUMIF($A1876:$A$2965,$A1875&amp;"??",$D1876:$D$2965),IF(AND(LEN($A1875)=4,VALUE(RIGHT($A1875,2))&lt;=60),SUMIF($A1876:$A$2965,$A1875&amp;"????",$D1876:$D$2965),VLOOKUP(IF(LEN($A1875)=4,$A1875&amp;"01 1",$A1875),GUS_tabl_21!$A$5:$F$4886,6,FALSE))))</f>
        <v>4750</v>
      </c>
      <c r="E1875" s="29"/>
    </row>
    <row r="1876" spans="1:5" ht="12" customHeight="1">
      <c r="A1876" s="155" t="str">
        <f>"200805 2"</f>
        <v>200805 2</v>
      </c>
      <c r="B1876" s="153" t="s">
        <v>55</v>
      </c>
      <c r="C1876" s="156" t="str">
        <f>IF(OR($A1876="",ISERROR(VALUE(LEFT($A1876,6)))),"",IF(LEN($A1876)=2,"WOJ. ",IF(LEN($A1876)=4,IF(VALUE(RIGHT($A1876,2))&gt;60,"","Powiat "),IF(VALUE(RIGHT($A1876,1))=1,"m. ",IF(VALUE(RIGHT($A1876,1))=2,"gm. w. ",IF(VALUE(RIGHT($A1876,1))=8,"dz. ","gm. m.-w. ")))))&amp;IF(LEN($A1876)=2,TRIM(UPPER(VLOOKUP($A1876,GUS_tabl_1!$A$7:$B$22,2,FALSE))),IF(ISERROR(FIND("..",TRIM(VLOOKUP(IF(AND(LEN($A1876)=4,VALUE(RIGHT($A1876,2))&gt;60),$A1876&amp;"01 1",$A1876),IF(AND(LEN($A1876)=4,VALUE(RIGHT($A1876,2))&lt;60),GUS_tabl_2!$A$8:$B$464,GUS_tabl_21!$A$5:$B$4886),2,FALSE)))),TRIM(VLOOKUP(IF(AND(LEN($A1876)=4,VALUE(RIGHT($A1876,2))&gt;60),$A1876&amp;"01 1",$A1876),IF(AND(LEN($A1876)=4,VALUE(RIGHT($A1876,2))&lt;60),GUS_tabl_2!$A$8:$B$464,GUS_tabl_21!$A$5:$B$4886),2,FALSE)),LEFT(TRIM(VLOOKUP(IF(AND(LEN($A1876)=4,VALUE(RIGHT($A1876,2))&gt;60),$A1876&amp;"01 1",$A1876),IF(AND(LEN($A1876)=4,VALUE(RIGHT($A1876,2))&lt;60),GUS_tabl_2!$A$8:$B$464,GUS_tabl_21!$A$5:$B$4886),2,FALSE)),SUM(FIND("..",TRIM(VLOOKUP(IF(AND(LEN($A1876)=4,VALUE(RIGHT($A1876,2))&gt;60),$A1876&amp;"01 1",$A1876),IF(AND(LEN($A1876)=4,VALUE(RIGHT($A1876,2))&lt;60),GUS_tabl_2!$A$8:$B$464,GUS_tabl_21!$A$5:$B$4886),2,FALSE))),-1)))))</f>
        <v>gm. w. Krypno</v>
      </c>
      <c r="D1876" s="141">
        <f>IF(OR($A1876="",ISERROR(VALUE(LEFT($A1876,6)))),"",IF(LEN($A1876)=2,SUMIF($A1877:$A$2965,$A1876&amp;"??",$D1877:$D$2965),IF(AND(LEN($A1876)=4,VALUE(RIGHT($A1876,2))&lt;=60),SUMIF($A1877:$A$2965,$A1876&amp;"????",$D1877:$D$2965),VLOOKUP(IF(LEN($A1876)=4,$A1876&amp;"01 1",$A1876),GUS_tabl_21!$A$5:$F$4886,6,FALSE))))</f>
        <v>3973</v>
      </c>
      <c r="E1876" s="29"/>
    </row>
    <row r="1877" spans="1:5" ht="12" customHeight="1">
      <c r="A1877" s="155" t="str">
        <f>"200806 3"</f>
        <v>200806 3</v>
      </c>
      <c r="B1877" s="153" t="s">
        <v>55</v>
      </c>
      <c r="C1877" s="156" t="str">
        <f>IF(OR($A1877="",ISERROR(VALUE(LEFT($A1877,6)))),"",IF(LEN($A1877)=2,"WOJ. ",IF(LEN($A1877)=4,IF(VALUE(RIGHT($A1877,2))&gt;60,"","Powiat "),IF(VALUE(RIGHT($A1877,1))=1,"m. ",IF(VALUE(RIGHT($A1877,1))=2,"gm. w. ",IF(VALUE(RIGHT($A1877,1))=8,"dz. ","gm. m.-w. ")))))&amp;IF(LEN($A1877)=2,TRIM(UPPER(VLOOKUP($A1877,GUS_tabl_1!$A$7:$B$22,2,FALSE))),IF(ISERROR(FIND("..",TRIM(VLOOKUP(IF(AND(LEN($A1877)=4,VALUE(RIGHT($A1877,2))&gt;60),$A1877&amp;"01 1",$A1877),IF(AND(LEN($A1877)=4,VALUE(RIGHT($A1877,2))&lt;60),GUS_tabl_2!$A$8:$B$464,GUS_tabl_21!$A$5:$B$4886),2,FALSE)))),TRIM(VLOOKUP(IF(AND(LEN($A1877)=4,VALUE(RIGHT($A1877,2))&gt;60),$A1877&amp;"01 1",$A1877),IF(AND(LEN($A1877)=4,VALUE(RIGHT($A1877,2))&lt;60),GUS_tabl_2!$A$8:$B$464,GUS_tabl_21!$A$5:$B$4886),2,FALSE)),LEFT(TRIM(VLOOKUP(IF(AND(LEN($A1877)=4,VALUE(RIGHT($A1877,2))&gt;60),$A1877&amp;"01 1",$A1877),IF(AND(LEN($A1877)=4,VALUE(RIGHT($A1877,2))&lt;60),GUS_tabl_2!$A$8:$B$464,GUS_tabl_21!$A$5:$B$4886),2,FALSE)),SUM(FIND("..",TRIM(VLOOKUP(IF(AND(LEN($A1877)=4,VALUE(RIGHT($A1877,2))&gt;60),$A1877&amp;"01 1",$A1877),IF(AND(LEN($A1877)=4,VALUE(RIGHT($A1877,2))&lt;60),GUS_tabl_2!$A$8:$B$464,GUS_tabl_21!$A$5:$B$4886),2,FALSE))),-1)))))</f>
        <v>gm. m.-w. Mońki</v>
      </c>
      <c r="D1877" s="141">
        <f>IF(OR($A1877="",ISERROR(VALUE(LEFT($A1877,6)))),"",IF(LEN($A1877)=2,SUMIF($A1878:$A$2965,$A1877&amp;"??",$D1878:$D$2965),IF(AND(LEN($A1877)=4,VALUE(RIGHT($A1877,2))&lt;=60),SUMIF($A1878:$A$2965,$A1877&amp;"????",$D1878:$D$2965),VLOOKUP(IF(LEN($A1877)=4,$A1877&amp;"01 1",$A1877),GUS_tabl_21!$A$5:$F$4886,6,FALSE))))</f>
        <v>14874</v>
      </c>
      <c r="E1877" s="29"/>
    </row>
    <row r="1878" spans="1:5" ht="12" customHeight="1">
      <c r="A1878" s="155" t="str">
        <f>"200807 2"</f>
        <v>200807 2</v>
      </c>
      <c r="B1878" s="153" t="s">
        <v>55</v>
      </c>
      <c r="C1878" s="156" t="str">
        <f>IF(OR($A1878="",ISERROR(VALUE(LEFT($A1878,6)))),"",IF(LEN($A1878)=2,"WOJ. ",IF(LEN($A1878)=4,IF(VALUE(RIGHT($A1878,2))&gt;60,"","Powiat "),IF(VALUE(RIGHT($A1878,1))=1,"m. ",IF(VALUE(RIGHT($A1878,1))=2,"gm. w. ",IF(VALUE(RIGHT($A1878,1))=8,"dz. ","gm. m.-w. ")))))&amp;IF(LEN($A1878)=2,TRIM(UPPER(VLOOKUP($A1878,GUS_tabl_1!$A$7:$B$22,2,FALSE))),IF(ISERROR(FIND("..",TRIM(VLOOKUP(IF(AND(LEN($A1878)=4,VALUE(RIGHT($A1878,2))&gt;60),$A1878&amp;"01 1",$A1878),IF(AND(LEN($A1878)=4,VALUE(RIGHT($A1878,2))&lt;60),GUS_tabl_2!$A$8:$B$464,GUS_tabl_21!$A$5:$B$4886),2,FALSE)))),TRIM(VLOOKUP(IF(AND(LEN($A1878)=4,VALUE(RIGHT($A1878,2))&gt;60),$A1878&amp;"01 1",$A1878),IF(AND(LEN($A1878)=4,VALUE(RIGHT($A1878,2))&lt;60),GUS_tabl_2!$A$8:$B$464,GUS_tabl_21!$A$5:$B$4886),2,FALSE)),LEFT(TRIM(VLOOKUP(IF(AND(LEN($A1878)=4,VALUE(RIGHT($A1878,2))&gt;60),$A1878&amp;"01 1",$A1878),IF(AND(LEN($A1878)=4,VALUE(RIGHT($A1878,2))&lt;60),GUS_tabl_2!$A$8:$B$464,GUS_tabl_21!$A$5:$B$4886),2,FALSE)),SUM(FIND("..",TRIM(VLOOKUP(IF(AND(LEN($A1878)=4,VALUE(RIGHT($A1878,2))&gt;60),$A1878&amp;"01 1",$A1878),IF(AND(LEN($A1878)=4,VALUE(RIGHT($A1878,2))&lt;60),GUS_tabl_2!$A$8:$B$464,GUS_tabl_21!$A$5:$B$4886),2,FALSE))),-1)))))</f>
        <v>gm. w. Trzcianne</v>
      </c>
      <c r="D1878" s="141">
        <f>IF(OR($A1878="",ISERROR(VALUE(LEFT($A1878,6)))),"",IF(LEN($A1878)=2,SUMIF($A1879:$A$2965,$A1878&amp;"??",$D1879:$D$2965),IF(AND(LEN($A1878)=4,VALUE(RIGHT($A1878,2))&lt;=60),SUMIF($A1879:$A$2965,$A1878&amp;"????",$D1879:$D$2965),VLOOKUP(IF(LEN($A1878)=4,$A1878&amp;"01 1",$A1878),GUS_tabl_21!$A$5:$F$4886,6,FALSE))))</f>
        <v>4271</v>
      </c>
      <c r="E1878" s="29"/>
    </row>
    <row r="1879" spans="1:5" ht="12" customHeight="1">
      <c r="A1879" s="152" t="str">
        <f>"2009"</f>
        <v>2009</v>
      </c>
      <c r="B1879" s="153" t="s">
        <v>55</v>
      </c>
      <c r="C1879" s="154" t="str">
        <f>IF(OR($A1879="",ISERROR(VALUE(LEFT($A1879,6)))),"",IF(LEN($A1879)=2,"WOJ. ",IF(LEN($A1879)=4,IF(VALUE(RIGHT($A1879,2))&gt;60,"","Powiat "),IF(VALUE(RIGHT($A1879,1))=1,"m. ",IF(VALUE(RIGHT($A1879,1))=2,"gm. w. ",IF(VALUE(RIGHT($A1879,1))=8,"dz. ","gm. m.-w. ")))))&amp;IF(LEN($A1879)=2,TRIM(UPPER(VLOOKUP($A1879,GUS_tabl_1!$A$7:$B$22,2,FALSE))),IF(ISERROR(FIND("..",TRIM(VLOOKUP(IF(AND(LEN($A1879)=4,VALUE(RIGHT($A1879,2))&gt;60),$A1879&amp;"01 1",$A1879),IF(AND(LEN($A1879)=4,VALUE(RIGHT($A1879,2))&lt;60),GUS_tabl_2!$A$8:$B$464,GUS_tabl_21!$A$5:$B$4886),2,FALSE)))),TRIM(VLOOKUP(IF(AND(LEN($A1879)=4,VALUE(RIGHT($A1879,2))&gt;60),$A1879&amp;"01 1",$A1879),IF(AND(LEN($A1879)=4,VALUE(RIGHT($A1879,2))&lt;60),GUS_tabl_2!$A$8:$B$464,GUS_tabl_21!$A$5:$B$4886),2,FALSE)),LEFT(TRIM(VLOOKUP(IF(AND(LEN($A1879)=4,VALUE(RIGHT($A1879,2))&gt;60),$A1879&amp;"01 1",$A1879),IF(AND(LEN($A1879)=4,VALUE(RIGHT($A1879,2))&lt;60),GUS_tabl_2!$A$8:$B$464,GUS_tabl_21!$A$5:$B$4886),2,FALSE)),SUM(FIND("..",TRIM(VLOOKUP(IF(AND(LEN($A1879)=4,VALUE(RIGHT($A1879,2))&gt;60),$A1879&amp;"01 1",$A1879),IF(AND(LEN($A1879)=4,VALUE(RIGHT($A1879,2))&lt;60),GUS_tabl_2!$A$8:$B$464,GUS_tabl_21!$A$5:$B$4886),2,FALSE))),-1)))))</f>
        <v>Powiat sejneński</v>
      </c>
      <c r="D1879" s="140">
        <f>IF(OR($A1879="",ISERROR(VALUE(LEFT($A1879,6)))),"",IF(LEN($A1879)=2,SUMIF($A1880:$A$2965,$A1879&amp;"??",$D1880:$D$2965),IF(AND(LEN($A1879)=4,VALUE(RIGHT($A1879,2))&lt;=60),SUMIF($A1880:$A$2965,$A1879&amp;"????",$D1880:$D$2965),VLOOKUP(IF(LEN($A1879)=4,$A1879&amp;"01 1",$A1879),GUS_tabl_21!$A$5:$F$4886,6,FALSE))))</f>
        <v>19914</v>
      </c>
      <c r="E1879" s="29"/>
    </row>
    <row r="1880" spans="1:5" ht="12" customHeight="1">
      <c r="A1880" s="155" t="str">
        <f>"200901 1"</f>
        <v>200901 1</v>
      </c>
      <c r="B1880" s="153" t="s">
        <v>55</v>
      </c>
      <c r="C1880" s="156" t="str">
        <f>IF(OR($A1880="",ISERROR(VALUE(LEFT($A1880,6)))),"",IF(LEN($A1880)=2,"WOJ. ",IF(LEN($A1880)=4,IF(VALUE(RIGHT($A1880,2))&gt;60,"","Powiat "),IF(VALUE(RIGHT($A1880,1))=1,"m. ",IF(VALUE(RIGHT($A1880,1))=2,"gm. w. ",IF(VALUE(RIGHT($A1880,1))=8,"dz. ","gm. m.-w. ")))))&amp;IF(LEN($A1880)=2,TRIM(UPPER(VLOOKUP($A1880,GUS_tabl_1!$A$7:$B$22,2,FALSE))),IF(ISERROR(FIND("..",TRIM(VLOOKUP(IF(AND(LEN($A1880)=4,VALUE(RIGHT($A1880,2))&gt;60),$A1880&amp;"01 1",$A1880),IF(AND(LEN($A1880)=4,VALUE(RIGHT($A1880,2))&lt;60),GUS_tabl_2!$A$8:$B$464,GUS_tabl_21!$A$5:$B$4886),2,FALSE)))),TRIM(VLOOKUP(IF(AND(LEN($A1880)=4,VALUE(RIGHT($A1880,2))&gt;60),$A1880&amp;"01 1",$A1880),IF(AND(LEN($A1880)=4,VALUE(RIGHT($A1880,2))&lt;60),GUS_tabl_2!$A$8:$B$464,GUS_tabl_21!$A$5:$B$4886),2,FALSE)),LEFT(TRIM(VLOOKUP(IF(AND(LEN($A1880)=4,VALUE(RIGHT($A1880,2))&gt;60),$A1880&amp;"01 1",$A1880),IF(AND(LEN($A1880)=4,VALUE(RIGHT($A1880,2))&lt;60),GUS_tabl_2!$A$8:$B$464,GUS_tabl_21!$A$5:$B$4886),2,FALSE)),SUM(FIND("..",TRIM(VLOOKUP(IF(AND(LEN($A1880)=4,VALUE(RIGHT($A1880,2))&gt;60),$A1880&amp;"01 1",$A1880),IF(AND(LEN($A1880)=4,VALUE(RIGHT($A1880,2))&lt;60),GUS_tabl_2!$A$8:$B$464,GUS_tabl_21!$A$5:$B$4886),2,FALSE))),-1)))))</f>
        <v>m. Sejny</v>
      </c>
      <c r="D1880" s="141">
        <f>IF(OR($A1880="",ISERROR(VALUE(LEFT($A1880,6)))),"",IF(LEN($A1880)=2,SUMIF($A1881:$A$2965,$A1880&amp;"??",$D1881:$D$2965),IF(AND(LEN($A1880)=4,VALUE(RIGHT($A1880,2))&lt;=60),SUMIF($A1881:$A$2965,$A1880&amp;"????",$D1881:$D$2965),VLOOKUP(IF(LEN($A1880)=4,$A1880&amp;"01 1",$A1880),GUS_tabl_21!$A$5:$F$4886,6,FALSE))))</f>
        <v>5260</v>
      </c>
      <c r="E1880" s="29"/>
    </row>
    <row r="1881" spans="1:5" ht="12" customHeight="1">
      <c r="A1881" s="155" t="str">
        <f>"200902 2"</f>
        <v>200902 2</v>
      </c>
      <c r="B1881" s="153" t="s">
        <v>55</v>
      </c>
      <c r="C1881" s="156" t="str">
        <f>IF(OR($A1881="",ISERROR(VALUE(LEFT($A1881,6)))),"",IF(LEN($A1881)=2,"WOJ. ",IF(LEN($A1881)=4,IF(VALUE(RIGHT($A1881,2))&gt;60,"","Powiat "),IF(VALUE(RIGHT($A1881,1))=1,"m. ",IF(VALUE(RIGHT($A1881,1))=2,"gm. w. ",IF(VALUE(RIGHT($A1881,1))=8,"dz. ","gm. m.-w. ")))))&amp;IF(LEN($A1881)=2,TRIM(UPPER(VLOOKUP($A1881,GUS_tabl_1!$A$7:$B$22,2,FALSE))),IF(ISERROR(FIND("..",TRIM(VLOOKUP(IF(AND(LEN($A1881)=4,VALUE(RIGHT($A1881,2))&gt;60),$A1881&amp;"01 1",$A1881),IF(AND(LEN($A1881)=4,VALUE(RIGHT($A1881,2))&lt;60),GUS_tabl_2!$A$8:$B$464,GUS_tabl_21!$A$5:$B$4886),2,FALSE)))),TRIM(VLOOKUP(IF(AND(LEN($A1881)=4,VALUE(RIGHT($A1881,2))&gt;60),$A1881&amp;"01 1",$A1881),IF(AND(LEN($A1881)=4,VALUE(RIGHT($A1881,2))&lt;60),GUS_tabl_2!$A$8:$B$464,GUS_tabl_21!$A$5:$B$4886),2,FALSE)),LEFT(TRIM(VLOOKUP(IF(AND(LEN($A1881)=4,VALUE(RIGHT($A1881,2))&gt;60),$A1881&amp;"01 1",$A1881),IF(AND(LEN($A1881)=4,VALUE(RIGHT($A1881,2))&lt;60),GUS_tabl_2!$A$8:$B$464,GUS_tabl_21!$A$5:$B$4886),2,FALSE)),SUM(FIND("..",TRIM(VLOOKUP(IF(AND(LEN($A1881)=4,VALUE(RIGHT($A1881,2))&gt;60),$A1881&amp;"01 1",$A1881),IF(AND(LEN($A1881)=4,VALUE(RIGHT($A1881,2))&lt;60),GUS_tabl_2!$A$8:$B$464,GUS_tabl_21!$A$5:$B$4886),2,FALSE))),-1)))))</f>
        <v>gm. w. Giby</v>
      </c>
      <c r="D1881" s="141">
        <f>IF(OR($A1881="",ISERROR(VALUE(LEFT($A1881,6)))),"",IF(LEN($A1881)=2,SUMIF($A1882:$A$2965,$A1881&amp;"??",$D1882:$D$2965),IF(AND(LEN($A1881)=4,VALUE(RIGHT($A1881,2))&lt;=60),SUMIF($A1882:$A$2965,$A1881&amp;"????",$D1882:$D$2965),VLOOKUP(IF(LEN($A1881)=4,$A1881&amp;"01 1",$A1881),GUS_tabl_21!$A$5:$F$4886,6,FALSE))))</f>
        <v>2694</v>
      </c>
      <c r="E1881" s="29"/>
    </row>
    <row r="1882" spans="1:5" ht="12" customHeight="1">
      <c r="A1882" s="155" t="str">
        <f>"200903 2"</f>
        <v>200903 2</v>
      </c>
      <c r="B1882" s="153" t="s">
        <v>55</v>
      </c>
      <c r="C1882" s="156" t="str">
        <f>IF(OR($A1882="",ISERROR(VALUE(LEFT($A1882,6)))),"",IF(LEN($A1882)=2,"WOJ. ",IF(LEN($A1882)=4,IF(VALUE(RIGHT($A1882,2))&gt;60,"","Powiat "),IF(VALUE(RIGHT($A1882,1))=1,"m. ",IF(VALUE(RIGHT($A1882,1))=2,"gm. w. ",IF(VALUE(RIGHT($A1882,1))=8,"dz. ","gm. m.-w. ")))))&amp;IF(LEN($A1882)=2,TRIM(UPPER(VLOOKUP($A1882,GUS_tabl_1!$A$7:$B$22,2,FALSE))),IF(ISERROR(FIND("..",TRIM(VLOOKUP(IF(AND(LEN($A1882)=4,VALUE(RIGHT($A1882,2))&gt;60),$A1882&amp;"01 1",$A1882),IF(AND(LEN($A1882)=4,VALUE(RIGHT($A1882,2))&lt;60),GUS_tabl_2!$A$8:$B$464,GUS_tabl_21!$A$5:$B$4886),2,FALSE)))),TRIM(VLOOKUP(IF(AND(LEN($A1882)=4,VALUE(RIGHT($A1882,2))&gt;60),$A1882&amp;"01 1",$A1882),IF(AND(LEN($A1882)=4,VALUE(RIGHT($A1882,2))&lt;60),GUS_tabl_2!$A$8:$B$464,GUS_tabl_21!$A$5:$B$4886),2,FALSE)),LEFT(TRIM(VLOOKUP(IF(AND(LEN($A1882)=4,VALUE(RIGHT($A1882,2))&gt;60),$A1882&amp;"01 1",$A1882),IF(AND(LEN($A1882)=4,VALUE(RIGHT($A1882,2))&lt;60),GUS_tabl_2!$A$8:$B$464,GUS_tabl_21!$A$5:$B$4886),2,FALSE)),SUM(FIND("..",TRIM(VLOOKUP(IF(AND(LEN($A1882)=4,VALUE(RIGHT($A1882,2))&gt;60),$A1882&amp;"01 1",$A1882),IF(AND(LEN($A1882)=4,VALUE(RIGHT($A1882,2))&lt;60),GUS_tabl_2!$A$8:$B$464,GUS_tabl_21!$A$5:$B$4886),2,FALSE))),-1)))))</f>
        <v>gm. w. Krasnopol</v>
      </c>
      <c r="D1882" s="141">
        <f>IF(OR($A1882="",ISERROR(VALUE(LEFT($A1882,6)))),"",IF(LEN($A1882)=2,SUMIF($A1883:$A$2965,$A1882&amp;"??",$D1883:$D$2965),IF(AND(LEN($A1882)=4,VALUE(RIGHT($A1882,2))&lt;=60),SUMIF($A1883:$A$2965,$A1882&amp;"????",$D1883:$D$2965),VLOOKUP(IF(LEN($A1882)=4,$A1882&amp;"01 1",$A1882),GUS_tabl_21!$A$5:$F$4886,6,FALSE))))</f>
        <v>3792</v>
      </c>
      <c r="E1882" s="29"/>
    </row>
    <row r="1883" spans="1:5" ht="12" customHeight="1">
      <c r="A1883" s="155" t="str">
        <f>"200904 2"</f>
        <v>200904 2</v>
      </c>
      <c r="B1883" s="153" t="s">
        <v>55</v>
      </c>
      <c r="C1883" s="156" t="str">
        <f>IF(OR($A1883="",ISERROR(VALUE(LEFT($A1883,6)))),"",IF(LEN($A1883)=2,"WOJ. ",IF(LEN($A1883)=4,IF(VALUE(RIGHT($A1883,2))&gt;60,"","Powiat "),IF(VALUE(RIGHT($A1883,1))=1,"m. ",IF(VALUE(RIGHT($A1883,1))=2,"gm. w. ",IF(VALUE(RIGHT($A1883,1))=8,"dz. ","gm. m.-w. ")))))&amp;IF(LEN($A1883)=2,TRIM(UPPER(VLOOKUP($A1883,GUS_tabl_1!$A$7:$B$22,2,FALSE))),IF(ISERROR(FIND("..",TRIM(VLOOKUP(IF(AND(LEN($A1883)=4,VALUE(RIGHT($A1883,2))&gt;60),$A1883&amp;"01 1",$A1883),IF(AND(LEN($A1883)=4,VALUE(RIGHT($A1883,2))&lt;60),GUS_tabl_2!$A$8:$B$464,GUS_tabl_21!$A$5:$B$4886),2,FALSE)))),TRIM(VLOOKUP(IF(AND(LEN($A1883)=4,VALUE(RIGHT($A1883,2))&gt;60),$A1883&amp;"01 1",$A1883),IF(AND(LEN($A1883)=4,VALUE(RIGHT($A1883,2))&lt;60),GUS_tabl_2!$A$8:$B$464,GUS_tabl_21!$A$5:$B$4886),2,FALSE)),LEFT(TRIM(VLOOKUP(IF(AND(LEN($A1883)=4,VALUE(RIGHT($A1883,2))&gt;60),$A1883&amp;"01 1",$A1883),IF(AND(LEN($A1883)=4,VALUE(RIGHT($A1883,2))&lt;60),GUS_tabl_2!$A$8:$B$464,GUS_tabl_21!$A$5:$B$4886),2,FALSE)),SUM(FIND("..",TRIM(VLOOKUP(IF(AND(LEN($A1883)=4,VALUE(RIGHT($A1883,2))&gt;60),$A1883&amp;"01 1",$A1883),IF(AND(LEN($A1883)=4,VALUE(RIGHT($A1883,2))&lt;60),GUS_tabl_2!$A$8:$B$464,GUS_tabl_21!$A$5:$B$4886),2,FALSE))),-1)))))</f>
        <v>gm. w. Puńsk</v>
      </c>
      <c r="D1883" s="141">
        <f>IF(OR($A1883="",ISERROR(VALUE(LEFT($A1883,6)))),"",IF(LEN($A1883)=2,SUMIF($A1884:$A$2965,$A1883&amp;"??",$D1884:$D$2965),IF(AND(LEN($A1883)=4,VALUE(RIGHT($A1883,2))&lt;=60),SUMIF($A1884:$A$2965,$A1883&amp;"????",$D1884:$D$2965),VLOOKUP(IF(LEN($A1883)=4,$A1883&amp;"01 1",$A1883),GUS_tabl_21!$A$5:$F$4886,6,FALSE))))</f>
        <v>4161</v>
      </c>
      <c r="E1883" s="29"/>
    </row>
    <row r="1884" spans="1:5" ht="12" customHeight="1">
      <c r="A1884" s="155" t="str">
        <f>"200905 2"</f>
        <v>200905 2</v>
      </c>
      <c r="B1884" s="153" t="s">
        <v>55</v>
      </c>
      <c r="C1884" s="156" t="str">
        <f>IF(OR($A1884="",ISERROR(VALUE(LEFT($A1884,6)))),"",IF(LEN($A1884)=2,"WOJ. ",IF(LEN($A1884)=4,IF(VALUE(RIGHT($A1884,2))&gt;60,"","Powiat "),IF(VALUE(RIGHT($A1884,1))=1,"m. ",IF(VALUE(RIGHT($A1884,1))=2,"gm. w. ",IF(VALUE(RIGHT($A1884,1))=8,"dz. ","gm. m.-w. ")))))&amp;IF(LEN($A1884)=2,TRIM(UPPER(VLOOKUP($A1884,GUS_tabl_1!$A$7:$B$22,2,FALSE))),IF(ISERROR(FIND("..",TRIM(VLOOKUP(IF(AND(LEN($A1884)=4,VALUE(RIGHT($A1884,2))&gt;60),$A1884&amp;"01 1",$A1884),IF(AND(LEN($A1884)=4,VALUE(RIGHT($A1884,2))&lt;60),GUS_tabl_2!$A$8:$B$464,GUS_tabl_21!$A$5:$B$4886),2,FALSE)))),TRIM(VLOOKUP(IF(AND(LEN($A1884)=4,VALUE(RIGHT($A1884,2))&gt;60),$A1884&amp;"01 1",$A1884),IF(AND(LEN($A1884)=4,VALUE(RIGHT($A1884,2))&lt;60),GUS_tabl_2!$A$8:$B$464,GUS_tabl_21!$A$5:$B$4886),2,FALSE)),LEFT(TRIM(VLOOKUP(IF(AND(LEN($A1884)=4,VALUE(RIGHT($A1884,2))&gt;60),$A1884&amp;"01 1",$A1884),IF(AND(LEN($A1884)=4,VALUE(RIGHT($A1884,2))&lt;60),GUS_tabl_2!$A$8:$B$464,GUS_tabl_21!$A$5:$B$4886),2,FALSE)),SUM(FIND("..",TRIM(VLOOKUP(IF(AND(LEN($A1884)=4,VALUE(RIGHT($A1884,2))&gt;60),$A1884&amp;"01 1",$A1884),IF(AND(LEN($A1884)=4,VALUE(RIGHT($A1884,2))&lt;60),GUS_tabl_2!$A$8:$B$464,GUS_tabl_21!$A$5:$B$4886),2,FALSE))),-1)))))</f>
        <v>gm. w. Sejny</v>
      </c>
      <c r="D1884" s="141">
        <f>IF(OR($A1884="",ISERROR(VALUE(LEFT($A1884,6)))),"",IF(LEN($A1884)=2,SUMIF($A1885:$A$2965,$A1884&amp;"??",$D1885:$D$2965),IF(AND(LEN($A1884)=4,VALUE(RIGHT($A1884,2))&lt;=60),SUMIF($A1885:$A$2965,$A1884&amp;"????",$D1885:$D$2965),VLOOKUP(IF(LEN($A1884)=4,$A1884&amp;"01 1",$A1884),GUS_tabl_21!$A$5:$F$4886,6,FALSE))))</f>
        <v>4007</v>
      </c>
      <c r="E1884" s="29"/>
    </row>
    <row r="1885" spans="1:5" ht="12" customHeight="1">
      <c r="A1885" s="152" t="str">
        <f>"2010"</f>
        <v>2010</v>
      </c>
      <c r="B1885" s="153" t="s">
        <v>55</v>
      </c>
      <c r="C1885" s="154" t="str">
        <f>IF(OR($A1885="",ISERROR(VALUE(LEFT($A1885,6)))),"",IF(LEN($A1885)=2,"WOJ. ",IF(LEN($A1885)=4,IF(VALUE(RIGHT($A1885,2))&gt;60,"","Powiat "),IF(VALUE(RIGHT($A1885,1))=1,"m. ",IF(VALUE(RIGHT($A1885,1))=2,"gm. w. ",IF(VALUE(RIGHT($A1885,1))=8,"dz. ","gm. m.-w. ")))))&amp;IF(LEN($A1885)=2,TRIM(UPPER(VLOOKUP($A1885,GUS_tabl_1!$A$7:$B$22,2,FALSE))),IF(ISERROR(FIND("..",TRIM(VLOOKUP(IF(AND(LEN($A1885)=4,VALUE(RIGHT($A1885,2))&gt;60),$A1885&amp;"01 1",$A1885),IF(AND(LEN($A1885)=4,VALUE(RIGHT($A1885,2))&lt;60),GUS_tabl_2!$A$8:$B$464,GUS_tabl_21!$A$5:$B$4886),2,FALSE)))),TRIM(VLOOKUP(IF(AND(LEN($A1885)=4,VALUE(RIGHT($A1885,2))&gt;60),$A1885&amp;"01 1",$A1885),IF(AND(LEN($A1885)=4,VALUE(RIGHT($A1885,2))&lt;60),GUS_tabl_2!$A$8:$B$464,GUS_tabl_21!$A$5:$B$4886),2,FALSE)),LEFT(TRIM(VLOOKUP(IF(AND(LEN($A1885)=4,VALUE(RIGHT($A1885,2))&gt;60),$A1885&amp;"01 1",$A1885),IF(AND(LEN($A1885)=4,VALUE(RIGHT($A1885,2))&lt;60),GUS_tabl_2!$A$8:$B$464,GUS_tabl_21!$A$5:$B$4886),2,FALSE)),SUM(FIND("..",TRIM(VLOOKUP(IF(AND(LEN($A1885)=4,VALUE(RIGHT($A1885,2))&gt;60),$A1885&amp;"01 1",$A1885),IF(AND(LEN($A1885)=4,VALUE(RIGHT($A1885,2))&lt;60),GUS_tabl_2!$A$8:$B$464,GUS_tabl_21!$A$5:$B$4886),2,FALSE))),-1)))))</f>
        <v>Powiat siemiatycki</v>
      </c>
      <c r="D1885" s="140">
        <f>IF(OR($A1885="",ISERROR(VALUE(LEFT($A1885,6)))),"",IF(LEN($A1885)=2,SUMIF($A1886:$A$2965,$A1885&amp;"??",$D1886:$D$2965),IF(AND(LEN($A1885)=4,VALUE(RIGHT($A1885,2))&lt;=60),SUMIF($A1886:$A$2965,$A1885&amp;"????",$D1886:$D$2965),VLOOKUP(IF(LEN($A1885)=4,$A1885&amp;"01 1",$A1885),GUS_tabl_21!$A$5:$F$4886,6,FALSE))))</f>
        <v>44193</v>
      </c>
      <c r="E1885" s="29"/>
    </row>
    <row r="1886" spans="1:5" ht="12" customHeight="1">
      <c r="A1886" s="155" t="str">
        <f>"201001 1"</f>
        <v>201001 1</v>
      </c>
      <c r="B1886" s="153" t="s">
        <v>55</v>
      </c>
      <c r="C1886" s="156" t="str">
        <f>IF(OR($A1886="",ISERROR(VALUE(LEFT($A1886,6)))),"",IF(LEN($A1886)=2,"WOJ. ",IF(LEN($A1886)=4,IF(VALUE(RIGHT($A1886,2))&gt;60,"","Powiat "),IF(VALUE(RIGHT($A1886,1))=1,"m. ",IF(VALUE(RIGHT($A1886,1))=2,"gm. w. ",IF(VALUE(RIGHT($A1886,1))=8,"dz. ","gm. m.-w. ")))))&amp;IF(LEN($A1886)=2,TRIM(UPPER(VLOOKUP($A1886,GUS_tabl_1!$A$7:$B$22,2,FALSE))),IF(ISERROR(FIND("..",TRIM(VLOOKUP(IF(AND(LEN($A1886)=4,VALUE(RIGHT($A1886,2))&gt;60),$A1886&amp;"01 1",$A1886),IF(AND(LEN($A1886)=4,VALUE(RIGHT($A1886,2))&lt;60),GUS_tabl_2!$A$8:$B$464,GUS_tabl_21!$A$5:$B$4886),2,FALSE)))),TRIM(VLOOKUP(IF(AND(LEN($A1886)=4,VALUE(RIGHT($A1886,2))&gt;60),$A1886&amp;"01 1",$A1886),IF(AND(LEN($A1886)=4,VALUE(RIGHT($A1886,2))&lt;60),GUS_tabl_2!$A$8:$B$464,GUS_tabl_21!$A$5:$B$4886),2,FALSE)),LEFT(TRIM(VLOOKUP(IF(AND(LEN($A1886)=4,VALUE(RIGHT($A1886,2))&gt;60),$A1886&amp;"01 1",$A1886),IF(AND(LEN($A1886)=4,VALUE(RIGHT($A1886,2))&lt;60),GUS_tabl_2!$A$8:$B$464,GUS_tabl_21!$A$5:$B$4886),2,FALSE)),SUM(FIND("..",TRIM(VLOOKUP(IF(AND(LEN($A1886)=4,VALUE(RIGHT($A1886,2))&gt;60),$A1886&amp;"01 1",$A1886),IF(AND(LEN($A1886)=4,VALUE(RIGHT($A1886,2))&lt;60),GUS_tabl_2!$A$8:$B$464,GUS_tabl_21!$A$5:$B$4886),2,FALSE))),-1)))))</f>
        <v>m. Siemiatycze</v>
      </c>
      <c r="D1886" s="141">
        <f>IF(OR($A1886="",ISERROR(VALUE(LEFT($A1886,6)))),"",IF(LEN($A1886)=2,SUMIF($A1887:$A$2965,$A1886&amp;"??",$D1887:$D$2965),IF(AND(LEN($A1886)=4,VALUE(RIGHT($A1886,2))&lt;=60),SUMIF($A1887:$A$2965,$A1886&amp;"????",$D1887:$D$2965),VLOOKUP(IF(LEN($A1886)=4,$A1886&amp;"01 1",$A1886),GUS_tabl_21!$A$5:$F$4886,6,FALSE))))</f>
        <v>14391</v>
      </c>
      <c r="E1886" s="29"/>
    </row>
    <row r="1887" spans="1:5" ht="12" customHeight="1">
      <c r="A1887" s="155" t="str">
        <f>"201002 3"</f>
        <v>201002 3</v>
      </c>
      <c r="B1887" s="153" t="s">
        <v>55</v>
      </c>
      <c r="C1887" s="156" t="str">
        <f>IF(OR($A1887="",ISERROR(VALUE(LEFT($A1887,6)))),"",IF(LEN($A1887)=2,"WOJ. ",IF(LEN($A1887)=4,IF(VALUE(RIGHT($A1887,2))&gt;60,"","Powiat "),IF(VALUE(RIGHT($A1887,1))=1,"m. ",IF(VALUE(RIGHT($A1887,1))=2,"gm. w. ",IF(VALUE(RIGHT($A1887,1))=8,"dz. ","gm. m.-w. ")))))&amp;IF(LEN($A1887)=2,TRIM(UPPER(VLOOKUP($A1887,GUS_tabl_1!$A$7:$B$22,2,FALSE))),IF(ISERROR(FIND("..",TRIM(VLOOKUP(IF(AND(LEN($A1887)=4,VALUE(RIGHT($A1887,2))&gt;60),$A1887&amp;"01 1",$A1887),IF(AND(LEN($A1887)=4,VALUE(RIGHT($A1887,2))&lt;60),GUS_tabl_2!$A$8:$B$464,GUS_tabl_21!$A$5:$B$4886),2,FALSE)))),TRIM(VLOOKUP(IF(AND(LEN($A1887)=4,VALUE(RIGHT($A1887,2))&gt;60),$A1887&amp;"01 1",$A1887),IF(AND(LEN($A1887)=4,VALUE(RIGHT($A1887,2))&lt;60),GUS_tabl_2!$A$8:$B$464,GUS_tabl_21!$A$5:$B$4886),2,FALSE)),LEFT(TRIM(VLOOKUP(IF(AND(LEN($A1887)=4,VALUE(RIGHT($A1887,2))&gt;60),$A1887&amp;"01 1",$A1887),IF(AND(LEN($A1887)=4,VALUE(RIGHT($A1887,2))&lt;60),GUS_tabl_2!$A$8:$B$464,GUS_tabl_21!$A$5:$B$4886),2,FALSE)),SUM(FIND("..",TRIM(VLOOKUP(IF(AND(LEN($A1887)=4,VALUE(RIGHT($A1887,2))&gt;60),$A1887&amp;"01 1",$A1887),IF(AND(LEN($A1887)=4,VALUE(RIGHT($A1887,2))&lt;60),GUS_tabl_2!$A$8:$B$464,GUS_tabl_21!$A$5:$B$4886),2,FALSE))),-1)))))</f>
        <v>gm. m.-w. Drohiczyn</v>
      </c>
      <c r="D1887" s="141">
        <f>IF(OR($A1887="",ISERROR(VALUE(LEFT($A1887,6)))),"",IF(LEN($A1887)=2,SUMIF($A1888:$A$2965,$A1887&amp;"??",$D1888:$D$2965),IF(AND(LEN($A1887)=4,VALUE(RIGHT($A1887,2))&lt;=60),SUMIF($A1888:$A$2965,$A1887&amp;"????",$D1888:$D$2965),VLOOKUP(IF(LEN($A1887)=4,$A1887&amp;"01 1",$A1887),GUS_tabl_21!$A$5:$F$4886,6,FALSE))))</f>
        <v>6222</v>
      </c>
      <c r="E1887" s="29"/>
    </row>
    <row r="1888" spans="1:5" ht="12" customHeight="1">
      <c r="A1888" s="155" t="str">
        <f>"201003 2"</f>
        <v>201003 2</v>
      </c>
      <c r="B1888" s="153" t="s">
        <v>55</v>
      </c>
      <c r="C1888" s="156" t="str">
        <f>IF(OR($A1888="",ISERROR(VALUE(LEFT($A1888,6)))),"",IF(LEN($A1888)=2,"WOJ. ",IF(LEN($A1888)=4,IF(VALUE(RIGHT($A1888,2))&gt;60,"","Powiat "),IF(VALUE(RIGHT($A1888,1))=1,"m. ",IF(VALUE(RIGHT($A1888,1))=2,"gm. w. ",IF(VALUE(RIGHT($A1888,1))=8,"dz. ","gm. m.-w. ")))))&amp;IF(LEN($A1888)=2,TRIM(UPPER(VLOOKUP($A1888,GUS_tabl_1!$A$7:$B$22,2,FALSE))),IF(ISERROR(FIND("..",TRIM(VLOOKUP(IF(AND(LEN($A1888)=4,VALUE(RIGHT($A1888,2))&gt;60),$A1888&amp;"01 1",$A1888),IF(AND(LEN($A1888)=4,VALUE(RIGHT($A1888,2))&lt;60),GUS_tabl_2!$A$8:$B$464,GUS_tabl_21!$A$5:$B$4886),2,FALSE)))),TRIM(VLOOKUP(IF(AND(LEN($A1888)=4,VALUE(RIGHT($A1888,2))&gt;60),$A1888&amp;"01 1",$A1888),IF(AND(LEN($A1888)=4,VALUE(RIGHT($A1888,2))&lt;60),GUS_tabl_2!$A$8:$B$464,GUS_tabl_21!$A$5:$B$4886),2,FALSE)),LEFT(TRIM(VLOOKUP(IF(AND(LEN($A1888)=4,VALUE(RIGHT($A1888,2))&gt;60),$A1888&amp;"01 1",$A1888),IF(AND(LEN($A1888)=4,VALUE(RIGHT($A1888,2))&lt;60),GUS_tabl_2!$A$8:$B$464,GUS_tabl_21!$A$5:$B$4886),2,FALSE)),SUM(FIND("..",TRIM(VLOOKUP(IF(AND(LEN($A1888)=4,VALUE(RIGHT($A1888,2))&gt;60),$A1888&amp;"01 1",$A1888),IF(AND(LEN($A1888)=4,VALUE(RIGHT($A1888,2))&lt;60),GUS_tabl_2!$A$8:$B$464,GUS_tabl_21!$A$5:$B$4886),2,FALSE))),-1)))))</f>
        <v>gm. w. Dziadkowice</v>
      </c>
      <c r="D1888" s="141">
        <f>IF(OR($A1888="",ISERROR(VALUE(LEFT($A1888,6)))),"",IF(LEN($A1888)=2,SUMIF($A1889:$A$2965,$A1888&amp;"??",$D1889:$D$2965),IF(AND(LEN($A1888)=4,VALUE(RIGHT($A1888,2))&lt;=60),SUMIF($A1889:$A$2965,$A1888&amp;"????",$D1889:$D$2965),VLOOKUP(IF(LEN($A1888)=4,$A1888&amp;"01 1",$A1888),GUS_tabl_21!$A$5:$F$4886,6,FALSE))))</f>
        <v>2724</v>
      </c>
      <c r="E1888" s="29"/>
    </row>
    <row r="1889" spans="1:5" ht="12" customHeight="1">
      <c r="A1889" s="155" t="str">
        <f>"201004 2"</f>
        <v>201004 2</v>
      </c>
      <c r="B1889" s="153" t="s">
        <v>55</v>
      </c>
      <c r="C1889" s="156" t="str">
        <f>IF(OR($A1889="",ISERROR(VALUE(LEFT($A1889,6)))),"",IF(LEN($A1889)=2,"WOJ. ",IF(LEN($A1889)=4,IF(VALUE(RIGHT($A1889,2))&gt;60,"","Powiat "),IF(VALUE(RIGHT($A1889,1))=1,"m. ",IF(VALUE(RIGHT($A1889,1))=2,"gm. w. ",IF(VALUE(RIGHT($A1889,1))=8,"dz. ","gm. m.-w. ")))))&amp;IF(LEN($A1889)=2,TRIM(UPPER(VLOOKUP($A1889,GUS_tabl_1!$A$7:$B$22,2,FALSE))),IF(ISERROR(FIND("..",TRIM(VLOOKUP(IF(AND(LEN($A1889)=4,VALUE(RIGHT($A1889,2))&gt;60),$A1889&amp;"01 1",$A1889),IF(AND(LEN($A1889)=4,VALUE(RIGHT($A1889,2))&lt;60),GUS_tabl_2!$A$8:$B$464,GUS_tabl_21!$A$5:$B$4886),2,FALSE)))),TRIM(VLOOKUP(IF(AND(LEN($A1889)=4,VALUE(RIGHT($A1889,2))&gt;60),$A1889&amp;"01 1",$A1889),IF(AND(LEN($A1889)=4,VALUE(RIGHT($A1889,2))&lt;60),GUS_tabl_2!$A$8:$B$464,GUS_tabl_21!$A$5:$B$4886),2,FALSE)),LEFT(TRIM(VLOOKUP(IF(AND(LEN($A1889)=4,VALUE(RIGHT($A1889,2))&gt;60),$A1889&amp;"01 1",$A1889),IF(AND(LEN($A1889)=4,VALUE(RIGHT($A1889,2))&lt;60),GUS_tabl_2!$A$8:$B$464,GUS_tabl_21!$A$5:$B$4886),2,FALSE)),SUM(FIND("..",TRIM(VLOOKUP(IF(AND(LEN($A1889)=4,VALUE(RIGHT($A1889,2))&gt;60),$A1889&amp;"01 1",$A1889),IF(AND(LEN($A1889)=4,VALUE(RIGHT($A1889,2))&lt;60),GUS_tabl_2!$A$8:$B$464,GUS_tabl_21!$A$5:$B$4886),2,FALSE))),-1)))))</f>
        <v>gm. w. Grodzisk</v>
      </c>
      <c r="D1889" s="141">
        <f>IF(OR($A1889="",ISERROR(VALUE(LEFT($A1889,6)))),"",IF(LEN($A1889)=2,SUMIF($A1890:$A$2965,$A1889&amp;"??",$D1890:$D$2965),IF(AND(LEN($A1889)=4,VALUE(RIGHT($A1889,2))&lt;=60),SUMIF($A1890:$A$2965,$A1889&amp;"????",$D1890:$D$2965),VLOOKUP(IF(LEN($A1889)=4,$A1889&amp;"01 1",$A1889),GUS_tabl_21!$A$5:$F$4886,6,FALSE))))</f>
        <v>4169</v>
      </c>
      <c r="E1889" s="29"/>
    </row>
    <row r="1890" spans="1:5" ht="12" customHeight="1">
      <c r="A1890" s="155" t="str">
        <f>"201005 2"</f>
        <v>201005 2</v>
      </c>
      <c r="B1890" s="153" t="s">
        <v>55</v>
      </c>
      <c r="C1890" s="156" t="str">
        <f>IF(OR($A1890="",ISERROR(VALUE(LEFT($A1890,6)))),"",IF(LEN($A1890)=2,"WOJ. ",IF(LEN($A1890)=4,IF(VALUE(RIGHT($A1890,2))&gt;60,"","Powiat "),IF(VALUE(RIGHT($A1890,1))=1,"m. ",IF(VALUE(RIGHT($A1890,1))=2,"gm. w. ",IF(VALUE(RIGHT($A1890,1))=8,"dz. ","gm. m.-w. ")))))&amp;IF(LEN($A1890)=2,TRIM(UPPER(VLOOKUP($A1890,GUS_tabl_1!$A$7:$B$22,2,FALSE))),IF(ISERROR(FIND("..",TRIM(VLOOKUP(IF(AND(LEN($A1890)=4,VALUE(RIGHT($A1890,2))&gt;60),$A1890&amp;"01 1",$A1890),IF(AND(LEN($A1890)=4,VALUE(RIGHT($A1890,2))&lt;60),GUS_tabl_2!$A$8:$B$464,GUS_tabl_21!$A$5:$B$4886),2,FALSE)))),TRIM(VLOOKUP(IF(AND(LEN($A1890)=4,VALUE(RIGHT($A1890,2))&gt;60),$A1890&amp;"01 1",$A1890),IF(AND(LEN($A1890)=4,VALUE(RIGHT($A1890,2))&lt;60),GUS_tabl_2!$A$8:$B$464,GUS_tabl_21!$A$5:$B$4886),2,FALSE)),LEFT(TRIM(VLOOKUP(IF(AND(LEN($A1890)=4,VALUE(RIGHT($A1890,2))&gt;60),$A1890&amp;"01 1",$A1890),IF(AND(LEN($A1890)=4,VALUE(RIGHT($A1890,2))&lt;60),GUS_tabl_2!$A$8:$B$464,GUS_tabl_21!$A$5:$B$4886),2,FALSE)),SUM(FIND("..",TRIM(VLOOKUP(IF(AND(LEN($A1890)=4,VALUE(RIGHT($A1890,2))&gt;60),$A1890&amp;"01 1",$A1890),IF(AND(LEN($A1890)=4,VALUE(RIGHT($A1890,2))&lt;60),GUS_tabl_2!$A$8:$B$464,GUS_tabl_21!$A$5:$B$4886),2,FALSE))),-1)))))</f>
        <v>gm. w. Mielnik</v>
      </c>
      <c r="D1890" s="141">
        <f>IF(OR($A1890="",ISERROR(VALUE(LEFT($A1890,6)))),"",IF(LEN($A1890)=2,SUMIF($A1891:$A$2965,$A1890&amp;"??",$D1891:$D$2965),IF(AND(LEN($A1890)=4,VALUE(RIGHT($A1890,2))&lt;=60),SUMIF($A1891:$A$2965,$A1890&amp;"????",$D1891:$D$2965),VLOOKUP(IF(LEN($A1890)=4,$A1890&amp;"01 1",$A1890),GUS_tabl_21!$A$5:$F$4886,6,FALSE))))</f>
        <v>2319</v>
      </c>
      <c r="E1890" s="29"/>
    </row>
    <row r="1891" spans="1:5" ht="12" customHeight="1">
      <c r="A1891" s="155" t="str">
        <f>"201006 2"</f>
        <v>201006 2</v>
      </c>
      <c r="B1891" s="153" t="s">
        <v>55</v>
      </c>
      <c r="C1891" s="156" t="str">
        <f>IF(OR($A1891="",ISERROR(VALUE(LEFT($A1891,6)))),"",IF(LEN($A1891)=2,"WOJ. ",IF(LEN($A1891)=4,IF(VALUE(RIGHT($A1891,2))&gt;60,"","Powiat "),IF(VALUE(RIGHT($A1891,1))=1,"m. ",IF(VALUE(RIGHT($A1891,1))=2,"gm. w. ",IF(VALUE(RIGHT($A1891,1))=8,"dz. ","gm. m.-w. ")))))&amp;IF(LEN($A1891)=2,TRIM(UPPER(VLOOKUP($A1891,GUS_tabl_1!$A$7:$B$22,2,FALSE))),IF(ISERROR(FIND("..",TRIM(VLOOKUP(IF(AND(LEN($A1891)=4,VALUE(RIGHT($A1891,2))&gt;60),$A1891&amp;"01 1",$A1891),IF(AND(LEN($A1891)=4,VALUE(RIGHT($A1891,2))&lt;60),GUS_tabl_2!$A$8:$B$464,GUS_tabl_21!$A$5:$B$4886),2,FALSE)))),TRIM(VLOOKUP(IF(AND(LEN($A1891)=4,VALUE(RIGHT($A1891,2))&gt;60),$A1891&amp;"01 1",$A1891),IF(AND(LEN($A1891)=4,VALUE(RIGHT($A1891,2))&lt;60),GUS_tabl_2!$A$8:$B$464,GUS_tabl_21!$A$5:$B$4886),2,FALSE)),LEFT(TRIM(VLOOKUP(IF(AND(LEN($A1891)=4,VALUE(RIGHT($A1891,2))&gt;60),$A1891&amp;"01 1",$A1891),IF(AND(LEN($A1891)=4,VALUE(RIGHT($A1891,2))&lt;60),GUS_tabl_2!$A$8:$B$464,GUS_tabl_21!$A$5:$B$4886),2,FALSE)),SUM(FIND("..",TRIM(VLOOKUP(IF(AND(LEN($A1891)=4,VALUE(RIGHT($A1891,2))&gt;60),$A1891&amp;"01 1",$A1891),IF(AND(LEN($A1891)=4,VALUE(RIGHT($A1891,2))&lt;60),GUS_tabl_2!$A$8:$B$464,GUS_tabl_21!$A$5:$B$4886),2,FALSE))),-1)))))</f>
        <v>gm. w. Milejczyce</v>
      </c>
      <c r="D1891" s="141">
        <f>IF(OR($A1891="",ISERROR(VALUE(LEFT($A1891,6)))),"",IF(LEN($A1891)=2,SUMIF($A1892:$A$2965,$A1891&amp;"??",$D1892:$D$2965),IF(AND(LEN($A1891)=4,VALUE(RIGHT($A1891,2))&lt;=60),SUMIF($A1892:$A$2965,$A1891&amp;"????",$D1892:$D$2965),VLOOKUP(IF(LEN($A1891)=4,$A1891&amp;"01 1",$A1891),GUS_tabl_21!$A$5:$F$4886,6,FALSE))))</f>
        <v>1710</v>
      </c>
      <c r="E1891" s="29"/>
    </row>
    <row r="1892" spans="1:5" ht="12" customHeight="1">
      <c r="A1892" s="155" t="str">
        <f>"201007 2"</f>
        <v>201007 2</v>
      </c>
      <c r="B1892" s="153" t="s">
        <v>55</v>
      </c>
      <c r="C1892" s="156" t="str">
        <f>IF(OR($A1892="",ISERROR(VALUE(LEFT($A1892,6)))),"",IF(LEN($A1892)=2,"WOJ. ",IF(LEN($A1892)=4,IF(VALUE(RIGHT($A1892,2))&gt;60,"","Powiat "),IF(VALUE(RIGHT($A1892,1))=1,"m. ",IF(VALUE(RIGHT($A1892,1))=2,"gm. w. ",IF(VALUE(RIGHT($A1892,1))=8,"dz. ","gm. m.-w. ")))))&amp;IF(LEN($A1892)=2,TRIM(UPPER(VLOOKUP($A1892,GUS_tabl_1!$A$7:$B$22,2,FALSE))),IF(ISERROR(FIND("..",TRIM(VLOOKUP(IF(AND(LEN($A1892)=4,VALUE(RIGHT($A1892,2))&gt;60),$A1892&amp;"01 1",$A1892),IF(AND(LEN($A1892)=4,VALUE(RIGHT($A1892,2))&lt;60),GUS_tabl_2!$A$8:$B$464,GUS_tabl_21!$A$5:$B$4886),2,FALSE)))),TRIM(VLOOKUP(IF(AND(LEN($A1892)=4,VALUE(RIGHT($A1892,2))&gt;60),$A1892&amp;"01 1",$A1892),IF(AND(LEN($A1892)=4,VALUE(RIGHT($A1892,2))&lt;60),GUS_tabl_2!$A$8:$B$464,GUS_tabl_21!$A$5:$B$4886),2,FALSE)),LEFT(TRIM(VLOOKUP(IF(AND(LEN($A1892)=4,VALUE(RIGHT($A1892,2))&gt;60),$A1892&amp;"01 1",$A1892),IF(AND(LEN($A1892)=4,VALUE(RIGHT($A1892,2))&lt;60),GUS_tabl_2!$A$8:$B$464,GUS_tabl_21!$A$5:$B$4886),2,FALSE)),SUM(FIND("..",TRIM(VLOOKUP(IF(AND(LEN($A1892)=4,VALUE(RIGHT($A1892,2))&gt;60),$A1892&amp;"01 1",$A1892),IF(AND(LEN($A1892)=4,VALUE(RIGHT($A1892,2))&lt;60),GUS_tabl_2!$A$8:$B$464,GUS_tabl_21!$A$5:$B$4886),2,FALSE))),-1)))))</f>
        <v>gm. w. Nurzec-Stacja</v>
      </c>
      <c r="D1892" s="141">
        <f>IF(OR($A1892="",ISERROR(VALUE(LEFT($A1892,6)))),"",IF(LEN($A1892)=2,SUMIF($A1893:$A$2965,$A1892&amp;"??",$D1893:$D$2965),IF(AND(LEN($A1892)=4,VALUE(RIGHT($A1892,2))&lt;=60),SUMIF($A1893:$A$2965,$A1892&amp;"????",$D1893:$D$2965),VLOOKUP(IF(LEN($A1892)=4,$A1892&amp;"01 1",$A1892),GUS_tabl_21!$A$5:$F$4886,6,FALSE))))</f>
        <v>3793</v>
      </c>
      <c r="E1892" s="29"/>
    </row>
    <row r="1893" spans="1:5" ht="12" customHeight="1">
      <c r="A1893" s="155" t="str">
        <f>"201008 2"</f>
        <v>201008 2</v>
      </c>
      <c r="B1893" s="153" t="s">
        <v>55</v>
      </c>
      <c r="C1893" s="156" t="str">
        <f>IF(OR($A1893="",ISERROR(VALUE(LEFT($A1893,6)))),"",IF(LEN($A1893)=2,"WOJ. ",IF(LEN($A1893)=4,IF(VALUE(RIGHT($A1893,2))&gt;60,"","Powiat "),IF(VALUE(RIGHT($A1893,1))=1,"m. ",IF(VALUE(RIGHT($A1893,1))=2,"gm. w. ",IF(VALUE(RIGHT($A1893,1))=8,"dz. ","gm. m.-w. ")))))&amp;IF(LEN($A1893)=2,TRIM(UPPER(VLOOKUP($A1893,GUS_tabl_1!$A$7:$B$22,2,FALSE))),IF(ISERROR(FIND("..",TRIM(VLOOKUP(IF(AND(LEN($A1893)=4,VALUE(RIGHT($A1893,2))&gt;60),$A1893&amp;"01 1",$A1893),IF(AND(LEN($A1893)=4,VALUE(RIGHT($A1893,2))&lt;60),GUS_tabl_2!$A$8:$B$464,GUS_tabl_21!$A$5:$B$4886),2,FALSE)))),TRIM(VLOOKUP(IF(AND(LEN($A1893)=4,VALUE(RIGHT($A1893,2))&gt;60),$A1893&amp;"01 1",$A1893),IF(AND(LEN($A1893)=4,VALUE(RIGHT($A1893,2))&lt;60),GUS_tabl_2!$A$8:$B$464,GUS_tabl_21!$A$5:$B$4886),2,FALSE)),LEFT(TRIM(VLOOKUP(IF(AND(LEN($A1893)=4,VALUE(RIGHT($A1893,2))&gt;60),$A1893&amp;"01 1",$A1893),IF(AND(LEN($A1893)=4,VALUE(RIGHT($A1893,2))&lt;60),GUS_tabl_2!$A$8:$B$464,GUS_tabl_21!$A$5:$B$4886),2,FALSE)),SUM(FIND("..",TRIM(VLOOKUP(IF(AND(LEN($A1893)=4,VALUE(RIGHT($A1893,2))&gt;60),$A1893&amp;"01 1",$A1893),IF(AND(LEN($A1893)=4,VALUE(RIGHT($A1893,2))&lt;60),GUS_tabl_2!$A$8:$B$464,GUS_tabl_21!$A$5:$B$4886),2,FALSE))),-1)))))</f>
        <v>gm. w. Perlejewo</v>
      </c>
      <c r="D1893" s="141">
        <f>IF(OR($A1893="",ISERROR(VALUE(LEFT($A1893,6)))),"",IF(LEN($A1893)=2,SUMIF($A1894:$A$2965,$A1893&amp;"??",$D1894:$D$2965),IF(AND(LEN($A1893)=4,VALUE(RIGHT($A1893,2))&lt;=60),SUMIF($A1894:$A$2965,$A1893&amp;"????",$D1894:$D$2965),VLOOKUP(IF(LEN($A1893)=4,$A1893&amp;"01 1",$A1893),GUS_tabl_21!$A$5:$F$4886,6,FALSE))))</f>
        <v>2778</v>
      </c>
      <c r="E1893" s="29"/>
    </row>
    <row r="1894" spans="1:5" ht="12" customHeight="1">
      <c r="A1894" s="155" t="str">
        <f>"201009 2"</f>
        <v>201009 2</v>
      </c>
      <c r="B1894" s="153" t="s">
        <v>55</v>
      </c>
      <c r="C1894" s="156" t="str">
        <f>IF(OR($A1894="",ISERROR(VALUE(LEFT($A1894,6)))),"",IF(LEN($A1894)=2,"WOJ. ",IF(LEN($A1894)=4,IF(VALUE(RIGHT($A1894,2))&gt;60,"","Powiat "),IF(VALUE(RIGHT($A1894,1))=1,"m. ",IF(VALUE(RIGHT($A1894,1))=2,"gm. w. ",IF(VALUE(RIGHT($A1894,1))=8,"dz. ","gm. m.-w. ")))))&amp;IF(LEN($A1894)=2,TRIM(UPPER(VLOOKUP($A1894,GUS_tabl_1!$A$7:$B$22,2,FALSE))),IF(ISERROR(FIND("..",TRIM(VLOOKUP(IF(AND(LEN($A1894)=4,VALUE(RIGHT($A1894,2))&gt;60),$A1894&amp;"01 1",$A1894),IF(AND(LEN($A1894)=4,VALUE(RIGHT($A1894,2))&lt;60),GUS_tabl_2!$A$8:$B$464,GUS_tabl_21!$A$5:$B$4886),2,FALSE)))),TRIM(VLOOKUP(IF(AND(LEN($A1894)=4,VALUE(RIGHT($A1894,2))&gt;60),$A1894&amp;"01 1",$A1894),IF(AND(LEN($A1894)=4,VALUE(RIGHT($A1894,2))&lt;60),GUS_tabl_2!$A$8:$B$464,GUS_tabl_21!$A$5:$B$4886),2,FALSE)),LEFT(TRIM(VLOOKUP(IF(AND(LEN($A1894)=4,VALUE(RIGHT($A1894,2))&gt;60),$A1894&amp;"01 1",$A1894),IF(AND(LEN($A1894)=4,VALUE(RIGHT($A1894,2))&lt;60),GUS_tabl_2!$A$8:$B$464,GUS_tabl_21!$A$5:$B$4886),2,FALSE)),SUM(FIND("..",TRIM(VLOOKUP(IF(AND(LEN($A1894)=4,VALUE(RIGHT($A1894,2))&gt;60),$A1894&amp;"01 1",$A1894),IF(AND(LEN($A1894)=4,VALUE(RIGHT($A1894,2))&lt;60),GUS_tabl_2!$A$8:$B$464,GUS_tabl_21!$A$5:$B$4886),2,FALSE))),-1)))))</f>
        <v>gm. w. Siemiatycze</v>
      </c>
      <c r="D1894" s="141">
        <f>IF(OR($A1894="",ISERROR(VALUE(LEFT($A1894,6)))),"",IF(LEN($A1894)=2,SUMIF($A1895:$A$2965,$A1894&amp;"??",$D1895:$D$2965),IF(AND(LEN($A1894)=4,VALUE(RIGHT($A1894,2))&lt;=60),SUMIF($A1895:$A$2965,$A1894&amp;"????",$D1895:$D$2965),VLOOKUP(IF(LEN($A1894)=4,$A1894&amp;"01 1",$A1894),GUS_tabl_21!$A$5:$F$4886,6,FALSE))))</f>
        <v>6087</v>
      </c>
      <c r="E1894" s="29"/>
    </row>
    <row r="1895" spans="1:5" ht="12" customHeight="1">
      <c r="A1895" s="152" t="str">
        <f>"2011"</f>
        <v>2011</v>
      </c>
      <c r="B1895" s="153" t="s">
        <v>55</v>
      </c>
      <c r="C1895" s="154" t="str">
        <f>IF(OR($A1895="",ISERROR(VALUE(LEFT($A1895,6)))),"",IF(LEN($A1895)=2,"WOJ. ",IF(LEN($A1895)=4,IF(VALUE(RIGHT($A1895,2))&gt;60,"","Powiat "),IF(VALUE(RIGHT($A1895,1))=1,"m. ",IF(VALUE(RIGHT($A1895,1))=2,"gm. w. ",IF(VALUE(RIGHT($A1895,1))=8,"dz. ","gm. m.-w. ")))))&amp;IF(LEN($A1895)=2,TRIM(UPPER(VLOOKUP($A1895,GUS_tabl_1!$A$7:$B$22,2,FALSE))),IF(ISERROR(FIND("..",TRIM(VLOOKUP(IF(AND(LEN($A1895)=4,VALUE(RIGHT($A1895,2))&gt;60),$A1895&amp;"01 1",$A1895),IF(AND(LEN($A1895)=4,VALUE(RIGHT($A1895,2))&lt;60),GUS_tabl_2!$A$8:$B$464,GUS_tabl_21!$A$5:$B$4886),2,FALSE)))),TRIM(VLOOKUP(IF(AND(LEN($A1895)=4,VALUE(RIGHT($A1895,2))&gt;60),$A1895&amp;"01 1",$A1895),IF(AND(LEN($A1895)=4,VALUE(RIGHT($A1895,2))&lt;60),GUS_tabl_2!$A$8:$B$464,GUS_tabl_21!$A$5:$B$4886),2,FALSE)),LEFT(TRIM(VLOOKUP(IF(AND(LEN($A1895)=4,VALUE(RIGHT($A1895,2))&gt;60),$A1895&amp;"01 1",$A1895),IF(AND(LEN($A1895)=4,VALUE(RIGHT($A1895,2))&lt;60),GUS_tabl_2!$A$8:$B$464,GUS_tabl_21!$A$5:$B$4886),2,FALSE)),SUM(FIND("..",TRIM(VLOOKUP(IF(AND(LEN($A1895)=4,VALUE(RIGHT($A1895,2))&gt;60),$A1895&amp;"01 1",$A1895),IF(AND(LEN($A1895)=4,VALUE(RIGHT($A1895,2))&lt;60),GUS_tabl_2!$A$8:$B$464,GUS_tabl_21!$A$5:$B$4886),2,FALSE))),-1)))))</f>
        <v>Powiat sokólski</v>
      </c>
      <c r="D1895" s="140">
        <f>IF(OR($A1895="",ISERROR(VALUE(LEFT($A1895,6)))),"",IF(LEN($A1895)=2,SUMIF($A1896:$A$2965,$A1895&amp;"??",$D1896:$D$2965),IF(AND(LEN($A1895)=4,VALUE(RIGHT($A1895,2))&lt;=60),SUMIF($A1896:$A$2965,$A1895&amp;"????",$D1896:$D$2965),VLOOKUP(IF(LEN($A1895)=4,$A1895&amp;"01 1",$A1895),GUS_tabl_21!$A$5:$F$4886,6,FALSE))))</f>
        <v>66686</v>
      </c>
      <c r="E1895" s="29"/>
    </row>
    <row r="1896" spans="1:5" ht="12" customHeight="1">
      <c r="A1896" s="155" t="str">
        <f>"201101 3"</f>
        <v>201101 3</v>
      </c>
      <c r="B1896" s="153" t="s">
        <v>55</v>
      </c>
      <c r="C1896" s="156" t="str">
        <f>IF(OR($A1896="",ISERROR(VALUE(LEFT($A1896,6)))),"",IF(LEN($A1896)=2,"WOJ. ",IF(LEN($A1896)=4,IF(VALUE(RIGHT($A1896,2))&gt;60,"","Powiat "),IF(VALUE(RIGHT($A1896,1))=1,"m. ",IF(VALUE(RIGHT($A1896,1))=2,"gm. w. ",IF(VALUE(RIGHT($A1896,1))=8,"dz. ","gm. m.-w. ")))))&amp;IF(LEN($A1896)=2,TRIM(UPPER(VLOOKUP($A1896,GUS_tabl_1!$A$7:$B$22,2,FALSE))),IF(ISERROR(FIND("..",TRIM(VLOOKUP(IF(AND(LEN($A1896)=4,VALUE(RIGHT($A1896,2))&gt;60),$A1896&amp;"01 1",$A1896),IF(AND(LEN($A1896)=4,VALUE(RIGHT($A1896,2))&lt;60),GUS_tabl_2!$A$8:$B$464,GUS_tabl_21!$A$5:$B$4886),2,FALSE)))),TRIM(VLOOKUP(IF(AND(LEN($A1896)=4,VALUE(RIGHT($A1896,2))&gt;60),$A1896&amp;"01 1",$A1896),IF(AND(LEN($A1896)=4,VALUE(RIGHT($A1896,2))&lt;60),GUS_tabl_2!$A$8:$B$464,GUS_tabl_21!$A$5:$B$4886),2,FALSE)),LEFT(TRIM(VLOOKUP(IF(AND(LEN($A1896)=4,VALUE(RIGHT($A1896,2))&gt;60),$A1896&amp;"01 1",$A1896),IF(AND(LEN($A1896)=4,VALUE(RIGHT($A1896,2))&lt;60),GUS_tabl_2!$A$8:$B$464,GUS_tabl_21!$A$5:$B$4886),2,FALSE)),SUM(FIND("..",TRIM(VLOOKUP(IF(AND(LEN($A1896)=4,VALUE(RIGHT($A1896,2))&gt;60),$A1896&amp;"01 1",$A1896),IF(AND(LEN($A1896)=4,VALUE(RIGHT($A1896,2))&lt;60),GUS_tabl_2!$A$8:$B$464,GUS_tabl_21!$A$5:$B$4886),2,FALSE))),-1)))))</f>
        <v>gm. m.-w. Dąbrowa Białostocka</v>
      </c>
      <c r="D1896" s="141">
        <f>IF(OR($A1896="",ISERROR(VALUE(LEFT($A1896,6)))),"",IF(LEN($A1896)=2,SUMIF($A1897:$A$2965,$A1896&amp;"??",$D1897:$D$2965),IF(AND(LEN($A1896)=4,VALUE(RIGHT($A1896,2))&lt;=60),SUMIF($A1897:$A$2965,$A1896&amp;"????",$D1897:$D$2965),VLOOKUP(IF(LEN($A1896)=4,$A1896&amp;"01 1",$A1896),GUS_tabl_21!$A$5:$F$4886,6,FALSE))))</f>
        <v>11336</v>
      </c>
      <c r="E1896" s="29"/>
    </row>
    <row r="1897" spans="1:5" ht="12" customHeight="1">
      <c r="A1897" s="155" t="str">
        <f>"201102 2"</f>
        <v>201102 2</v>
      </c>
      <c r="B1897" s="153" t="s">
        <v>55</v>
      </c>
      <c r="C1897" s="156" t="str">
        <f>IF(OR($A1897="",ISERROR(VALUE(LEFT($A1897,6)))),"",IF(LEN($A1897)=2,"WOJ. ",IF(LEN($A1897)=4,IF(VALUE(RIGHT($A1897,2))&gt;60,"","Powiat "),IF(VALUE(RIGHT($A1897,1))=1,"m. ",IF(VALUE(RIGHT($A1897,1))=2,"gm. w. ",IF(VALUE(RIGHT($A1897,1))=8,"dz. ","gm. m.-w. ")))))&amp;IF(LEN($A1897)=2,TRIM(UPPER(VLOOKUP($A1897,GUS_tabl_1!$A$7:$B$22,2,FALSE))),IF(ISERROR(FIND("..",TRIM(VLOOKUP(IF(AND(LEN($A1897)=4,VALUE(RIGHT($A1897,2))&gt;60),$A1897&amp;"01 1",$A1897),IF(AND(LEN($A1897)=4,VALUE(RIGHT($A1897,2))&lt;60),GUS_tabl_2!$A$8:$B$464,GUS_tabl_21!$A$5:$B$4886),2,FALSE)))),TRIM(VLOOKUP(IF(AND(LEN($A1897)=4,VALUE(RIGHT($A1897,2))&gt;60),$A1897&amp;"01 1",$A1897),IF(AND(LEN($A1897)=4,VALUE(RIGHT($A1897,2))&lt;60),GUS_tabl_2!$A$8:$B$464,GUS_tabl_21!$A$5:$B$4886),2,FALSE)),LEFT(TRIM(VLOOKUP(IF(AND(LEN($A1897)=4,VALUE(RIGHT($A1897,2))&gt;60),$A1897&amp;"01 1",$A1897),IF(AND(LEN($A1897)=4,VALUE(RIGHT($A1897,2))&lt;60),GUS_tabl_2!$A$8:$B$464,GUS_tabl_21!$A$5:$B$4886),2,FALSE)),SUM(FIND("..",TRIM(VLOOKUP(IF(AND(LEN($A1897)=4,VALUE(RIGHT($A1897,2))&gt;60),$A1897&amp;"01 1",$A1897),IF(AND(LEN($A1897)=4,VALUE(RIGHT($A1897,2))&lt;60),GUS_tabl_2!$A$8:$B$464,GUS_tabl_21!$A$5:$B$4886),2,FALSE))),-1)))))</f>
        <v>gm. w. Janów</v>
      </c>
      <c r="D1897" s="141">
        <f>IF(OR($A1897="",ISERROR(VALUE(LEFT($A1897,6)))),"",IF(LEN($A1897)=2,SUMIF($A1898:$A$2965,$A1897&amp;"??",$D1898:$D$2965),IF(AND(LEN($A1897)=4,VALUE(RIGHT($A1897,2))&lt;=60),SUMIF($A1898:$A$2965,$A1897&amp;"????",$D1898:$D$2965),VLOOKUP(IF(LEN($A1897)=4,$A1897&amp;"01 1",$A1897),GUS_tabl_21!$A$5:$F$4886,6,FALSE))))</f>
        <v>4098</v>
      </c>
      <c r="E1897" s="29"/>
    </row>
    <row r="1898" spans="1:5" ht="12" customHeight="1">
      <c r="A1898" s="155" t="str">
        <f>"201103 2"</f>
        <v>201103 2</v>
      </c>
      <c r="B1898" s="153" t="s">
        <v>55</v>
      </c>
      <c r="C1898" s="156" t="str">
        <f>IF(OR($A1898="",ISERROR(VALUE(LEFT($A1898,6)))),"",IF(LEN($A1898)=2,"WOJ. ",IF(LEN($A1898)=4,IF(VALUE(RIGHT($A1898,2))&gt;60,"","Powiat "),IF(VALUE(RIGHT($A1898,1))=1,"m. ",IF(VALUE(RIGHT($A1898,1))=2,"gm. w. ",IF(VALUE(RIGHT($A1898,1))=8,"dz. ","gm. m.-w. ")))))&amp;IF(LEN($A1898)=2,TRIM(UPPER(VLOOKUP($A1898,GUS_tabl_1!$A$7:$B$22,2,FALSE))),IF(ISERROR(FIND("..",TRIM(VLOOKUP(IF(AND(LEN($A1898)=4,VALUE(RIGHT($A1898,2))&gt;60),$A1898&amp;"01 1",$A1898),IF(AND(LEN($A1898)=4,VALUE(RIGHT($A1898,2))&lt;60),GUS_tabl_2!$A$8:$B$464,GUS_tabl_21!$A$5:$B$4886),2,FALSE)))),TRIM(VLOOKUP(IF(AND(LEN($A1898)=4,VALUE(RIGHT($A1898,2))&gt;60),$A1898&amp;"01 1",$A1898),IF(AND(LEN($A1898)=4,VALUE(RIGHT($A1898,2))&lt;60),GUS_tabl_2!$A$8:$B$464,GUS_tabl_21!$A$5:$B$4886),2,FALSE)),LEFT(TRIM(VLOOKUP(IF(AND(LEN($A1898)=4,VALUE(RIGHT($A1898,2))&gt;60),$A1898&amp;"01 1",$A1898),IF(AND(LEN($A1898)=4,VALUE(RIGHT($A1898,2))&lt;60),GUS_tabl_2!$A$8:$B$464,GUS_tabl_21!$A$5:$B$4886),2,FALSE)),SUM(FIND("..",TRIM(VLOOKUP(IF(AND(LEN($A1898)=4,VALUE(RIGHT($A1898,2))&gt;60),$A1898&amp;"01 1",$A1898),IF(AND(LEN($A1898)=4,VALUE(RIGHT($A1898,2))&lt;60),GUS_tabl_2!$A$8:$B$464,GUS_tabl_21!$A$5:$B$4886),2,FALSE))),-1)))))</f>
        <v>gm. w. Korycin</v>
      </c>
      <c r="D1898" s="141">
        <f>IF(OR($A1898="",ISERROR(VALUE(LEFT($A1898,6)))),"",IF(LEN($A1898)=2,SUMIF($A1899:$A$2965,$A1898&amp;"??",$D1899:$D$2965),IF(AND(LEN($A1898)=4,VALUE(RIGHT($A1898,2))&lt;=60),SUMIF($A1899:$A$2965,$A1898&amp;"????",$D1899:$D$2965),VLOOKUP(IF(LEN($A1898)=4,$A1898&amp;"01 1",$A1898),GUS_tabl_21!$A$5:$F$4886,6,FALSE))))</f>
        <v>3202</v>
      </c>
      <c r="E1898" s="29"/>
    </row>
    <row r="1899" spans="1:5" ht="12" customHeight="1">
      <c r="A1899" s="155" t="str">
        <f>"201104 3"</f>
        <v>201104 3</v>
      </c>
      <c r="B1899" s="153" t="s">
        <v>55</v>
      </c>
      <c r="C1899" s="156" t="str">
        <f>IF(OR($A1899="",ISERROR(VALUE(LEFT($A1899,6)))),"",IF(LEN($A1899)=2,"WOJ. ",IF(LEN($A1899)=4,IF(VALUE(RIGHT($A1899,2))&gt;60,"","Powiat "),IF(VALUE(RIGHT($A1899,1))=1,"m. ",IF(VALUE(RIGHT($A1899,1))=2,"gm. w. ",IF(VALUE(RIGHT($A1899,1))=8,"dz. ","gm. m.-w. ")))))&amp;IF(LEN($A1899)=2,TRIM(UPPER(VLOOKUP($A1899,GUS_tabl_1!$A$7:$B$22,2,FALSE))),IF(ISERROR(FIND("..",TRIM(VLOOKUP(IF(AND(LEN($A1899)=4,VALUE(RIGHT($A1899,2))&gt;60),$A1899&amp;"01 1",$A1899),IF(AND(LEN($A1899)=4,VALUE(RIGHT($A1899,2))&lt;60),GUS_tabl_2!$A$8:$B$464,GUS_tabl_21!$A$5:$B$4886),2,FALSE)))),TRIM(VLOOKUP(IF(AND(LEN($A1899)=4,VALUE(RIGHT($A1899,2))&gt;60),$A1899&amp;"01 1",$A1899),IF(AND(LEN($A1899)=4,VALUE(RIGHT($A1899,2))&lt;60),GUS_tabl_2!$A$8:$B$464,GUS_tabl_21!$A$5:$B$4886),2,FALSE)),LEFT(TRIM(VLOOKUP(IF(AND(LEN($A1899)=4,VALUE(RIGHT($A1899,2))&gt;60),$A1899&amp;"01 1",$A1899),IF(AND(LEN($A1899)=4,VALUE(RIGHT($A1899,2))&lt;60),GUS_tabl_2!$A$8:$B$464,GUS_tabl_21!$A$5:$B$4886),2,FALSE)),SUM(FIND("..",TRIM(VLOOKUP(IF(AND(LEN($A1899)=4,VALUE(RIGHT($A1899,2))&gt;60),$A1899&amp;"01 1",$A1899),IF(AND(LEN($A1899)=4,VALUE(RIGHT($A1899,2))&lt;60),GUS_tabl_2!$A$8:$B$464,GUS_tabl_21!$A$5:$B$4886),2,FALSE))),-1)))))</f>
        <v>gm. m.-w. Krynki</v>
      </c>
      <c r="D1899" s="141">
        <f>IF(OR($A1899="",ISERROR(VALUE(LEFT($A1899,6)))),"",IF(LEN($A1899)=2,SUMIF($A1900:$A$2965,$A1899&amp;"??",$D1900:$D$2965),IF(AND(LEN($A1899)=4,VALUE(RIGHT($A1899,2))&lt;=60),SUMIF($A1900:$A$2965,$A1899&amp;"????",$D1900:$D$2965),VLOOKUP(IF(LEN($A1899)=4,$A1899&amp;"01 1",$A1899),GUS_tabl_21!$A$5:$F$4886,6,FALSE))))</f>
        <v>3037</v>
      </c>
      <c r="E1899" s="29"/>
    </row>
    <row r="1900" spans="1:5" ht="12" customHeight="1">
      <c r="A1900" s="155" t="str">
        <f>"201105 2"</f>
        <v>201105 2</v>
      </c>
      <c r="B1900" s="153" t="s">
        <v>55</v>
      </c>
      <c r="C1900" s="156" t="str">
        <f>IF(OR($A1900="",ISERROR(VALUE(LEFT($A1900,6)))),"",IF(LEN($A1900)=2,"WOJ. ",IF(LEN($A1900)=4,IF(VALUE(RIGHT($A1900,2))&gt;60,"","Powiat "),IF(VALUE(RIGHT($A1900,1))=1,"m. ",IF(VALUE(RIGHT($A1900,1))=2,"gm. w. ",IF(VALUE(RIGHT($A1900,1))=8,"dz. ","gm. m.-w. ")))))&amp;IF(LEN($A1900)=2,TRIM(UPPER(VLOOKUP($A1900,GUS_tabl_1!$A$7:$B$22,2,FALSE))),IF(ISERROR(FIND("..",TRIM(VLOOKUP(IF(AND(LEN($A1900)=4,VALUE(RIGHT($A1900,2))&gt;60),$A1900&amp;"01 1",$A1900),IF(AND(LEN($A1900)=4,VALUE(RIGHT($A1900,2))&lt;60),GUS_tabl_2!$A$8:$B$464,GUS_tabl_21!$A$5:$B$4886),2,FALSE)))),TRIM(VLOOKUP(IF(AND(LEN($A1900)=4,VALUE(RIGHT($A1900,2))&gt;60),$A1900&amp;"01 1",$A1900),IF(AND(LEN($A1900)=4,VALUE(RIGHT($A1900,2))&lt;60),GUS_tabl_2!$A$8:$B$464,GUS_tabl_21!$A$5:$B$4886),2,FALSE)),LEFT(TRIM(VLOOKUP(IF(AND(LEN($A1900)=4,VALUE(RIGHT($A1900,2))&gt;60),$A1900&amp;"01 1",$A1900),IF(AND(LEN($A1900)=4,VALUE(RIGHT($A1900,2))&lt;60),GUS_tabl_2!$A$8:$B$464,GUS_tabl_21!$A$5:$B$4886),2,FALSE)),SUM(FIND("..",TRIM(VLOOKUP(IF(AND(LEN($A1900)=4,VALUE(RIGHT($A1900,2))&gt;60),$A1900&amp;"01 1",$A1900),IF(AND(LEN($A1900)=4,VALUE(RIGHT($A1900,2))&lt;60),GUS_tabl_2!$A$8:$B$464,GUS_tabl_21!$A$5:$B$4886),2,FALSE))),-1)))))</f>
        <v>gm. w. Kuźnica (c)</v>
      </c>
      <c r="D1900" s="141">
        <f>IF(OR($A1900="",ISERROR(VALUE(LEFT($A1900,6)))),"",IF(LEN($A1900)=2,SUMIF($A1901:$A$2965,$A1900&amp;"??",$D1901:$D$2965),IF(AND(LEN($A1900)=4,VALUE(RIGHT($A1900,2))&lt;=60),SUMIF($A1901:$A$2965,$A1900&amp;"????",$D1901:$D$2965),VLOOKUP(IF(LEN($A1900)=4,$A1900&amp;"01 1",$A1900),GUS_tabl_21!$A$5:$F$4886,6,FALSE))))</f>
        <v>3927</v>
      </c>
      <c r="E1900" s="29"/>
    </row>
    <row r="1901" spans="1:5" ht="12" customHeight="1">
      <c r="A1901" s="155" t="str">
        <f>"201106 2"</f>
        <v>201106 2</v>
      </c>
      <c r="B1901" s="153" t="s">
        <v>55</v>
      </c>
      <c r="C1901" s="156" t="str">
        <f>IF(OR($A1901="",ISERROR(VALUE(LEFT($A1901,6)))),"",IF(LEN($A1901)=2,"WOJ. ",IF(LEN($A1901)=4,IF(VALUE(RIGHT($A1901,2))&gt;60,"","Powiat "),IF(VALUE(RIGHT($A1901,1))=1,"m. ",IF(VALUE(RIGHT($A1901,1))=2,"gm. w. ",IF(VALUE(RIGHT($A1901,1))=8,"dz. ","gm. m.-w. ")))))&amp;IF(LEN($A1901)=2,TRIM(UPPER(VLOOKUP($A1901,GUS_tabl_1!$A$7:$B$22,2,FALSE))),IF(ISERROR(FIND("..",TRIM(VLOOKUP(IF(AND(LEN($A1901)=4,VALUE(RIGHT($A1901,2))&gt;60),$A1901&amp;"01 1",$A1901),IF(AND(LEN($A1901)=4,VALUE(RIGHT($A1901,2))&lt;60),GUS_tabl_2!$A$8:$B$464,GUS_tabl_21!$A$5:$B$4886),2,FALSE)))),TRIM(VLOOKUP(IF(AND(LEN($A1901)=4,VALUE(RIGHT($A1901,2))&gt;60),$A1901&amp;"01 1",$A1901),IF(AND(LEN($A1901)=4,VALUE(RIGHT($A1901,2))&lt;60),GUS_tabl_2!$A$8:$B$464,GUS_tabl_21!$A$5:$B$4886),2,FALSE)),LEFT(TRIM(VLOOKUP(IF(AND(LEN($A1901)=4,VALUE(RIGHT($A1901,2))&gt;60),$A1901&amp;"01 1",$A1901),IF(AND(LEN($A1901)=4,VALUE(RIGHT($A1901,2))&lt;60),GUS_tabl_2!$A$8:$B$464,GUS_tabl_21!$A$5:$B$4886),2,FALSE)),SUM(FIND("..",TRIM(VLOOKUP(IF(AND(LEN($A1901)=4,VALUE(RIGHT($A1901,2))&gt;60),$A1901&amp;"01 1",$A1901),IF(AND(LEN($A1901)=4,VALUE(RIGHT($A1901,2))&lt;60),GUS_tabl_2!$A$8:$B$464,GUS_tabl_21!$A$5:$B$4886),2,FALSE))),-1)))))</f>
        <v>gm. w. Nowy Dwór</v>
      </c>
      <c r="D1901" s="141">
        <f>IF(OR($A1901="",ISERROR(VALUE(LEFT($A1901,6)))),"",IF(LEN($A1901)=2,SUMIF($A1902:$A$2965,$A1901&amp;"??",$D1902:$D$2965),IF(AND(LEN($A1901)=4,VALUE(RIGHT($A1901,2))&lt;=60),SUMIF($A1902:$A$2965,$A1901&amp;"????",$D1902:$D$2965),VLOOKUP(IF(LEN($A1901)=4,$A1901&amp;"01 1",$A1901),GUS_tabl_21!$A$5:$F$4886,6,FALSE))))</f>
        <v>2618</v>
      </c>
      <c r="E1901" s="29"/>
    </row>
    <row r="1902" spans="1:5" ht="12" customHeight="1">
      <c r="A1902" s="155" t="str">
        <f>"201107 2"</f>
        <v>201107 2</v>
      </c>
      <c r="B1902" s="153" t="s">
        <v>55</v>
      </c>
      <c r="C1902" s="156" t="str">
        <f>IF(OR($A1902="",ISERROR(VALUE(LEFT($A1902,6)))),"",IF(LEN($A1902)=2,"WOJ. ",IF(LEN($A1902)=4,IF(VALUE(RIGHT($A1902,2))&gt;60,"","Powiat "),IF(VALUE(RIGHT($A1902,1))=1,"m. ",IF(VALUE(RIGHT($A1902,1))=2,"gm. w. ",IF(VALUE(RIGHT($A1902,1))=8,"dz. ","gm. m.-w. ")))))&amp;IF(LEN($A1902)=2,TRIM(UPPER(VLOOKUP($A1902,GUS_tabl_1!$A$7:$B$22,2,FALSE))),IF(ISERROR(FIND("..",TRIM(VLOOKUP(IF(AND(LEN($A1902)=4,VALUE(RIGHT($A1902,2))&gt;60),$A1902&amp;"01 1",$A1902),IF(AND(LEN($A1902)=4,VALUE(RIGHT($A1902,2))&lt;60),GUS_tabl_2!$A$8:$B$464,GUS_tabl_21!$A$5:$B$4886),2,FALSE)))),TRIM(VLOOKUP(IF(AND(LEN($A1902)=4,VALUE(RIGHT($A1902,2))&gt;60),$A1902&amp;"01 1",$A1902),IF(AND(LEN($A1902)=4,VALUE(RIGHT($A1902,2))&lt;60),GUS_tabl_2!$A$8:$B$464,GUS_tabl_21!$A$5:$B$4886),2,FALSE)),LEFT(TRIM(VLOOKUP(IF(AND(LEN($A1902)=4,VALUE(RIGHT($A1902,2))&gt;60),$A1902&amp;"01 1",$A1902),IF(AND(LEN($A1902)=4,VALUE(RIGHT($A1902,2))&lt;60),GUS_tabl_2!$A$8:$B$464,GUS_tabl_21!$A$5:$B$4886),2,FALSE)),SUM(FIND("..",TRIM(VLOOKUP(IF(AND(LEN($A1902)=4,VALUE(RIGHT($A1902,2))&gt;60),$A1902&amp;"01 1",$A1902),IF(AND(LEN($A1902)=4,VALUE(RIGHT($A1902,2))&lt;60),GUS_tabl_2!$A$8:$B$464,GUS_tabl_21!$A$5:$B$4886),2,FALSE))),-1)))))</f>
        <v>gm. w. Sidra</v>
      </c>
      <c r="D1902" s="141">
        <f>IF(OR($A1902="",ISERROR(VALUE(LEFT($A1902,6)))),"",IF(LEN($A1902)=2,SUMIF($A1903:$A$2965,$A1902&amp;"??",$D1903:$D$2965),IF(AND(LEN($A1902)=4,VALUE(RIGHT($A1902,2))&lt;=60),SUMIF($A1903:$A$2965,$A1902&amp;"????",$D1903:$D$2965),VLOOKUP(IF(LEN($A1902)=4,$A1902&amp;"01 1",$A1902),GUS_tabl_21!$A$5:$F$4886,6,FALSE))))</f>
        <v>3407</v>
      </c>
      <c r="E1902" s="29"/>
    </row>
    <row r="1903" spans="1:5" ht="12" customHeight="1">
      <c r="A1903" s="155" t="str">
        <f>"201108 3"</f>
        <v>201108 3</v>
      </c>
      <c r="B1903" s="153" t="s">
        <v>55</v>
      </c>
      <c r="C1903" s="156" t="str">
        <f>IF(OR($A1903="",ISERROR(VALUE(LEFT($A1903,6)))),"",IF(LEN($A1903)=2,"WOJ. ",IF(LEN($A1903)=4,IF(VALUE(RIGHT($A1903,2))&gt;60,"","Powiat "),IF(VALUE(RIGHT($A1903,1))=1,"m. ",IF(VALUE(RIGHT($A1903,1))=2,"gm. w. ",IF(VALUE(RIGHT($A1903,1))=8,"dz. ","gm. m.-w. ")))))&amp;IF(LEN($A1903)=2,TRIM(UPPER(VLOOKUP($A1903,GUS_tabl_1!$A$7:$B$22,2,FALSE))),IF(ISERROR(FIND("..",TRIM(VLOOKUP(IF(AND(LEN($A1903)=4,VALUE(RIGHT($A1903,2))&gt;60),$A1903&amp;"01 1",$A1903),IF(AND(LEN($A1903)=4,VALUE(RIGHT($A1903,2))&lt;60),GUS_tabl_2!$A$8:$B$464,GUS_tabl_21!$A$5:$B$4886),2,FALSE)))),TRIM(VLOOKUP(IF(AND(LEN($A1903)=4,VALUE(RIGHT($A1903,2))&gt;60),$A1903&amp;"01 1",$A1903),IF(AND(LEN($A1903)=4,VALUE(RIGHT($A1903,2))&lt;60),GUS_tabl_2!$A$8:$B$464,GUS_tabl_21!$A$5:$B$4886),2,FALSE)),LEFT(TRIM(VLOOKUP(IF(AND(LEN($A1903)=4,VALUE(RIGHT($A1903,2))&gt;60),$A1903&amp;"01 1",$A1903),IF(AND(LEN($A1903)=4,VALUE(RIGHT($A1903,2))&lt;60),GUS_tabl_2!$A$8:$B$464,GUS_tabl_21!$A$5:$B$4886),2,FALSE)),SUM(FIND("..",TRIM(VLOOKUP(IF(AND(LEN($A1903)=4,VALUE(RIGHT($A1903,2))&gt;60),$A1903&amp;"01 1",$A1903),IF(AND(LEN($A1903)=4,VALUE(RIGHT($A1903,2))&lt;60),GUS_tabl_2!$A$8:$B$464,GUS_tabl_21!$A$5:$B$4886),2,FALSE))),-1)))))</f>
        <v>gm. m.-w. Sokółka</v>
      </c>
      <c r="D1903" s="141">
        <f>IF(OR($A1903="",ISERROR(VALUE(LEFT($A1903,6)))),"",IF(LEN($A1903)=2,SUMIF($A1904:$A$2965,$A1903&amp;"??",$D1904:$D$2965),IF(AND(LEN($A1903)=4,VALUE(RIGHT($A1903,2))&lt;=60),SUMIF($A1904:$A$2965,$A1903&amp;"????",$D1904:$D$2965),VLOOKUP(IF(LEN($A1903)=4,$A1903&amp;"01 1",$A1903),GUS_tabl_21!$A$5:$F$4886,6,FALSE))))</f>
        <v>25352</v>
      </c>
      <c r="E1903" s="29"/>
    </row>
    <row r="1904" spans="1:5" ht="12" customHeight="1">
      <c r="A1904" s="155" t="str">
        <f>"201109 3"</f>
        <v>201109 3</v>
      </c>
      <c r="B1904" s="153" t="s">
        <v>55</v>
      </c>
      <c r="C1904" s="156" t="str">
        <f>IF(OR($A1904="",ISERROR(VALUE(LEFT($A1904,6)))),"",IF(LEN($A1904)=2,"WOJ. ",IF(LEN($A1904)=4,IF(VALUE(RIGHT($A1904,2))&gt;60,"","Powiat "),IF(VALUE(RIGHT($A1904,1))=1,"m. ",IF(VALUE(RIGHT($A1904,1))=2,"gm. w. ",IF(VALUE(RIGHT($A1904,1))=8,"dz. ","gm. m.-w. ")))))&amp;IF(LEN($A1904)=2,TRIM(UPPER(VLOOKUP($A1904,GUS_tabl_1!$A$7:$B$22,2,FALSE))),IF(ISERROR(FIND("..",TRIM(VLOOKUP(IF(AND(LEN($A1904)=4,VALUE(RIGHT($A1904,2))&gt;60),$A1904&amp;"01 1",$A1904),IF(AND(LEN($A1904)=4,VALUE(RIGHT($A1904,2))&lt;60),GUS_tabl_2!$A$8:$B$464,GUS_tabl_21!$A$5:$B$4886),2,FALSE)))),TRIM(VLOOKUP(IF(AND(LEN($A1904)=4,VALUE(RIGHT($A1904,2))&gt;60),$A1904&amp;"01 1",$A1904),IF(AND(LEN($A1904)=4,VALUE(RIGHT($A1904,2))&lt;60),GUS_tabl_2!$A$8:$B$464,GUS_tabl_21!$A$5:$B$4886),2,FALSE)),LEFT(TRIM(VLOOKUP(IF(AND(LEN($A1904)=4,VALUE(RIGHT($A1904,2))&gt;60),$A1904&amp;"01 1",$A1904),IF(AND(LEN($A1904)=4,VALUE(RIGHT($A1904,2))&lt;60),GUS_tabl_2!$A$8:$B$464,GUS_tabl_21!$A$5:$B$4886),2,FALSE)),SUM(FIND("..",TRIM(VLOOKUP(IF(AND(LEN($A1904)=4,VALUE(RIGHT($A1904,2))&gt;60),$A1904&amp;"01 1",$A1904),IF(AND(LEN($A1904)=4,VALUE(RIGHT($A1904,2))&lt;60),GUS_tabl_2!$A$8:$B$464,GUS_tabl_21!$A$5:$B$4886),2,FALSE))),-1)))))</f>
        <v>gm. m.-w. Suchowola</v>
      </c>
      <c r="D1904" s="141">
        <f>IF(OR($A1904="",ISERROR(VALUE(LEFT($A1904,6)))),"",IF(LEN($A1904)=2,SUMIF($A1905:$A$2965,$A1904&amp;"??",$D1905:$D$2965),IF(AND(LEN($A1904)=4,VALUE(RIGHT($A1904,2))&lt;=60),SUMIF($A1905:$A$2965,$A1904&amp;"????",$D1905:$D$2965),VLOOKUP(IF(LEN($A1904)=4,$A1904&amp;"01 1",$A1904),GUS_tabl_21!$A$5:$F$4886,6,FALSE))))</f>
        <v>6869</v>
      </c>
      <c r="E1904" s="29"/>
    </row>
    <row r="1905" spans="1:5" ht="12" customHeight="1">
      <c r="A1905" s="155" t="str">
        <f>"201110 2"</f>
        <v>201110 2</v>
      </c>
      <c r="B1905" s="153" t="s">
        <v>55</v>
      </c>
      <c r="C1905" s="156" t="str">
        <f>IF(OR($A1905="",ISERROR(VALUE(LEFT($A1905,6)))),"",IF(LEN($A1905)=2,"WOJ. ",IF(LEN($A1905)=4,IF(VALUE(RIGHT($A1905,2))&gt;60,"","Powiat "),IF(VALUE(RIGHT($A1905,1))=1,"m. ",IF(VALUE(RIGHT($A1905,1))=2,"gm. w. ",IF(VALUE(RIGHT($A1905,1))=8,"dz. ","gm. m.-w. ")))))&amp;IF(LEN($A1905)=2,TRIM(UPPER(VLOOKUP($A1905,GUS_tabl_1!$A$7:$B$22,2,FALSE))),IF(ISERROR(FIND("..",TRIM(VLOOKUP(IF(AND(LEN($A1905)=4,VALUE(RIGHT($A1905,2))&gt;60),$A1905&amp;"01 1",$A1905),IF(AND(LEN($A1905)=4,VALUE(RIGHT($A1905,2))&lt;60),GUS_tabl_2!$A$8:$B$464,GUS_tabl_21!$A$5:$B$4886),2,FALSE)))),TRIM(VLOOKUP(IF(AND(LEN($A1905)=4,VALUE(RIGHT($A1905,2))&gt;60),$A1905&amp;"01 1",$A1905),IF(AND(LEN($A1905)=4,VALUE(RIGHT($A1905,2))&lt;60),GUS_tabl_2!$A$8:$B$464,GUS_tabl_21!$A$5:$B$4886),2,FALSE)),LEFT(TRIM(VLOOKUP(IF(AND(LEN($A1905)=4,VALUE(RIGHT($A1905,2))&gt;60),$A1905&amp;"01 1",$A1905),IF(AND(LEN($A1905)=4,VALUE(RIGHT($A1905,2))&lt;60),GUS_tabl_2!$A$8:$B$464,GUS_tabl_21!$A$5:$B$4886),2,FALSE)),SUM(FIND("..",TRIM(VLOOKUP(IF(AND(LEN($A1905)=4,VALUE(RIGHT($A1905,2))&gt;60),$A1905&amp;"01 1",$A1905),IF(AND(LEN($A1905)=4,VALUE(RIGHT($A1905,2))&lt;60),GUS_tabl_2!$A$8:$B$464,GUS_tabl_21!$A$5:$B$4886),2,FALSE))),-1)))))</f>
        <v>gm. w. Szudziałowo</v>
      </c>
      <c r="D1905" s="141">
        <f>IF(OR($A1905="",ISERROR(VALUE(LEFT($A1905,6)))),"",IF(LEN($A1905)=2,SUMIF($A1906:$A$2965,$A1905&amp;"??",$D1906:$D$2965),IF(AND(LEN($A1905)=4,VALUE(RIGHT($A1905,2))&lt;=60),SUMIF($A1906:$A$2965,$A1905&amp;"????",$D1906:$D$2965),VLOOKUP(IF(LEN($A1905)=4,$A1905&amp;"01 1",$A1905),GUS_tabl_21!$A$5:$F$4886,6,FALSE))))</f>
        <v>2840</v>
      </c>
      <c r="E1905" s="29"/>
    </row>
    <row r="1906" spans="1:5" ht="12" customHeight="1">
      <c r="A1906" s="152" t="str">
        <f>"2012"</f>
        <v>2012</v>
      </c>
      <c r="B1906" s="153" t="s">
        <v>55</v>
      </c>
      <c r="C1906" s="154" t="str">
        <f>IF(OR($A1906="",ISERROR(VALUE(LEFT($A1906,6)))),"",IF(LEN($A1906)=2,"WOJ. ",IF(LEN($A1906)=4,IF(VALUE(RIGHT($A1906,2))&gt;60,"","Powiat "),IF(VALUE(RIGHT($A1906,1))=1,"m. ",IF(VALUE(RIGHT($A1906,1))=2,"gm. w. ",IF(VALUE(RIGHT($A1906,1))=8,"dz. ","gm. m.-w. ")))))&amp;IF(LEN($A1906)=2,TRIM(UPPER(VLOOKUP($A1906,GUS_tabl_1!$A$7:$B$22,2,FALSE))),IF(ISERROR(FIND("..",TRIM(VLOOKUP(IF(AND(LEN($A1906)=4,VALUE(RIGHT($A1906,2))&gt;60),$A1906&amp;"01 1",$A1906),IF(AND(LEN($A1906)=4,VALUE(RIGHT($A1906,2))&lt;60),GUS_tabl_2!$A$8:$B$464,GUS_tabl_21!$A$5:$B$4886),2,FALSE)))),TRIM(VLOOKUP(IF(AND(LEN($A1906)=4,VALUE(RIGHT($A1906,2))&gt;60),$A1906&amp;"01 1",$A1906),IF(AND(LEN($A1906)=4,VALUE(RIGHT($A1906,2))&lt;60),GUS_tabl_2!$A$8:$B$464,GUS_tabl_21!$A$5:$B$4886),2,FALSE)),LEFT(TRIM(VLOOKUP(IF(AND(LEN($A1906)=4,VALUE(RIGHT($A1906,2))&gt;60),$A1906&amp;"01 1",$A1906),IF(AND(LEN($A1906)=4,VALUE(RIGHT($A1906,2))&lt;60),GUS_tabl_2!$A$8:$B$464,GUS_tabl_21!$A$5:$B$4886),2,FALSE)),SUM(FIND("..",TRIM(VLOOKUP(IF(AND(LEN($A1906)=4,VALUE(RIGHT($A1906,2))&gt;60),$A1906&amp;"01 1",$A1906),IF(AND(LEN($A1906)=4,VALUE(RIGHT($A1906,2))&lt;60),GUS_tabl_2!$A$8:$B$464,GUS_tabl_21!$A$5:$B$4886),2,FALSE))),-1)))))</f>
        <v>Powiat suwalski</v>
      </c>
      <c r="D1906" s="140">
        <f>IF(OR($A1906="",ISERROR(VALUE(LEFT($A1906,6)))),"",IF(LEN($A1906)=2,SUMIF($A1907:$A$2965,$A1906&amp;"??",$D1907:$D$2965),IF(AND(LEN($A1906)=4,VALUE(RIGHT($A1906,2))&lt;=60),SUMIF($A1907:$A$2965,$A1906&amp;"????",$D1907:$D$2965),VLOOKUP(IF(LEN($A1906)=4,$A1906&amp;"01 1",$A1906),GUS_tabl_21!$A$5:$F$4886,6,FALSE))))</f>
        <v>35674</v>
      </c>
      <c r="E1906" s="29"/>
    </row>
    <row r="1907" spans="1:5" ht="12" customHeight="1">
      <c r="A1907" s="155" t="str">
        <f>"201201 2"</f>
        <v>201201 2</v>
      </c>
      <c r="B1907" s="153" t="s">
        <v>55</v>
      </c>
      <c r="C1907" s="156" t="str">
        <f>IF(OR($A1907="",ISERROR(VALUE(LEFT($A1907,6)))),"",IF(LEN($A1907)=2,"WOJ. ",IF(LEN($A1907)=4,IF(VALUE(RIGHT($A1907,2))&gt;60,"","Powiat "),IF(VALUE(RIGHT($A1907,1))=1,"m. ",IF(VALUE(RIGHT($A1907,1))=2,"gm. w. ",IF(VALUE(RIGHT($A1907,1))=8,"dz. ","gm. m.-w. ")))))&amp;IF(LEN($A1907)=2,TRIM(UPPER(VLOOKUP($A1907,GUS_tabl_1!$A$7:$B$22,2,FALSE))),IF(ISERROR(FIND("..",TRIM(VLOOKUP(IF(AND(LEN($A1907)=4,VALUE(RIGHT($A1907,2))&gt;60),$A1907&amp;"01 1",$A1907),IF(AND(LEN($A1907)=4,VALUE(RIGHT($A1907,2))&lt;60),GUS_tabl_2!$A$8:$B$464,GUS_tabl_21!$A$5:$B$4886),2,FALSE)))),TRIM(VLOOKUP(IF(AND(LEN($A1907)=4,VALUE(RIGHT($A1907,2))&gt;60),$A1907&amp;"01 1",$A1907),IF(AND(LEN($A1907)=4,VALUE(RIGHT($A1907,2))&lt;60),GUS_tabl_2!$A$8:$B$464,GUS_tabl_21!$A$5:$B$4886),2,FALSE)),LEFT(TRIM(VLOOKUP(IF(AND(LEN($A1907)=4,VALUE(RIGHT($A1907,2))&gt;60),$A1907&amp;"01 1",$A1907),IF(AND(LEN($A1907)=4,VALUE(RIGHT($A1907,2))&lt;60),GUS_tabl_2!$A$8:$B$464,GUS_tabl_21!$A$5:$B$4886),2,FALSE)),SUM(FIND("..",TRIM(VLOOKUP(IF(AND(LEN($A1907)=4,VALUE(RIGHT($A1907,2))&gt;60),$A1907&amp;"01 1",$A1907),IF(AND(LEN($A1907)=4,VALUE(RIGHT($A1907,2))&lt;60),GUS_tabl_2!$A$8:$B$464,GUS_tabl_21!$A$5:$B$4886),2,FALSE))),-1)))))</f>
        <v>gm. w. Bakałarzewo</v>
      </c>
      <c r="D1907" s="141">
        <f>IF(OR($A1907="",ISERROR(VALUE(LEFT($A1907,6)))),"",IF(LEN($A1907)=2,SUMIF($A1908:$A$2965,$A1907&amp;"??",$D1908:$D$2965),IF(AND(LEN($A1907)=4,VALUE(RIGHT($A1907,2))&lt;=60),SUMIF($A1908:$A$2965,$A1907&amp;"????",$D1908:$D$2965),VLOOKUP(IF(LEN($A1907)=4,$A1907&amp;"01 1",$A1907),GUS_tabl_21!$A$5:$F$4886,6,FALSE))))</f>
        <v>3104</v>
      </c>
      <c r="E1907" s="29"/>
    </row>
    <row r="1908" spans="1:5" ht="12" customHeight="1">
      <c r="A1908" s="155" t="str">
        <f>"201202 2"</f>
        <v>201202 2</v>
      </c>
      <c r="B1908" s="153" t="s">
        <v>55</v>
      </c>
      <c r="C1908" s="156" t="str">
        <f>IF(OR($A1908="",ISERROR(VALUE(LEFT($A1908,6)))),"",IF(LEN($A1908)=2,"WOJ. ",IF(LEN($A1908)=4,IF(VALUE(RIGHT($A1908,2))&gt;60,"","Powiat "),IF(VALUE(RIGHT($A1908,1))=1,"m. ",IF(VALUE(RIGHT($A1908,1))=2,"gm. w. ",IF(VALUE(RIGHT($A1908,1))=8,"dz. ","gm. m.-w. ")))))&amp;IF(LEN($A1908)=2,TRIM(UPPER(VLOOKUP($A1908,GUS_tabl_1!$A$7:$B$22,2,FALSE))),IF(ISERROR(FIND("..",TRIM(VLOOKUP(IF(AND(LEN($A1908)=4,VALUE(RIGHT($A1908,2))&gt;60),$A1908&amp;"01 1",$A1908),IF(AND(LEN($A1908)=4,VALUE(RIGHT($A1908,2))&lt;60),GUS_tabl_2!$A$8:$B$464,GUS_tabl_21!$A$5:$B$4886),2,FALSE)))),TRIM(VLOOKUP(IF(AND(LEN($A1908)=4,VALUE(RIGHT($A1908,2))&gt;60),$A1908&amp;"01 1",$A1908),IF(AND(LEN($A1908)=4,VALUE(RIGHT($A1908,2))&lt;60),GUS_tabl_2!$A$8:$B$464,GUS_tabl_21!$A$5:$B$4886),2,FALSE)),LEFT(TRIM(VLOOKUP(IF(AND(LEN($A1908)=4,VALUE(RIGHT($A1908,2))&gt;60),$A1908&amp;"01 1",$A1908),IF(AND(LEN($A1908)=4,VALUE(RIGHT($A1908,2))&lt;60),GUS_tabl_2!$A$8:$B$464,GUS_tabl_21!$A$5:$B$4886),2,FALSE)),SUM(FIND("..",TRIM(VLOOKUP(IF(AND(LEN($A1908)=4,VALUE(RIGHT($A1908,2))&gt;60),$A1908&amp;"01 1",$A1908),IF(AND(LEN($A1908)=4,VALUE(RIGHT($A1908,2))&lt;60),GUS_tabl_2!$A$8:$B$464,GUS_tabl_21!$A$5:$B$4886),2,FALSE))),-1)))))</f>
        <v>gm. w. Filipów</v>
      </c>
      <c r="D1908" s="141">
        <f>IF(OR($A1908="",ISERROR(VALUE(LEFT($A1908,6)))),"",IF(LEN($A1908)=2,SUMIF($A1909:$A$2965,$A1908&amp;"??",$D1909:$D$2965),IF(AND(LEN($A1908)=4,VALUE(RIGHT($A1908,2))&lt;=60),SUMIF($A1909:$A$2965,$A1908&amp;"????",$D1909:$D$2965),VLOOKUP(IF(LEN($A1908)=4,$A1908&amp;"01 1",$A1908),GUS_tabl_21!$A$5:$F$4886,6,FALSE))))</f>
        <v>4292</v>
      </c>
      <c r="E1908" s="29"/>
    </row>
    <row r="1909" spans="1:5" ht="12" customHeight="1">
      <c r="A1909" s="155" t="str">
        <f>"201203 2"</f>
        <v>201203 2</v>
      </c>
      <c r="B1909" s="153" t="s">
        <v>55</v>
      </c>
      <c r="C1909" s="156" t="str">
        <f>IF(OR($A1909="",ISERROR(VALUE(LEFT($A1909,6)))),"",IF(LEN($A1909)=2,"WOJ. ",IF(LEN($A1909)=4,IF(VALUE(RIGHT($A1909,2))&gt;60,"","Powiat "),IF(VALUE(RIGHT($A1909,1))=1,"m. ",IF(VALUE(RIGHT($A1909,1))=2,"gm. w. ",IF(VALUE(RIGHT($A1909,1))=8,"dz. ","gm. m.-w. ")))))&amp;IF(LEN($A1909)=2,TRIM(UPPER(VLOOKUP($A1909,GUS_tabl_1!$A$7:$B$22,2,FALSE))),IF(ISERROR(FIND("..",TRIM(VLOOKUP(IF(AND(LEN($A1909)=4,VALUE(RIGHT($A1909,2))&gt;60),$A1909&amp;"01 1",$A1909),IF(AND(LEN($A1909)=4,VALUE(RIGHT($A1909,2))&lt;60),GUS_tabl_2!$A$8:$B$464,GUS_tabl_21!$A$5:$B$4886),2,FALSE)))),TRIM(VLOOKUP(IF(AND(LEN($A1909)=4,VALUE(RIGHT($A1909,2))&gt;60),$A1909&amp;"01 1",$A1909),IF(AND(LEN($A1909)=4,VALUE(RIGHT($A1909,2))&lt;60),GUS_tabl_2!$A$8:$B$464,GUS_tabl_21!$A$5:$B$4886),2,FALSE)),LEFT(TRIM(VLOOKUP(IF(AND(LEN($A1909)=4,VALUE(RIGHT($A1909,2))&gt;60),$A1909&amp;"01 1",$A1909),IF(AND(LEN($A1909)=4,VALUE(RIGHT($A1909,2))&lt;60),GUS_tabl_2!$A$8:$B$464,GUS_tabl_21!$A$5:$B$4886),2,FALSE)),SUM(FIND("..",TRIM(VLOOKUP(IF(AND(LEN($A1909)=4,VALUE(RIGHT($A1909,2))&gt;60),$A1909&amp;"01 1",$A1909),IF(AND(LEN($A1909)=4,VALUE(RIGHT($A1909,2))&lt;60),GUS_tabl_2!$A$8:$B$464,GUS_tabl_21!$A$5:$B$4886),2,FALSE))),-1)))))</f>
        <v>gm. w. Jeleniewo</v>
      </c>
      <c r="D1909" s="141">
        <f>IF(OR($A1909="",ISERROR(VALUE(LEFT($A1909,6)))),"",IF(LEN($A1909)=2,SUMIF($A1910:$A$2965,$A1909&amp;"??",$D1910:$D$2965),IF(AND(LEN($A1909)=4,VALUE(RIGHT($A1909,2))&lt;=60),SUMIF($A1910:$A$2965,$A1909&amp;"????",$D1910:$D$2965),VLOOKUP(IF(LEN($A1909)=4,$A1909&amp;"01 1",$A1909),GUS_tabl_21!$A$5:$F$4886,6,FALSE))))</f>
        <v>3149</v>
      </c>
      <c r="E1909" s="29"/>
    </row>
    <row r="1910" spans="1:5" ht="12" customHeight="1">
      <c r="A1910" s="155" t="str">
        <f>"201204 2"</f>
        <v>201204 2</v>
      </c>
      <c r="B1910" s="153" t="s">
        <v>55</v>
      </c>
      <c r="C1910" s="156" t="str">
        <f>IF(OR($A1910="",ISERROR(VALUE(LEFT($A1910,6)))),"",IF(LEN($A1910)=2,"WOJ. ",IF(LEN($A1910)=4,IF(VALUE(RIGHT($A1910,2))&gt;60,"","Powiat "),IF(VALUE(RIGHT($A1910,1))=1,"m. ",IF(VALUE(RIGHT($A1910,1))=2,"gm. w. ",IF(VALUE(RIGHT($A1910,1))=8,"dz. ","gm. m.-w. ")))))&amp;IF(LEN($A1910)=2,TRIM(UPPER(VLOOKUP($A1910,GUS_tabl_1!$A$7:$B$22,2,FALSE))),IF(ISERROR(FIND("..",TRIM(VLOOKUP(IF(AND(LEN($A1910)=4,VALUE(RIGHT($A1910,2))&gt;60),$A1910&amp;"01 1",$A1910),IF(AND(LEN($A1910)=4,VALUE(RIGHT($A1910,2))&lt;60),GUS_tabl_2!$A$8:$B$464,GUS_tabl_21!$A$5:$B$4886),2,FALSE)))),TRIM(VLOOKUP(IF(AND(LEN($A1910)=4,VALUE(RIGHT($A1910,2))&gt;60),$A1910&amp;"01 1",$A1910),IF(AND(LEN($A1910)=4,VALUE(RIGHT($A1910,2))&lt;60),GUS_tabl_2!$A$8:$B$464,GUS_tabl_21!$A$5:$B$4886),2,FALSE)),LEFT(TRIM(VLOOKUP(IF(AND(LEN($A1910)=4,VALUE(RIGHT($A1910,2))&gt;60),$A1910&amp;"01 1",$A1910),IF(AND(LEN($A1910)=4,VALUE(RIGHT($A1910,2))&lt;60),GUS_tabl_2!$A$8:$B$464,GUS_tabl_21!$A$5:$B$4886),2,FALSE)),SUM(FIND("..",TRIM(VLOOKUP(IF(AND(LEN($A1910)=4,VALUE(RIGHT($A1910,2))&gt;60),$A1910&amp;"01 1",$A1910),IF(AND(LEN($A1910)=4,VALUE(RIGHT($A1910,2))&lt;60),GUS_tabl_2!$A$8:$B$464,GUS_tabl_21!$A$5:$B$4886),2,FALSE))),-1)))))</f>
        <v>gm. w. Przerośl</v>
      </c>
      <c r="D1910" s="141">
        <f>IF(OR($A1910="",ISERROR(VALUE(LEFT($A1910,6)))),"",IF(LEN($A1910)=2,SUMIF($A1911:$A$2965,$A1910&amp;"??",$D1911:$D$2965),IF(AND(LEN($A1910)=4,VALUE(RIGHT($A1910,2))&lt;=60),SUMIF($A1911:$A$2965,$A1910&amp;"????",$D1911:$D$2965),VLOOKUP(IF(LEN($A1910)=4,$A1910&amp;"01 1",$A1910),GUS_tabl_21!$A$5:$F$4886,6,FALSE))))</f>
        <v>2919</v>
      </c>
      <c r="E1910" s="29"/>
    </row>
    <row r="1911" spans="1:5" ht="12" customHeight="1">
      <c r="A1911" s="155" t="str">
        <f>"201205 2"</f>
        <v>201205 2</v>
      </c>
      <c r="B1911" s="153" t="s">
        <v>55</v>
      </c>
      <c r="C1911" s="156" t="str">
        <f>IF(OR($A1911="",ISERROR(VALUE(LEFT($A1911,6)))),"",IF(LEN($A1911)=2,"WOJ. ",IF(LEN($A1911)=4,IF(VALUE(RIGHT($A1911,2))&gt;60,"","Powiat "),IF(VALUE(RIGHT($A1911,1))=1,"m. ",IF(VALUE(RIGHT($A1911,1))=2,"gm. w. ",IF(VALUE(RIGHT($A1911,1))=8,"dz. ","gm. m.-w. ")))))&amp;IF(LEN($A1911)=2,TRIM(UPPER(VLOOKUP($A1911,GUS_tabl_1!$A$7:$B$22,2,FALSE))),IF(ISERROR(FIND("..",TRIM(VLOOKUP(IF(AND(LEN($A1911)=4,VALUE(RIGHT($A1911,2))&gt;60),$A1911&amp;"01 1",$A1911),IF(AND(LEN($A1911)=4,VALUE(RIGHT($A1911,2))&lt;60),GUS_tabl_2!$A$8:$B$464,GUS_tabl_21!$A$5:$B$4886),2,FALSE)))),TRIM(VLOOKUP(IF(AND(LEN($A1911)=4,VALUE(RIGHT($A1911,2))&gt;60),$A1911&amp;"01 1",$A1911),IF(AND(LEN($A1911)=4,VALUE(RIGHT($A1911,2))&lt;60),GUS_tabl_2!$A$8:$B$464,GUS_tabl_21!$A$5:$B$4886),2,FALSE)),LEFT(TRIM(VLOOKUP(IF(AND(LEN($A1911)=4,VALUE(RIGHT($A1911,2))&gt;60),$A1911&amp;"01 1",$A1911),IF(AND(LEN($A1911)=4,VALUE(RIGHT($A1911,2))&lt;60),GUS_tabl_2!$A$8:$B$464,GUS_tabl_21!$A$5:$B$4886),2,FALSE)),SUM(FIND("..",TRIM(VLOOKUP(IF(AND(LEN($A1911)=4,VALUE(RIGHT($A1911,2))&gt;60),$A1911&amp;"01 1",$A1911),IF(AND(LEN($A1911)=4,VALUE(RIGHT($A1911,2))&lt;60),GUS_tabl_2!$A$8:$B$464,GUS_tabl_21!$A$5:$B$4886),2,FALSE))),-1)))))</f>
        <v>gm. w. Raczki</v>
      </c>
      <c r="D1911" s="141">
        <f>IF(OR($A1911="",ISERROR(VALUE(LEFT($A1911,6)))),"",IF(LEN($A1911)=2,SUMIF($A1912:$A$2965,$A1911&amp;"??",$D1912:$D$2965),IF(AND(LEN($A1911)=4,VALUE(RIGHT($A1911,2))&lt;=60),SUMIF($A1912:$A$2965,$A1911&amp;"????",$D1912:$D$2965),VLOOKUP(IF(LEN($A1911)=4,$A1911&amp;"01 1",$A1911),GUS_tabl_21!$A$5:$F$4886,6,FALSE))))</f>
        <v>5907</v>
      </c>
      <c r="E1911" s="29"/>
    </row>
    <row r="1912" spans="1:5" ht="12" customHeight="1">
      <c r="A1912" s="155" t="str">
        <f>"201206 2"</f>
        <v>201206 2</v>
      </c>
      <c r="B1912" s="153" t="s">
        <v>55</v>
      </c>
      <c r="C1912" s="156" t="str">
        <f>IF(OR($A1912="",ISERROR(VALUE(LEFT($A1912,6)))),"",IF(LEN($A1912)=2,"WOJ. ",IF(LEN($A1912)=4,IF(VALUE(RIGHT($A1912,2))&gt;60,"","Powiat "),IF(VALUE(RIGHT($A1912,1))=1,"m. ",IF(VALUE(RIGHT($A1912,1))=2,"gm. w. ",IF(VALUE(RIGHT($A1912,1))=8,"dz. ","gm. m.-w. ")))))&amp;IF(LEN($A1912)=2,TRIM(UPPER(VLOOKUP($A1912,GUS_tabl_1!$A$7:$B$22,2,FALSE))),IF(ISERROR(FIND("..",TRIM(VLOOKUP(IF(AND(LEN($A1912)=4,VALUE(RIGHT($A1912,2))&gt;60),$A1912&amp;"01 1",$A1912),IF(AND(LEN($A1912)=4,VALUE(RIGHT($A1912,2))&lt;60),GUS_tabl_2!$A$8:$B$464,GUS_tabl_21!$A$5:$B$4886),2,FALSE)))),TRIM(VLOOKUP(IF(AND(LEN($A1912)=4,VALUE(RIGHT($A1912,2))&gt;60),$A1912&amp;"01 1",$A1912),IF(AND(LEN($A1912)=4,VALUE(RIGHT($A1912,2))&lt;60),GUS_tabl_2!$A$8:$B$464,GUS_tabl_21!$A$5:$B$4886),2,FALSE)),LEFT(TRIM(VLOOKUP(IF(AND(LEN($A1912)=4,VALUE(RIGHT($A1912,2))&gt;60),$A1912&amp;"01 1",$A1912),IF(AND(LEN($A1912)=4,VALUE(RIGHT($A1912,2))&lt;60),GUS_tabl_2!$A$8:$B$464,GUS_tabl_21!$A$5:$B$4886),2,FALSE)),SUM(FIND("..",TRIM(VLOOKUP(IF(AND(LEN($A1912)=4,VALUE(RIGHT($A1912,2))&gt;60),$A1912&amp;"01 1",$A1912),IF(AND(LEN($A1912)=4,VALUE(RIGHT($A1912,2))&lt;60),GUS_tabl_2!$A$8:$B$464,GUS_tabl_21!$A$5:$B$4886),2,FALSE))),-1)))))</f>
        <v>gm. w. Rutka-Tartak</v>
      </c>
      <c r="D1912" s="141">
        <f>IF(OR($A1912="",ISERROR(VALUE(LEFT($A1912,6)))),"",IF(LEN($A1912)=2,SUMIF($A1913:$A$2965,$A1912&amp;"??",$D1913:$D$2965),IF(AND(LEN($A1912)=4,VALUE(RIGHT($A1912,2))&lt;=60),SUMIF($A1913:$A$2965,$A1912&amp;"????",$D1913:$D$2965),VLOOKUP(IF(LEN($A1912)=4,$A1912&amp;"01 1",$A1912),GUS_tabl_21!$A$5:$F$4886,6,FALSE))))</f>
        <v>2322</v>
      </c>
      <c r="E1912" s="29"/>
    </row>
    <row r="1913" spans="1:5" ht="12" customHeight="1">
      <c r="A1913" s="155" t="str">
        <f>"201207 2"</f>
        <v>201207 2</v>
      </c>
      <c r="B1913" s="153" t="s">
        <v>55</v>
      </c>
      <c r="C1913" s="156" t="str">
        <f>IF(OR($A1913="",ISERROR(VALUE(LEFT($A1913,6)))),"",IF(LEN($A1913)=2,"WOJ. ",IF(LEN($A1913)=4,IF(VALUE(RIGHT($A1913,2))&gt;60,"","Powiat "),IF(VALUE(RIGHT($A1913,1))=1,"m. ",IF(VALUE(RIGHT($A1913,1))=2,"gm. w. ",IF(VALUE(RIGHT($A1913,1))=8,"dz. ","gm. m.-w. ")))))&amp;IF(LEN($A1913)=2,TRIM(UPPER(VLOOKUP($A1913,GUS_tabl_1!$A$7:$B$22,2,FALSE))),IF(ISERROR(FIND("..",TRIM(VLOOKUP(IF(AND(LEN($A1913)=4,VALUE(RIGHT($A1913,2))&gt;60),$A1913&amp;"01 1",$A1913),IF(AND(LEN($A1913)=4,VALUE(RIGHT($A1913,2))&lt;60),GUS_tabl_2!$A$8:$B$464,GUS_tabl_21!$A$5:$B$4886),2,FALSE)))),TRIM(VLOOKUP(IF(AND(LEN($A1913)=4,VALUE(RIGHT($A1913,2))&gt;60),$A1913&amp;"01 1",$A1913),IF(AND(LEN($A1913)=4,VALUE(RIGHT($A1913,2))&lt;60),GUS_tabl_2!$A$8:$B$464,GUS_tabl_21!$A$5:$B$4886),2,FALSE)),LEFT(TRIM(VLOOKUP(IF(AND(LEN($A1913)=4,VALUE(RIGHT($A1913,2))&gt;60),$A1913&amp;"01 1",$A1913),IF(AND(LEN($A1913)=4,VALUE(RIGHT($A1913,2))&lt;60),GUS_tabl_2!$A$8:$B$464,GUS_tabl_21!$A$5:$B$4886),2,FALSE)),SUM(FIND("..",TRIM(VLOOKUP(IF(AND(LEN($A1913)=4,VALUE(RIGHT($A1913,2))&gt;60),$A1913&amp;"01 1",$A1913),IF(AND(LEN($A1913)=4,VALUE(RIGHT($A1913,2))&lt;60),GUS_tabl_2!$A$8:$B$464,GUS_tabl_21!$A$5:$B$4886),2,FALSE))),-1)))))</f>
        <v>gm. w. Suwałki</v>
      </c>
      <c r="D1913" s="141">
        <f>IF(OR($A1913="",ISERROR(VALUE(LEFT($A1913,6)))),"",IF(LEN($A1913)=2,SUMIF($A1914:$A$2965,$A1913&amp;"??",$D1914:$D$2965),IF(AND(LEN($A1913)=4,VALUE(RIGHT($A1913,2))&lt;=60),SUMIF($A1914:$A$2965,$A1913&amp;"????",$D1914:$D$2965),VLOOKUP(IF(LEN($A1913)=4,$A1913&amp;"01 1",$A1913),GUS_tabl_21!$A$5:$F$4886,6,FALSE))))</f>
        <v>7739</v>
      </c>
      <c r="E1913" s="29"/>
    </row>
    <row r="1914" spans="1:5" ht="12" customHeight="1">
      <c r="A1914" s="155" t="str">
        <f>"201208 2"</f>
        <v>201208 2</v>
      </c>
      <c r="B1914" s="153" t="s">
        <v>55</v>
      </c>
      <c r="C1914" s="156" t="str">
        <f>IF(OR($A1914="",ISERROR(VALUE(LEFT($A1914,6)))),"",IF(LEN($A1914)=2,"WOJ. ",IF(LEN($A1914)=4,IF(VALUE(RIGHT($A1914,2))&gt;60,"","Powiat "),IF(VALUE(RIGHT($A1914,1))=1,"m. ",IF(VALUE(RIGHT($A1914,1))=2,"gm. w. ",IF(VALUE(RIGHT($A1914,1))=8,"dz. ","gm. m.-w. ")))))&amp;IF(LEN($A1914)=2,TRIM(UPPER(VLOOKUP($A1914,GUS_tabl_1!$A$7:$B$22,2,FALSE))),IF(ISERROR(FIND("..",TRIM(VLOOKUP(IF(AND(LEN($A1914)=4,VALUE(RIGHT($A1914,2))&gt;60),$A1914&amp;"01 1",$A1914),IF(AND(LEN($A1914)=4,VALUE(RIGHT($A1914,2))&lt;60),GUS_tabl_2!$A$8:$B$464,GUS_tabl_21!$A$5:$B$4886),2,FALSE)))),TRIM(VLOOKUP(IF(AND(LEN($A1914)=4,VALUE(RIGHT($A1914,2))&gt;60),$A1914&amp;"01 1",$A1914),IF(AND(LEN($A1914)=4,VALUE(RIGHT($A1914,2))&lt;60),GUS_tabl_2!$A$8:$B$464,GUS_tabl_21!$A$5:$B$4886),2,FALSE)),LEFT(TRIM(VLOOKUP(IF(AND(LEN($A1914)=4,VALUE(RIGHT($A1914,2))&gt;60),$A1914&amp;"01 1",$A1914),IF(AND(LEN($A1914)=4,VALUE(RIGHT($A1914,2))&lt;60),GUS_tabl_2!$A$8:$B$464,GUS_tabl_21!$A$5:$B$4886),2,FALSE)),SUM(FIND("..",TRIM(VLOOKUP(IF(AND(LEN($A1914)=4,VALUE(RIGHT($A1914,2))&gt;60),$A1914&amp;"01 1",$A1914),IF(AND(LEN($A1914)=4,VALUE(RIGHT($A1914,2))&lt;60),GUS_tabl_2!$A$8:$B$464,GUS_tabl_21!$A$5:$B$4886),2,FALSE))),-1)))))</f>
        <v>gm. w. Szypliszki</v>
      </c>
      <c r="D1914" s="141">
        <f>IF(OR($A1914="",ISERROR(VALUE(LEFT($A1914,6)))),"",IF(LEN($A1914)=2,SUMIF($A1915:$A$2965,$A1914&amp;"??",$D1915:$D$2965),IF(AND(LEN($A1914)=4,VALUE(RIGHT($A1914,2))&lt;=60),SUMIF($A1915:$A$2965,$A1914&amp;"????",$D1915:$D$2965),VLOOKUP(IF(LEN($A1914)=4,$A1914&amp;"01 1",$A1914),GUS_tabl_21!$A$5:$F$4886,6,FALSE))))</f>
        <v>3901</v>
      </c>
      <c r="E1914" s="29"/>
    </row>
    <row r="1915" spans="1:5" ht="12" customHeight="1">
      <c r="A1915" s="155" t="str">
        <f>"201209 2"</f>
        <v>201209 2</v>
      </c>
      <c r="B1915" s="153" t="s">
        <v>55</v>
      </c>
      <c r="C1915" s="156" t="str">
        <f>IF(OR($A1915="",ISERROR(VALUE(LEFT($A1915,6)))),"",IF(LEN($A1915)=2,"WOJ. ",IF(LEN($A1915)=4,IF(VALUE(RIGHT($A1915,2))&gt;60,"","Powiat "),IF(VALUE(RIGHT($A1915,1))=1,"m. ",IF(VALUE(RIGHT($A1915,1))=2,"gm. w. ",IF(VALUE(RIGHT($A1915,1))=8,"dz. ","gm. m.-w. ")))))&amp;IF(LEN($A1915)=2,TRIM(UPPER(VLOOKUP($A1915,GUS_tabl_1!$A$7:$B$22,2,FALSE))),IF(ISERROR(FIND("..",TRIM(VLOOKUP(IF(AND(LEN($A1915)=4,VALUE(RIGHT($A1915,2))&gt;60),$A1915&amp;"01 1",$A1915),IF(AND(LEN($A1915)=4,VALUE(RIGHT($A1915,2))&lt;60),GUS_tabl_2!$A$8:$B$464,GUS_tabl_21!$A$5:$B$4886),2,FALSE)))),TRIM(VLOOKUP(IF(AND(LEN($A1915)=4,VALUE(RIGHT($A1915,2))&gt;60),$A1915&amp;"01 1",$A1915),IF(AND(LEN($A1915)=4,VALUE(RIGHT($A1915,2))&lt;60),GUS_tabl_2!$A$8:$B$464,GUS_tabl_21!$A$5:$B$4886),2,FALSE)),LEFT(TRIM(VLOOKUP(IF(AND(LEN($A1915)=4,VALUE(RIGHT($A1915,2))&gt;60),$A1915&amp;"01 1",$A1915),IF(AND(LEN($A1915)=4,VALUE(RIGHT($A1915,2))&lt;60),GUS_tabl_2!$A$8:$B$464,GUS_tabl_21!$A$5:$B$4886),2,FALSE)),SUM(FIND("..",TRIM(VLOOKUP(IF(AND(LEN($A1915)=4,VALUE(RIGHT($A1915,2))&gt;60),$A1915&amp;"01 1",$A1915),IF(AND(LEN($A1915)=4,VALUE(RIGHT($A1915,2))&lt;60),GUS_tabl_2!$A$8:$B$464,GUS_tabl_21!$A$5:$B$4886),2,FALSE))),-1)))))</f>
        <v>gm. w. Wiżajny</v>
      </c>
      <c r="D1915" s="141">
        <f>IF(OR($A1915="",ISERROR(VALUE(LEFT($A1915,6)))),"",IF(LEN($A1915)=2,SUMIF($A1916:$A$2965,$A1915&amp;"??",$D1916:$D$2965),IF(AND(LEN($A1915)=4,VALUE(RIGHT($A1915,2))&lt;=60),SUMIF($A1916:$A$2965,$A1915&amp;"????",$D1916:$D$2965),VLOOKUP(IF(LEN($A1915)=4,$A1915&amp;"01 1",$A1915),GUS_tabl_21!$A$5:$F$4886,6,FALSE))))</f>
        <v>2341</v>
      </c>
      <c r="E1915" s="29"/>
    </row>
    <row r="1916" spans="1:5" ht="12" customHeight="1">
      <c r="A1916" s="152" t="str">
        <f>"2013"</f>
        <v>2013</v>
      </c>
      <c r="B1916" s="153" t="s">
        <v>55</v>
      </c>
      <c r="C1916" s="154" t="str">
        <f>IF(OR($A1916="",ISERROR(VALUE(LEFT($A1916,6)))),"",IF(LEN($A1916)=2,"WOJ. ",IF(LEN($A1916)=4,IF(VALUE(RIGHT($A1916,2))&gt;60,"","Powiat "),IF(VALUE(RIGHT($A1916,1))=1,"m. ",IF(VALUE(RIGHT($A1916,1))=2,"gm. w. ",IF(VALUE(RIGHT($A1916,1))=8,"dz. ","gm. m.-w. ")))))&amp;IF(LEN($A1916)=2,TRIM(UPPER(VLOOKUP($A1916,GUS_tabl_1!$A$7:$B$22,2,FALSE))),IF(ISERROR(FIND("..",TRIM(VLOOKUP(IF(AND(LEN($A1916)=4,VALUE(RIGHT($A1916,2))&gt;60),$A1916&amp;"01 1",$A1916),IF(AND(LEN($A1916)=4,VALUE(RIGHT($A1916,2))&lt;60),GUS_tabl_2!$A$8:$B$464,GUS_tabl_21!$A$5:$B$4886),2,FALSE)))),TRIM(VLOOKUP(IF(AND(LEN($A1916)=4,VALUE(RIGHT($A1916,2))&gt;60),$A1916&amp;"01 1",$A1916),IF(AND(LEN($A1916)=4,VALUE(RIGHT($A1916,2))&lt;60),GUS_tabl_2!$A$8:$B$464,GUS_tabl_21!$A$5:$B$4886),2,FALSE)),LEFT(TRIM(VLOOKUP(IF(AND(LEN($A1916)=4,VALUE(RIGHT($A1916,2))&gt;60),$A1916&amp;"01 1",$A1916),IF(AND(LEN($A1916)=4,VALUE(RIGHT($A1916,2))&lt;60),GUS_tabl_2!$A$8:$B$464,GUS_tabl_21!$A$5:$B$4886),2,FALSE)),SUM(FIND("..",TRIM(VLOOKUP(IF(AND(LEN($A1916)=4,VALUE(RIGHT($A1916,2))&gt;60),$A1916&amp;"01 1",$A1916),IF(AND(LEN($A1916)=4,VALUE(RIGHT($A1916,2))&lt;60),GUS_tabl_2!$A$8:$B$464,GUS_tabl_21!$A$5:$B$4886),2,FALSE))),-1)))))</f>
        <v>Powiat wysokomazowiecki</v>
      </c>
      <c r="D1916" s="140">
        <f>IF(OR($A1916="",ISERROR(VALUE(LEFT($A1916,6)))),"",IF(LEN($A1916)=2,SUMIF($A1917:$A$2965,$A1916&amp;"??",$D1917:$D$2965),IF(AND(LEN($A1916)=4,VALUE(RIGHT($A1916,2))&lt;=60),SUMIF($A1917:$A$2965,$A1916&amp;"????",$D1917:$D$2965),VLOOKUP(IF(LEN($A1916)=4,$A1916&amp;"01 1",$A1916),GUS_tabl_21!$A$5:$F$4886,6,FALSE))))</f>
        <v>56860</v>
      </c>
      <c r="E1916" s="29"/>
    </row>
    <row r="1917" spans="1:5" ht="12" customHeight="1">
      <c r="A1917" s="155" t="str">
        <f>"201301 1"</f>
        <v>201301 1</v>
      </c>
      <c r="B1917" s="153" t="s">
        <v>55</v>
      </c>
      <c r="C1917" s="156" t="str">
        <f>IF(OR($A1917="",ISERROR(VALUE(LEFT($A1917,6)))),"",IF(LEN($A1917)=2,"WOJ. ",IF(LEN($A1917)=4,IF(VALUE(RIGHT($A1917,2))&gt;60,"","Powiat "),IF(VALUE(RIGHT($A1917,1))=1,"m. ",IF(VALUE(RIGHT($A1917,1))=2,"gm. w. ",IF(VALUE(RIGHT($A1917,1))=8,"dz. ","gm. m.-w. ")))))&amp;IF(LEN($A1917)=2,TRIM(UPPER(VLOOKUP($A1917,GUS_tabl_1!$A$7:$B$22,2,FALSE))),IF(ISERROR(FIND("..",TRIM(VLOOKUP(IF(AND(LEN($A1917)=4,VALUE(RIGHT($A1917,2))&gt;60),$A1917&amp;"01 1",$A1917),IF(AND(LEN($A1917)=4,VALUE(RIGHT($A1917,2))&lt;60),GUS_tabl_2!$A$8:$B$464,GUS_tabl_21!$A$5:$B$4886),2,FALSE)))),TRIM(VLOOKUP(IF(AND(LEN($A1917)=4,VALUE(RIGHT($A1917,2))&gt;60),$A1917&amp;"01 1",$A1917),IF(AND(LEN($A1917)=4,VALUE(RIGHT($A1917,2))&lt;60),GUS_tabl_2!$A$8:$B$464,GUS_tabl_21!$A$5:$B$4886),2,FALSE)),LEFT(TRIM(VLOOKUP(IF(AND(LEN($A1917)=4,VALUE(RIGHT($A1917,2))&gt;60),$A1917&amp;"01 1",$A1917),IF(AND(LEN($A1917)=4,VALUE(RIGHT($A1917,2))&lt;60),GUS_tabl_2!$A$8:$B$464,GUS_tabl_21!$A$5:$B$4886),2,FALSE)),SUM(FIND("..",TRIM(VLOOKUP(IF(AND(LEN($A1917)=4,VALUE(RIGHT($A1917,2))&gt;60),$A1917&amp;"01 1",$A1917),IF(AND(LEN($A1917)=4,VALUE(RIGHT($A1917,2))&lt;60),GUS_tabl_2!$A$8:$B$464,GUS_tabl_21!$A$5:$B$4886),2,FALSE))),-1)))))</f>
        <v>m. Wysokie Mazowieckie</v>
      </c>
      <c r="D1917" s="141">
        <f>IF(OR($A1917="",ISERROR(VALUE(LEFT($A1917,6)))),"",IF(LEN($A1917)=2,SUMIF($A1918:$A$2965,$A1917&amp;"??",$D1918:$D$2965),IF(AND(LEN($A1917)=4,VALUE(RIGHT($A1917,2))&lt;=60),SUMIF($A1918:$A$2965,$A1917&amp;"????",$D1918:$D$2965),VLOOKUP(IF(LEN($A1917)=4,$A1917&amp;"01 1",$A1917),GUS_tabl_21!$A$5:$F$4886,6,FALSE))))</f>
        <v>9341</v>
      </c>
      <c r="E1917" s="29"/>
    </row>
    <row r="1918" spans="1:5" ht="12" customHeight="1">
      <c r="A1918" s="155" t="str">
        <f>"201302 3"</f>
        <v>201302 3</v>
      </c>
      <c r="B1918" s="153" t="s">
        <v>55</v>
      </c>
      <c r="C1918" s="156" t="str">
        <f>IF(OR($A1918="",ISERROR(VALUE(LEFT($A1918,6)))),"",IF(LEN($A1918)=2,"WOJ. ",IF(LEN($A1918)=4,IF(VALUE(RIGHT($A1918,2))&gt;60,"","Powiat "),IF(VALUE(RIGHT($A1918,1))=1,"m. ",IF(VALUE(RIGHT($A1918,1))=2,"gm. w. ",IF(VALUE(RIGHT($A1918,1))=8,"dz. ","gm. m.-w. ")))))&amp;IF(LEN($A1918)=2,TRIM(UPPER(VLOOKUP($A1918,GUS_tabl_1!$A$7:$B$22,2,FALSE))),IF(ISERROR(FIND("..",TRIM(VLOOKUP(IF(AND(LEN($A1918)=4,VALUE(RIGHT($A1918,2))&gt;60),$A1918&amp;"01 1",$A1918),IF(AND(LEN($A1918)=4,VALUE(RIGHT($A1918,2))&lt;60),GUS_tabl_2!$A$8:$B$464,GUS_tabl_21!$A$5:$B$4886),2,FALSE)))),TRIM(VLOOKUP(IF(AND(LEN($A1918)=4,VALUE(RIGHT($A1918,2))&gt;60),$A1918&amp;"01 1",$A1918),IF(AND(LEN($A1918)=4,VALUE(RIGHT($A1918,2))&lt;60),GUS_tabl_2!$A$8:$B$464,GUS_tabl_21!$A$5:$B$4886),2,FALSE)),LEFT(TRIM(VLOOKUP(IF(AND(LEN($A1918)=4,VALUE(RIGHT($A1918,2))&gt;60),$A1918&amp;"01 1",$A1918),IF(AND(LEN($A1918)=4,VALUE(RIGHT($A1918,2))&lt;60),GUS_tabl_2!$A$8:$B$464,GUS_tabl_21!$A$5:$B$4886),2,FALSE)),SUM(FIND("..",TRIM(VLOOKUP(IF(AND(LEN($A1918)=4,VALUE(RIGHT($A1918,2))&gt;60),$A1918&amp;"01 1",$A1918),IF(AND(LEN($A1918)=4,VALUE(RIGHT($A1918,2))&lt;60),GUS_tabl_2!$A$8:$B$464,GUS_tabl_21!$A$5:$B$4886),2,FALSE))),-1)))))</f>
        <v>gm. m.-w. Ciechanowiec</v>
      </c>
      <c r="D1918" s="141">
        <f>IF(OR($A1918="",ISERROR(VALUE(LEFT($A1918,6)))),"",IF(LEN($A1918)=2,SUMIF($A1919:$A$2965,$A1918&amp;"??",$D1919:$D$2965),IF(AND(LEN($A1918)=4,VALUE(RIGHT($A1918,2))&lt;=60),SUMIF($A1919:$A$2965,$A1918&amp;"????",$D1919:$D$2965),VLOOKUP(IF(LEN($A1918)=4,$A1918&amp;"01 1",$A1918),GUS_tabl_21!$A$5:$F$4886,6,FALSE))))</f>
        <v>8577</v>
      </c>
      <c r="E1918" s="29"/>
    </row>
    <row r="1919" spans="1:5" ht="12" customHeight="1">
      <c r="A1919" s="155" t="str">
        <f>"201303 3"</f>
        <v>201303 3</v>
      </c>
      <c r="B1919" s="153" t="s">
        <v>55</v>
      </c>
      <c r="C1919" s="156" t="str">
        <f>IF(OR($A1919="",ISERROR(VALUE(LEFT($A1919,6)))),"",IF(LEN($A1919)=2,"WOJ. ",IF(LEN($A1919)=4,IF(VALUE(RIGHT($A1919,2))&gt;60,"","Powiat "),IF(VALUE(RIGHT($A1919,1))=1,"m. ",IF(VALUE(RIGHT($A1919,1))=2,"gm. w. ",IF(VALUE(RIGHT($A1919,1))=8,"dz. ","gm. m.-w. ")))))&amp;IF(LEN($A1919)=2,TRIM(UPPER(VLOOKUP($A1919,GUS_tabl_1!$A$7:$B$22,2,FALSE))),IF(ISERROR(FIND("..",TRIM(VLOOKUP(IF(AND(LEN($A1919)=4,VALUE(RIGHT($A1919,2))&gt;60),$A1919&amp;"01 1",$A1919),IF(AND(LEN($A1919)=4,VALUE(RIGHT($A1919,2))&lt;60),GUS_tabl_2!$A$8:$B$464,GUS_tabl_21!$A$5:$B$4886),2,FALSE)))),TRIM(VLOOKUP(IF(AND(LEN($A1919)=4,VALUE(RIGHT($A1919,2))&gt;60),$A1919&amp;"01 1",$A1919),IF(AND(LEN($A1919)=4,VALUE(RIGHT($A1919,2))&lt;60),GUS_tabl_2!$A$8:$B$464,GUS_tabl_21!$A$5:$B$4886),2,FALSE)),LEFT(TRIM(VLOOKUP(IF(AND(LEN($A1919)=4,VALUE(RIGHT($A1919,2))&gt;60),$A1919&amp;"01 1",$A1919),IF(AND(LEN($A1919)=4,VALUE(RIGHT($A1919,2))&lt;60),GUS_tabl_2!$A$8:$B$464,GUS_tabl_21!$A$5:$B$4886),2,FALSE)),SUM(FIND("..",TRIM(VLOOKUP(IF(AND(LEN($A1919)=4,VALUE(RIGHT($A1919,2))&gt;60),$A1919&amp;"01 1",$A1919),IF(AND(LEN($A1919)=4,VALUE(RIGHT($A1919,2))&lt;60),GUS_tabl_2!$A$8:$B$464,GUS_tabl_21!$A$5:$B$4886),2,FALSE))),-1)))))</f>
        <v>gm. m.-w. Czyżew</v>
      </c>
      <c r="D1919" s="141">
        <f>IF(OR($A1919="",ISERROR(VALUE(LEFT($A1919,6)))),"",IF(LEN($A1919)=2,SUMIF($A1920:$A$2965,$A1919&amp;"??",$D1920:$D$2965),IF(AND(LEN($A1919)=4,VALUE(RIGHT($A1919,2))&lt;=60),SUMIF($A1920:$A$2965,$A1919&amp;"????",$D1920:$D$2965),VLOOKUP(IF(LEN($A1919)=4,$A1919&amp;"01 1",$A1919),GUS_tabl_21!$A$5:$F$4886,6,FALSE))))</f>
        <v>6352</v>
      </c>
      <c r="E1919" s="29"/>
    </row>
    <row r="1920" spans="1:5" ht="12" customHeight="1">
      <c r="A1920" s="155" t="str">
        <f>"201304 2"</f>
        <v>201304 2</v>
      </c>
      <c r="B1920" s="153" t="s">
        <v>55</v>
      </c>
      <c r="C1920" s="156" t="str">
        <f>IF(OR($A1920="",ISERROR(VALUE(LEFT($A1920,6)))),"",IF(LEN($A1920)=2,"WOJ. ",IF(LEN($A1920)=4,IF(VALUE(RIGHT($A1920,2))&gt;60,"","Powiat "),IF(VALUE(RIGHT($A1920,1))=1,"m. ",IF(VALUE(RIGHT($A1920,1))=2,"gm. w. ",IF(VALUE(RIGHT($A1920,1))=8,"dz. ","gm. m.-w. ")))))&amp;IF(LEN($A1920)=2,TRIM(UPPER(VLOOKUP($A1920,GUS_tabl_1!$A$7:$B$22,2,FALSE))),IF(ISERROR(FIND("..",TRIM(VLOOKUP(IF(AND(LEN($A1920)=4,VALUE(RIGHT($A1920,2))&gt;60),$A1920&amp;"01 1",$A1920),IF(AND(LEN($A1920)=4,VALUE(RIGHT($A1920,2))&lt;60),GUS_tabl_2!$A$8:$B$464,GUS_tabl_21!$A$5:$B$4886),2,FALSE)))),TRIM(VLOOKUP(IF(AND(LEN($A1920)=4,VALUE(RIGHT($A1920,2))&gt;60),$A1920&amp;"01 1",$A1920),IF(AND(LEN($A1920)=4,VALUE(RIGHT($A1920,2))&lt;60),GUS_tabl_2!$A$8:$B$464,GUS_tabl_21!$A$5:$B$4886),2,FALSE)),LEFT(TRIM(VLOOKUP(IF(AND(LEN($A1920)=4,VALUE(RIGHT($A1920,2))&gt;60),$A1920&amp;"01 1",$A1920),IF(AND(LEN($A1920)=4,VALUE(RIGHT($A1920,2))&lt;60),GUS_tabl_2!$A$8:$B$464,GUS_tabl_21!$A$5:$B$4886),2,FALSE)),SUM(FIND("..",TRIM(VLOOKUP(IF(AND(LEN($A1920)=4,VALUE(RIGHT($A1920,2))&gt;60),$A1920&amp;"01 1",$A1920),IF(AND(LEN($A1920)=4,VALUE(RIGHT($A1920,2))&lt;60),GUS_tabl_2!$A$8:$B$464,GUS_tabl_21!$A$5:$B$4886),2,FALSE))),-1)))))</f>
        <v>gm. w. Klukowo</v>
      </c>
      <c r="D1920" s="141">
        <f>IF(OR($A1920="",ISERROR(VALUE(LEFT($A1920,6)))),"",IF(LEN($A1920)=2,SUMIF($A1921:$A$2965,$A1920&amp;"??",$D1921:$D$2965),IF(AND(LEN($A1920)=4,VALUE(RIGHT($A1920,2))&lt;=60),SUMIF($A1921:$A$2965,$A1920&amp;"????",$D1921:$D$2965),VLOOKUP(IF(LEN($A1920)=4,$A1920&amp;"01 1",$A1920),GUS_tabl_21!$A$5:$F$4886,6,FALSE))))</f>
        <v>4346</v>
      </c>
      <c r="E1920" s="29"/>
    </row>
    <row r="1921" spans="1:5" ht="12" customHeight="1">
      <c r="A1921" s="155" t="str">
        <f>"201305 2"</f>
        <v>201305 2</v>
      </c>
      <c r="B1921" s="153" t="s">
        <v>55</v>
      </c>
      <c r="C1921" s="156" t="str">
        <f>IF(OR($A1921="",ISERROR(VALUE(LEFT($A1921,6)))),"",IF(LEN($A1921)=2,"WOJ. ",IF(LEN($A1921)=4,IF(VALUE(RIGHT($A1921,2))&gt;60,"","Powiat "),IF(VALUE(RIGHT($A1921,1))=1,"m. ",IF(VALUE(RIGHT($A1921,1))=2,"gm. w. ",IF(VALUE(RIGHT($A1921,1))=8,"dz. ","gm. m.-w. ")))))&amp;IF(LEN($A1921)=2,TRIM(UPPER(VLOOKUP($A1921,GUS_tabl_1!$A$7:$B$22,2,FALSE))),IF(ISERROR(FIND("..",TRIM(VLOOKUP(IF(AND(LEN($A1921)=4,VALUE(RIGHT($A1921,2))&gt;60),$A1921&amp;"01 1",$A1921),IF(AND(LEN($A1921)=4,VALUE(RIGHT($A1921,2))&lt;60),GUS_tabl_2!$A$8:$B$464,GUS_tabl_21!$A$5:$B$4886),2,FALSE)))),TRIM(VLOOKUP(IF(AND(LEN($A1921)=4,VALUE(RIGHT($A1921,2))&gt;60),$A1921&amp;"01 1",$A1921),IF(AND(LEN($A1921)=4,VALUE(RIGHT($A1921,2))&lt;60),GUS_tabl_2!$A$8:$B$464,GUS_tabl_21!$A$5:$B$4886),2,FALSE)),LEFT(TRIM(VLOOKUP(IF(AND(LEN($A1921)=4,VALUE(RIGHT($A1921,2))&gt;60),$A1921&amp;"01 1",$A1921),IF(AND(LEN($A1921)=4,VALUE(RIGHT($A1921,2))&lt;60),GUS_tabl_2!$A$8:$B$464,GUS_tabl_21!$A$5:$B$4886),2,FALSE)),SUM(FIND("..",TRIM(VLOOKUP(IF(AND(LEN($A1921)=4,VALUE(RIGHT($A1921,2))&gt;60),$A1921&amp;"01 1",$A1921),IF(AND(LEN($A1921)=4,VALUE(RIGHT($A1921,2))&lt;60),GUS_tabl_2!$A$8:$B$464,GUS_tabl_21!$A$5:$B$4886),2,FALSE))),-1)))))</f>
        <v>gm. w. Kobylin-Borzymy</v>
      </c>
      <c r="D1921" s="141">
        <f>IF(OR($A1921="",ISERROR(VALUE(LEFT($A1921,6)))),"",IF(LEN($A1921)=2,SUMIF($A1922:$A$2965,$A1921&amp;"??",$D1922:$D$2965),IF(AND(LEN($A1921)=4,VALUE(RIGHT($A1921,2))&lt;=60),SUMIF($A1922:$A$2965,$A1921&amp;"????",$D1922:$D$2965),VLOOKUP(IF(LEN($A1921)=4,$A1921&amp;"01 1",$A1921),GUS_tabl_21!$A$5:$F$4886,6,FALSE))))</f>
        <v>3197</v>
      </c>
      <c r="E1921" s="29"/>
    </row>
    <row r="1922" spans="1:5" ht="12" customHeight="1">
      <c r="A1922" s="155" t="str">
        <f>"201306 2"</f>
        <v>201306 2</v>
      </c>
      <c r="B1922" s="153" t="s">
        <v>55</v>
      </c>
      <c r="C1922" s="156" t="str">
        <f>IF(OR($A1922="",ISERROR(VALUE(LEFT($A1922,6)))),"",IF(LEN($A1922)=2,"WOJ. ",IF(LEN($A1922)=4,IF(VALUE(RIGHT($A1922,2))&gt;60,"","Powiat "),IF(VALUE(RIGHT($A1922,1))=1,"m. ",IF(VALUE(RIGHT($A1922,1))=2,"gm. w. ",IF(VALUE(RIGHT($A1922,1))=8,"dz. ","gm. m.-w. ")))))&amp;IF(LEN($A1922)=2,TRIM(UPPER(VLOOKUP($A1922,GUS_tabl_1!$A$7:$B$22,2,FALSE))),IF(ISERROR(FIND("..",TRIM(VLOOKUP(IF(AND(LEN($A1922)=4,VALUE(RIGHT($A1922,2))&gt;60),$A1922&amp;"01 1",$A1922),IF(AND(LEN($A1922)=4,VALUE(RIGHT($A1922,2))&lt;60),GUS_tabl_2!$A$8:$B$464,GUS_tabl_21!$A$5:$B$4886),2,FALSE)))),TRIM(VLOOKUP(IF(AND(LEN($A1922)=4,VALUE(RIGHT($A1922,2))&gt;60),$A1922&amp;"01 1",$A1922),IF(AND(LEN($A1922)=4,VALUE(RIGHT($A1922,2))&lt;60),GUS_tabl_2!$A$8:$B$464,GUS_tabl_21!$A$5:$B$4886),2,FALSE)),LEFT(TRIM(VLOOKUP(IF(AND(LEN($A1922)=4,VALUE(RIGHT($A1922,2))&gt;60),$A1922&amp;"01 1",$A1922),IF(AND(LEN($A1922)=4,VALUE(RIGHT($A1922,2))&lt;60),GUS_tabl_2!$A$8:$B$464,GUS_tabl_21!$A$5:$B$4886),2,FALSE)),SUM(FIND("..",TRIM(VLOOKUP(IF(AND(LEN($A1922)=4,VALUE(RIGHT($A1922,2))&gt;60),$A1922&amp;"01 1",$A1922),IF(AND(LEN($A1922)=4,VALUE(RIGHT($A1922,2))&lt;60),GUS_tabl_2!$A$8:$B$464,GUS_tabl_21!$A$5:$B$4886),2,FALSE))),-1)))))</f>
        <v>gm. w. Kulesze Kościelne</v>
      </c>
      <c r="D1922" s="141">
        <f>IF(OR($A1922="",ISERROR(VALUE(LEFT($A1922,6)))),"",IF(LEN($A1922)=2,SUMIF($A1923:$A$2965,$A1922&amp;"??",$D1923:$D$2965),IF(AND(LEN($A1922)=4,VALUE(RIGHT($A1922,2))&lt;=60),SUMIF($A1923:$A$2965,$A1922&amp;"????",$D1923:$D$2965),VLOOKUP(IF(LEN($A1922)=4,$A1922&amp;"01 1",$A1922),GUS_tabl_21!$A$5:$F$4886,6,FALSE))))</f>
        <v>3072</v>
      </c>
      <c r="E1922" s="29"/>
    </row>
    <row r="1923" spans="1:5" ht="12" customHeight="1">
      <c r="A1923" s="155" t="str">
        <f>"201307 2"</f>
        <v>201307 2</v>
      </c>
      <c r="B1923" s="153" t="s">
        <v>55</v>
      </c>
      <c r="C1923" s="156" t="str">
        <f>IF(OR($A1923="",ISERROR(VALUE(LEFT($A1923,6)))),"",IF(LEN($A1923)=2,"WOJ. ",IF(LEN($A1923)=4,IF(VALUE(RIGHT($A1923,2))&gt;60,"","Powiat "),IF(VALUE(RIGHT($A1923,1))=1,"m. ",IF(VALUE(RIGHT($A1923,1))=2,"gm. w. ",IF(VALUE(RIGHT($A1923,1))=8,"dz. ","gm. m.-w. ")))))&amp;IF(LEN($A1923)=2,TRIM(UPPER(VLOOKUP($A1923,GUS_tabl_1!$A$7:$B$22,2,FALSE))),IF(ISERROR(FIND("..",TRIM(VLOOKUP(IF(AND(LEN($A1923)=4,VALUE(RIGHT($A1923,2))&gt;60),$A1923&amp;"01 1",$A1923),IF(AND(LEN($A1923)=4,VALUE(RIGHT($A1923,2))&lt;60),GUS_tabl_2!$A$8:$B$464,GUS_tabl_21!$A$5:$B$4886),2,FALSE)))),TRIM(VLOOKUP(IF(AND(LEN($A1923)=4,VALUE(RIGHT($A1923,2))&gt;60),$A1923&amp;"01 1",$A1923),IF(AND(LEN($A1923)=4,VALUE(RIGHT($A1923,2))&lt;60),GUS_tabl_2!$A$8:$B$464,GUS_tabl_21!$A$5:$B$4886),2,FALSE)),LEFT(TRIM(VLOOKUP(IF(AND(LEN($A1923)=4,VALUE(RIGHT($A1923,2))&gt;60),$A1923&amp;"01 1",$A1923),IF(AND(LEN($A1923)=4,VALUE(RIGHT($A1923,2))&lt;60),GUS_tabl_2!$A$8:$B$464,GUS_tabl_21!$A$5:$B$4886),2,FALSE)),SUM(FIND("..",TRIM(VLOOKUP(IF(AND(LEN($A1923)=4,VALUE(RIGHT($A1923,2))&gt;60),$A1923&amp;"01 1",$A1923),IF(AND(LEN($A1923)=4,VALUE(RIGHT($A1923,2))&lt;60),GUS_tabl_2!$A$8:$B$464,GUS_tabl_21!$A$5:$B$4886),2,FALSE))),-1)))))</f>
        <v>gm. w. Nowe Piekuty</v>
      </c>
      <c r="D1923" s="141">
        <f>IF(OR($A1923="",ISERROR(VALUE(LEFT($A1923,6)))),"",IF(LEN($A1923)=2,SUMIF($A1924:$A$2965,$A1923&amp;"??",$D1924:$D$2965),IF(AND(LEN($A1923)=4,VALUE(RIGHT($A1923,2))&lt;=60),SUMIF($A1924:$A$2965,$A1923&amp;"????",$D1924:$D$2965),VLOOKUP(IF(LEN($A1923)=4,$A1923&amp;"01 1",$A1923),GUS_tabl_21!$A$5:$F$4886,6,FALSE))))</f>
        <v>3861</v>
      </c>
      <c r="E1923" s="29"/>
    </row>
    <row r="1924" spans="1:5" ht="12" customHeight="1">
      <c r="A1924" s="155" t="str">
        <f>"201308 2"</f>
        <v>201308 2</v>
      </c>
      <c r="B1924" s="153" t="s">
        <v>55</v>
      </c>
      <c r="C1924" s="156" t="str">
        <f>IF(OR($A1924="",ISERROR(VALUE(LEFT($A1924,6)))),"",IF(LEN($A1924)=2,"WOJ. ",IF(LEN($A1924)=4,IF(VALUE(RIGHT($A1924,2))&gt;60,"","Powiat "),IF(VALUE(RIGHT($A1924,1))=1,"m. ",IF(VALUE(RIGHT($A1924,1))=2,"gm. w. ",IF(VALUE(RIGHT($A1924,1))=8,"dz. ","gm. m.-w. ")))))&amp;IF(LEN($A1924)=2,TRIM(UPPER(VLOOKUP($A1924,GUS_tabl_1!$A$7:$B$22,2,FALSE))),IF(ISERROR(FIND("..",TRIM(VLOOKUP(IF(AND(LEN($A1924)=4,VALUE(RIGHT($A1924,2))&gt;60),$A1924&amp;"01 1",$A1924),IF(AND(LEN($A1924)=4,VALUE(RIGHT($A1924,2))&lt;60),GUS_tabl_2!$A$8:$B$464,GUS_tabl_21!$A$5:$B$4886),2,FALSE)))),TRIM(VLOOKUP(IF(AND(LEN($A1924)=4,VALUE(RIGHT($A1924,2))&gt;60),$A1924&amp;"01 1",$A1924),IF(AND(LEN($A1924)=4,VALUE(RIGHT($A1924,2))&lt;60),GUS_tabl_2!$A$8:$B$464,GUS_tabl_21!$A$5:$B$4886),2,FALSE)),LEFT(TRIM(VLOOKUP(IF(AND(LEN($A1924)=4,VALUE(RIGHT($A1924,2))&gt;60),$A1924&amp;"01 1",$A1924),IF(AND(LEN($A1924)=4,VALUE(RIGHT($A1924,2))&lt;60),GUS_tabl_2!$A$8:$B$464,GUS_tabl_21!$A$5:$B$4886),2,FALSE)),SUM(FIND("..",TRIM(VLOOKUP(IF(AND(LEN($A1924)=4,VALUE(RIGHT($A1924,2))&gt;60),$A1924&amp;"01 1",$A1924),IF(AND(LEN($A1924)=4,VALUE(RIGHT($A1924,2))&lt;60),GUS_tabl_2!$A$8:$B$464,GUS_tabl_21!$A$5:$B$4886),2,FALSE))),-1)))))</f>
        <v>gm. w. Sokoły</v>
      </c>
      <c r="D1924" s="141">
        <f>IF(OR($A1924="",ISERROR(VALUE(LEFT($A1924,6)))),"",IF(LEN($A1924)=2,SUMIF($A1925:$A$2965,$A1924&amp;"??",$D1925:$D$2965),IF(AND(LEN($A1924)=4,VALUE(RIGHT($A1924,2))&lt;=60),SUMIF($A1925:$A$2965,$A1924&amp;"????",$D1925:$D$2965),VLOOKUP(IF(LEN($A1924)=4,$A1924&amp;"01 1",$A1924),GUS_tabl_21!$A$5:$F$4886,6,FALSE))))</f>
        <v>5743</v>
      </c>
      <c r="E1924" s="29"/>
    </row>
    <row r="1925" spans="1:5" ht="12" customHeight="1">
      <c r="A1925" s="155" t="str">
        <f>"201309 3"</f>
        <v>201309 3</v>
      </c>
      <c r="B1925" s="153" t="s">
        <v>55</v>
      </c>
      <c r="C1925" s="156" t="str">
        <f>IF(OR($A1925="",ISERROR(VALUE(LEFT($A1925,6)))),"",IF(LEN($A1925)=2,"WOJ. ",IF(LEN($A1925)=4,IF(VALUE(RIGHT($A1925,2))&gt;60,"","Powiat "),IF(VALUE(RIGHT($A1925,1))=1,"m. ",IF(VALUE(RIGHT($A1925,1))=2,"gm. w. ",IF(VALUE(RIGHT($A1925,1))=8,"dz. ","gm. m.-w. ")))))&amp;IF(LEN($A1925)=2,TRIM(UPPER(VLOOKUP($A1925,GUS_tabl_1!$A$7:$B$22,2,FALSE))),IF(ISERROR(FIND("..",TRIM(VLOOKUP(IF(AND(LEN($A1925)=4,VALUE(RIGHT($A1925,2))&gt;60),$A1925&amp;"01 1",$A1925),IF(AND(LEN($A1925)=4,VALUE(RIGHT($A1925,2))&lt;60),GUS_tabl_2!$A$8:$B$464,GUS_tabl_21!$A$5:$B$4886),2,FALSE)))),TRIM(VLOOKUP(IF(AND(LEN($A1925)=4,VALUE(RIGHT($A1925,2))&gt;60),$A1925&amp;"01 1",$A1925),IF(AND(LEN($A1925)=4,VALUE(RIGHT($A1925,2))&lt;60),GUS_tabl_2!$A$8:$B$464,GUS_tabl_21!$A$5:$B$4886),2,FALSE)),LEFT(TRIM(VLOOKUP(IF(AND(LEN($A1925)=4,VALUE(RIGHT($A1925,2))&gt;60),$A1925&amp;"01 1",$A1925),IF(AND(LEN($A1925)=4,VALUE(RIGHT($A1925,2))&lt;60),GUS_tabl_2!$A$8:$B$464,GUS_tabl_21!$A$5:$B$4886),2,FALSE)),SUM(FIND("..",TRIM(VLOOKUP(IF(AND(LEN($A1925)=4,VALUE(RIGHT($A1925,2))&gt;60),$A1925&amp;"01 1",$A1925),IF(AND(LEN($A1925)=4,VALUE(RIGHT($A1925,2))&lt;60),GUS_tabl_2!$A$8:$B$464,GUS_tabl_21!$A$5:$B$4886),2,FALSE))),-1)))))</f>
        <v>gm. m.-w. Szepietowo</v>
      </c>
      <c r="D1925" s="141">
        <f>IF(OR($A1925="",ISERROR(VALUE(LEFT($A1925,6)))),"",IF(LEN($A1925)=2,SUMIF($A1926:$A$2965,$A1925&amp;"??",$D1926:$D$2965),IF(AND(LEN($A1925)=4,VALUE(RIGHT($A1925,2))&lt;=60),SUMIF($A1926:$A$2965,$A1925&amp;"????",$D1926:$D$2965),VLOOKUP(IF(LEN($A1925)=4,$A1925&amp;"01 1",$A1925),GUS_tabl_21!$A$5:$F$4886,6,FALSE))))</f>
        <v>6890</v>
      </c>
      <c r="E1925" s="29"/>
    </row>
    <row r="1926" spans="1:5" ht="12" customHeight="1">
      <c r="A1926" s="155" t="str">
        <f>"201310 2"</f>
        <v>201310 2</v>
      </c>
      <c r="B1926" s="153" t="s">
        <v>55</v>
      </c>
      <c r="C1926" s="156" t="str">
        <f>IF(OR($A1926="",ISERROR(VALUE(LEFT($A1926,6)))),"",IF(LEN($A1926)=2,"WOJ. ",IF(LEN($A1926)=4,IF(VALUE(RIGHT($A1926,2))&gt;60,"","Powiat "),IF(VALUE(RIGHT($A1926,1))=1,"m. ",IF(VALUE(RIGHT($A1926,1))=2,"gm. w. ",IF(VALUE(RIGHT($A1926,1))=8,"dz. ","gm. m.-w. ")))))&amp;IF(LEN($A1926)=2,TRIM(UPPER(VLOOKUP($A1926,GUS_tabl_1!$A$7:$B$22,2,FALSE))),IF(ISERROR(FIND("..",TRIM(VLOOKUP(IF(AND(LEN($A1926)=4,VALUE(RIGHT($A1926,2))&gt;60),$A1926&amp;"01 1",$A1926),IF(AND(LEN($A1926)=4,VALUE(RIGHT($A1926,2))&lt;60),GUS_tabl_2!$A$8:$B$464,GUS_tabl_21!$A$5:$B$4886),2,FALSE)))),TRIM(VLOOKUP(IF(AND(LEN($A1926)=4,VALUE(RIGHT($A1926,2))&gt;60),$A1926&amp;"01 1",$A1926),IF(AND(LEN($A1926)=4,VALUE(RIGHT($A1926,2))&lt;60),GUS_tabl_2!$A$8:$B$464,GUS_tabl_21!$A$5:$B$4886),2,FALSE)),LEFT(TRIM(VLOOKUP(IF(AND(LEN($A1926)=4,VALUE(RIGHT($A1926,2))&gt;60),$A1926&amp;"01 1",$A1926),IF(AND(LEN($A1926)=4,VALUE(RIGHT($A1926,2))&lt;60),GUS_tabl_2!$A$8:$B$464,GUS_tabl_21!$A$5:$B$4886),2,FALSE)),SUM(FIND("..",TRIM(VLOOKUP(IF(AND(LEN($A1926)=4,VALUE(RIGHT($A1926,2))&gt;60),$A1926&amp;"01 1",$A1926),IF(AND(LEN($A1926)=4,VALUE(RIGHT($A1926,2))&lt;60),GUS_tabl_2!$A$8:$B$464,GUS_tabl_21!$A$5:$B$4886),2,FALSE))),-1)))))</f>
        <v>gm. w. Wysokie Mazowieckie</v>
      </c>
      <c r="D1926" s="141">
        <f>IF(OR($A1926="",ISERROR(VALUE(LEFT($A1926,6)))),"",IF(LEN($A1926)=2,SUMIF($A1927:$A$2965,$A1926&amp;"??",$D1927:$D$2965),IF(AND(LEN($A1926)=4,VALUE(RIGHT($A1926,2))&lt;=60),SUMIF($A1927:$A$2965,$A1926&amp;"????",$D1927:$D$2965),VLOOKUP(IF(LEN($A1926)=4,$A1926&amp;"01 1",$A1926),GUS_tabl_21!$A$5:$F$4886,6,FALSE))))</f>
        <v>5481</v>
      </c>
      <c r="E1926" s="29"/>
    </row>
    <row r="1927" spans="1:5" ht="12" customHeight="1">
      <c r="A1927" s="152" t="str">
        <f>"2014"</f>
        <v>2014</v>
      </c>
      <c r="B1927" s="153" t="s">
        <v>55</v>
      </c>
      <c r="C1927" s="154" t="str">
        <f>IF(OR($A1927="",ISERROR(VALUE(LEFT($A1927,6)))),"",IF(LEN($A1927)=2,"WOJ. ",IF(LEN($A1927)=4,IF(VALUE(RIGHT($A1927,2))&gt;60,"","Powiat "),IF(VALUE(RIGHT($A1927,1))=1,"m. ",IF(VALUE(RIGHT($A1927,1))=2,"gm. w. ",IF(VALUE(RIGHT($A1927,1))=8,"dz. ","gm. m.-w. ")))))&amp;IF(LEN($A1927)=2,TRIM(UPPER(VLOOKUP($A1927,GUS_tabl_1!$A$7:$B$22,2,FALSE))),IF(ISERROR(FIND("..",TRIM(VLOOKUP(IF(AND(LEN($A1927)=4,VALUE(RIGHT($A1927,2))&gt;60),$A1927&amp;"01 1",$A1927),IF(AND(LEN($A1927)=4,VALUE(RIGHT($A1927,2))&lt;60),GUS_tabl_2!$A$8:$B$464,GUS_tabl_21!$A$5:$B$4886),2,FALSE)))),TRIM(VLOOKUP(IF(AND(LEN($A1927)=4,VALUE(RIGHT($A1927,2))&gt;60),$A1927&amp;"01 1",$A1927),IF(AND(LEN($A1927)=4,VALUE(RIGHT($A1927,2))&lt;60),GUS_tabl_2!$A$8:$B$464,GUS_tabl_21!$A$5:$B$4886),2,FALSE)),LEFT(TRIM(VLOOKUP(IF(AND(LEN($A1927)=4,VALUE(RIGHT($A1927,2))&gt;60),$A1927&amp;"01 1",$A1927),IF(AND(LEN($A1927)=4,VALUE(RIGHT($A1927,2))&lt;60),GUS_tabl_2!$A$8:$B$464,GUS_tabl_21!$A$5:$B$4886),2,FALSE)),SUM(FIND("..",TRIM(VLOOKUP(IF(AND(LEN($A1927)=4,VALUE(RIGHT($A1927,2))&gt;60),$A1927&amp;"01 1",$A1927),IF(AND(LEN($A1927)=4,VALUE(RIGHT($A1927,2))&lt;60),GUS_tabl_2!$A$8:$B$464,GUS_tabl_21!$A$5:$B$4886),2,FALSE))),-1)))))</f>
        <v>Powiat zambrowski</v>
      </c>
      <c r="D1927" s="140">
        <f>IF(OR($A1927="",ISERROR(VALUE(LEFT($A1927,6)))),"",IF(LEN($A1927)=2,SUMIF($A1928:$A$2965,$A1927&amp;"??",$D1928:$D$2965),IF(AND(LEN($A1927)=4,VALUE(RIGHT($A1927,2))&lt;=60),SUMIF($A1928:$A$2965,$A1927&amp;"????",$D1928:$D$2965),VLOOKUP(IF(LEN($A1927)=4,$A1927&amp;"01 1",$A1927),GUS_tabl_21!$A$5:$F$4886,6,FALSE))))</f>
        <v>43505</v>
      </c>
      <c r="E1927" s="29"/>
    </row>
    <row r="1928" spans="1:5" ht="12" customHeight="1">
      <c r="A1928" s="155" t="str">
        <f>"201401 1"</f>
        <v>201401 1</v>
      </c>
      <c r="B1928" s="153" t="s">
        <v>55</v>
      </c>
      <c r="C1928" s="156" t="str">
        <f>IF(OR($A1928="",ISERROR(VALUE(LEFT($A1928,6)))),"",IF(LEN($A1928)=2,"WOJ. ",IF(LEN($A1928)=4,IF(VALUE(RIGHT($A1928,2))&gt;60,"","Powiat "),IF(VALUE(RIGHT($A1928,1))=1,"m. ",IF(VALUE(RIGHT($A1928,1))=2,"gm. w. ",IF(VALUE(RIGHT($A1928,1))=8,"dz. ","gm. m.-w. ")))))&amp;IF(LEN($A1928)=2,TRIM(UPPER(VLOOKUP($A1928,GUS_tabl_1!$A$7:$B$22,2,FALSE))),IF(ISERROR(FIND("..",TRIM(VLOOKUP(IF(AND(LEN($A1928)=4,VALUE(RIGHT($A1928,2))&gt;60),$A1928&amp;"01 1",$A1928),IF(AND(LEN($A1928)=4,VALUE(RIGHT($A1928,2))&lt;60),GUS_tabl_2!$A$8:$B$464,GUS_tabl_21!$A$5:$B$4886),2,FALSE)))),TRIM(VLOOKUP(IF(AND(LEN($A1928)=4,VALUE(RIGHT($A1928,2))&gt;60),$A1928&amp;"01 1",$A1928),IF(AND(LEN($A1928)=4,VALUE(RIGHT($A1928,2))&lt;60),GUS_tabl_2!$A$8:$B$464,GUS_tabl_21!$A$5:$B$4886),2,FALSE)),LEFT(TRIM(VLOOKUP(IF(AND(LEN($A1928)=4,VALUE(RIGHT($A1928,2))&gt;60),$A1928&amp;"01 1",$A1928),IF(AND(LEN($A1928)=4,VALUE(RIGHT($A1928,2))&lt;60),GUS_tabl_2!$A$8:$B$464,GUS_tabl_21!$A$5:$B$4886),2,FALSE)),SUM(FIND("..",TRIM(VLOOKUP(IF(AND(LEN($A1928)=4,VALUE(RIGHT($A1928,2))&gt;60),$A1928&amp;"01 1",$A1928),IF(AND(LEN($A1928)=4,VALUE(RIGHT($A1928,2))&lt;60),GUS_tabl_2!$A$8:$B$464,GUS_tabl_21!$A$5:$B$4886),2,FALSE))),-1)))))</f>
        <v>m. Zambrów</v>
      </c>
      <c r="D1928" s="141">
        <f>IF(OR($A1928="",ISERROR(VALUE(LEFT($A1928,6)))),"",IF(LEN($A1928)=2,SUMIF($A1929:$A$2965,$A1928&amp;"??",$D1929:$D$2965),IF(AND(LEN($A1928)=4,VALUE(RIGHT($A1928,2))&lt;=60),SUMIF($A1929:$A$2965,$A1928&amp;"????",$D1929:$D$2965),VLOOKUP(IF(LEN($A1928)=4,$A1928&amp;"01 1",$A1928),GUS_tabl_21!$A$5:$F$4886,6,FALSE))))</f>
        <v>22018</v>
      </c>
      <c r="E1928" s="29"/>
    </row>
    <row r="1929" spans="1:5" ht="12" customHeight="1">
      <c r="A1929" s="155" t="str">
        <f>"201402 2"</f>
        <v>201402 2</v>
      </c>
      <c r="B1929" s="153" t="s">
        <v>55</v>
      </c>
      <c r="C1929" s="156" t="str">
        <f>IF(OR($A1929="",ISERROR(VALUE(LEFT($A1929,6)))),"",IF(LEN($A1929)=2,"WOJ. ",IF(LEN($A1929)=4,IF(VALUE(RIGHT($A1929,2))&gt;60,"","Powiat "),IF(VALUE(RIGHT($A1929,1))=1,"m. ",IF(VALUE(RIGHT($A1929,1))=2,"gm. w. ",IF(VALUE(RIGHT($A1929,1))=8,"dz. ","gm. m.-w. ")))))&amp;IF(LEN($A1929)=2,TRIM(UPPER(VLOOKUP($A1929,GUS_tabl_1!$A$7:$B$22,2,FALSE))),IF(ISERROR(FIND("..",TRIM(VLOOKUP(IF(AND(LEN($A1929)=4,VALUE(RIGHT($A1929,2))&gt;60),$A1929&amp;"01 1",$A1929),IF(AND(LEN($A1929)=4,VALUE(RIGHT($A1929,2))&lt;60),GUS_tabl_2!$A$8:$B$464,GUS_tabl_21!$A$5:$B$4886),2,FALSE)))),TRIM(VLOOKUP(IF(AND(LEN($A1929)=4,VALUE(RIGHT($A1929,2))&gt;60),$A1929&amp;"01 1",$A1929),IF(AND(LEN($A1929)=4,VALUE(RIGHT($A1929,2))&lt;60),GUS_tabl_2!$A$8:$B$464,GUS_tabl_21!$A$5:$B$4886),2,FALSE)),LEFT(TRIM(VLOOKUP(IF(AND(LEN($A1929)=4,VALUE(RIGHT($A1929,2))&gt;60),$A1929&amp;"01 1",$A1929),IF(AND(LEN($A1929)=4,VALUE(RIGHT($A1929,2))&lt;60),GUS_tabl_2!$A$8:$B$464,GUS_tabl_21!$A$5:$B$4886),2,FALSE)),SUM(FIND("..",TRIM(VLOOKUP(IF(AND(LEN($A1929)=4,VALUE(RIGHT($A1929,2))&gt;60),$A1929&amp;"01 1",$A1929),IF(AND(LEN($A1929)=4,VALUE(RIGHT($A1929,2))&lt;60),GUS_tabl_2!$A$8:$B$464,GUS_tabl_21!$A$5:$B$4886),2,FALSE))),-1)))))</f>
        <v>gm. w. Kołaki Kościelne</v>
      </c>
      <c r="D1929" s="141">
        <f>IF(OR($A1929="",ISERROR(VALUE(LEFT($A1929,6)))),"",IF(LEN($A1929)=2,SUMIF($A1930:$A$2965,$A1929&amp;"??",$D1930:$D$2965),IF(AND(LEN($A1929)=4,VALUE(RIGHT($A1929,2))&lt;=60),SUMIF($A1930:$A$2965,$A1929&amp;"????",$D1930:$D$2965),VLOOKUP(IF(LEN($A1929)=4,$A1929&amp;"01 1",$A1929),GUS_tabl_21!$A$5:$F$4886,6,FALSE))))</f>
        <v>2289</v>
      </c>
      <c r="E1929" s="29"/>
    </row>
    <row r="1930" spans="1:5" ht="12" customHeight="1">
      <c r="A1930" s="155" t="str">
        <f>"201403 2"</f>
        <v>201403 2</v>
      </c>
      <c r="B1930" s="153" t="s">
        <v>55</v>
      </c>
      <c r="C1930" s="156" t="str">
        <f>IF(OR($A1930="",ISERROR(VALUE(LEFT($A1930,6)))),"",IF(LEN($A1930)=2,"WOJ. ",IF(LEN($A1930)=4,IF(VALUE(RIGHT($A1930,2))&gt;60,"","Powiat "),IF(VALUE(RIGHT($A1930,1))=1,"m. ",IF(VALUE(RIGHT($A1930,1))=2,"gm. w. ",IF(VALUE(RIGHT($A1930,1))=8,"dz. ","gm. m.-w. ")))))&amp;IF(LEN($A1930)=2,TRIM(UPPER(VLOOKUP($A1930,GUS_tabl_1!$A$7:$B$22,2,FALSE))),IF(ISERROR(FIND("..",TRIM(VLOOKUP(IF(AND(LEN($A1930)=4,VALUE(RIGHT($A1930,2))&gt;60),$A1930&amp;"01 1",$A1930),IF(AND(LEN($A1930)=4,VALUE(RIGHT($A1930,2))&lt;60),GUS_tabl_2!$A$8:$B$464,GUS_tabl_21!$A$5:$B$4886),2,FALSE)))),TRIM(VLOOKUP(IF(AND(LEN($A1930)=4,VALUE(RIGHT($A1930,2))&gt;60),$A1930&amp;"01 1",$A1930),IF(AND(LEN($A1930)=4,VALUE(RIGHT($A1930,2))&lt;60),GUS_tabl_2!$A$8:$B$464,GUS_tabl_21!$A$5:$B$4886),2,FALSE)),LEFT(TRIM(VLOOKUP(IF(AND(LEN($A1930)=4,VALUE(RIGHT($A1930,2))&gt;60),$A1930&amp;"01 1",$A1930),IF(AND(LEN($A1930)=4,VALUE(RIGHT($A1930,2))&lt;60),GUS_tabl_2!$A$8:$B$464,GUS_tabl_21!$A$5:$B$4886),2,FALSE)),SUM(FIND("..",TRIM(VLOOKUP(IF(AND(LEN($A1930)=4,VALUE(RIGHT($A1930,2))&gt;60),$A1930&amp;"01 1",$A1930),IF(AND(LEN($A1930)=4,VALUE(RIGHT($A1930,2))&lt;60),GUS_tabl_2!$A$8:$B$464,GUS_tabl_21!$A$5:$B$4886),2,FALSE))),-1)))))</f>
        <v>gm. w. Rutki</v>
      </c>
      <c r="D1930" s="141">
        <f>IF(OR($A1930="",ISERROR(VALUE(LEFT($A1930,6)))),"",IF(LEN($A1930)=2,SUMIF($A1931:$A$2965,$A1930&amp;"??",$D1931:$D$2965),IF(AND(LEN($A1930)=4,VALUE(RIGHT($A1930,2))&lt;=60),SUMIF($A1931:$A$2965,$A1930&amp;"????",$D1931:$D$2965),VLOOKUP(IF(LEN($A1930)=4,$A1930&amp;"01 1",$A1930),GUS_tabl_21!$A$5:$F$4886,6,FALSE))))</f>
        <v>5514</v>
      </c>
      <c r="E1930" s="29"/>
    </row>
    <row r="1931" spans="1:5" ht="12" customHeight="1">
      <c r="A1931" s="155" t="str">
        <f>"201404 2"</f>
        <v>201404 2</v>
      </c>
      <c r="B1931" s="153" t="s">
        <v>55</v>
      </c>
      <c r="C1931" s="156" t="str">
        <f>IF(OR($A1931="",ISERROR(VALUE(LEFT($A1931,6)))),"",IF(LEN($A1931)=2,"WOJ. ",IF(LEN($A1931)=4,IF(VALUE(RIGHT($A1931,2))&gt;60,"","Powiat "),IF(VALUE(RIGHT($A1931,1))=1,"m. ",IF(VALUE(RIGHT($A1931,1))=2,"gm. w. ",IF(VALUE(RIGHT($A1931,1))=8,"dz. ","gm. m.-w. ")))))&amp;IF(LEN($A1931)=2,TRIM(UPPER(VLOOKUP($A1931,GUS_tabl_1!$A$7:$B$22,2,FALSE))),IF(ISERROR(FIND("..",TRIM(VLOOKUP(IF(AND(LEN($A1931)=4,VALUE(RIGHT($A1931,2))&gt;60),$A1931&amp;"01 1",$A1931),IF(AND(LEN($A1931)=4,VALUE(RIGHT($A1931,2))&lt;60),GUS_tabl_2!$A$8:$B$464,GUS_tabl_21!$A$5:$B$4886),2,FALSE)))),TRIM(VLOOKUP(IF(AND(LEN($A1931)=4,VALUE(RIGHT($A1931,2))&gt;60),$A1931&amp;"01 1",$A1931),IF(AND(LEN($A1931)=4,VALUE(RIGHT($A1931,2))&lt;60),GUS_tabl_2!$A$8:$B$464,GUS_tabl_21!$A$5:$B$4886),2,FALSE)),LEFT(TRIM(VLOOKUP(IF(AND(LEN($A1931)=4,VALUE(RIGHT($A1931,2))&gt;60),$A1931&amp;"01 1",$A1931),IF(AND(LEN($A1931)=4,VALUE(RIGHT($A1931,2))&lt;60),GUS_tabl_2!$A$8:$B$464,GUS_tabl_21!$A$5:$B$4886),2,FALSE)),SUM(FIND("..",TRIM(VLOOKUP(IF(AND(LEN($A1931)=4,VALUE(RIGHT($A1931,2))&gt;60),$A1931&amp;"01 1",$A1931),IF(AND(LEN($A1931)=4,VALUE(RIGHT($A1931,2))&lt;60),GUS_tabl_2!$A$8:$B$464,GUS_tabl_21!$A$5:$B$4886),2,FALSE))),-1)))))</f>
        <v>gm. w. Szumowo</v>
      </c>
      <c r="D1931" s="141">
        <f>IF(OR($A1931="",ISERROR(VALUE(LEFT($A1931,6)))),"",IF(LEN($A1931)=2,SUMIF($A1932:$A$2965,$A1931&amp;"??",$D1932:$D$2965),IF(AND(LEN($A1931)=4,VALUE(RIGHT($A1931,2))&lt;=60),SUMIF($A1932:$A$2965,$A1931&amp;"????",$D1932:$D$2965),VLOOKUP(IF(LEN($A1931)=4,$A1931&amp;"01 1",$A1931),GUS_tabl_21!$A$5:$F$4886,6,FALSE))))</f>
        <v>4809</v>
      </c>
      <c r="E1931" s="29"/>
    </row>
    <row r="1932" spans="1:5" ht="12" customHeight="1">
      <c r="A1932" s="155" t="str">
        <f>"201405 2"</f>
        <v>201405 2</v>
      </c>
      <c r="B1932" s="153" t="s">
        <v>55</v>
      </c>
      <c r="C1932" s="156" t="str">
        <f>IF(OR($A1932="",ISERROR(VALUE(LEFT($A1932,6)))),"",IF(LEN($A1932)=2,"WOJ. ",IF(LEN($A1932)=4,IF(VALUE(RIGHT($A1932,2))&gt;60,"","Powiat "),IF(VALUE(RIGHT($A1932,1))=1,"m. ",IF(VALUE(RIGHT($A1932,1))=2,"gm. w. ",IF(VALUE(RIGHT($A1932,1))=8,"dz. ","gm. m.-w. ")))))&amp;IF(LEN($A1932)=2,TRIM(UPPER(VLOOKUP($A1932,GUS_tabl_1!$A$7:$B$22,2,FALSE))),IF(ISERROR(FIND("..",TRIM(VLOOKUP(IF(AND(LEN($A1932)=4,VALUE(RIGHT($A1932,2))&gt;60),$A1932&amp;"01 1",$A1932),IF(AND(LEN($A1932)=4,VALUE(RIGHT($A1932,2))&lt;60),GUS_tabl_2!$A$8:$B$464,GUS_tabl_21!$A$5:$B$4886),2,FALSE)))),TRIM(VLOOKUP(IF(AND(LEN($A1932)=4,VALUE(RIGHT($A1932,2))&gt;60),$A1932&amp;"01 1",$A1932),IF(AND(LEN($A1932)=4,VALUE(RIGHT($A1932,2))&lt;60),GUS_tabl_2!$A$8:$B$464,GUS_tabl_21!$A$5:$B$4886),2,FALSE)),LEFT(TRIM(VLOOKUP(IF(AND(LEN($A1932)=4,VALUE(RIGHT($A1932,2))&gt;60),$A1932&amp;"01 1",$A1932),IF(AND(LEN($A1932)=4,VALUE(RIGHT($A1932,2))&lt;60),GUS_tabl_2!$A$8:$B$464,GUS_tabl_21!$A$5:$B$4886),2,FALSE)),SUM(FIND("..",TRIM(VLOOKUP(IF(AND(LEN($A1932)=4,VALUE(RIGHT($A1932,2))&gt;60),$A1932&amp;"01 1",$A1932),IF(AND(LEN($A1932)=4,VALUE(RIGHT($A1932,2))&lt;60),GUS_tabl_2!$A$8:$B$464,GUS_tabl_21!$A$5:$B$4886),2,FALSE))),-1)))))</f>
        <v>gm. w. Zambrów</v>
      </c>
      <c r="D1932" s="141">
        <f>IF(OR($A1932="",ISERROR(VALUE(LEFT($A1932,6)))),"",IF(LEN($A1932)=2,SUMIF($A1933:$A$2965,$A1932&amp;"??",$D1933:$D$2965),IF(AND(LEN($A1932)=4,VALUE(RIGHT($A1932,2))&lt;=60),SUMIF($A1933:$A$2965,$A1932&amp;"????",$D1933:$D$2965),VLOOKUP(IF(LEN($A1932)=4,$A1932&amp;"01 1",$A1932),GUS_tabl_21!$A$5:$F$4886,6,FALSE))))</f>
        <v>8875</v>
      </c>
      <c r="E1932" s="29"/>
    </row>
    <row r="1933" spans="1:5" ht="12" customHeight="1">
      <c r="A1933" s="152"/>
      <c r="B1933" s="153" t="s">
        <v>55</v>
      </c>
      <c r="C1933" s="154" t="s">
        <v>0</v>
      </c>
      <c r="D1933" s="140" t="str">
        <f>IF(OR($A1933="",ISERROR(VALUE(LEFT($A1933,6)))),"",IF(LEN($A1933)=2,SUMIF($A1934:$A$2965,$A1933&amp;"??",$D1934:$D$2965),IF(AND(LEN($A1933)=4,VALUE(RIGHT($A1933,2))&lt;=60),SUMIF($A1934:$A$2965,$A1933&amp;"????",$D1934:$D$2965),VLOOKUP(IF(LEN($A1933)=4,$A1933&amp;"01 1",$A1933),GUS_tabl_21!$A$5:$F$4886,6,FALSE))))</f>
        <v/>
      </c>
      <c r="E1933" s="29"/>
    </row>
    <row r="1934" spans="1:5" ht="12" customHeight="1">
      <c r="A1934" s="152"/>
      <c r="B1934" s="153" t="s">
        <v>55</v>
      </c>
      <c r="C1934" s="162" t="s">
        <v>1</v>
      </c>
      <c r="D1934" s="140" t="str">
        <f>IF(OR($A1934="",ISERROR(VALUE(LEFT($A1934,6)))),"",IF(LEN($A1934)=2,SUMIF($A1935:$A$2965,$A1934&amp;"??",$D1935:$D$2965),IF(AND(LEN($A1934)=4,VALUE(RIGHT($A1934,2))&lt;=60),SUMIF($A1935:$A$2965,$A1934&amp;"????",$D1935:$D$2965),VLOOKUP(IF(LEN($A1934)=4,$A1934&amp;"01 1",$A1934),GUS_tabl_21!$A$5:$F$4886,6,FALSE))))</f>
        <v/>
      </c>
      <c r="E1934" s="29"/>
    </row>
    <row r="1935" spans="1:5" ht="12" customHeight="1">
      <c r="A1935" s="152" t="str">
        <f>"2061"</f>
        <v>2061</v>
      </c>
      <c r="B1935" s="153" t="s">
        <v>55</v>
      </c>
      <c r="C1935" s="154" t="str">
        <f>IF(OR($A1935="",ISERROR(VALUE(LEFT($A1935,6)))),"",IF(LEN($A1935)=2,"WOJ. ",IF(LEN($A1935)=4,IF(VALUE(RIGHT($A1935,2))&gt;60,"","Powiat "),IF(VALUE(RIGHT($A1935,1))=1,"m. ",IF(VALUE(RIGHT($A1935,1))=2,"gm. w. ",IF(VALUE(RIGHT($A1935,1))=8,"dz. ","gm. m.-w. ")))))&amp;IF(LEN($A1935)=2,TRIM(UPPER(VLOOKUP($A1935,GUS_tabl_1!$A$7:$B$22,2,FALSE))),IF(ISERROR(FIND("..",TRIM(VLOOKUP(IF(AND(LEN($A1935)=4,VALUE(RIGHT($A1935,2))&gt;60),$A1935&amp;"01 1",$A1935),IF(AND(LEN($A1935)=4,VALUE(RIGHT($A1935,2))&lt;60),GUS_tabl_2!$A$8:$B$464,GUS_tabl_21!$A$5:$B$4886),2,FALSE)))),TRIM(VLOOKUP(IF(AND(LEN($A1935)=4,VALUE(RIGHT($A1935,2))&gt;60),$A1935&amp;"01 1",$A1935),IF(AND(LEN($A1935)=4,VALUE(RIGHT($A1935,2))&lt;60),GUS_tabl_2!$A$8:$B$464,GUS_tabl_21!$A$5:$B$4886),2,FALSE)),LEFT(TRIM(VLOOKUP(IF(AND(LEN($A1935)=4,VALUE(RIGHT($A1935,2))&gt;60),$A1935&amp;"01 1",$A1935),IF(AND(LEN($A1935)=4,VALUE(RIGHT($A1935,2))&lt;60),GUS_tabl_2!$A$8:$B$464,GUS_tabl_21!$A$5:$B$4886),2,FALSE)),SUM(FIND("..",TRIM(VLOOKUP(IF(AND(LEN($A1935)=4,VALUE(RIGHT($A1935,2))&gt;60),$A1935&amp;"01 1",$A1935),IF(AND(LEN($A1935)=4,VALUE(RIGHT($A1935,2))&lt;60),GUS_tabl_2!$A$8:$B$464,GUS_tabl_21!$A$5:$B$4886),2,FALSE))),-1)))))</f>
        <v>Białystok</v>
      </c>
      <c r="D1935" s="140">
        <f>IF(OR($A1935="",ISERROR(VALUE(LEFT($A1935,6)))),"",IF(LEN($A1935)=2,SUMIF($A1936:$A$2965,$A1935&amp;"??",$D1936:$D$2965),IF(AND(LEN($A1935)=4,VALUE(RIGHT($A1935,2))&lt;=60),SUMIF($A1936:$A$2965,$A1935&amp;"????",$D1936:$D$2965),VLOOKUP(IF(LEN($A1935)=4,$A1935&amp;"01 1",$A1935),GUS_tabl_21!$A$5:$F$4886,6,FALSE))))</f>
        <v>297554</v>
      </c>
      <c r="E1935" s="29"/>
    </row>
    <row r="1936" spans="1:5" ht="12" customHeight="1">
      <c r="A1936" s="152" t="str">
        <f>"2062"</f>
        <v>2062</v>
      </c>
      <c r="B1936" s="153" t="s">
        <v>55</v>
      </c>
      <c r="C1936" s="154" t="str">
        <f>IF(OR($A1936="",ISERROR(VALUE(LEFT($A1936,6)))),"",IF(LEN($A1936)=2,"WOJ. ",IF(LEN($A1936)=4,IF(VALUE(RIGHT($A1936,2))&gt;60,"","Powiat "),IF(VALUE(RIGHT($A1936,1))=1,"m. ",IF(VALUE(RIGHT($A1936,1))=2,"gm. w. ",IF(VALUE(RIGHT($A1936,1))=8,"dz. ","gm. m.-w. ")))))&amp;IF(LEN($A1936)=2,TRIM(UPPER(VLOOKUP($A1936,GUS_tabl_1!$A$7:$B$22,2,FALSE))),IF(ISERROR(FIND("..",TRIM(VLOOKUP(IF(AND(LEN($A1936)=4,VALUE(RIGHT($A1936,2))&gt;60),$A1936&amp;"01 1",$A1936),IF(AND(LEN($A1936)=4,VALUE(RIGHT($A1936,2))&lt;60),GUS_tabl_2!$A$8:$B$464,GUS_tabl_21!$A$5:$B$4886),2,FALSE)))),TRIM(VLOOKUP(IF(AND(LEN($A1936)=4,VALUE(RIGHT($A1936,2))&gt;60),$A1936&amp;"01 1",$A1936),IF(AND(LEN($A1936)=4,VALUE(RIGHT($A1936,2))&lt;60),GUS_tabl_2!$A$8:$B$464,GUS_tabl_21!$A$5:$B$4886),2,FALSE)),LEFT(TRIM(VLOOKUP(IF(AND(LEN($A1936)=4,VALUE(RIGHT($A1936,2))&gt;60),$A1936&amp;"01 1",$A1936),IF(AND(LEN($A1936)=4,VALUE(RIGHT($A1936,2))&lt;60),GUS_tabl_2!$A$8:$B$464,GUS_tabl_21!$A$5:$B$4886),2,FALSE)),SUM(FIND("..",TRIM(VLOOKUP(IF(AND(LEN($A1936)=4,VALUE(RIGHT($A1936,2))&gt;60),$A1936&amp;"01 1",$A1936),IF(AND(LEN($A1936)=4,VALUE(RIGHT($A1936,2))&lt;60),GUS_tabl_2!$A$8:$B$464,GUS_tabl_21!$A$5:$B$4886),2,FALSE))),-1)))))</f>
        <v>Łomża</v>
      </c>
      <c r="D1936" s="140">
        <f>IF(OR($A1936="",ISERROR(VALUE(LEFT($A1936,6)))),"",IF(LEN($A1936)=2,SUMIF($A1937:$A$2965,$A1936&amp;"??",$D1937:$D$2965),IF(AND(LEN($A1936)=4,VALUE(RIGHT($A1936,2))&lt;=60),SUMIF($A1937:$A$2965,$A1936&amp;"????",$D1937:$D$2965),VLOOKUP(IF(LEN($A1936)=4,$A1936&amp;"01 1",$A1936),GUS_tabl_21!$A$5:$F$4886,6,FALSE))))</f>
        <v>62945</v>
      </c>
      <c r="E1936" s="29"/>
    </row>
    <row r="1937" spans="1:5" ht="12" customHeight="1">
      <c r="A1937" s="152" t="str">
        <f>"2063"</f>
        <v>2063</v>
      </c>
      <c r="B1937" s="153" t="s">
        <v>55</v>
      </c>
      <c r="C1937" s="154" t="str">
        <f>IF(OR($A1937="",ISERROR(VALUE(LEFT($A1937,6)))),"",IF(LEN($A1937)=2,"WOJ. ",IF(LEN($A1937)=4,IF(VALUE(RIGHT($A1937,2))&gt;60,"","Powiat "),IF(VALUE(RIGHT($A1937,1))=1,"m. ",IF(VALUE(RIGHT($A1937,1))=2,"gm. w. ",IF(VALUE(RIGHT($A1937,1))=8,"dz. ","gm. m.-w. ")))))&amp;IF(LEN($A1937)=2,TRIM(UPPER(VLOOKUP($A1937,GUS_tabl_1!$A$7:$B$22,2,FALSE))),IF(ISERROR(FIND("..",TRIM(VLOOKUP(IF(AND(LEN($A1937)=4,VALUE(RIGHT($A1937,2))&gt;60),$A1937&amp;"01 1",$A1937),IF(AND(LEN($A1937)=4,VALUE(RIGHT($A1937,2))&lt;60),GUS_tabl_2!$A$8:$B$464,GUS_tabl_21!$A$5:$B$4886),2,FALSE)))),TRIM(VLOOKUP(IF(AND(LEN($A1937)=4,VALUE(RIGHT($A1937,2))&gt;60),$A1937&amp;"01 1",$A1937),IF(AND(LEN($A1937)=4,VALUE(RIGHT($A1937,2))&lt;60),GUS_tabl_2!$A$8:$B$464,GUS_tabl_21!$A$5:$B$4886),2,FALSE)),LEFT(TRIM(VLOOKUP(IF(AND(LEN($A1937)=4,VALUE(RIGHT($A1937,2))&gt;60),$A1937&amp;"01 1",$A1937),IF(AND(LEN($A1937)=4,VALUE(RIGHT($A1937,2))&lt;60),GUS_tabl_2!$A$8:$B$464,GUS_tabl_21!$A$5:$B$4886),2,FALSE)),SUM(FIND("..",TRIM(VLOOKUP(IF(AND(LEN($A1937)=4,VALUE(RIGHT($A1937,2))&gt;60),$A1937&amp;"01 1",$A1937),IF(AND(LEN($A1937)=4,VALUE(RIGHT($A1937,2))&lt;60),GUS_tabl_2!$A$8:$B$464,GUS_tabl_21!$A$5:$B$4886),2,FALSE))),-1)))))</f>
        <v>Suwałki</v>
      </c>
      <c r="D1937" s="140">
        <f>IF(OR($A1937="",ISERROR(VALUE(LEFT($A1937,6)))),"",IF(LEN($A1937)=2,SUMIF($A1938:$A$2965,$A1937&amp;"??",$D1938:$D$2965),IF(AND(LEN($A1937)=4,VALUE(RIGHT($A1937,2))&lt;=60),SUMIF($A1938:$A$2965,$A1937&amp;"????",$D1938:$D$2965),VLOOKUP(IF(LEN($A1937)=4,$A1937&amp;"01 1",$A1937),GUS_tabl_21!$A$5:$F$4886,6,FALSE))))</f>
        <v>69758</v>
      </c>
      <c r="E1937" s="29"/>
    </row>
    <row r="1938" spans="1:5" ht="12" customHeight="1" thickBot="1">
      <c r="A1938" s="152"/>
      <c r="B1938" s="153"/>
      <c r="C1938" s="156"/>
      <c r="D1938" s="64"/>
      <c r="E1938" s="29"/>
    </row>
    <row r="1939" spans="1:5" ht="26.25" customHeight="1" thickTop="1">
      <c r="A1939" s="241" t="s">
        <v>97</v>
      </c>
      <c r="B1939" s="247" t="s">
        <v>60</v>
      </c>
      <c r="C1939" s="243" t="s">
        <v>7311</v>
      </c>
      <c r="D1939" s="251" t="s">
        <v>6</v>
      </c>
    </row>
    <row r="1940" spans="1:5" ht="25.5" customHeight="1" thickBot="1">
      <c r="A1940" s="242"/>
      <c r="B1940" s="253"/>
      <c r="C1940" s="244"/>
      <c r="D1940" s="252"/>
    </row>
    <row r="1941" spans="1:5" ht="12" customHeight="1" thickTop="1">
      <c r="A1941" s="158"/>
      <c r="B1941" s="153"/>
      <c r="C1941" s="156" t="str">
        <f>IF(OR($A1941="",ISERROR(VALUE(LEFT($A1941,6)))),"",IF(LEN($A1941)=2,"WOJ. ",IF(LEN($A1941)=4,IF(VALUE(RIGHT($A1941,2))&gt;60,"","Powiat "),IF(VALUE(RIGHT($A1941,1))=1,"m. ",IF(VALUE(RIGHT($A1941,1))=2,"gm. w. ",IF(VALUE(RIGHT($A1941,1))=8,"dz. ","gm. m.-w. ")))))&amp;IF(LEN($A1941)=2,TRIM(UPPER(VLOOKUP($A1941,GUS_tabl_1!$A$7:$B$22,2,FALSE))),IF(ISERROR(FIND("..",TRIM(VLOOKUP(IF(AND(LEN($A1941)=4,VALUE(RIGHT($A1941,2))&gt;60),$A1941&amp;"01 1",$A1941),IF(AND(LEN($A1941)=4,VALUE(RIGHT($A1941,2))&lt;60),GUS_tabl_2!$A$8:$B$464,GUS_tabl_21!$A$5:$B$4886),2,FALSE)))),TRIM(VLOOKUP(IF(AND(LEN($A1941)=4,VALUE(RIGHT($A1941,2))&gt;60),$A1941&amp;"01 1",$A1941),IF(AND(LEN($A1941)=4,VALUE(RIGHT($A1941,2))&lt;60),GUS_tabl_2!$A$8:$B$464,GUS_tabl_21!$A$5:$B$4886),2,FALSE)),LEFT(TRIM(VLOOKUP(IF(AND(LEN($A1941)=4,VALUE(RIGHT($A1941,2))&gt;60),$A1941&amp;"01 1",$A1941),IF(AND(LEN($A1941)=4,VALUE(RIGHT($A1941,2))&lt;60),GUS_tabl_2!$A$8:$B$464,GUS_tabl_21!$A$5:$B$4886),2,FALSE)),SUM(FIND("..",TRIM(VLOOKUP(IF(AND(LEN($A1941)=4,VALUE(RIGHT($A1941,2))&gt;60),$A1941&amp;"01 1",$A1941),IF(AND(LEN($A1941)=4,VALUE(RIGHT($A1941,2))&lt;60),GUS_tabl_2!$A$8:$B$464,GUS_tabl_21!$A$5:$B$4886),2,FALSE))),-1)))))</f>
        <v/>
      </c>
      <c r="D1941" s="140" t="str">
        <f>IF(OR($A1941="",ISERROR(VALUE(LEFT($A1941,6)))),"",IF(LEN($A1941)=2,SUMIF($A1942:$A$2965,$A1941&amp;"??",$D1942:$D$2965),IF(AND(LEN($A1941)=4,VALUE(RIGHT($A1941,2))&lt;=60),SUMIF($A1942:$A$2965,$A1941&amp;"????",$D1942:$D$2965),VLOOKUP(IF(LEN($A1941)=4,$A1941&amp;"01 1",$A1941),GUS_tabl_21!$A$5:$F$4886,6,FALSE))))</f>
        <v/>
      </c>
      <c r="E1941" s="29"/>
    </row>
    <row r="1942" spans="1:5" ht="12" customHeight="1">
      <c r="A1942" s="152" t="str">
        <f>"22"</f>
        <v>22</v>
      </c>
      <c r="B1942" s="153" t="s">
        <v>33</v>
      </c>
      <c r="C1942" s="154" t="str">
        <f>IF(OR($A1942="",ISERROR(VALUE(LEFT($A1942,6)))),"",IF(LEN($A1942)=2,"WOJ. ",IF(LEN($A1942)=4,IF(VALUE(RIGHT($A1942,2))&gt;60,"","Powiat "),IF(VALUE(RIGHT($A1942,1))=1,"m. ",IF(VALUE(RIGHT($A1942,1))=2,"gm. w. ",IF(VALUE(RIGHT($A1942,1))=8,"dz. ","gm. m.-w. ")))))&amp;IF(LEN($A1942)=2,TRIM(UPPER(VLOOKUP($A1942,GUS_tabl_1!$A$7:$B$22,2,FALSE))),IF(ISERROR(FIND("..",TRIM(VLOOKUP(IF(AND(LEN($A1942)=4,VALUE(RIGHT($A1942,2))&gt;60),$A1942&amp;"01 1",$A1942),IF(AND(LEN($A1942)=4,VALUE(RIGHT($A1942,2))&lt;60),GUS_tabl_2!$A$8:$B$464,GUS_tabl_21!$A$5:$B$4886),2,FALSE)))),TRIM(VLOOKUP(IF(AND(LEN($A1942)=4,VALUE(RIGHT($A1942,2))&gt;60),$A1942&amp;"01 1",$A1942),IF(AND(LEN($A1942)=4,VALUE(RIGHT($A1942,2))&lt;60),GUS_tabl_2!$A$8:$B$464,GUS_tabl_21!$A$5:$B$4886),2,FALSE)),LEFT(TRIM(VLOOKUP(IF(AND(LEN($A1942)=4,VALUE(RIGHT($A1942,2))&gt;60),$A1942&amp;"01 1",$A1942),IF(AND(LEN($A1942)=4,VALUE(RIGHT($A1942,2))&lt;60),GUS_tabl_2!$A$8:$B$464,GUS_tabl_21!$A$5:$B$4886),2,FALSE)),SUM(FIND("..",TRIM(VLOOKUP(IF(AND(LEN($A1942)=4,VALUE(RIGHT($A1942,2))&gt;60),$A1942&amp;"01 1",$A1942),IF(AND(LEN($A1942)=4,VALUE(RIGHT($A1942,2))&lt;60),GUS_tabl_2!$A$8:$B$464,GUS_tabl_21!$A$5:$B$4886),2,FALSE))),-1)))))</f>
        <v>WOJ. POMORSKIE</v>
      </c>
      <c r="D1942" s="140">
        <f>IF(OR($A1942="",ISERROR(VALUE(LEFT($A1942,6)))),"",IF(LEN($A1942)=2,SUMIF($A1943:$A$2965,$A1942&amp;"??",$D1943:$D$2965),IF(AND(LEN($A1942)=4,VALUE(RIGHT($A1942,2))&lt;=60),SUMIF($A1943:$A$2965,$A1942&amp;"????",$D1943:$D$2965),VLOOKUP(IF(LEN($A1942)=4,$A1942&amp;"01 1",$A1942),GUS_tabl_21!$A$5:$F$4886,6,FALSE))))</f>
        <v>2343928</v>
      </c>
      <c r="E1942" s="29"/>
    </row>
    <row r="1943" spans="1:5" ht="12" customHeight="1">
      <c r="A1943" s="152"/>
      <c r="B1943" s="153" t="s">
        <v>33</v>
      </c>
      <c r="C1943" s="154" t="str">
        <f>IF(OR($A1943="",ISERROR(VALUE(LEFT($A1943,6)))),"",IF(LEN($A1943)=2,"WOJ. ",IF(LEN($A1943)=4,IF(VALUE(RIGHT($A1943,2))&gt;60,"","Powiat "),IF(VALUE(RIGHT($A1943,1))=1,"m. ",IF(VALUE(RIGHT($A1943,1))=2,"gm. w. ",IF(VALUE(RIGHT($A1943,1))=8,"dz. ","gm. m.-w. ")))))&amp;IF(LEN($A1943)=2,TRIM(UPPER(VLOOKUP($A1943,GUS_tabl_1!$A$7:$B$22,2,FALSE))),IF(ISERROR(FIND("..",TRIM(VLOOKUP(IF(AND(LEN($A1943)=4,VALUE(RIGHT($A1943,2))&gt;60),$A1943&amp;"01 1",$A1943),IF(AND(LEN($A1943)=4,VALUE(RIGHT($A1943,2))&lt;60),GUS_tabl_2!$A$8:$B$464,GUS_tabl_21!$A$5:$B$4886),2,FALSE)))),TRIM(VLOOKUP(IF(AND(LEN($A1943)=4,VALUE(RIGHT($A1943,2))&gt;60),$A1943&amp;"01 1",$A1943),IF(AND(LEN($A1943)=4,VALUE(RIGHT($A1943,2))&lt;60),GUS_tabl_2!$A$8:$B$464,GUS_tabl_21!$A$5:$B$4886),2,FALSE)),LEFT(TRIM(VLOOKUP(IF(AND(LEN($A1943)=4,VALUE(RIGHT($A1943,2))&gt;60),$A1943&amp;"01 1",$A1943),IF(AND(LEN($A1943)=4,VALUE(RIGHT($A1943,2))&lt;60),GUS_tabl_2!$A$8:$B$464,GUS_tabl_21!$A$5:$B$4886),2,FALSE)),SUM(FIND("..",TRIM(VLOOKUP(IF(AND(LEN($A1943)=4,VALUE(RIGHT($A1943,2))&gt;60),$A1943&amp;"01 1",$A1943),IF(AND(LEN($A1943)=4,VALUE(RIGHT($A1943,2))&lt;60),GUS_tabl_2!$A$8:$B$464,GUS_tabl_21!$A$5:$B$4886),2,FALSE))),-1)))))</f>
        <v/>
      </c>
      <c r="D1943" s="140" t="str">
        <f>IF(OR($A1943="",ISERROR(VALUE(LEFT($A1943,6)))),"",IF(LEN($A1943)=2,SUMIF($A1944:$A$2965,$A1943&amp;"??",$D1944:$D$2965),IF(AND(LEN($A1943)=4,VALUE(RIGHT($A1943,2))&lt;=60),SUMIF($A1944:$A$2965,$A1943&amp;"????",$D1944:$D$2965),VLOOKUP(IF(LEN($A1943)=4,$A1943&amp;"01 1",$A1943),GUS_tabl_21!$A$5:$F$4886,6,FALSE))))</f>
        <v/>
      </c>
      <c r="E1943" s="29"/>
    </row>
    <row r="1944" spans="1:5" ht="12" customHeight="1">
      <c r="A1944" s="152" t="str">
        <f>"2201"</f>
        <v>2201</v>
      </c>
      <c r="B1944" s="153" t="s">
        <v>33</v>
      </c>
      <c r="C1944" s="154" t="str">
        <f>IF(OR($A1944="",ISERROR(VALUE(LEFT($A1944,6)))),"",IF(LEN($A1944)=2,"WOJ. ",IF(LEN($A1944)=4,IF(VALUE(RIGHT($A1944,2))&gt;60,"","Powiat "),IF(VALUE(RIGHT($A1944,1))=1,"m. ",IF(VALUE(RIGHT($A1944,1))=2,"gm. w. ",IF(VALUE(RIGHT($A1944,1))=8,"dz. ","gm. m.-w. ")))))&amp;IF(LEN($A1944)=2,TRIM(UPPER(VLOOKUP($A1944,GUS_tabl_1!$A$7:$B$22,2,FALSE))),IF(ISERROR(FIND("..",TRIM(VLOOKUP(IF(AND(LEN($A1944)=4,VALUE(RIGHT($A1944,2))&gt;60),$A1944&amp;"01 1",$A1944),IF(AND(LEN($A1944)=4,VALUE(RIGHT($A1944,2))&lt;60),GUS_tabl_2!$A$8:$B$464,GUS_tabl_21!$A$5:$B$4886),2,FALSE)))),TRIM(VLOOKUP(IF(AND(LEN($A1944)=4,VALUE(RIGHT($A1944,2))&gt;60),$A1944&amp;"01 1",$A1944),IF(AND(LEN($A1944)=4,VALUE(RIGHT($A1944,2))&lt;60),GUS_tabl_2!$A$8:$B$464,GUS_tabl_21!$A$5:$B$4886),2,FALSE)),LEFT(TRIM(VLOOKUP(IF(AND(LEN($A1944)=4,VALUE(RIGHT($A1944,2))&gt;60),$A1944&amp;"01 1",$A1944),IF(AND(LEN($A1944)=4,VALUE(RIGHT($A1944,2))&lt;60),GUS_tabl_2!$A$8:$B$464,GUS_tabl_21!$A$5:$B$4886),2,FALSE)),SUM(FIND("..",TRIM(VLOOKUP(IF(AND(LEN($A1944)=4,VALUE(RIGHT($A1944,2))&gt;60),$A1944&amp;"01 1",$A1944),IF(AND(LEN($A1944)=4,VALUE(RIGHT($A1944,2))&lt;60),GUS_tabl_2!$A$8:$B$464,GUS_tabl_21!$A$5:$B$4886),2,FALSE))),-1)))))</f>
        <v>Powiat bytowski</v>
      </c>
      <c r="D1944" s="140">
        <f>IF(OR($A1944="",ISERROR(VALUE(LEFT($A1944,6)))),"",IF(LEN($A1944)=2,SUMIF($A1945:$A$2965,$A1944&amp;"??",$D1945:$D$2965),IF(AND(LEN($A1944)=4,VALUE(RIGHT($A1944,2))&lt;=60),SUMIF($A1945:$A$2965,$A1944&amp;"????",$D1945:$D$2965),VLOOKUP(IF(LEN($A1944)=4,$A1944&amp;"01 1",$A1944),GUS_tabl_21!$A$5:$F$4886,6,FALSE))))</f>
        <v>79198</v>
      </c>
      <c r="E1944" s="29"/>
    </row>
    <row r="1945" spans="1:5" ht="12" customHeight="1">
      <c r="A1945" s="155" t="str">
        <f>"220101 2"</f>
        <v>220101 2</v>
      </c>
      <c r="B1945" s="153" t="s">
        <v>33</v>
      </c>
      <c r="C1945" s="156" t="str">
        <f>IF(OR($A1945="",ISERROR(VALUE(LEFT($A1945,6)))),"",IF(LEN($A1945)=2,"WOJ. ",IF(LEN($A1945)=4,IF(VALUE(RIGHT($A1945,2))&gt;60,"","Powiat "),IF(VALUE(RIGHT($A1945,1))=1,"m. ",IF(VALUE(RIGHT($A1945,1))=2,"gm. w. ",IF(VALUE(RIGHT($A1945,1))=8,"dz. ","gm. m.-w. ")))))&amp;IF(LEN($A1945)=2,TRIM(UPPER(VLOOKUP($A1945,GUS_tabl_1!$A$7:$B$22,2,FALSE))),IF(ISERROR(FIND("..",TRIM(VLOOKUP(IF(AND(LEN($A1945)=4,VALUE(RIGHT($A1945,2))&gt;60),$A1945&amp;"01 1",$A1945),IF(AND(LEN($A1945)=4,VALUE(RIGHT($A1945,2))&lt;60),GUS_tabl_2!$A$8:$B$464,GUS_tabl_21!$A$5:$B$4886),2,FALSE)))),TRIM(VLOOKUP(IF(AND(LEN($A1945)=4,VALUE(RIGHT($A1945,2))&gt;60),$A1945&amp;"01 1",$A1945),IF(AND(LEN($A1945)=4,VALUE(RIGHT($A1945,2))&lt;60),GUS_tabl_2!$A$8:$B$464,GUS_tabl_21!$A$5:$B$4886),2,FALSE)),LEFT(TRIM(VLOOKUP(IF(AND(LEN($A1945)=4,VALUE(RIGHT($A1945,2))&gt;60),$A1945&amp;"01 1",$A1945),IF(AND(LEN($A1945)=4,VALUE(RIGHT($A1945,2))&lt;60),GUS_tabl_2!$A$8:$B$464,GUS_tabl_21!$A$5:$B$4886),2,FALSE)),SUM(FIND("..",TRIM(VLOOKUP(IF(AND(LEN($A1945)=4,VALUE(RIGHT($A1945,2))&gt;60),$A1945&amp;"01 1",$A1945),IF(AND(LEN($A1945)=4,VALUE(RIGHT($A1945,2))&lt;60),GUS_tabl_2!$A$8:$B$464,GUS_tabl_21!$A$5:$B$4886),2,FALSE))),-1)))))</f>
        <v>gm. w. Borzytuchom</v>
      </c>
      <c r="D1945" s="141">
        <f>IF(OR($A1945="",ISERROR(VALUE(LEFT($A1945,6)))),"",IF(LEN($A1945)=2,SUMIF($A1946:$A$2965,$A1945&amp;"??",$D1946:$D$2965),IF(AND(LEN($A1945)=4,VALUE(RIGHT($A1945,2))&lt;=60),SUMIF($A1946:$A$2965,$A1945&amp;"????",$D1946:$D$2965),VLOOKUP(IF(LEN($A1945)=4,$A1945&amp;"01 1",$A1945),GUS_tabl_21!$A$5:$F$4886,6,FALSE))))</f>
        <v>3364</v>
      </c>
      <c r="E1945" s="29"/>
    </row>
    <row r="1946" spans="1:5" ht="12" customHeight="1">
      <c r="A1946" s="155" t="str">
        <f>"220102 3"</f>
        <v>220102 3</v>
      </c>
      <c r="B1946" s="153" t="s">
        <v>33</v>
      </c>
      <c r="C1946" s="156" t="str">
        <f>IF(OR($A1946="",ISERROR(VALUE(LEFT($A1946,6)))),"",IF(LEN($A1946)=2,"WOJ. ",IF(LEN($A1946)=4,IF(VALUE(RIGHT($A1946,2))&gt;60,"","Powiat "),IF(VALUE(RIGHT($A1946,1))=1,"m. ",IF(VALUE(RIGHT($A1946,1))=2,"gm. w. ",IF(VALUE(RIGHT($A1946,1))=8,"dz. ","gm. m.-w. ")))))&amp;IF(LEN($A1946)=2,TRIM(UPPER(VLOOKUP($A1946,GUS_tabl_1!$A$7:$B$22,2,FALSE))),IF(ISERROR(FIND("..",TRIM(VLOOKUP(IF(AND(LEN($A1946)=4,VALUE(RIGHT($A1946,2))&gt;60),$A1946&amp;"01 1",$A1946),IF(AND(LEN($A1946)=4,VALUE(RIGHT($A1946,2))&lt;60),GUS_tabl_2!$A$8:$B$464,GUS_tabl_21!$A$5:$B$4886),2,FALSE)))),TRIM(VLOOKUP(IF(AND(LEN($A1946)=4,VALUE(RIGHT($A1946,2))&gt;60),$A1946&amp;"01 1",$A1946),IF(AND(LEN($A1946)=4,VALUE(RIGHT($A1946,2))&lt;60),GUS_tabl_2!$A$8:$B$464,GUS_tabl_21!$A$5:$B$4886),2,FALSE)),LEFT(TRIM(VLOOKUP(IF(AND(LEN($A1946)=4,VALUE(RIGHT($A1946,2))&gt;60),$A1946&amp;"01 1",$A1946),IF(AND(LEN($A1946)=4,VALUE(RIGHT($A1946,2))&lt;60),GUS_tabl_2!$A$8:$B$464,GUS_tabl_21!$A$5:$B$4886),2,FALSE)),SUM(FIND("..",TRIM(VLOOKUP(IF(AND(LEN($A1946)=4,VALUE(RIGHT($A1946,2))&gt;60),$A1946&amp;"01 1",$A1946),IF(AND(LEN($A1946)=4,VALUE(RIGHT($A1946,2))&lt;60),GUS_tabl_2!$A$8:$B$464,GUS_tabl_21!$A$5:$B$4886),2,FALSE))),-1)))))</f>
        <v>gm. m.-w. Bytów</v>
      </c>
      <c r="D1946" s="141">
        <f>IF(OR($A1946="",ISERROR(VALUE(LEFT($A1946,6)))),"",IF(LEN($A1946)=2,SUMIF($A1947:$A$2965,$A1946&amp;"??",$D1947:$D$2965),IF(AND(LEN($A1946)=4,VALUE(RIGHT($A1946,2))&lt;=60),SUMIF($A1947:$A$2965,$A1946&amp;"????",$D1947:$D$2965),VLOOKUP(IF(LEN($A1946)=4,$A1946&amp;"01 1",$A1946),GUS_tabl_21!$A$5:$F$4886,6,FALSE))))</f>
        <v>25420</v>
      </c>
      <c r="E1946" s="29"/>
    </row>
    <row r="1947" spans="1:5" ht="12" customHeight="1">
      <c r="A1947" s="155" t="str">
        <f>"220103 2"</f>
        <v>220103 2</v>
      </c>
      <c r="B1947" s="153" t="s">
        <v>33</v>
      </c>
      <c r="C1947" s="156" t="str">
        <f>IF(OR($A1947="",ISERROR(VALUE(LEFT($A1947,6)))),"",IF(LEN($A1947)=2,"WOJ. ",IF(LEN($A1947)=4,IF(VALUE(RIGHT($A1947,2))&gt;60,"","Powiat "),IF(VALUE(RIGHT($A1947,1))=1,"m. ",IF(VALUE(RIGHT($A1947,1))=2,"gm. w. ",IF(VALUE(RIGHT($A1947,1))=8,"dz. ","gm. m.-w. ")))))&amp;IF(LEN($A1947)=2,TRIM(UPPER(VLOOKUP($A1947,GUS_tabl_1!$A$7:$B$22,2,FALSE))),IF(ISERROR(FIND("..",TRIM(VLOOKUP(IF(AND(LEN($A1947)=4,VALUE(RIGHT($A1947,2))&gt;60),$A1947&amp;"01 1",$A1947),IF(AND(LEN($A1947)=4,VALUE(RIGHT($A1947,2))&lt;60),GUS_tabl_2!$A$8:$B$464,GUS_tabl_21!$A$5:$B$4886),2,FALSE)))),TRIM(VLOOKUP(IF(AND(LEN($A1947)=4,VALUE(RIGHT($A1947,2))&gt;60),$A1947&amp;"01 1",$A1947),IF(AND(LEN($A1947)=4,VALUE(RIGHT($A1947,2))&lt;60),GUS_tabl_2!$A$8:$B$464,GUS_tabl_21!$A$5:$B$4886),2,FALSE)),LEFT(TRIM(VLOOKUP(IF(AND(LEN($A1947)=4,VALUE(RIGHT($A1947,2))&gt;60),$A1947&amp;"01 1",$A1947),IF(AND(LEN($A1947)=4,VALUE(RIGHT($A1947,2))&lt;60),GUS_tabl_2!$A$8:$B$464,GUS_tabl_21!$A$5:$B$4886),2,FALSE)),SUM(FIND("..",TRIM(VLOOKUP(IF(AND(LEN($A1947)=4,VALUE(RIGHT($A1947,2))&gt;60),$A1947&amp;"01 1",$A1947),IF(AND(LEN($A1947)=4,VALUE(RIGHT($A1947,2))&lt;60),GUS_tabl_2!$A$8:$B$464,GUS_tabl_21!$A$5:$B$4886),2,FALSE))),-1)))))</f>
        <v>gm. w. Czarna Dąbrówka</v>
      </c>
      <c r="D1947" s="141">
        <f>IF(OR($A1947="",ISERROR(VALUE(LEFT($A1947,6)))),"",IF(LEN($A1947)=2,SUMIF($A1948:$A$2965,$A1947&amp;"??",$D1948:$D$2965),IF(AND(LEN($A1947)=4,VALUE(RIGHT($A1947,2))&lt;=60),SUMIF($A1948:$A$2965,$A1947&amp;"????",$D1948:$D$2965),VLOOKUP(IF(LEN($A1947)=4,$A1947&amp;"01 1",$A1947),GUS_tabl_21!$A$5:$F$4886,6,FALSE))))</f>
        <v>5917</v>
      </c>
      <c r="E1947" s="29"/>
    </row>
    <row r="1948" spans="1:5" ht="12" customHeight="1">
      <c r="A1948" s="155" t="str">
        <f>"220104 2"</f>
        <v>220104 2</v>
      </c>
      <c r="B1948" s="153" t="s">
        <v>33</v>
      </c>
      <c r="C1948" s="156" t="str">
        <f>IF(OR($A1948="",ISERROR(VALUE(LEFT($A1948,6)))),"",IF(LEN($A1948)=2,"WOJ. ",IF(LEN($A1948)=4,IF(VALUE(RIGHT($A1948,2))&gt;60,"","Powiat "),IF(VALUE(RIGHT($A1948,1))=1,"m. ",IF(VALUE(RIGHT($A1948,1))=2,"gm. w. ",IF(VALUE(RIGHT($A1948,1))=8,"dz. ","gm. m.-w. ")))))&amp;IF(LEN($A1948)=2,TRIM(UPPER(VLOOKUP($A1948,GUS_tabl_1!$A$7:$B$22,2,FALSE))),IF(ISERROR(FIND("..",TRIM(VLOOKUP(IF(AND(LEN($A1948)=4,VALUE(RIGHT($A1948,2))&gt;60),$A1948&amp;"01 1",$A1948),IF(AND(LEN($A1948)=4,VALUE(RIGHT($A1948,2))&lt;60),GUS_tabl_2!$A$8:$B$464,GUS_tabl_21!$A$5:$B$4886),2,FALSE)))),TRIM(VLOOKUP(IF(AND(LEN($A1948)=4,VALUE(RIGHT($A1948,2))&gt;60),$A1948&amp;"01 1",$A1948),IF(AND(LEN($A1948)=4,VALUE(RIGHT($A1948,2))&lt;60),GUS_tabl_2!$A$8:$B$464,GUS_tabl_21!$A$5:$B$4886),2,FALSE)),LEFT(TRIM(VLOOKUP(IF(AND(LEN($A1948)=4,VALUE(RIGHT($A1948,2))&gt;60),$A1948&amp;"01 1",$A1948),IF(AND(LEN($A1948)=4,VALUE(RIGHT($A1948,2))&lt;60),GUS_tabl_2!$A$8:$B$464,GUS_tabl_21!$A$5:$B$4886),2,FALSE)),SUM(FIND("..",TRIM(VLOOKUP(IF(AND(LEN($A1948)=4,VALUE(RIGHT($A1948,2))&gt;60),$A1948&amp;"01 1",$A1948),IF(AND(LEN($A1948)=4,VALUE(RIGHT($A1948,2))&lt;60),GUS_tabl_2!$A$8:$B$464,GUS_tabl_21!$A$5:$B$4886),2,FALSE))),-1)))))</f>
        <v>gm. w. Kołczygłowy</v>
      </c>
      <c r="D1948" s="141">
        <f>IF(OR($A1948="",ISERROR(VALUE(LEFT($A1948,6)))),"",IF(LEN($A1948)=2,SUMIF($A1949:$A$2965,$A1948&amp;"??",$D1949:$D$2965),IF(AND(LEN($A1948)=4,VALUE(RIGHT($A1948,2))&lt;=60),SUMIF($A1949:$A$2965,$A1948&amp;"????",$D1949:$D$2965),VLOOKUP(IF(LEN($A1948)=4,$A1948&amp;"01 1",$A1948),GUS_tabl_21!$A$5:$F$4886,6,FALSE))))</f>
        <v>4237</v>
      </c>
      <c r="E1948" s="29"/>
    </row>
    <row r="1949" spans="1:5" ht="12" customHeight="1">
      <c r="A1949" s="155" t="str">
        <f>"220105 2"</f>
        <v>220105 2</v>
      </c>
      <c r="B1949" s="153" t="s">
        <v>33</v>
      </c>
      <c r="C1949" s="156" t="str">
        <f>IF(OR($A1949="",ISERROR(VALUE(LEFT($A1949,6)))),"",IF(LEN($A1949)=2,"WOJ. ",IF(LEN($A1949)=4,IF(VALUE(RIGHT($A1949,2))&gt;60,"","Powiat "),IF(VALUE(RIGHT($A1949,1))=1,"m. ",IF(VALUE(RIGHT($A1949,1))=2,"gm. w. ",IF(VALUE(RIGHT($A1949,1))=8,"dz. ","gm. m.-w. ")))))&amp;IF(LEN($A1949)=2,TRIM(UPPER(VLOOKUP($A1949,GUS_tabl_1!$A$7:$B$22,2,FALSE))),IF(ISERROR(FIND("..",TRIM(VLOOKUP(IF(AND(LEN($A1949)=4,VALUE(RIGHT($A1949,2))&gt;60),$A1949&amp;"01 1",$A1949),IF(AND(LEN($A1949)=4,VALUE(RIGHT($A1949,2))&lt;60),GUS_tabl_2!$A$8:$B$464,GUS_tabl_21!$A$5:$B$4886),2,FALSE)))),TRIM(VLOOKUP(IF(AND(LEN($A1949)=4,VALUE(RIGHT($A1949,2))&gt;60),$A1949&amp;"01 1",$A1949),IF(AND(LEN($A1949)=4,VALUE(RIGHT($A1949,2))&lt;60),GUS_tabl_2!$A$8:$B$464,GUS_tabl_21!$A$5:$B$4886),2,FALSE)),LEFT(TRIM(VLOOKUP(IF(AND(LEN($A1949)=4,VALUE(RIGHT($A1949,2))&gt;60),$A1949&amp;"01 1",$A1949),IF(AND(LEN($A1949)=4,VALUE(RIGHT($A1949,2))&lt;60),GUS_tabl_2!$A$8:$B$464,GUS_tabl_21!$A$5:$B$4886),2,FALSE)),SUM(FIND("..",TRIM(VLOOKUP(IF(AND(LEN($A1949)=4,VALUE(RIGHT($A1949,2))&gt;60),$A1949&amp;"01 1",$A1949),IF(AND(LEN($A1949)=4,VALUE(RIGHT($A1949,2))&lt;60),GUS_tabl_2!$A$8:$B$464,GUS_tabl_21!$A$5:$B$4886),2,FALSE))),-1)))))</f>
        <v>gm. w. Lipnica</v>
      </c>
      <c r="D1949" s="141">
        <f>IF(OR($A1949="",ISERROR(VALUE(LEFT($A1949,6)))),"",IF(LEN($A1949)=2,SUMIF($A1950:$A$2965,$A1949&amp;"??",$D1950:$D$2965),IF(AND(LEN($A1949)=4,VALUE(RIGHT($A1949,2))&lt;=60),SUMIF($A1950:$A$2965,$A1949&amp;"????",$D1950:$D$2965),VLOOKUP(IF(LEN($A1949)=4,$A1949&amp;"01 1",$A1949),GUS_tabl_21!$A$5:$F$4886,6,FALSE))))</f>
        <v>5216</v>
      </c>
      <c r="E1949" s="29"/>
    </row>
    <row r="1950" spans="1:5" ht="12" customHeight="1">
      <c r="A1950" s="155" t="str">
        <f>"220106 3"</f>
        <v>220106 3</v>
      </c>
      <c r="B1950" s="153" t="s">
        <v>33</v>
      </c>
      <c r="C1950" s="156" t="str">
        <f>IF(OR($A1950="",ISERROR(VALUE(LEFT($A1950,6)))),"",IF(LEN($A1950)=2,"WOJ. ",IF(LEN($A1950)=4,IF(VALUE(RIGHT($A1950,2))&gt;60,"","Powiat "),IF(VALUE(RIGHT($A1950,1))=1,"m. ",IF(VALUE(RIGHT($A1950,1))=2,"gm. w. ",IF(VALUE(RIGHT($A1950,1))=8,"dz. ","gm. m.-w. ")))))&amp;IF(LEN($A1950)=2,TRIM(UPPER(VLOOKUP($A1950,GUS_tabl_1!$A$7:$B$22,2,FALSE))),IF(ISERROR(FIND("..",TRIM(VLOOKUP(IF(AND(LEN($A1950)=4,VALUE(RIGHT($A1950,2))&gt;60),$A1950&amp;"01 1",$A1950),IF(AND(LEN($A1950)=4,VALUE(RIGHT($A1950,2))&lt;60),GUS_tabl_2!$A$8:$B$464,GUS_tabl_21!$A$5:$B$4886),2,FALSE)))),TRIM(VLOOKUP(IF(AND(LEN($A1950)=4,VALUE(RIGHT($A1950,2))&gt;60),$A1950&amp;"01 1",$A1950),IF(AND(LEN($A1950)=4,VALUE(RIGHT($A1950,2))&lt;60),GUS_tabl_2!$A$8:$B$464,GUS_tabl_21!$A$5:$B$4886),2,FALSE)),LEFT(TRIM(VLOOKUP(IF(AND(LEN($A1950)=4,VALUE(RIGHT($A1950,2))&gt;60),$A1950&amp;"01 1",$A1950),IF(AND(LEN($A1950)=4,VALUE(RIGHT($A1950,2))&lt;60),GUS_tabl_2!$A$8:$B$464,GUS_tabl_21!$A$5:$B$4886),2,FALSE)),SUM(FIND("..",TRIM(VLOOKUP(IF(AND(LEN($A1950)=4,VALUE(RIGHT($A1950,2))&gt;60),$A1950&amp;"01 1",$A1950),IF(AND(LEN($A1950)=4,VALUE(RIGHT($A1950,2))&lt;60),GUS_tabl_2!$A$8:$B$464,GUS_tabl_21!$A$5:$B$4886),2,FALSE))),-1)))))</f>
        <v>gm. m.-w. Miastko</v>
      </c>
      <c r="D1950" s="141">
        <f>IF(OR($A1950="",ISERROR(VALUE(LEFT($A1950,6)))),"",IF(LEN($A1950)=2,SUMIF($A1951:$A$2965,$A1950&amp;"??",$D1951:$D$2965),IF(AND(LEN($A1950)=4,VALUE(RIGHT($A1950,2))&lt;=60),SUMIF($A1951:$A$2965,$A1950&amp;"????",$D1951:$D$2965),VLOOKUP(IF(LEN($A1950)=4,$A1950&amp;"01 1",$A1950),GUS_tabl_21!$A$5:$F$4886,6,FALSE))))</f>
        <v>19509</v>
      </c>
      <c r="E1950" s="29"/>
    </row>
    <row r="1951" spans="1:5" ht="12" customHeight="1">
      <c r="A1951" s="155" t="str">
        <f>"220107 2"</f>
        <v>220107 2</v>
      </c>
      <c r="B1951" s="153" t="s">
        <v>33</v>
      </c>
      <c r="C1951" s="156" t="str">
        <f>IF(OR($A1951="",ISERROR(VALUE(LEFT($A1951,6)))),"",IF(LEN($A1951)=2,"WOJ. ",IF(LEN($A1951)=4,IF(VALUE(RIGHT($A1951,2))&gt;60,"","Powiat "),IF(VALUE(RIGHT($A1951,1))=1,"m. ",IF(VALUE(RIGHT($A1951,1))=2,"gm. w. ",IF(VALUE(RIGHT($A1951,1))=8,"dz. ","gm. m.-w. ")))))&amp;IF(LEN($A1951)=2,TRIM(UPPER(VLOOKUP($A1951,GUS_tabl_1!$A$7:$B$22,2,FALSE))),IF(ISERROR(FIND("..",TRIM(VLOOKUP(IF(AND(LEN($A1951)=4,VALUE(RIGHT($A1951,2))&gt;60),$A1951&amp;"01 1",$A1951),IF(AND(LEN($A1951)=4,VALUE(RIGHT($A1951,2))&lt;60),GUS_tabl_2!$A$8:$B$464,GUS_tabl_21!$A$5:$B$4886),2,FALSE)))),TRIM(VLOOKUP(IF(AND(LEN($A1951)=4,VALUE(RIGHT($A1951,2))&gt;60),$A1951&amp;"01 1",$A1951),IF(AND(LEN($A1951)=4,VALUE(RIGHT($A1951,2))&lt;60),GUS_tabl_2!$A$8:$B$464,GUS_tabl_21!$A$5:$B$4886),2,FALSE)),LEFT(TRIM(VLOOKUP(IF(AND(LEN($A1951)=4,VALUE(RIGHT($A1951,2))&gt;60),$A1951&amp;"01 1",$A1951),IF(AND(LEN($A1951)=4,VALUE(RIGHT($A1951,2))&lt;60),GUS_tabl_2!$A$8:$B$464,GUS_tabl_21!$A$5:$B$4886),2,FALSE)),SUM(FIND("..",TRIM(VLOOKUP(IF(AND(LEN($A1951)=4,VALUE(RIGHT($A1951,2))&gt;60),$A1951&amp;"01 1",$A1951),IF(AND(LEN($A1951)=4,VALUE(RIGHT($A1951,2))&lt;60),GUS_tabl_2!$A$8:$B$464,GUS_tabl_21!$A$5:$B$4886),2,FALSE))),-1)))))</f>
        <v>gm. w. Parchowo</v>
      </c>
      <c r="D1951" s="141">
        <f>IF(OR($A1951="",ISERROR(VALUE(LEFT($A1951,6)))),"",IF(LEN($A1951)=2,SUMIF($A1952:$A$2965,$A1951&amp;"??",$D1952:$D$2965),IF(AND(LEN($A1951)=4,VALUE(RIGHT($A1951,2))&lt;=60),SUMIF($A1952:$A$2965,$A1951&amp;"????",$D1952:$D$2965),VLOOKUP(IF(LEN($A1951)=4,$A1951&amp;"01 1",$A1951),GUS_tabl_21!$A$5:$F$4886,6,FALSE))))</f>
        <v>3795</v>
      </c>
      <c r="E1951" s="29"/>
    </row>
    <row r="1952" spans="1:5" ht="12" customHeight="1">
      <c r="A1952" s="155" t="str">
        <f>"220108 2"</f>
        <v>220108 2</v>
      </c>
      <c r="B1952" s="153" t="s">
        <v>33</v>
      </c>
      <c r="C1952" s="156" t="str">
        <f>IF(OR($A1952="",ISERROR(VALUE(LEFT($A1952,6)))),"",IF(LEN($A1952)=2,"WOJ. ",IF(LEN($A1952)=4,IF(VALUE(RIGHT($A1952,2))&gt;60,"","Powiat "),IF(VALUE(RIGHT($A1952,1))=1,"m. ",IF(VALUE(RIGHT($A1952,1))=2,"gm. w. ",IF(VALUE(RIGHT($A1952,1))=8,"dz. ","gm. m.-w. ")))))&amp;IF(LEN($A1952)=2,TRIM(UPPER(VLOOKUP($A1952,GUS_tabl_1!$A$7:$B$22,2,FALSE))),IF(ISERROR(FIND("..",TRIM(VLOOKUP(IF(AND(LEN($A1952)=4,VALUE(RIGHT($A1952,2))&gt;60),$A1952&amp;"01 1",$A1952),IF(AND(LEN($A1952)=4,VALUE(RIGHT($A1952,2))&lt;60),GUS_tabl_2!$A$8:$B$464,GUS_tabl_21!$A$5:$B$4886),2,FALSE)))),TRIM(VLOOKUP(IF(AND(LEN($A1952)=4,VALUE(RIGHT($A1952,2))&gt;60),$A1952&amp;"01 1",$A1952),IF(AND(LEN($A1952)=4,VALUE(RIGHT($A1952,2))&lt;60),GUS_tabl_2!$A$8:$B$464,GUS_tabl_21!$A$5:$B$4886),2,FALSE)),LEFT(TRIM(VLOOKUP(IF(AND(LEN($A1952)=4,VALUE(RIGHT($A1952,2))&gt;60),$A1952&amp;"01 1",$A1952),IF(AND(LEN($A1952)=4,VALUE(RIGHT($A1952,2))&lt;60),GUS_tabl_2!$A$8:$B$464,GUS_tabl_21!$A$5:$B$4886),2,FALSE)),SUM(FIND("..",TRIM(VLOOKUP(IF(AND(LEN($A1952)=4,VALUE(RIGHT($A1952,2))&gt;60),$A1952&amp;"01 1",$A1952),IF(AND(LEN($A1952)=4,VALUE(RIGHT($A1952,2))&lt;60),GUS_tabl_2!$A$8:$B$464,GUS_tabl_21!$A$5:$B$4886),2,FALSE))),-1)))))</f>
        <v>gm. w. Studzienice</v>
      </c>
      <c r="D1952" s="141">
        <f>IF(OR($A1952="",ISERROR(VALUE(LEFT($A1952,6)))),"",IF(LEN($A1952)=2,SUMIF($A1953:$A$2965,$A1952&amp;"??",$D1953:$D$2965),IF(AND(LEN($A1952)=4,VALUE(RIGHT($A1952,2))&lt;=60),SUMIF($A1953:$A$2965,$A1952&amp;"????",$D1953:$D$2965),VLOOKUP(IF(LEN($A1952)=4,$A1952&amp;"01 1",$A1952),GUS_tabl_21!$A$5:$F$4886,6,FALSE))))</f>
        <v>3760</v>
      </c>
      <c r="E1952" s="29"/>
    </row>
    <row r="1953" spans="1:5" ht="12" customHeight="1">
      <c r="A1953" s="155" t="str">
        <f>"220109 2"</f>
        <v>220109 2</v>
      </c>
      <c r="B1953" s="153" t="s">
        <v>33</v>
      </c>
      <c r="C1953" s="156" t="str">
        <f>IF(OR($A1953="",ISERROR(VALUE(LEFT($A1953,6)))),"",IF(LEN($A1953)=2,"WOJ. ",IF(LEN($A1953)=4,IF(VALUE(RIGHT($A1953,2))&gt;60,"","Powiat "),IF(VALUE(RIGHT($A1953,1))=1,"m. ",IF(VALUE(RIGHT($A1953,1))=2,"gm. w. ",IF(VALUE(RIGHT($A1953,1))=8,"dz. ","gm. m.-w. ")))))&amp;IF(LEN($A1953)=2,TRIM(UPPER(VLOOKUP($A1953,GUS_tabl_1!$A$7:$B$22,2,FALSE))),IF(ISERROR(FIND("..",TRIM(VLOOKUP(IF(AND(LEN($A1953)=4,VALUE(RIGHT($A1953,2))&gt;60),$A1953&amp;"01 1",$A1953),IF(AND(LEN($A1953)=4,VALUE(RIGHT($A1953,2))&lt;60),GUS_tabl_2!$A$8:$B$464,GUS_tabl_21!$A$5:$B$4886),2,FALSE)))),TRIM(VLOOKUP(IF(AND(LEN($A1953)=4,VALUE(RIGHT($A1953,2))&gt;60),$A1953&amp;"01 1",$A1953),IF(AND(LEN($A1953)=4,VALUE(RIGHT($A1953,2))&lt;60),GUS_tabl_2!$A$8:$B$464,GUS_tabl_21!$A$5:$B$4886),2,FALSE)),LEFT(TRIM(VLOOKUP(IF(AND(LEN($A1953)=4,VALUE(RIGHT($A1953,2))&gt;60),$A1953&amp;"01 1",$A1953),IF(AND(LEN($A1953)=4,VALUE(RIGHT($A1953,2))&lt;60),GUS_tabl_2!$A$8:$B$464,GUS_tabl_21!$A$5:$B$4886),2,FALSE)),SUM(FIND("..",TRIM(VLOOKUP(IF(AND(LEN($A1953)=4,VALUE(RIGHT($A1953,2))&gt;60),$A1953&amp;"01 1",$A1953),IF(AND(LEN($A1953)=4,VALUE(RIGHT($A1953,2))&lt;60),GUS_tabl_2!$A$8:$B$464,GUS_tabl_21!$A$5:$B$4886),2,FALSE))),-1)))))</f>
        <v>gm. w. Trzebielino</v>
      </c>
      <c r="D1953" s="141">
        <f>IF(OR($A1953="",ISERROR(VALUE(LEFT($A1953,6)))),"",IF(LEN($A1953)=2,SUMIF($A1954:$A$2965,$A1953&amp;"??",$D1954:$D$2965),IF(AND(LEN($A1953)=4,VALUE(RIGHT($A1953,2))&lt;=60),SUMIF($A1954:$A$2965,$A1953&amp;"????",$D1954:$D$2965),VLOOKUP(IF(LEN($A1953)=4,$A1953&amp;"01 1",$A1953),GUS_tabl_21!$A$5:$F$4886,6,FALSE))))</f>
        <v>3696</v>
      </c>
      <c r="E1953" s="29"/>
    </row>
    <row r="1954" spans="1:5" ht="12" customHeight="1">
      <c r="A1954" s="155" t="str">
        <f>"220110 2"</f>
        <v>220110 2</v>
      </c>
      <c r="B1954" s="153" t="s">
        <v>33</v>
      </c>
      <c r="C1954" s="156" t="str">
        <f>IF(OR($A1954="",ISERROR(VALUE(LEFT($A1954,6)))),"",IF(LEN($A1954)=2,"WOJ. ",IF(LEN($A1954)=4,IF(VALUE(RIGHT($A1954,2))&gt;60,"","Powiat "),IF(VALUE(RIGHT($A1954,1))=1,"m. ",IF(VALUE(RIGHT($A1954,1))=2,"gm. w. ",IF(VALUE(RIGHT($A1954,1))=8,"dz. ","gm. m.-w. ")))))&amp;IF(LEN($A1954)=2,TRIM(UPPER(VLOOKUP($A1954,GUS_tabl_1!$A$7:$B$22,2,FALSE))),IF(ISERROR(FIND("..",TRIM(VLOOKUP(IF(AND(LEN($A1954)=4,VALUE(RIGHT($A1954,2))&gt;60),$A1954&amp;"01 1",$A1954),IF(AND(LEN($A1954)=4,VALUE(RIGHT($A1954,2))&lt;60),GUS_tabl_2!$A$8:$B$464,GUS_tabl_21!$A$5:$B$4886),2,FALSE)))),TRIM(VLOOKUP(IF(AND(LEN($A1954)=4,VALUE(RIGHT($A1954,2))&gt;60),$A1954&amp;"01 1",$A1954),IF(AND(LEN($A1954)=4,VALUE(RIGHT($A1954,2))&lt;60),GUS_tabl_2!$A$8:$B$464,GUS_tabl_21!$A$5:$B$4886),2,FALSE)),LEFT(TRIM(VLOOKUP(IF(AND(LEN($A1954)=4,VALUE(RIGHT($A1954,2))&gt;60),$A1954&amp;"01 1",$A1954),IF(AND(LEN($A1954)=4,VALUE(RIGHT($A1954,2))&lt;60),GUS_tabl_2!$A$8:$B$464,GUS_tabl_21!$A$5:$B$4886),2,FALSE)),SUM(FIND("..",TRIM(VLOOKUP(IF(AND(LEN($A1954)=4,VALUE(RIGHT($A1954,2))&gt;60),$A1954&amp;"01 1",$A1954),IF(AND(LEN($A1954)=4,VALUE(RIGHT($A1954,2))&lt;60),GUS_tabl_2!$A$8:$B$464,GUS_tabl_21!$A$5:$B$4886),2,FALSE))),-1)))))</f>
        <v>gm. w. Tuchomie</v>
      </c>
      <c r="D1954" s="141">
        <f>IF(OR($A1954="",ISERROR(VALUE(LEFT($A1954,6)))),"",IF(LEN($A1954)=2,SUMIF($A1955:$A$2965,$A1954&amp;"??",$D1955:$D$2965),IF(AND(LEN($A1954)=4,VALUE(RIGHT($A1954,2))&lt;=60),SUMIF($A1955:$A$2965,$A1954&amp;"????",$D1955:$D$2965),VLOOKUP(IF(LEN($A1954)=4,$A1954&amp;"01 1",$A1954),GUS_tabl_21!$A$5:$F$4886,6,FALSE))))</f>
        <v>4284</v>
      </c>
      <c r="E1954" s="29"/>
    </row>
    <row r="1955" spans="1:5" ht="12" customHeight="1">
      <c r="A1955" s="152" t="str">
        <f>"2202"</f>
        <v>2202</v>
      </c>
      <c r="B1955" s="153" t="s">
        <v>33</v>
      </c>
      <c r="C1955" s="154" t="str">
        <f>IF(OR($A1955="",ISERROR(VALUE(LEFT($A1955,6)))),"",IF(LEN($A1955)=2,"WOJ. ",IF(LEN($A1955)=4,IF(VALUE(RIGHT($A1955,2))&gt;60,"","Powiat "),IF(VALUE(RIGHT($A1955,1))=1,"m. ",IF(VALUE(RIGHT($A1955,1))=2,"gm. w. ",IF(VALUE(RIGHT($A1955,1))=8,"dz. ","gm. m.-w. ")))))&amp;IF(LEN($A1955)=2,TRIM(UPPER(VLOOKUP($A1955,GUS_tabl_1!$A$7:$B$22,2,FALSE))),IF(ISERROR(FIND("..",TRIM(VLOOKUP(IF(AND(LEN($A1955)=4,VALUE(RIGHT($A1955,2))&gt;60),$A1955&amp;"01 1",$A1955),IF(AND(LEN($A1955)=4,VALUE(RIGHT($A1955,2))&lt;60),GUS_tabl_2!$A$8:$B$464,GUS_tabl_21!$A$5:$B$4886),2,FALSE)))),TRIM(VLOOKUP(IF(AND(LEN($A1955)=4,VALUE(RIGHT($A1955,2))&gt;60),$A1955&amp;"01 1",$A1955),IF(AND(LEN($A1955)=4,VALUE(RIGHT($A1955,2))&lt;60),GUS_tabl_2!$A$8:$B$464,GUS_tabl_21!$A$5:$B$4886),2,FALSE)),LEFT(TRIM(VLOOKUP(IF(AND(LEN($A1955)=4,VALUE(RIGHT($A1955,2))&gt;60),$A1955&amp;"01 1",$A1955),IF(AND(LEN($A1955)=4,VALUE(RIGHT($A1955,2))&lt;60),GUS_tabl_2!$A$8:$B$464,GUS_tabl_21!$A$5:$B$4886),2,FALSE)),SUM(FIND("..",TRIM(VLOOKUP(IF(AND(LEN($A1955)=4,VALUE(RIGHT($A1955,2))&gt;60),$A1955&amp;"01 1",$A1955),IF(AND(LEN($A1955)=4,VALUE(RIGHT($A1955,2))&lt;60),GUS_tabl_2!$A$8:$B$464,GUS_tabl_21!$A$5:$B$4886),2,FALSE))),-1)))))</f>
        <v>Powiat chojnicki</v>
      </c>
      <c r="D1955" s="140">
        <f>IF(OR($A1955="",ISERROR(VALUE(LEFT($A1955,6)))),"",IF(LEN($A1955)=2,SUMIF($A1956:$A$2965,$A1955&amp;"??",$D1956:$D$2965),IF(AND(LEN($A1955)=4,VALUE(RIGHT($A1955,2))&lt;=60),SUMIF($A1956:$A$2965,$A1955&amp;"????",$D1956:$D$2965),VLOOKUP(IF(LEN($A1955)=4,$A1955&amp;"01 1",$A1955),GUS_tabl_21!$A$5:$F$4886,6,FALSE))))</f>
        <v>97645</v>
      </c>
      <c r="E1955" s="29"/>
    </row>
    <row r="1956" spans="1:5" ht="12" customHeight="1">
      <c r="A1956" s="155" t="str">
        <f>"220201 1"</f>
        <v>220201 1</v>
      </c>
      <c r="B1956" s="153" t="s">
        <v>33</v>
      </c>
      <c r="C1956" s="156" t="str">
        <f>IF(OR($A1956="",ISERROR(VALUE(LEFT($A1956,6)))),"",IF(LEN($A1956)=2,"WOJ. ",IF(LEN($A1956)=4,IF(VALUE(RIGHT($A1956,2))&gt;60,"","Powiat "),IF(VALUE(RIGHT($A1956,1))=1,"m. ",IF(VALUE(RIGHT($A1956,1))=2,"gm. w. ",IF(VALUE(RIGHT($A1956,1))=8,"dz. ","gm. m.-w. ")))))&amp;IF(LEN($A1956)=2,TRIM(UPPER(VLOOKUP($A1956,GUS_tabl_1!$A$7:$B$22,2,FALSE))),IF(ISERROR(FIND("..",TRIM(VLOOKUP(IF(AND(LEN($A1956)=4,VALUE(RIGHT($A1956,2))&gt;60),$A1956&amp;"01 1",$A1956),IF(AND(LEN($A1956)=4,VALUE(RIGHT($A1956,2))&lt;60),GUS_tabl_2!$A$8:$B$464,GUS_tabl_21!$A$5:$B$4886),2,FALSE)))),TRIM(VLOOKUP(IF(AND(LEN($A1956)=4,VALUE(RIGHT($A1956,2))&gt;60),$A1956&amp;"01 1",$A1956),IF(AND(LEN($A1956)=4,VALUE(RIGHT($A1956,2))&lt;60),GUS_tabl_2!$A$8:$B$464,GUS_tabl_21!$A$5:$B$4886),2,FALSE)),LEFT(TRIM(VLOOKUP(IF(AND(LEN($A1956)=4,VALUE(RIGHT($A1956,2))&gt;60),$A1956&amp;"01 1",$A1956),IF(AND(LEN($A1956)=4,VALUE(RIGHT($A1956,2))&lt;60),GUS_tabl_2!$A$8:$B$464,GUS_tabl_21!$A$5:$B$4886),2,FALSE)),SUM(FIND("..",TRIM(VLOOKUP(IF(AND(LEN($A1956)=4,VALUE(RIGHT($A1956,2))&gt;60),$A1956&amp;"01 1",$A1956),IF(AND(LEN($A1956)=4,VALUE(RIGHT($A1956,2))&lt;60),GUS_tabl_2!$A$8:$B$464,GUS_tabl_21!$A$5:$B$4886),2,FALSE))),-1)))))</f>
        <v>m. Chojnice</v>
      </c>
      <c r="D1956" s="141">
        <f>IF(OR($A1956="",ISERROR(VALUE(LEFT($A1956,6)))),"",IF(LEN($A1956)=2,SUMIF($A1957:$A$2965,$A1956&amp;"??",$D1957:$D$2965),IF(AND(LEN($A1956)=4,VALUE(RIGHT($A1956,2))&lt;=60),SUMIF($A1957:$A$2965,$A1956&amp;"????",$D1957:$D$2965),VLOOKUP(IF(LEN($A1956)=4,$A1956&amp;"01 1",$A1956),GUS_tabl_21!$A$5:$F$4886,6,FALSE))))</f>
        <v>39804</v>
      </c>
      <c r="E1956" s="29"/>
    </row>
    <row r="1957" spans="1:5" ht="12" customHeight="1">
      <c r="A1957" s="155" t="str">
        <f>"220202 3"</f>
        <v>220202 3</v>
      </c>
      <c r="B1957" s="153" t="s">
        <v>33</v>
      </c>
      <c r="C1957" s="156" t="str">
        <f>IF(OR($A1957="",ISERROR(VALUE(LEFT($A1957,6)))),"",IF(LEN($A1957)=2,"WOJ. ",IF(LEN($A1957)=4,IF(VALUE(RIGHT($A1957,2))&gt;60,"","Powiat "),IF(VALUE(RIGHT($A1957,1))=1,"m. ",IF(VALUE(RIGHT($A1957,1))=2,"gm. w. ",IF(VALUE(RIGHT($A1957,1))=8,"dz. ","gm. m.-w. ")))))&amp;IF(LEN($A1957)=2,TRIM(UPPER(VLOOKUP($A1957,GUS_tabl_1!$A$7:$B$22,2,FALSE))),IF(ISERROR(FIND("..",TRIM(VLOOKUP(IF(AND(LEN($A1957)=4,VALUE(RIGHT($A1957,2))&gt;60),$A1957&amp;"01 1",$A1957),IF(AND(LEN($A1957)=4,VALUE(RIGHT($A1957,2))&lt;60),GUS_tabl_2!$A$8:$B$464,GUS_tabl_21!$A$5:$B$4886),2,FALSE)))),TRIM(VLOOKUP(IF(AND(LEN($A1957)=4,VALUE(RIGHT($A1957,2))&gt;60),$A1957&amp;"01 1",$A1957),IF(AND(LEN($A1957)=4,VALUE(RIGHT($A1957,2))&lt;60),GUS_tabl_2!$A$8:$B$464,GUS_tabl_21!$A$5:$B$4886),2,FALSE)),LEFT(TRIM(VLOOKUP(IF(AND(LEN($A1957)=4,VALUE(RIGHT($A1957,2))&gt;60),$A1957&amp;"01 1",$A1957),IF(AND(LEN($A1957)=4,VALUE(RIGHT($A1957,2))&lt;60),GUS_tabl_2!$A$8:$B$464,GUS_tabl_21!$A$5:$B$4886),2,FALSE)),SUM(FIND("..",TRIM(VLOOKUP(IF(AND(LEN($A1957)=4,VALUE(RIGHT($A1957,2))&gt;60),$A1957&amp;"01 1",$A1957),IF(AND(LEN($A1957)=4,VALUE(RIGHT($A1957,2))&lt;60),GUS_tabl_2!$A$8:$B$464,GUS_tabl_21!$A$5:$B$4886),2,FALSE))),-1)))))</f>
        <v>gm. m.-w. Brusy</v>
      </c>
      <c r="D1957" s="141">
        <f>IF(OR($A1957="",ISERROR(VALUE(LEFT($A1957,6)))),"",IF(LEN($A1957)=2,SUMIF($A1958:$A$2965,$A1957&amp;"??",$D1958:$D$2965),IF(AND(LEN($A1957)=4,VALUE(RIGHT($A1957,2))&lt;=60),SUMIF($A1958:$A$2965,$A1957&amp;"????",$D1958:$D$2965),VLOOKUP(IF(LEN($A1957)=4,$A1957&amp;"01 1",$A1957),GUS_tabl_21!$A$5:$F$4886,6,FALSE))))</f>
        <v>14575</v>
      </c>
      <c r="E1957" s="29"/>
    </row>
    <row r="1958" spans="1:5" ht="12" customHeight="1">
      <c r="A1958" s="155" t="str">
        <f>"220203 2"</f>
        <v>220203 2</v>
      </c>
      <c r="B1958" s="153" t="s">
        <v>33</v>
      </c>
      <c r="C1958" s="156" t="str">
        <f>IF(OR($A1958="",ISERROR(VALUE(LEFT($A1958,6)))),"",IF(LEN($A1958)=2,"WOJ. ",IF(LEN($A1958)=4,IF(VALUE(RIGHT($A1958,2))&gt;60,"","Powiat "),IF(VALUE(RIGHT($A1958,1))=1,"m. ",IF(VALUE(RIGHT($A1958,1))=2,"gm. w. ",IF(VALUE(RIGHT($A1958,1))=8,"dz. ","gm. m.-w. ")))))&amp;IF(LEN($A1958)=2,TRIM(UPPER(VLOOKUP($A1958,GUS_tabl_1!$A$7:$B$22,2,FALSE))),IF(ISERROR(FIND("..",TRIM(VLOOKUP(IF(AND(LEN($A1958)=4,VALUE(RIGHT($A1958,2))&gt;60),$A1958&amp;"01 1",$A1958),IF(AND(LEN($A1958)=4,VALUE(RIGHT($A1958,2))&lt;60),GUS_tabl_2!$A$8:$B$464,GUS_tabl_21!$A$5:$B$4886),2,FALSE)))),TRIM(VLOOKUP(IF(AND(LEN($A1958)=4,VALUE(RIGHT($A1958,2))&gt;60),$A1958&amp;"01 1",$A1958),IF(AND(LEN($A1958)=4,VALUE(RIGHT($A1958,2))&lt;60),GUS_tabl_2!$A$8:$B$464,GUS_tabl_21!$A$5:$B$4886),2,FALSE)),LEFT(TRIM(VLOOKUP(IF(AND(LEN($A1958)=4,VALUE(RIGHT($A1958,2))&gt;60),$A1958&amp;"01 1",$A1958),IF(AND(LEN($A1958)=4,VALUE(RIGHT($A1958,2))&lt;60),GUS_tabl_2!$A$8:$B$464,GUS_tabl_21!$A$5:$B$4886),2,FALSE)),SUM(FIND("..",TRIM(VLOOKUP(IF(AND(LEN($A1958)=4,VALUE(RIGHT($A1958,2))&gt;60),$A1958&amp;"01 1",$A1958),IF(AND(LEN($A1958)=4,VALUE(RIGHT($A1958,2))&lt;60),GUS_tabl_2!$A$8:$B$464,GUS_tabl_21!$A$5:$B$4886),2,FALSE))),-1)))))</f>
        <v>gm. w. Chojnice</v>
      </c>
      <c r="D1958" s="141">
        <f>IF(OR($A1958="",ISERROR(VALUE(LEFT($A1958,6)))),"",IF(LEN($A1958)=2,SUMIF($A1959:$A$2965,$A1958&amp;"??",$D1959:$D$2965),IF(AND(LEN($A1958)=4,VALUE(RIGHT($A1958,2))&lt;=60),SUMIF($A1959:$A$2965,$A1958&amp;"????",$D1959:$D$2965),VLOOKUP(IF(LEN($A1958)=4,$A1958&amp;"01 1",$A1958),GUS_tabl_21!$A$5:$F$4886,6,FALSE))))</f>
        <v>19311</v>
      </c>
      <c r="E1958" s="29"/>
    </row>
    <row r="1959" spans="1:5" ht="12" customHeight="1">
      <c r="A1959" s="155" t="str">
        <f>"220204 3"</f>
        <v>220204 3</v>
      </c>
      <c r="B1959" s="153" t="s">
        <v>33</v>
      </c>
      <c r="C1959" s="156" t="str">
        <f>IF(OR($A1959="",ISERROR(VALUE(LEFT($A1959,6)))),"",IF(LEN($A1959)=2,"WOJ. ",IF(LEN($A1959)=4,IF(VALUE(RIGHT($A1959,2))&gt;60,"","Powiat "),IF(VALUE(RIGHT($A1959,1))=1,"m. ",IF(VALUE(RIGHT($A1959,1))=2,"gm. w. ",IF(VALUE(RIGHT($A1959,1))=8,"dz. ","gm. m.-w. ")))))&amp;IF(LEN($A1959)=2,TRIM(UPPER(VLOOKUP($A1959,GUS_tabl_1!$A$7:$B$22,2,FALSE))),IF(ISERROR(FIND("..",TRIM(VLOOKUP(IF(AND(LEN($A1959)=4,VALUE(RIGHT($A1959,2))&gt;60),$A1959&amp;"01 1",$A1959),IF(AND(LEN($A1959)=4,VALUE(RIGHT($A1959,2))&lt;60),GUS_tabl_2!$A$8:$B$464,GUS_tabl_21!$A$5:$B$4886),2,FALSE)))),TRIM(VLOOKUP(IF(AND(LEN($A1959)=4,VALUE(RIGHT($A1959,2))&gt;60),$A1959&amp;"01 1",$A1959),IF(AND(LEN($A1959)=4,VALUE(RIGHT($A1959,2))&lt;60),GUS_tabl_2!$A$8:$B$464,GUS_tabl_21!$A$5:$B$4886),2,FALSE)),LEFT(TRIM(VLOOKUP(IF(AND(LEN($A1959)=4,VALUE(RIGHT($A1959,2))&gt;60),$A1959&amp;"01 1",$A1959),IF(AND(LEN($A1959)=4,VALUE(RIGHT($A1959,2))&lt;60),GUS_tabl_2!$A$8:$B$464,GUS_tabl_21!$A$5:$B$4886),2,FALSE)),SUM(FIND("..",TRIM(VLOOKUP(IF(AND(LEN($A1959)=4,VALUE(RIGHT($A1959,2))&gt;60),$A1959&amp;"01 1",$A1959),IF(AND(LEN($A1959)=4,VALUE(RIGHT($A1959,2))&lt;60),GUS_tabl_2!$A$8:$B$464,GUS_tabl_21!$A$5:$B$4886),2,FALSE))),-1)))))</f>
        <v>gm. m.-w. Czersk</v>
      </c>
      <c r="D1959" s="141">
        <f>IF(OR($A1959="",ISERROR(VALUE(LEFT($A1959,6)))),"",IF(LEN($A1959)=2,SUMIF($A1960:$A$2965,$A1959&amp;"??",$D1960:$D$2965),IF(AND(LEN($A1959)=4,VALUE(RIGHT($A1959,2))&lt;=60),SUMIF($A1960:$A$2965,$A1959&amp;"????",$D1960:$D$2965),VLOOKUP(IF(LEN($A1959)=4,$A1959&amp;"01 1",$A1959),GUS_tabl_21!$A$5:$F$4886,6,FALSE))))</f>
        <v>21644</v>
      </c>
      <c r="E1959" s="29"/>
    </row>
    <row r="1960" spans="1:5" ht="12" customHeight="1">
      <c r="A1960" s="155" t="str">
        <f>"220205 2"</f>
        <v>220205 2</v>
      </c>
      <c r="B1960" s="153" t="s">
        <v>33</v>
      </c>
      <c r="C1960" s="156" t="str">
        <f>IF(OR($A1960="",ISERROR(VALUE(LEFT($A1960,6)))),"",IF(LEN($A1960)=2,"WOJ. ",IF(LEN($A1960)=4,IF(VALUE(RIGHT($A1960,2))&gt;60,"","Powiat "),IF(VALUE(RIGHT($A1960,1))=1,"m. ",IF(VALUE(RIGHT($A1960,1))=2,"gm. w. ",IF(VALUE(RIGHT($A1960,1))=8,"dz. ","gm. m.-w. ")))))&amp;IF(LEN($A1960)=2,TRIM(UPPER(VLOOKUP($A1960,GUS_tabl_1!$A$7:$B$22,2,FALSE))),IF(ISERROR(FIND("..",TRIM(VLOOKUP(IF(AND(LEN($A1960)=4,VALUE(RIGHT($A1960,2))&gt;60),$A1960&amp;"01 1",$A1960),IF(AND(LEN($A1960)=4,VALUE(RIGHT($A1960,2))&lt;60),GUS_tabl_2!$A$8:$B$464,GUS_tabl_21!$A$5:$B$4886),2,FALSE)))),TRIM(VLOOKUP(IF(AND(LEN($A1960)=4,VALUE(RIGHT($A1960,2))&gt;60),$A1960&amp;"01 1",$A1960),IF(AND(LEN($A1960)=4,VALUE(RIGHT($A1960,2))&lt;60),GUS_tabl_2!$A$8:$B$464,GUS_tabl_21!$A$5:$B$4886),2,FALSE)),LEFT(TRIM(VLOOKUP(IF(AND(LEN($A1960)=4,VALUE(RIGHT($A1960,2))&gt;60),$A1960&amp;"01 1",$A1960),IF(AND(LEN($A1960)=4,VALUE(RIGHT($A1960,2))&lt;60),GUS_tabl_2!$A$8:$B$464,GUS_tabl_21!$A$5:$B$4886),2,FALSE)),SUM(FIND("..",TRIM(VLOOKUP(IF(AND(LEN($A1960)=4,VALUE(RIGHT($A1960,2))&gt;60),$A1960&amp;"01 1",$A1960),IF(AND(LEN($A1960)=4,VALUE(RIGHT($A1960,2))&lt;60),GUS_tabl_2!$A$8:$B$464,GUS_tabl_21!$A$5:$B$4886),2,FALSE))),-1)))))</f>
        <v>gm. w. Konarzyny</v>
      </c>
      <c r="D1960" s="141">
        <f>IF(OR($A1960="",ISERROR(VALUE(LEFT($A1960,6)))),"",IF(LEN($A1960)=2,SUMIF($A1961:$A$2965,$A1960&amp;"??",$D1961:$D$2965),IF(AND(LEN($A1960)=4,VALUE(RIGHT($A1960,2))&lt;=60),SUMIF($A1961:$A$2965,$A1960&amp;"????",$D1961:$D$2965),VLOOKUP(IF(LEN($A1960)=4,$A1960&amp;"01 1",$A1960),GUS_tabl_21!$A$5:$F$4886,6,FALSE))))</f>
        <v>2311</v>
      </c>
      <c r="E1960" s="29"/>
    </row>
    <row r="1961" spans="1:5" ht="12" customHeight="1">
      <c r="A1961" s="152" t="str">
        <f>"2203"</f>
        <v>2203</v>
      </c>
      <c r="B1961" s="153" t="s">
        <v>33</v>
      </c>
      <c r="C1961" s="154" t="str">
        <f>IF(OR($A1961="",ISERROR(VALUE(LEFT($A1961,6)))),"",IF(LEN($A1961)=2,"WOJ. ",IF(LEN($A1961)=4,IF(VALUE(RIGHT($A1961,2))&gt;60,"","Powiat "),IF(VALUE(RIGHT($A1961,1))=1,"m. ",IF(VALUE(RIGHT($A1961,1))=2,"gm. w. ",IF(VALUE(RIGHT($A1961,1))=8,"dz. ","gm. m.-w. ")))))&amp;IF(LEN($A1961)=2,TRIM(UPPER(VLOOKUP($A1961,GUS_tabl_1!$A$7:$B$22,2,FALSE))),IF(ISERROR(FIND("..",TRIM(VLOOKUP(IF(AND(LEN($A1961)=4,VALUE(RIGHT($A1961,2))&gt;60),$A1961&amp;"01 1",$A1961),IF(AND(LEN($A1961)=4,VALUE(RIGHT($A1961,2))&lt;60),GUS_tabl_2!$A$8:$B$464,GUS_tabl_21!$A$5:$B$4886),2,FALSE)))),TRIM(VLOOKUP(IF(AND(LEN($A1961)=4,VALUE(RIGHT($A1961,2))&gt;60),$A1961&amp;"01 1",$A1961),IF(AND(LEN($A1961)=4,VALUE(RIGHT($A1961,2))&lt;60),GUS_tabl_2!$A$8:$B$464,GUS_tabl_21!$A$5:$B$4886),2,FALSE)),LEFT(TRIM(VLOOKUP(IF(AND(LEN($A1961)=4,VALUE(RIGHT($A1961,2))&gt;60),$A1961&amp;"01 1",$A1961),IF(AND(LEN($A1961)=4,VALUE(RIGHT($A1961,2))&lt;60),GUS_tabl_2!$A$8:$B$464,GUS_tabl_21!$A$5:$B$4886),2,FALSE)),SUM(FIND("..",TRIM(VLOOKUP(IF(AND(LEN($A1961)=4,VALUE(RIGHT($A1961,2))&gt;60),$A1961&amp;"01 1",$A1961),IF(AND(LEN($A1961)=4,VALUE(RIGHT($A1961,2))&lt;60),GUS_tabl_2!$A$8:$B$464,GUS_tabl_21!$A$5:$B$4886),2,FALSE))),-1)))))</f>
        <v>Powiat człuchowski</v>
      </c>
      <c r="D1961" s="140">
        <f>IF(OR($A1961="",ISERROR(VALUE(LEFT($A1961,6)))),"",IF(LEN($A1961)=2,SUMIF($A1962:$A$2965,$A1961&amp;"??",$D1962:$D$2965),IF(AND(LEN($A1961)=4,VALUE(RIGHT($A1961,2))&lt;=60),SUMIF($A1962:$A$2965,$A1961&amp;"????",$D1962:$D$2965),VLOOKUP(IF(LEN($A1961)=4,$A1961&amp;"01 1",$A1961),GUS_tabl_21!$A$5:$F$4886,6,FALSE))))</f>
        <v>56085</v>
      </c>
      <c r="E1961" s="29"/>
    </row>
    <row r="1962" spans="1:5" ht="12" customHeight="1">
      <c r="A1962" s="155" t="str">
        <f>"220301 1"</f>
        <v>220301 1</v>
      </c>
      <c r="B1962" s="153" t="s">
        <v>33</v>
      </c>
      <c r="C1962" s="156" t="str">
        <f>IF(OR($A1962="",ISERROR(VALUE(LEFT($A1962,6)))),"",IF(LEN($A1962)=2,"WOJ. ",IF(LEN($A1962)=4,IF(VALUE(RIGHT($A1962,2))&gt;60,"","Powiat "),IF(VALUE(RIGHT($A1962,1))=1,"m. ",IF(VALUE(RIGHT($A1962,1))=2,"gm. w. ",IF(VALUE(RIGHT($A1962,1))=8,"dz. ","gm. m.-w. ")))))&amp;IF(LEN($A1962)=2,TRIM(UPPER(VLOOKUP($A1962,GUS_tabl_1!$A$7:$B$22,2,FALSE))),IF(ISERROR(FIND("..",TRIM(VLOOKUP(IF(AND(LEN($A1962)=4,VALUE(RIGHT($A1962,2))&gt;60),$A1962&amp;"01 1",$A1962),IF(AND(LEN($A1962)=4,VALUE(RIGHT($A1962,2))&lt;60),GUS_tabl_2!$A$8:$B$464,GUS_tabl_21!$A$5:$B$4886),2,FALSE)))),TRIM(VLOOKUP(IF(AND(LEN($A1962)=4,VALUE(RIGHT($A1962,2))&gt;60),$A1962&amp;"01 1",$A1962),IF(AND(LEN($A1962)=4,VALUE(RIGHT($A1962,2))&lt;60),GUS_tabl_2!$A$8:$B$464,GUS_tabl_21!$A$5:$B$4886),2,FALSE)),LEFT(TRIM(VLOOKUP(IF(AND(LEN($A1962)=4,VALUE(RIGHT($A1962,2))&gt;60),$A1962&amp;"01 1",$A1962),IF(AND(LEN($A1962)=4,VALUE(RIGHT($A1962,2))&lt;60),GUS_tabl_2!$A$8:$B$464,GUS_tabl_21!$A$5:$B$4886),2,FALSE)),SUM(FIND("..",TRIM(VLOOKUP(IF(AND(LEN($A1962)=4,VALUE(RIGHT($A1962,2))&gt;60),$A1962&amp;"01 1",$A1962),IF(AND(LEN($A1962)=4,VALUE(RIGHT($A1962,2))&lt;60),GUS_tabl_2!$A$8:$B$464,GUS_tabl_21!$A$5:$B$4886),2,FALSE))),-1)))))</f>
        <v>m. Człuchów</v>
      </c>
      <c r="D1962" s="141">
        <f>IF(OR($A1962="",ISERROR(VALUE(LEFT($A1962,6)))),"",IF(LEN($A1962)=2,SUMIF($A1963:$A$2965,$A1962&amp;"??",$D1963:$D$2965),IF(AND(LEN($A1962)=4,VALUE(RIGHT($A1962,2))&lt;=60),SUMIF($A1963:$A$2965,$A1962&amp;"????",$D1963:$D$2965),VLOOKUP(IF(LEN($A1962)=4,$A1962&amp;"01 1",$A1962),GUS_tabl_21!$A$5:$F$4886,6,FALSE))))</f>
        <v>13624</v>
      </c>
      <c r="E1962" s="29"/>
    </row>
    <row r="1963" spans="1:5" ht="12" customHeight="1">
      <c r="A1963" s="155" t="str">
        <f>"220302 3"</f>
        <v>220302 3</v>
      </c>
      <c r="B1963" s="153" t="s">
        <v>33</v>
      </c>
      <c r="C1963" s="156" t="str">
        <f>IF(OR($A1963="",ISERROR(VALUE(LEFT($A1963,6)))),"",IF(LEN($A1963)=2,"WOJ. ",IF(LEN($A1963)=4,IF(VALUE(RIGHT($A1963,2))&gt;60,"","Powiat "),IF(VALUE(RIGHT($A1963,1))=1,"m. ",IF(VALUE(RIGHT($A1963,1))=2,"gm. w. ",IF(VALUE(RIGHT($A1963,1))=8,"dz. ","gm. m.-w. ")))))&amp;IF(LEN($A1963)=2,TRIM(UPPER(VLOOKUP($A1963,GUS_tabl_1!$A$7:$B$22,2,FALSE))),IF(ISERROR(FIND("..",TRIM(VLOOKUP(IF(AND(LEN($A1963)=4,VALUE(RIGHT($A1963,2))&gt;60),$A1963&amp;"01 1",$A1963),IF(AND(LEN($A1963)=4,VALUE(RIGHT($A1963,2))&lt;60),GUS_tabl_2!$A$8:$B$464,GUS_tabl_21!$A$5:$B$4886),2,FALSE)))),TRIM(VLOOKUP(IF(AND(LEN($A1963)=4,VALUE(RIGHT($A1963,2))&gt;60),$A1963&amp;"01 1",$A1963),IF(AND(LEN($A1963)=4,VALUE(RIGHT($A1963,2))&lt;60),GUS_tabl_2!$A$8:$B$464,GUS_tabl_21!$A$5:$B$4886),2,FALSE)),LEFT(TRIM(VLOOKUP(IF(AND(LEN($A1963)=4,VALUE(RIGHT($A1963,2))&gt;60),$A1963&amp;"01 1",$A1963),IF(AND(LEN($A1963)=4,VALUE(RIGHT($A1963,2))&lt;60),GUS_tabl_2!$A$8:$B$464,GUS_tabl_21!$A$5:$B$4886),2,FALSE)),SUM(FIND("..",TRIM(VLOOKUP(IF(AND(LEN($A1963)=4,VALUE(RIGHT($A1963,2))&gt;60),$A1963&amp;"01 1",$A1963),IF(AND(LEN($A1963)=4,VALUE(RIGHT($A1963,2))&lt;60),GUS_tabl_2!$A$8:$B$464,GUS_tabl_21!$A$5:$B$4886),2,FALSE))),-1)))))</f>
        <v>gm. m.-w. Czarne</v>
      </c>
      <c r="D1963" s="141">
        <f>IF(OR($A1963="",ISERROR(VALUE(LEFT($A1963,6)))),"",IF(LEN($A1963)=2,SUMIF($A1964:$A$2965,$A1963&amp;"??",$D1964:$D$2965),IF(AND(LEN($A1963)=4,VALUE(RIGHT($A1963,2))&lt;=60),SUMIF($A1964:$A$2965,$A1963&amp;"????",$D1964:$D$2965),VLOOKUP(IF(LEN($A1963)=4,$A1963&amp;"01 1",$A1963),GUS_tabl_21!$A$5:$F$4886,6,FALSE))))</f>
        <v>9055</v>
      </c>
      <c r="E1963" s="29"/>
    </row>
    <row r="1964" spans="1:5" ht="12" customHeight="1">
      <c r="A1964" s="155" t="str">
        <f>"220303 2"</f>
        <v>220303 2</v>
      </c>
      <c r="B1964" s="153" t="s">
        <v>33</v>
      </c>
      <c r="C1964" s="156" t="str">
        <f>IF(OR($A1964="",ISERROR(VALUE(LEFT($A1964,6)))),"",IF(LEN($A1964)=2,"WOJ. ",IF(LEN($A1964)=4,IF(VALUE(RIGHT($A1964,2))&gt;60,"","Powiat "),IF(VALUE(RIGHT($A1964,1))=1,"m. ",IF(VALUE(RIGHT($A1964,1))=2,"gm. w. ",IF(VALUE(RIGHT($A1964,1))=8,"dz. ","gm. m.-w. ")))))&amp;IF(LEN($A1964)=2,TRIM(UPPER(VLOOKUP($A1964,GUS_tabl_1!$A$7:$B$22,2,FALSE))),IF(ISERROR(FIND("..",TRIM(VLOOKUP(IF(AND(LEN($A1964)=4,VALUE(RIGHT($A1964,2))&gt;60),$A1964&amp;"01 1",$A1964),IF(AND(LEN($A1964)=4,VALUE(RIGHT($A1964,2))&lt;60),GUS_tabl_2!$A$8:$B$464,GUS_tabl_21!$A$5:$B$4886),2,FALSE)))),TRIM(VLOOKUP(IF(AND(LEN($A1964)=4,VALUE(RIGHT($A1964,2))&gt;60),$A1964&amp;"01 1",$A1964),IF(AND(LEN($A1964)=4,VALUE(RIGHT($A1964,2))&lt;60),GUS_tabl_2!$A$8:$B$464,GUS_tabl_21!$A$5:$B$4886),2,FALSE)),LEFT(TRIM(VLOOKUP(IF(AND(LEN($A1964)=4,VALUE(RIGHT($A1964,2))&gt;60),$A1964&amp;"01 1",$A1964),IF(AND(LEN($A1964)=4,VALUE(RIGHT($A1964,2))&lt;60),GUS_tabl_2!$A$8:$B$464,GUS_tabl_21!$A$5:$B$4886),2,FALSE)),SUM(FIND("..",TRIM(VLOOKUP(IF(AND(LEN($A1964)=4,VALUE(RIGHT($A1964,2))&gt;60),$A1964&amp;"01 1",$A1964),IF(AND(LEN($A1964)=4,VALUE(RIGHT($A1964,2))&lt;60),GUS_tabl_2!$A$8:$B$464,GUS_tabl_21!$A$5:$B$4886),2,FALSE))),-1)))))</f>
        <v>gm. w. Człuchów</v>
      </c>
      <c r="D1964" s="141">
        <f>IF(OR($A1964="",ISERROR(VALUE(LEFT($A1964,6)))),"",IF(LEN($A1964)=2,SUMIF($A1965:$A$2965,$A1964&amp;"??",$D1965:$D$2965),IF(AND(LEN($A1964)=4,VALUE(RIGHT($A1964,2))&lt;=60),SUMIF($A1965:$A$2965,$A1964&amp;"????",$D1965:$D$2965),VLOOKUP(IF(LEN($A1964)=4,$A1964&amp;"01 1",$A1964),GUS_tabl_21!$A$5:$F$4886,6,FALSE))))</f>
        <v>11128</v>
      </c>
      <c r="E1964" s="29"/>
    </row>
    <row r="1965" spans="1:5" ht="12" customHeight="1">
      <c r="A1965" s="155" t="str">
        <f>"220304 3"</f>
        <v>220304 3</v>
      </c>
      <c r="B1965" s="153" t="s">
        <v>33</v>
      </c>
      <c r="C1965" s="156" t="str">
        <f>IF(OR($A1965="",ISERROR(VALUE(LEFT($A1965,6)))),"",IF(LEN($A1965)=2,"WOJ. ",IF(LEN($A1965)=4,IF(VALUE(RIGHT($A1965,2))&gt;60,"","Powiat "),IF(VALUE(RIGHT($A1965,1))=1,"m. ",IF(VALUE(RIGHT($A1965,1))=2,"gm. w. ",IF(VALUE(RIGHT($A1965,1))=8,"dz. ","gm. m.-w. ")))))&amp;IF(LEN($A1965)=2,TRIM(UPPER(VLOOKUP($A1965,GUS_tabl_1!$A$7:$B$22,2,FALSE))),IF(ISERROR(FIND("..",TRIM(VLOOKUP(IF(AND(LEN($A1965)=4,VALUE(RIGHT($A1965,2))&gt;60),$A1965&amp;"01 1",$A1965),IF(AND(LEN($A1965)=4,VALUE(RIGHT($A1965,2))&lt;60),GUS_tabl_2!$A$8:$B$464,GUS_tabl_21!$A$5:$B$4886),2,FALSE)))),TRIM(VLOOKUP(IF(AND(LEN($A1965)=4,VALUE(RIGHT($A1965,2))&gt;60),$A1965&amp;"01 1",$A1965),IF(AND(LEN($A1965)=4,VALUE(RIGHT($A1965,2))&lt;60),GUS_tabl_2!$A$8:$B$464,GUS_tabl_21!$A$5:$B$4886),2,FALSE)),LEFT(TRIM(VLOOKUP(IF(AND(LEN($A1965)=4,VALUE(RIGHT($A1965,2))&gt;60),$A1965&amp;"01 1",$A1965),IF(AND(LEN($A1965)=4,VALUE(RIGHT($A1965,2))&lt;60),GUS_tabl_2!$A$8:$B$464,GUS_tabl_21!$A$5:$B$4886),2,FALSE)),SUM(FIND("..",TRIM(VLOOKUP(IF(AND(LEN($A1965)=4,VALUE(RIGHT($A1965,2))&gt;60),$A1965&amp;"01 1",$A1965),IF(AND(LEN($A1965)=4,VALUE(RIGHT($A1965,2))&lt;60),GUS_tabl_2!$A$8:$B$464,GUS_tabl_21!$A$5:$B$4886),2,FALSE))),-1)))))</f>
        <v>gm. m.-w. Debrzno</v>
      </c>
      <c r="D1965" s="141">
        <f>IF(OR($A1965="",ISERROR(VALUE(LEFT($A1965,6)))),"",IF(LEN($A1965)=2,SUMIF($A1966:$A$2965,$A1965&amp;"??",$D1966:$D$2965),IF(AND(LEN($A1965)=4,VALUE(RIGHT($A1965,2))&lt;=60),SUMIF($A1966:$A$2965,$A1965&amp;"????",$D1966:$D$2965),VLOOKUP(IF(LEN($A1965)=4,$A1965&amp;"01 1",$A1965),GUS_tabl_21!$A$5:$F$4886,6,FALSE))))</f>
        <v>8984</v>
      </c>
      <c r="E1965" s="29"/>
    </row>
    <row r="1966" spans="1:5" ht="12" customHeight="1">
      <c r="A1966" s="155" t="str">
        <f>"220305 2"</f>
        <v>220305 2</v>
      </c>
      <c r="B1966" s="153" t="s">
        <v>33</v>
      </c>
      <c r="C1966" s="156" t="str">
        <f>IF(OR($A1966="",ISERROR(VALUE(LEFT($A1966,6)))),"",IF(LEN($A1966)=2,"WOJ. ",IF(LEN($A1966)=4,IF(VALUE(RIGHT($A1966,2))&gt;60,"","Powiat "),IF(VALUE(RIGHT($A1966,1))=1,"m. ",IF(VALUE(RIGHT($A1966,1))=2,"gm. w. ",IF(VALUE(RIGHT($A1966,1))=8,"dz. ","gm. m.-w. ")))))&amp;IF(LEN($A1966)=2,TRIM(UPPER(VLOOKUP($A1966,GUS_tabl_1!$A$7:$B$22,2,FALSE))),IF(ISERROR(FIND("..",TRIM(VLOOKUP(IF(AND(LEN($A1966)=4,VALUE(RIGHT($A1966,2))&gt;60),$A1966&amp;"01 1",$A1966),IF(AND(LEN($A1966)=4,VALUE(RIGHT($A1966,2))&lt;60),GUS_tabl_2!$A$8:$B$464,GUS_tabl_21!$A$5:$B$4886),2,FALSE)))),TRIM(VLOOKUP(IF(AND(LEN($A1966)=4,VALUE(RIGHT($A1966,2))&gt;60),$A1966&amp;"01 1",$A1966),IF(AND(LEN($A1966)=4,VALUE(RIGHT($A1966,2))&lt;60),GUS_tabl_2!$A$8:$B$464,GUS_tabl_21!$A$5:$B$4886),2,FALSE)),LEFT(TRIM(VLOOKUP(IF(AND(LEN($A1966)=4,VALUE(RIGHT($A1966,2))&gt;60),$A1966&amp;"01 1",$A1966),IF(AND(LEN($A1966)=4,VALUE(RIGHT($A1966,2))&lt;60),GUS_tabl_2!$A$8:$B$464,GUS_tabl_21!$A$5:$B$4886),2,FALSE)),SUM(FIND("..",TRIM(VLOOKUP(IF(AND(LEN($A1966)=4,VALUE(RIGHT($A1966,2))&gt;60),$A1966&amp;"01 1",$A1966),IF(AND(LEN($A1966)=4,VALUE(RIGHT($A1966,2))&lt;60),GUS_tabl_2!$A$8:$B$464,GUS_tabl_21!$A$5:$B$4886),2,FALSE))),-1)))))</f>
        <v>gm. w. Koczała</v>
      </c>
      <c r="D1966" s="141">
        <f>IF(OR($A1966="",ISERROR(VALUE(LEFT($A1966,6)))),"",IF(LEN($A1966)=2,SUMIF($A1967:$A$2965,$A1966&amp;"??",$D1967:$D$2965),IF(AND(LEN($A1966)=4,VALUE(RIGHT($A1966,2))&lt;=60),SUMIF($A1967:$A$2965,$A1966&amp;"????",$D1967:$D$2965),VLOOKUP(IF(LEN($A1966)=4,$A1966&amp;"01 1",$A1966),GUS_tabl_21!$A$5:$F$4886,6,FALSE))))</f>
        <v>3356</v>
      </c>
      <c r="E1966" s="29"/>
    </row>
    <row r="1967" spans="1:5" ht="12" customHeight="1">
      <c r="A1967" s="155" t="str">
        <f>"220306 2"</f>
        <v>220306 2</v>
      </c>
      <c r="B1967" s="153" t="s">
        <v>33</v>
      </c>
      <c r="C1967" s="156" t="str">
        <f>IF(OR($A1967="",ISERROR(VALUE(LEFT($A1967,6)))),"",IF(LEN($A1967)=2,"WOJ. ",IF(LEN($A1967)=4,IF(VALUE(RIGHT($A1967,2))&gt;60,"","Powiat "),IF(VALUE(RIGHT($A1967,1))=1,"m. ",IF(VALUE(RIGHT($A1967,1))=2,"gm. w. ",IF(VALUE(RIGHT($A1967,1))=8,"dz. ","gm. m.-w. ")))))&amp;IF(LEN($A1967)=2,TRIM(UPPER(VLOOKUP($A1967,GUS_tabl_1!$A$7:$B$22,2,FALSE))),IF(ISERROR(FIND("..",TRIM(VLOOKUP(IF(AND(LEN($A1967)=4,VALUE(RIGHT($A1967,2))&gt;60),$A1967&amp;"01 1",$A1967),IF(AND(LEN($A1967)=4,VALUE(RIGHT($A1967,2))&lt;60),GUS_tabl_2!$A$8:$B$464,GUS_tabl_21!$A$5:$B$4886),2,FALSE)))),TRIM(VLOOKUP(IF(AND(LEN($A1967)=4,VALUE(RIGHT($A1967,2))&gt;60),$A1967&amp;"01 1",$A1967),IF(AND(LEN($A1967)=4,VALUE(RIGHT($A1967,2))&lt;60),GUS_tabl_2!$A$8:$B$464,GUS_tabl_21!$A$5:$B$4886),2,FALSE)),LEFT(TRIM(VLOOKUP(IF(AND(LEN($A1967)=4,VALUE(RIGHT($A1967,2))&gt;60),$A1967&amp;"01 1",$A1967),IF(AND(LEN($A1967)=4,VALUE(RIGHT($A1967,2))&lt;60),GUS_tabl_2!$A$8:$B$464,GUS_tabl_21!$A$5:$B$4886),2,FALSE)),SUM(FIND("..",TRIM(VLOOKUP(IF(AND(LEN($A1967)=4,VALUE(RIGHT($A1967,2))&gt;60),$A1967&amp;"01 1",$A1967),IF(AND(LEN($A1967)=4,VALUE(RIGHT($A1967,2))&lt;60),GUS_tabl_2!$A$8:$B$464,GUS_tabl_21!$A$5:$B$4886),2,FALSE))),-1)))))</f>
        <v>gm. w. Przechlewo</v>
      </c>
      <c r="D1967" s="141">
        <f>IF(OR($A1967="",ISERROR(VALUE(LEFT($A1967,6)))),"",IF(LEN($A1967)=2,SUMIF($A1968:$A$2965,$A1967&amp;"??",$D1968:$D$2965),IF(AND(LEN($A1967)=4,VALUE(RIGHT($A1967,2))&lt;=60),SUMIF($A1968:$A$2965,$A1967&amp;"????",$D1968:$D$2965),VLOOKUP(IF(LEN($A1967)=4,$A1967&amp;"01 1",$A1967),GUS_tabl_21!$A$5:$F$4886,6,FALSE))))</f>
        <v>6331</v>
      </c>
      <c r="E1967" s="29"/>
    </row>
    <row r="1968" spans="1:5" ht="12" customHeight="1">
      <c r="A1968" s="155" t="str">
        <f>"220307 2"</f>
        <v>220307 2</v>
      </c>
      <c r="B1968" s="153" t="s">
        <v>33</v>
      </c>
      <c r="C1968" s="156" t="str">
        <f>IF(OR($A1968="",ISERROR(VALUE(LEFT($A1968,6)))),"",IF(LEN($A1968)=2,"WOJ. ",IF(LEN($A1968)=4,IF(VALUE(RIGHT($A1968,2))&gt;60,"","Powiat "),IF(VALUE(RIGHT($A1968,1))=1,"m. ",IF(VALUE(RIGHT($A1968,1))=2,"gm. w. ",IF(VALUE(RIGHT($A1968,1))=8,"dz. ","gm. m.-w. ")))))&amp;IF(LEN($A1968)=2,TRIM(UPPER(VLOOKUP($A1968,GUS_tabl_1!$A$7:$B$22,2,FALSE))),IF(ISERROR(FIND("..",TRIM(VLOOKUP(IF(AND(LEN($A1968)=4,VALUE(RIGHT($A1968,2))&gt;60),$A1968&amp;"01 1",$A1968),IF(AND(LEN($A1968)=4,VALUE(RIGHT($A1968,2))&lt;60),GUS_tabl_2!$A$8:$B$464,GUS_tabl_21!$A$5:$B$4886),2,FALSE)))),TRIM(VLOOKUP(IF(AND(LEN($A1968)=4,VALUE(RIGHT($A1968,2))&gt;60),$A1968&amp;"01 1",$A1968),IF(AND(LEN($A1968)=4,VALUE(RIGHT($A1968,2))&lt;60),GUS_tabl_2!$A$8:$B$464,GUS_tabl_21!$A$5:$B$4886),2,FALSE)),LEFT(TRIM(VLOOKUP(IF(AND(LEN($A1968)=4,VALUE(RIGHT($A1968,2))&gt;60),$A1968&amp;"01 1",$A1968),IF(AND(LEN($A1968)=4,VALUE(RIGHT($A1968,2))&lt;60),GUS_tabl_2!$A$8:$B$464,GUS_tabl_21!$A$5:$B$4886),2,FALSE)),SUM(FIND("..",TRIM(VLOOKUP(IF(AND(LEN($A1968)=4,VALUE(RIGHT($A1968,2))&gt;60),$A1968&amp;"01 1",$A1968),IF(AND(LEN($A1968)=4,VALUE(RIGHT($A1968,2))&lt;60),GUS_tabl_2!$A$8:$B$464,GUS_tabl_21!$A$5:$B$4886),2,FALSE))),-1)))))</f>
        <v>gm. w. Rzeczenica</v>
      </c>
      <c r="D1968" s="141">
        <f>IF(OR($A1968="",ISERROR(VALUE(LEFT($A1968,6)))),"",IF(LEN($A1968)=2,SUMIF($A1969:$A$2965,$A1968&amp;"??",$D1969:$D$2965),IF(AND(LEN($A1968)=4,VALUE(RIGHT($A1968,2))&lt;=60),SUMIF($A1969:$A$2965,$A1968&amp;"????",$D1969:$D$2965),VLOOKUP(IF(LEN($A1968)=4,$A1968&amp;"01 1",$A1968),GUS_tabl_21!$A$5:$F$4886,6,FALSE))))</f>
        <v>3607</v>
      </c>
      <c r="E1968" s="29"/>
    </row>
    <row r="1969" spans="1:5" ht="12" customHeight="1">
      <c r="A1969" s="152" t="str">
        <f>"2204"</f>
        <v>2204</v>
      </c>
      <c r="B1969" s="153" t="s">
        <v>33</v>
      </c>
      <c r="C1969" s="154" t="str">
        <f>IF(OR($A1969="",ISERROR(VALUE(LEFT($A1969,6)))),"",IF(LEN($A1969)=2,"WOJ. ",IF(LEN($A1969)=4,IF(VALUE(RIGHT($A1969,2))&gt;60,"","Powiat "),IF(VALUE(RIGHT($A1969,1))=1,"m. ",IF(VALUE(RIGHT($A1969,1))=2,"gm. w. ",IF(VALUE(RIGHT($A1969,1))=8,"dz. ","gm. m.-w. ")))))&amp;IF(LEN($A1969)=2,TRIM(UPPER(VLOOKUP($A1969,GUS_tabl_1!$A$7:$B$22,2,FALSE))),IF(ISERROR(FIND("..",TRIM(VLOOKUP(IF(AND(LEN($A1969)=4,VALUE(RIGHT($A1969,2))&gt;60),$A1969&amp;"01 1",$A1969),IF(AND(LEN($A1969)=4,VALUE(RIGHT($A1969,2))&lt;60),GUS_tabl_2!$A$8:$B$464,GUS_tabl_21!$A$5:$B$4886),2,FALSE)))),TRIM(VLOOKUP(IF(AND(LEN($A1969)=4,VALUE(RIGHT($A1969,2))&gt;60),$A1969&amp;"01 1",$A1969),IF(AND(LEN($A1969)=4,VALUE(RIGHT($A1969,2))&lt;60),GUS_tabl_2!$A$8:$B$464,GUS_tabl_21!$A$5:$B$4886),2,FALSE)),LEFT(TRIM(VLOOKUP(IF(AND(LEN($A1969)=4,VALUE(RIGHT($A1969,2))&gt;60),$A1969&amp;"01 1",$A1969),IF(AND(LEN($A1969)=4,VALUE(RIGHT($A1969,2))&lt;60),GUS_tabl_2!$A$8:$B$464,GUS_tabl_21!$A$5:$B$4886),2,FALSE)),SUM(FIND("..",TRIM(VLOOKUP(IF(AND(LEN($A1969)=4,VALUE(RIGHT($A1969,2))&gt;60),$A1969&amp;"01 1",$A1969),IF(AND(LEN($A1969)=4,VALUE(RIGHT($A1969,2))&lt;60),GUS_tabl_2!$A$8:$B$464,GUS_tabl_21!$A$5:$B$4886),2,FALSE))),-1)))))</f>
        <v>Powiat gdański</v>
      </c>
      <c r="D1969" s="140">
        <f>IF(OR($A1969="",ISERROR(VALUE(LEFT($A1969,6)))),"",IF(LEN($A1969)=2,SUMIF($A1970:$A$2965,$A1969&amp;"??",$D1970:$D$2965),IF(AND(LEN($A1969)=4,VALUE(RIGHT($A1969,2))&lt;=60),SUMIF($A1970:$A$2965,$A1969&amp;"????",$D1970:$D$2965),VLOOKUP(IF(LEN($A1969)=4,$A1969&amp;"01 1",$A1969),GUS_tabl_21!$A$5:$F$4886,6,FALSE))))</f>
        <v>118489</v>
      </c>
      <c r="E1969" s="29"/>
    </row>
    <row r="1970" spans="1:5" ht="12" customHeight="1">
      <c r="A1970" s="155" t="str">
        <f>"220401 1"</f>
        <v>220401 1</v>
      </c>
      <c r="B1970" s="153" t="s">
        <v>33</v>
      </c>
      <c r="C1970" s="156" t="str">
        <f>IF(OR($A1970="",ISERROR(VALUE(LEFT($A1970,6)))),"",IF(LEN($A1970)=2,"WOJ. ",IF(LEN($A1970)=4,IF(VALUE(RIGHT($A1970,2))&gt;60,"","Powiat "),IF(VALUE(RIGHT($A1970,1))=1,"m. ",IF(VALUE(RIGHT($A1970,1))=2,"gm. w. ",IF(VALUE(RIGHT($A1970,1))=8,"dz. ","gm. m.-w. ")))))&amp;IF(LEN($A1970)=2,TRIM(UPPER(VLOOKUP($A1970,GUS_tabl_1!$A$7:$B$22,2,FALSE))),IF(ISERROR(FIND("..",TRIM(VLOOKUP(IF(AND(LEN($A1970)=4,VALUE(RIGHT($A1970,2))&gt;60),$A1970&amp;"01 1",$A1970),IF(AND(LEN($A1970)=4,VALUE(RIGHT($A1970,2))&lt;60),GUS_tabl_2!$A$8:$B$464,GUS_tabl_21!$A$5:$B$4886),2,FALSE)))),TRIM(VLOOKUP(IF(AND(LEN($A1970)=4,VALUE(RIGHT($A1970,2))&gt;60),$A1970&amp;"01 1",$A1970),IF(AND(LEN($A1970)=4,VALUE(RIGHT($A1970,2))&lt;60),GUS_tabl_2!$A$8:$B$464,GUS_tabl_21!$A$5:$B$4886),2,FALSE)),LEFT(TRIM(VLOOKUP(IF(AND(LEN($A1970)=4,VALUE(RIGHT($A1970,2))&gt;60),$A1970&amp;"01 1",$A1970),IF(AND(LEN($A1970)=4,VALUE(RIGHT($A1970,2))&lt;60),GUS_tabl_2!$A$8:$B$464,GUS_tabl_21!$A$5:$B$4886),2,FALSE)),SUM(FIND("..",TRIM(VLOOKUP(IF(AND(LEN($A1970)=4,VALUE(RIGHT($A1970,2))&gt;60),$A1970&amp;"01 1",$A1970),IF(AND(LEN($A1970)=4,VALUE(RIGHT($A1970,2))&lt;60),GUS_tabl_2!$A$8:$B$464,GUS_tabl_21!$A$5:$B$4886),2,FALSE))),-1)))))</f>
        <v>m. Pruszcz Gdański</v>
      </c>
      <c r="D1970" s="141">
        <f>IF(OR($A1970="",ISERROR(VALUE(LEFT($A1970,6)))),"",IF(LEN($A1970)=2,SUMIF($A1971:$A$2965,$A1970&amp;"??",$D1971:$D$2965),IF(AND(LEN($A1970)=4,VALUE(RIGHT($A1970,2))&lt;=60),SUMIF($A1971:$A$2965,$A1970&amp;"????",$D1971:$D$2965),VLOOKUP(IF(LEN($A1970)=4,$A1970&amp;"01 1",$A1970),GUS_tabl_21!$A$5:$F$4886,6,FALSE))))</f>
        <v>31326</v>
      </c>
      <c r="E1970" s="29"/>
    </row>
    <row r="1971" spans="1:5" ht="12" customHeight="1">
      <c r="A1971" s="155" t="str">
        <f>"220402 2"</f>
        <v>220402 2</v>
      </c>
      <c r="B1971" s="153" t="s">
        <v>33</v>
      </c>
      <c r="C1971" s="156" t="str">
        <f>IF(OR($A1971="",ISERROR(VALUE(LEFT($A1971,6)))),"",IF(LEN($A1971)=2,"WOJ. ",IF(LEN($A1971)=4,IF(VALUE(RIGHT($A1971,2))&gt;60,"","Powiat "),IF(VALUE(RIGHT($A1971,1))=1,"m. ",IF(VALUE(RIGHT($A1971,1))=2,"gm. w. ",IF(VALUE(RIGHT($A1971,1))=8,"dz. ","gm. m.-w. ")))))&amp;IF(LEN($A1971)=2,TRIM(UPPER(VLOOKUP($A1971,GUS_tabl_1!$A$7:$B$22,2,FALSE))),IF(ISERROR(FIND("..",TRIM(VLOOKUP(IF(AND(LEN($A1971)=4,VALUE(RIGHT($A1971,2))&gt;60),$A1971&amp;"01 1",$A1971),IF(AND(LEN($A1971)=4,VALUE(RIGHT($A1971,2))&lt;60),GUS_tabl_2!$A$8:$B$464,GUS_tabl_21!$A$5:$B$4886),2,FALSE)))),TRIM(VLOOKUP(IF(AND(LEN($A1971)=4,VALUE(RIGHT($A1971,2))&gt;60),$A1971&amp;"01 1",$A1971),IF(AND(LEN($A1971)=4,VALUE(RIGHT($A1971,2))&lt;60),GUS_tabl_2!$A$8:$B$464,GUS_tabl_21!$A$5:$B$4886),2,FALSE)),LEFT(TRIM(VLOOKUP(IF(AND(LEN($A1971)=4,VALUE(RIGHT($A1971,2))&gt;60),$A1971&amp;"01 1",$A1971),IF(AND(LEN($A1971)=4,VALUE(RIGHT($A1971,2))&lt;60),GUS_tabl_2!$A$8:$B$464,GUS_tabl_21!$A$5:$B$4886),2,FALSE)),SUM(FIND("..",TRIM(VLOOKUP(IF(AND(LEN($A1971)=4,VALUE(RIGHT($A1971,2))&gt;60),$A1971&amp;"01 1",$A1971),IF(AND(LEN($A1971)=4,VALUE(RIGHT($A1971,2))&lt;60),GUS_tabl_2!$A$8:$B$464,GUS_tabl_21!$A$5:$B$4886),2,FALSE))),-1)))))</f>
        <v>gm. w. Cedry Wielkie</v>
      </c>
      <c r="D1971" s="141">
        <f>IF(OR($A1971="",ISERROR(VALUE(LEFT($A1971,6)))),"",IF(LEN($A1971)=2,SUMIF($A1972:$A$2965,$A1971&amp;"??",$D1972:$D$2965),IF(AND(LEN($A1971)=4,VALUE(RIGHT($A1971,2))&lt;=60),SUMIF($A1972:$A$2965,$A1971&amp;"????",$D1972:$D$2965),VLOOKUP(IF(LEN($A1971)=4,$A1971&amp;"01 1",$A1971),GUS_tabl_21!$A$5:$F$4886,6,FALSE))))</f>
        <v>6965</v>
      </c>
      <c r="E1971" s="29"/>
    </row>
    <row r="1972" spans="1:5" ht="12" customHeight="1">
      <c r="A1972" s="155" t="str">
        <f>"220403 2"</f>
        <v>220403 2</v>
      </c>
      <c r="B1972" s="153" t="s">
        <v>33</v>
      </c>
      <c r="C1972" s="156" t="str">
        <f>IF(OR($A1972="",ISERROR(VALUE(LEFT($A1972,6)))),"",IF(LEN($A1972)=2,"WOJ. ",IF(LEN($A1972)=4,IF(VALUE(RIGHT($A1972,2))&gt;60,"","Powiat "),IF(VALUE(RIGHT($A1972,1))=1,"m. ",IF(VALUE(RIGHT($A1972,1))=2,"gm. w. ",IF(VALUE(RIGHT($A1972,1))=8,"dz. ","gm. m.-w. ")))))&amp;IF(LEN($A1972)=2,TRIM(UPPER(VLOOKUP($A1972,GUS_tabl_1!$A$7:$B$22,2,FALSE))),IF(ISERROR(FIND("..",TRIM(VLOOKUP(IF(AND(LEN($A1972)=4,VALUE(RIGHT($A1972,2))&gt;60),$A1972&amp;"01 1",$A1972),IF(AND(LEN($A1972)=4,VALUE(RIGHT($A1972,2))&lt;60),GUS_tabl_2!$A$8:$B$464,GUS_tabl_21!$A$5:$B$4886),2,FALSE)))),TRIM(VLOOKUP(IF(AND(LEN($A1972)=4,VALUE(RIGHT($A1972,2))&gt;60),$A1972&amp;"01 1",$A1972),IF(AND(LEN($A1972)=4,VALUE(RIGHT($A1972,2))&lt;60),GUS_tabl_2!$A$8:$B$464,GUS_tabl_21!$A$5:$B$4886),2,FALSE)),LEFT(TRIM(VLOOKUP(IF(AND(LEN($A1972)=4,VALUE(RIGHT($A1972,2))&gt;60),$A1972&amp;"01 1",$A1972),IF(AND(LEN($A1972)=4,VALUE(RIGHT($A1972,2))&lt;60),GUS_tabl_2!$A$8:$B$464,GUS_tabl_21!$A$5:$B$4886),2,FALSE)),SUM(FIND("..",TRIM(VLOOKUP(IF(AND(LEN($A1972)=4,VALUE(RIGHT($A1972,2))&gt;60),$A1972&amp;"01 1",$A1972),IF(AND(LEN($A1972)=4,VALUE(RIGHT($A1972,2))&lt;60),GUS_tabl_2!$A$8:$B$464,GUS_tabl_21!$A$5:$B$4886),2,FALSE))),-1)))))</f>
        <v>gm. w. Kolbudy</v>
      </c>
      <c r="D1972" s="141">
        <f>IF(OR($A1972="",ISERROR(VALUE(LEFT($A1972,6)))),"",IF(LEN($A1972)=2,SUMIF($A1973:$A$2965,$A1972&amp;"??",$D1973:$D$2965),IF(AND(LEN($A1972)=4,VALUE(RIGHT($A1972,2))&lt;=60),SUMIF($A1973:$A$2965,$A1972&amp;"????",$D1973:$D$2965),VLOOKUP(IF(LEN($A1972)=4,$A1972&amp;"01 1",$A1972),GUS_tabl_21!$A$5:$F$4886,6,FALSE))))</f>
        <v>17839</v>
      </c>
      <c r="E1972" s="29"/>
    </row>
    <row r="1973" spans="1:5" ht="12" customHeight="1">
      <c r="A1973" s="155" t="str">
        <f>"220404 2"</f>
        <v>220404 2</v>
      </c>
      <c r="B1973" s="153" t="s">
        <v>33</v>
      </c>
      <c r="C1973" s="156" t="str">
        <f>IF(OR($A1973="",ISERROR(VALUE(LEFT($A1973,6)))),"",IF(LEN($A1973)=2,"WOJ. ",IF(LEN($A1973)=4,IF(VALUE(RIGHT($A1973,2))&gt;60,"","Powiat "),IF(VALUE(RIGHT($A1973,1))=1,"m. ",IF(VALUE(RIGHT($A1973,1))=2,"gm. w. ",IF(VALUE(RIGHT($A1973,1))=8,"dz. ","gm. m.-w. ")))))&amp;IF(LEN($A1973)=2,TRIM(UPPER(VLOOKUP($A1973,GUS_tabl_1!$A$7:$B$22,2,FALSE))),IF(ISERROR(FIND("..",TRIM(VLOOKUP(IF(AND(LEN($A1973)=4,VALUE(RIGHT($A1973,2))&gt;60),$A1973&amp;"01 1",$A1973),IF(AND(LEN($A1973)=4,VALUE(RIGHT($A1973,2))&lt;60),GUS_tabl_2!$A$8:$B$464,GUS_tabl_21!$A$5:$B$4886),2,FALSE)))),TRIM(VLOOKUP(IF(AND(LEN($A1973)=4,VALUE(RIGHT($A1973,2))&gt;60),$A1973&amp;"01 1",$A1973),IF(AND(LEN($A1973)=4,VALUE(RIGHT($A1973,2))&lt;60),GUS_tabl_2!$A$8:$B$464,GUS_tabl_21!$A$5:$B$4886),2,FALSE)),LEFT(TRIM(VLOOKUP(IF(AND(LEN($A1973)=4,VALUE(RIGHT($A1973,2))&gt;60),$A1973&amp;"01 1",$A1973),IF(AND(LEN($A1973)=4,VALUE(RIGHT($A1973,2))&lt;60),GUS_tabl_2!$A$8:$B$464,GUS_tabl_21!$A$5:$B$4886),2,FALSE)),SUM(FIND("..",TRIM(VLOOKUP(IF(AND(LEN($A1973)=4,VALUE(RIGHT($A1973,2))&gt;60),$A1973&amp;"01 1",$A1973),IF(AND(LEN($A1973)=4,VALUE(RIGHT($A1973,2))&lt;60),GUS_tabl_2!$A$8:$B$464,GUS_tabl_21!$A$5:$B$4886),2,FALSE))),-1)))))</f>
        <v>gm. w. Pruszcz Gdański</v>
      </c>
      <c r="D1973" s="141">
        <f>IF(OR($A1973="",ISERROR(VALUE(LEFT($A1973,6)))),"",IF(LEN($A1973)=2,SUMIF($A1974:$A$2965,$A1973&amp;"??",$D1974:$D$2965),IF(AND(LEN($A1973)=4,VALUE(RIGHT($A1973,2))&lt;=60),SUMIF($A1974:$A$2965,$A1973&amp;"????",$D1974:$D$2965),VLOOKUP(IF(LEN($A1973)=4,$A1973&amp;"01 1",$A1973),GUS_tabl_21!$A$5:$F$4886,6,FALSE))))</f>
        <v>31321</v>
      </c>
      <c r="E1973" s="29"/>
    </row>
    <row r="1974" spans="1:5" ht="12" customHeight="1">
      <c r="A1974" s="155" t="str">
        <f>"220405 2"</f>
        <v>220405 2</v>
      </c>
      <c r="B1974" s="153" t="s">
        <v>33</v>
      </c>
      <c r="C1974" s="156" t="str">
        <f>IF(OR($A1974="",ISERROR(VALUE(LEFT($A1974,6)))),"",IF(LEN($A1974)=2,"WOJ. ",IF(LEN($A1974)=4,IF(VALUE(RIGHT($A1974,2))&gt;60,"","Powiat "),IF(VALUE(RIGHT($A1974,1))=1,"m. ",IF(VALUE(RIGHT($A1974,1))=2,"gm. w. ",IF(VALUE(RIGHT($A1974,1))=8,"dz. ","gm. m.-w. ")))))&amp;IF(LEN($A1974)=2,TRIM(UPPER(VLOOKUP($A1974,GUS_tabl_1!$A$7:$B$22,2,FALSE))),IF(ISERROR(FIND("..",TRIM(VLOOKUP(IF(AND(LEN($A1974)=4,VALUE(RIGHT($A1974,2))&gt;60),$A1974&amp;"01 1",$A1974),IF(AND(LEN($A1974)=4,VALUE(RIGHT($A1974,2))&lt;60),GUS_tabl_2!$A$8:$B$464,GUS_tabl_21!$A$5:$B$4886),2,FALSE)))),TRIM(VLOOKUP(IF(AND(LEN($A1974)=4,VALUE(RIGHT($A1974,2))&gt;60),$A1974&amp;"01 1",$A1974),IF(AND(LEN($A1974)=4,VALUE(RIGHT($A1974,2))&lt;60),GUS_tabl_2!$A$8:$B$464,GUS_tabl_21!$A$5:$B$4886),2,FALSE)),LEFT(TRIM(VLOOKUP(IF(AND(LEN($A1974)=4,VALUE(RIGHT($A1974,2))&gt;60),$A1974&amp;"01 1",$A1974),IF(AND(LEN($A1974)=4,VALUE(RIGHT($A1974,2))&lt;60),GUS_tabl_2!$A$8:$B$464,GUS_tabl_21!$A$5:$B$4886),2,FALSE)),SUM(FIND("..",TRIM(VLOOKUP(IF(AND(LEN($A1974)=4,VALUE(RIGHT($A1974,2))&gt;60),$A1974&amp;"01 1",$A1974),IF(AND(LEN($A1974)=4,VALUE(RIGHT($A1974,2))&lt;60),GUS_tabl_2!$A$8:$B$464,GUS_tabl_21!$A$5:$B$4886),2,FALSE))),-1)))))</f>
        <v>gm. w. Przywidz</v>
      </c>
      <c r="D1974" s="141">
        <f>IF(OR($A1974="",ISERROR(VALUE(LEFT($A1974,6)))),"",IF(LEN($A1974)=2,SUMIF($A1975:$A$2965,$A1974&amp;"??",$D1975:$D$2965),IF(AND(LEN($A1974)=4,VALUE(RIGHT($A1974,2))&lt;=60),SUMIF($A1975:$A$2965,$A1974&amp;"????",$D1975:$D$2965),VLOOKUP(IF(LEN($A1974)=4,$A1974&amp;"01 1",$A1974),GUS_tabl_21!$A$5:$F$4886,6,FALSE))))</f>
        <v>5957</v>
      </c>
      <c r="E1974" s="29"/>
    </row>
    <row r="1975" spans="1:5" ht="12" customHeight="1">
      <c r="A1975" s="155" t="str">
        <f>"220406 2"</f>
        <v>220406 2</v>
      </c>
      <c r="B1975" s="153" t="s">
        <v>33</v>
      </c>
      <c r="C1975" s="156" t="str">
        <f>IF(OR($A1975="",ISERROR(VALUE(LEFT($A1975,6)))),"",IF(LEN($A1975)=2,"WOJ. ",IF(LEN($A1975)=4,IF(VALUE(RIGHT($A1975,2))&gt;60,"","Powiat "),IF(VALUE(RIGHT($A1975,1))=1,"m. ",IF(VALUE(RIGHT($A1975,1))=2,"gm. w. ",IF(VALUE(RIGHT($A1975,1))=8,"dz. ","gm. m.-w. ")))))&amp;IF(LEN($A1975)=2,TRIM(UPPER(VLOOKUP($A1975,GUS_tabl_1!$A$7:$B$22,2,FALSE))),IF(ISERROR(FIND("..",TRIM(VLOOKUP(IF(AND(LEN($A1975)=4,VALUE(RIGHT($A1975,2))&gt;60),$A1975&amp;"01 1",$A1975),IF(AND(LEN($A1975)=4,VALUE(RIGHT($A1975,2))&lt;60),GUS_tabl_2!$A$8:$B$464,GUS_tabl_21!$A$5:$B$4886),2,FALSE)))),TRIM(VLOOKUP(IF(AND(LEN($A1975)=4,VALUE(RIGHT($A1975,2))&gt;60),$A1975&amp;"01 1",$A1975),IF(AND(LEN($A1975)=4,VALUE(RIGHT($A1975,2))&lt;60),GUS_tabl_2!$A$8:$B$464,GUS_tabl_21!$A$5:$B$4886),2,FALSE)),LEFT(TRIM(VLOOKUP(IF(AND(LEN($A1975)=4,VALUE(RIGHT($A1975,2))&gt;60),$A1975&amp;"01 1",$A1975),IF(AND(LEN($A1975)=4,VALUE(RIGHT($A1975,2))&lt;60),GUS_tabl_2!$A$8:$B$464,GUS_tabl_21!$A$5:$B$4886),2,FALSE)),SUM(FIND("..",TRIM(VLOOKUP(IF(AND(LEN($A1975)=4,VALUE(RIGHT($A1975,2))&gt;60),$A1975&amp;"01 1",$A1975),IF(AND(LEN($A1975)=4,VALUE(RIGHT($A1975,2))&lt;60),GUS_tabl_2!$A$8:$B$464,GUS_tabl_21!$A$5:$B$4886),2,FALSE))),-1)))))</f>
        <v>gm. w. Pszczółki</v>
      </c>
      <c r="D1975" s="141">
        <f>IF(OR($A1975="",ISERROR(VALUE(LEFT($A1975,6)))),"",IF(LEN($A1975)=2,SUMIF($A1976:$A$2965,$A1975&amp;"??",$D1976:$D$2965),IF(AND(LEN($A1975)=4,VALUE(RIGHT($A1975,2))&lt;=60),SUMIF($A1976:$A$2965,$A1975&amp;"????",$D1976:$D$2965),VLOOKUP(IF(LEN($A1975)=4,$A1975&amp;"01 1",$A1975),GUS_tabl_21!$A$5:$F$4886,6,FALSE))))</f>
        <v>9713</v>
      </c>
      <c r="E1975" s="29"/>
    </row>
    <row r="1976" spans="1:5" ht="12" customHeight="1">
      <c r="A1976" s="155" t="str">
        <f>"220407 2"</f>
        <v>220407 2</v>
      </c>
      <c r="B1976" s="153" t="s">
        <v>33</v>
      </c>
      <c r="C1976" s="156" t="str">
        <f>IF(OR($A1976="",ISERROR(VALUE(LEFT($A1976,6)))),"",IF(LEN($A1976)=2,"WOJ. ",IF(LEN($A1976)=4,IF(VALUE(RIGHT($A1976,2))&gt;60,"","Powiat "),IF(VALUE(RIGHT($A1976,1))=1,"m. ",IF(VALUE(RIGHT($A1976,1))=2,"gm. w. ",IF(VALUE(RIGHT($A1976,1))=8,"dz. ","gm. m.-w. ")))))&amp;IF(LEN($A1976)=2,TRIM(UPPER(VLOOKUP($A1976,GUS_tabl_1!$A$7:$B$22,2,FALSE))),IF(ISERROR(FIND("..",TRIM(VLOOKUP(IF(AND(LEN($A1976)=4,VALUE(RIGHT($A1976,2))&gt;60),$A1976&amp;"01 1",$A1976),IF(AND(LEN($A1976)=4,VALUE(RIGHT($A1976,2))&lt;60),GUS_tabl_2!$A$8:$B$464,GUS_tabl_21!$A$5:$B$4886),2,FALSE)))),TRIM(VLOOKUP(IF(AND(LEN($A1976)=4,VALUE(RIGHT($A1976,2))&gt;60),$A1976&amp;"01 1",$A1976),IF(AND(LEN($A1976)=4,VALUE(RIGHT($A1976,2))&lt;60),GUS_tabl_2!$A$8:$B$464,GUS_tabl_21!$A$5:$B$4886),2,FALSE)),LEFT(TRIM(VLOOKUP(IF(AND(LEN($A1976)=4,VALUE(RIGHT($A1976,2))&gt;60),$A1976&amp;"01 1",$A1976),IF(AND(LEN($A1976)=4,VALUE(RIGHT($A1976,2))&lt;60),GUS_tabl_2!$A$8:$B$464,GUS_tabl_21!$A$5:$B$4886),2,FALSE)),SUM(FIND("..",TRIM(VLOOKUP(IF(AND(LEN($A1976)=4,VALUE(RIGHT($A1976,2))&gt;60),$A1976&amp;"01 1",$A1976),IF(AND(LEN($A1976)=4,VALUE(RIGHT($A1976,2))&lt;60),GUS_tabl_2!$A$8:$B$464,GUS_tabl_21!$A$5:$B$4886),2,FALSE))),-1)))))</f>
        <v>gm. w. Suchy Dąb</v>
      </c>
      <c r="D1976" s="141">
        <f>IF(OR($A1976="",ISERROR(VALUE(LEFT($A1976,6)))),"",IF(LEN($A1976)=2,SUMIF($A1977:$A$2965,$A1976&amp;"??",$D1977:$D$2965),IF(AND(LEN($A1976)=4,VALUE(RIGHT($A1976,2))&lt;=60),SUMIF($A1977:$A$2965,$A1976&amp;"????",$D1977:$D$2965),VLOOKUP(IF(LEN($A1976)=4,$A1976&amp;"01 1",$A1976),GUS_tabl_21!$A$5:$F$4886,6,FALSE))))</f>
        <v>4223</v>
      </c>
      <c r="E1976" s="29"/>
    </row>
    <row r="1977" spans="1:5" ht="12" customHeight="1">
      <c r="A1977" s="155" t="str">
        <f>"220408 2"</f>
        <v>220408 2</v>
      </c>
      <c r="B1977" s="153" t="s">
        <v>33</v>
      </c>
      <c r="C1977" s="156" t="str">
        <f>IF(OR($A1977="",ISERROR(VALUE(LEFT($A1977,6)))),"",IF(LEN($A1977)=2,"WOJ. ",IF(LEN($A1977)=4,IF(VALUE(RIGHT($A1977,2))&gt;60,"","Powiat "),IF(VALUE(RIGHT($A1977,1))=1,"m. ",IF(VALUE(RIGHT($A1977,1))=2,"gm. w. ",IF(VALUE(RIGHT($A1977,1))=8,"dz. ","gm. m.-w. ")))))&amp;IF(LEN($A1977)=2,TRIM(UPPER(VLOOKUP($A1977,GUS_tabl_1!$A$7:$B$22,2,FALSE))),IF(ISERROR(FIND("..",TRIM(VLOOKUP(IF(AND(LEN($A1977)=4,VALUE(RIGHT($A1977,2))&gt;60),$A1977&amp;"01 1",$A1977),IF(AND(LEN($A1977)=4,VALUE(RIGHT($A1977,2))&lt;60),GUS_tabl_2!$A$8:$B$464,GUS_tabl_21!$A$5:$B$4886),2,FALSE)))),TRIM(VLOOKUP(IF(AND(LEN($A1977)=4,VALUE(RIGHT($A1977,2))&gt;60),$A1977&amp;"01 1",$A1977),IF(AND(LEN($A1977)=4,VALUE(RIGHT($A1977,2))&lt;60),GUS_tabl_2!$A$8:$B$464,GUS_tabl_21!$A$5:$B$4886),2,FALSE)),LEFT(TRIM(VLOOKUP(IF(AND(LEN($A1977)=4,VALUE(RIGHT($A1977,2))&gt;60),$A1977&amp;"01 1",$A1977),IF(AND(LEN($A1977)=4,VALUE(RIGHT($A1977,2))&lt;60),GUS_tabl_2!$A$8:$B$464,GUS_tabl_21!$A$5:$B$4886),2,FALSE)),SUM(FIND("..",TRIM(VLOOKUP(IF(AND(LEN($A1977)=4,VALUE(RIGHT($A1977,2))&gt;60),$A1977&amp;"01 1",$A1977),IF(AND(LEN($A1977)=4,VALUE(RIGHT($A1977,2))&lt;60),GUS_tabl_2!$A$8:$B$464,GUS_tabl_21!$A$5:$B$4886),2,FALSE))),-1)))))</f>
        <v>gm. w. Trąbki Wielkie</v>
      </c>
      <c r="D1977" s="141">
        <f>IF(OR($A1977="",ISERROR(VALUE(LEFT($A1977,6)))),"",IF(LEN($A1977)=2,SUMIF($A1978:$A$2965,$A1977&amp;"??",$D1978:$D$2965),IF(AND(LEN($A1977)=4,VALUE(RIGHT($A1977,2))&lt;=60),SUMIF($A1978:$A$2965,$A1977&amp;"????",$D1978:$D$2965),VLOOKUP(IF(LEN($A1977)=4,$A1977&amp;"01 1",$A1977),GUS_tabl_21!$A$5:$F$4886,6,FALSE))))</f>
        <v>11145</v>
      </c>
      <c r="E1977" s="29"/>
    </row>
    <row r="1978" spans="1:5" ht="12" customHeight="1">
      <c r="A1978" s="152" t="str">
        <f>"2205"</f>
        <v>2205</v>
      </c>
      <c r="B1978" s="153" t="s">
        <v>33</v>
      </c>
      <c r="C1978" s="154" t="str">
        <f>IF(OR($A1978="",ISERROR(VALUE(LEFT($A1978,6)))),"",IF(LEN($A1978)=2,"WOJ. ",IF(LEN($A1978)=4,IF(VALUE(RIGHT($A1978,2))&gt;60,"","Powiat "),IF(VALUE(RIGHT($A1978,1))=1,"m. ",IF(VALUE(RIGHT($A1978,1))=2,"gm. w. ",IF(VALUE(RIGHT($A1978,1))=8,"dz. ","gm. m.-w. ")))))&amp;IF(LEN($A1978)=2,TRIM(UPPER(VLOOKUP($A1978,GUS_tabl_1!$A$7:$B$22,2,FALSE))),IF(ISERROR(FIND("..",TRIM(VLOOKUP(IF(AND(LEN($A1978)=4,VALUE(RIGHT($A1978,2))&gt;60),$A1978&amp;"01 1",$A1978),IF(AND(LEN($A1978)=4,VALUE(RIGHT($A1978,2))&lt;60),GUS_tabl_2!$A$8:$B$464,GUS_tabl_21!$A$5:$B$4886),2,FALSE)))),TRIM(VLOOKUP(IF(AND(LEN($A1978)=4,VALUE(RIGHT($A1978,2))&gt;60),$A1978&amp;"01 1",$A1978),IF(AND(LEN($A1978)=4,VALUE(RIGHT($A1978,2))&lt;60),GUS_tabl_2!$A$8:$B$464,GUS_tabl_21!$A$5:$B$4886),2,FALSE)),LEFT(TRIM(VLOOKUP(IF(AND(LEN($A1978)=4,VALUE(RIGHT($A1978,2))&gt;60),$A1978&amp;"01 1",$A1978),IF(AND(LEN($A1978)=4,VALUE(RIGHT($A1978,2))&lt;60),GUS_tabl_2!$A$8:$B$464,GUS_tabl_21!$A$5:$B$4886),2,FALSE)),SUM(FIND("..",TRIM(VLOOKUP(IF(AND(LEN($A1978)=4,VALUE(RIGHT($A1978,2))&gt;60),$A1978&amp;"01 1",$A1978),IF(AND(LEN($A1978)=4,VALUE(RIGHT($A1978,2))&lt;60),GUS_tabl_2!$A$8:$B$464,GUS_tabl_21!$A$5:$B$4886),2,FALSE))),-1)))))</f>
        <v>Powiat kartuski</v>
      </c>
      <c r="D1978" s="140">
        <f>IF(OR($A1978="",ISERROR(VALUE(LEFT($A1978,6)))),"",IF(LEN($A1978)=2,SUMIF($A1979:$A$2965,$A1978&amp;"??",$D1979:$D$2965),IF(AND(LEN($A1978)=4,VALUE(RIGHT($A1978,2))&lt;=60),SUMIF($A1979:$A$2965,$A1978&amp;"????",$D1979:$D$2965),VLOOKUP(IF(LEN($A1978)=4,$A1978&amp;"01 1",$A1978),GUS_tabl_21!$A$5:$F$4886,6,FALSE))))</f>
        <v>139397</v>
      </c>
      <c r="E1978" s="29"/>
    </row>
    <row r="1979" spans="1:5" ht="12" customHeight="1">
      <c r="A1979" s="155" t="str">
        <f>"220501 2"</f>
        <v>220501 2</v>
      </c>
      <c r="B1979" s="153" t="s">
        <v>33</v>
      </c>
      <c r="C1979" s="156" t="str">
        <f>IF(OR($A1979="",ISERROR(VALUE(LEFT($A1979,6)))),"",IF(LEN($A1979)=2,"WOJ. ",IF(LEN($A1979)=4,IF(VALUE(RIGHT($A1979,2))&gt;60,"","Powiat "),IF(VALUE(RIGHT($A1979,1))=1,"m. ",IF(VALUE(RIGHT($A1979,1))=2,"gm. w. ",IF(VALUE(RIGHT($A1979,1))=8,"dz. ","gm. m.-w. ")))))&amp;IF(LEN($A1979)=2,TRIM(UPPER(VLOOKUP($A1979,GUS_tabl_1!$A$7:$B$22,2,FALSE))),IF(ISERROR(FIND("..",TRIM(VLOOKUP(IF(AND(LEN($A1979)=4,VALUE(RIGHT($A1979,2))&gt;60),$A1979&amp;"01 1",$A1979),IF(AND(LEN($A1979)=4,VALUE(RIGHT($A1979,2))&lt;60),GUS_tabl_2!$A$8:$B$464,GUS_tabl_21!$A$5:$B$4886),2,FALSE)))),TRIM(VLOOKUP(IF(AND(LEN($A1979)=4,VALUE(RIGHT($A1979,2))&gt;60),$A1979&amp;"01 1",$A1979),IF(AND(LEN($A1979)=4,VALUE(RIGHT($A1979,2))&lt;60),GUS_tabl_2!$A$8:$B$464,GUS_tabl_21!$A$5:$B$4886),2,FALSE)),LEFT(TRIM(VLOOKUP(IF(AND(LEN($A1979)=4,VALUE(RIGHT($A1979,2))&gt;60),$A1979&amp;"01 1",$A1979),IF(AND(LEN($A1979)=4,VALUE(RIGHT($A1979,2))&lt;60),GUS_tabl_2!$A$8:$B$464,GUS_tabl_21!$A$5:$B$4886),2,FALSE)),SUM(FIND("..",TRIM(VLOOKUP(IF(AND(LEN($A1979)=4,VALUE(RIGHT($A1979,2))&gt;60),$A1979&amp;"01 1",$A1979),IF(AND(LEN($A1979)=4,VALUE(RIGHT($A1979,2))&lt;60),GUS_tabl_2!$A$8:$B$464,GUS_tabl_21!$A$5:$B$4886),2,FALSE))),-1)))))</f>
        <v>gm. w. Chmielno</v>
      </c>
      <c r="D1979" s="141">
        <f>IF(OR($A1979="",ISERROR(VALUE(LEFT($A1979,6)))),"",IF(LEN($A1979)=2,SUMIF($A1980:$A$2965,$A1979&amp;"??",$D1980:$D$2965),IF(AND(LEN($A1979)=4,VALUE(RIGHT($A1979,2))&lt;=60),SUMIF($A1980:$A$2965,$A1979&amp;"????",$D1980:$D$2965),VLOOKUP(IF(LEN($A1979)=4,$A1979&amp;"01 1",$A1979),GUS_tabl_21!$A$5:$F$4886,6,FALSE))))</f>
        <v>7805</v>
      </c>
      <c r="E1979" s="29"/>
    </row>
    <row r="1980" spans="1:5" ht="12" customHeight="1">
      <c r="A1980" s="155" t="str">
        <f>"220502 3"</f>
        <v>220502 3</v>
      </c>
      <c r="B1980" s="153" t="s">
        <v>33</v>
      </c>
      <c r="C1980" s="156" t="str">
        <f>IF(OR($A1980="",ISERROR(VALUE(LEFT($A1980,6)))),"",IF(LEN($A1980)=2,"WOJ. ",IF(LEN($A1980)=4,IF(VALUE(RIGHT($A1980,2))&gt;60,"","Powiat "),IF(VALUE(RIGHT($A1980,1))=1,"m. ",IF(VALUE(RIGHT($A1980,1))=2,"gm. w. ",IF(VALUE(RIGHT($A1980,1))=8,"dz. ","gm. m.-w. ")))))&amp;IF(LEN($A1980)=2,TRIM(UPPER(VLOOKUP($A1980,GUS_tabl_1!$A$7:$B$22,2,FALSE))),IF(ISERROR(FIND("..",TRIM(VLOOKUP(IF(AND(LEN($A1980)=4,VALUE(RIGHT($A1980,2))&gt;60),$A1980&amp;"01 1",$A1980),IF(AND(LEN($A1980)=4,VALUE(RIGHT($A1980,2))&lt;60),GUS_tabl_2!$A$8:$B$464,GUS_tabl_21!$A$5:$B$4886),2,FALSE)))),TRIM(VLOOKUP(IF(AND(LEN($A1980)=4,VALUE(RIGHT($A1980,2))&gt;60),$A1980&amp;"01 1",$A1980),IF(AND(LEN($A1980)=4,VALUE(RIGHT($A1980,2))&lt;60),GUS_tabl_2!$A$8:$B$464,GUS_tabl_21!$A$5:$B$4886),2,FALSE)),LEFT(TRIM(VLOOKUP(IF(AND(LEN($A1980)=4,VALUE(RIGHT($A1980,2))&gt;60),$A1980&amp;"01 1",$A1980),IF(AND(LEN($A1980)=4,VALUE(RIGHT($A1980,2))&lt;60),GUS_tabl_2!$A$8:$B$464,GUS_tabl_21!$A$5:$B$4886),2,FALSE)),SUM(FIND("..",TRIM(VLOOKUP(IF(AND(LEN($A1980)=4,VALUE(RIGHT($A1980,2))&gt;60),$A1980&amp;"01 1",$A1980),IF(AND(LEN($A1980)=4,VALUE(RIGHT($A1980,2))&lt;60),GUS_tabl_2!$A$8:$B$464,GUS_tabl_21!$A$5:$B$4886),2,FALSE))),-1)))))</f>
        <v>gm. m.-w. Kartuzy</v>
      </c>
      <c r="D1980" s="141">
        <f>IF(OR($A1980="",ISERROR(VALUE(LEFT($A1980,6)))),"",IF(LEN($A1980)=2,SUMIF($A1981:$A$2965,$A1980&amp;"??",$D1981:$D$2965),IF(AND(LEN($A1980)=4,VALUE(RIGHT($A1980,2))&lt;=60),SUMIF($A1981:$A$2965,$A1980&amp;"????",$D1981:$D$2965),VLOOKUP(IF(LEN($A1980)=4,$A1980&amp;"01 1",$A1980),GUS_tabl_21!$A$5:$F$4886,6,FALSE))))</f>
        <v>34013</v>
      </c>
      <c r="E1980" s="29"/>
    </row>
    <row r="1981" spans="1:5" ht="12" customHeight="1">
      <c r="A1981" s="155" t="str">
        <f>"220503 2"</f>
        <v>220503 2</v>
      </c>
      <c r="B1981" s="153" t="s">
        <v>33</v>
      </c>
      <c r="C1981" s="156" t="str">
        <f>IF(OR($A1981="",ISERROR(VALUE(LEFT($A1981,6)))),"",IF(LEN($A1981)=2,"WOJ. ",IF(LEN($A1981)=4,IF(VALUE(RIGHT($A1981,2))&gt;60,"","Powiat "),IF(VALUE(RIGHT($A1981,1))=1,"m. ",IF(VALUE(RIGHT($A1981,1))=2,"gm. w. ",IF(VALUE(RIGHT($A1981,1))=8,"dz. ","gm. m.-w. ")))))&amp;IF(LEN($A1981)=2,TRIM(UPPER(VLOOKUP($A1981,GUS_tabl_1!$A$7:$B$22,2,FALSE))),IF(ISERROR(FIND("..",TRIM(VLOOKUP(IF(AND(LEN($A1981)=4,VALUE(RIGHT($A1981,2))&gt;60),$A1981&amp;"01 1",$A1981),IF(AND(LEN($A1981)=4,VALUE(RIGHT($A1981,2))&lt;60),GUS_tabl_2!$A$8:$B$464,GUS_tabl_21!$A$5:$B$4886),2,FALSE)))),TRIM(VLOOKUP(IF(AND(LEN($A1981)=4,VALUE(RIGHT($A1981,2))&gt;60),$A1981&amp;"01 1",$A1981),IF(AND(LEN($A1981)=4,VALUE(RIGHT($A1981,2))&lt;60),GUS_tabl_2!$A$8:$B$464,GUS_tabl_21!$A$5:$B$4886),2,FALSE)),LEFT(TRIM(VLOOKUP(IF(AND(LEN($A1981)=4,VALUE(RIGHT($A1981,2))&gt;60),$A1981&amp;"01 1",$A1981),IF(AND(LEN($A1981)=4,VALUE(RIGHT($A1981,2))&lt;60),GUS_tabl_2!$A$8:$B$464,GUS_tabl_21!$A$5:$B$4886),2,FALSE)),SUM(FIND("..",TRIM(VLOOKUP(IF(AND(LEN($A1981)=4,VALUE(RIGHT($A1981,2))&gt;60),$A1981&amp;"01 1",$A1981),IF(AND(LEN($A1981)=4,VALUE(RIGHT($A1981,2))&lt;60),GUS_tabl_2!$A$8:$B$464,GUS_tabl_21!$A$5:$B$4886),2,FALSE))),-1)))))</f>
        <v>gm. w. Przodkowo</v>
      </c>
      <c r="D1981" s="141">
        <f>IF(OR($A1981="",ISERROR(VALUE(LEFT($A1981,6)))),"",IF(LEN($A1981)=2,SUMIF($A1982:$A$2965,$A1981&amp;"??",$D1982:$D$2965),IF(AND(LEN($A1981)=4,VALUE(RIGHT($A1981,2))&lt;=60),SUMIF($A1982:$A$2965,$A1981&amp;"????",$D1982:$D$2965),VLOOKUP(IF(LEN($A1981)=4,$A1981&amp;"01 1",$A1981),GUS_tabl_21!$A$5:$F$4886,6,FALSE))))</f>
        <v>9663</v>
      </c>
      <c r="E1981" s="29"/>
    </row>
    <row r="1982" spans="1:5" ht="12" customHeight="1">
      <c r="A1982" s="155" t="str">
        <f>"220504 2"</f>
        <v>220504 2</v>
      </c>
      <c r="B1982" s="153" t="s">
        <v>33</v>
      </c>
      <c r="C1982" s="156" t="str">
        <f>IF(OR($A1982="",ISERROR(VALUE(LEFT($A1982,6)))),"",IF(LEN($A1982)=2,"WOJ. ",IF(LEN($A1982)=4,IF(VALUE(RIGHT($A1982,2))&gt;60,"","Powiat "),IF(VALUE(RIGHT($A1982,1))=1,"m. ",IF(VALUE(RIGHT($A1982,1))=2,"gm. w. ",IF(VALUE(RIGHT($A1982,1))=8,"dz. ","gm. m.-w. ")))))&amp;IF(LEN($A1982)=2,TRIM(UPPER(VLOOKUP($A1982,GUS_tabl_1!$A$7:$B$22,2,FALSE))),IF(ISERROR(FIND("..",TRIM(VLOOKUP(IF(AND(LEN($A1982)=4,VALUE(RIGHT($A1982,2))&gt;60),$A1982&amp;"01 1",$A1982),IF(AND(LEN($A1982)=4,VALUE(RIGHT($A1982,2))&lt;60),GUS_tabl_2!$A$8:$B$464,GUS_tabl_21!$A$5:$B$4886),2,FALSE)))),TRIM(VLOOKUP(IF(AND(LEN($A1982)=4,VALUE(RIGHT($A1982,2))&gt;60),$A1982&amp;"01 1",$A1982),IF(AND(LEN($A1982)=4,VALUE(RIGHT($A1982,2))&lt;60),GUS_tabl_2!$A$8:$B$464,GUS_tabl_21!$A$5:$B$4886),2,FALSE)),LEFT(TRIM(VLOOKUP(IF(AND(LEN($A1982)=4,VALUE(RIGHT($A1982,2))&gt;60),$A1982&amp;"01 1",$A1982),IF(AND(LEN($A1982)=4,VALUE(RIGHT($A1982,2))&lt;60),GUS_tabl_2!$A$8:$B$464,GUS_tabl_21!$A$5:$B$4886),2,FALSE)),SUM(FIND("..",TRIM(VLOOKUP(IF(AND(LEN($A1982)=4,VALUE(RIGHT($A1982,2))&gt;60),$A1982&amp;"01 1",$A1982),IF(AND(LEN($A1982)=4,VALUE(RIGHT($A1982,2))&lt;60),GUS_tabl_2!$A$8:$B$464,GUS_tabl_21!$A$5:$B$4886),2,FALSE))),-1)))))</f>
        <v>gm. w. Sierakowice</v>
      </c>
      <c r="D1982" s="141">
        <f>IF(OR($A1982="",ISERROR(VALUE(LEFT($A1982,6)))),"",IF(LEN($A1982)=2,SUMIF($A1983:$A$2965,$A1982&amp;"??",$D1983:$D$2965),IF(AND(LEN($A1982)=4,VALUE(RIGHT($A1982,2))&lt;=60),SUMIF($A1983:$A$2965,$A1982&amp;"????",$D1983:$D$2965),VLOOKUP(IF(LEN($A1982)=4,$A1982&amp;"01 1",$A1982),GUS_tabl_21!$A$5:$F$4886,6,FALSE))))</f>
        <v>20054</v>
      </c>
      <c r="E1982" s="29"/>
    </row>
    <row r="1983" spans="1:5" ht="12" customHeight="1">
      <c r="A1983" s="155" t="str">
        <f>"220505 2"</f>
        <v>220505 2</v>
      </c>
      <c r="B1983" s="153" t="s">
        <v>33</v>
      </c>
      <c r="C1983" s="156" t="str">
        <f>IF(OR($A1983="",ISERROR(VALUE(LEFT($A1983,6)))),"",IF(LEN($A1983)=2,"WOJ. ",IF(LEN($A1983)=4,IF(VALUE(RIGHT($A1983,2))&gt;60,"","Powiat "),IF(VALUE(RIGHT($A1983,1))=1,"m. ",IF(VALUE(RIGHT($A1983,1))=2,"gm. w. ",IF(VALUE(RIGHT($A1983,1))=8,"dz. ","gm. m.-w. ")))))&amp;IF(LEN($A1983)=2,TRIM(UPPER(VLOOKUP($A1983,GUS_tabl_1!$A$7:$B$22,2,FALSE))),IF(ISERROR(FIND("..",TRIM(VLOOKUP(IF(AND(LEN($A1983)=4,VALUE(RIGHT($A1983,2))&gt;60),$A1983&amp;"01 1",$A1983),IF(AND(LEN($A1983)=4,VALUE(RIGHT($A1983,2))&lt;60),GUS_tabl_2!$A$8:$B$464,GUS_tabl_21!$A$5:$B$4886),2,FALSE)))),TRIM(VLOOKUP(IF(AND(LEN($A1983)=4,VALUE(RIGHT($A1983,2))&gt;60),$A1983&amp;"01 1",$A1983),IF(AND(LEN($A1983)=4,VALUE(RIGHT($A1983,2))&lt;60),GUS_tabl_2!$A$8:$B$464,GUS_tabl_21!$A$5:$B$4886),2,FALSE)),LEFT(TRIM(VLOOKUP(IF(AND(LEN($A1983)=4,VALUE(RIGHT($A1983,2))&gt;60),$A1983&amp;"01 1",$A1983),IF(AND(LEN($A1983)=4,VALUE(RIGHT($A1983,2))&lt;60),GUS_tabl_2!$A$8:$B$464,GUS_tabl_21!$A$5:$B$4886),2,FALSE)),SUM(FIND("..",TRIM(VLOOKUP(IF(AND(LEN($A1983)=4,VALUE(RIGHT($A1983,2))&gt;60),$A1983&amp;"01 1",$A1983),IF(AND(LEN($A1983)=4,VALUE(RIGHT($A1983,2))&lt;60),GUS_tabl_2!$A$8:$B$464,GUS_tabl_21!$A$5:$B$4886),2,FALSE))),-1)))))</f>
        <v>gm. w. Somonino</v>
      </c>
      <c r="D1983" s="141">
        <f>IF(OR($A1983="",ISERROR(VALUE(LEFT($A1983,6)))),"",IF(LEN($A1983)=2,SUMIF($A1984:$A$2965,$A1983&amp;"??",$D1984:$D$2965),IF(AND(LEN($A1983)=4,VALUE(RIGHT($A1983,2))&lt;=60),SUMIF($A1984:$A$2965,$A1983&amp;"????",$D1984:$D$2965),VLOOKUP(IF(LEN($A1983)=4,$A1983&amp;"01 1",$A1983),GUS_tabl_21!$A$5:$F$4886,6,FALSE))))</f>
        <v>10814</v>
      </c>
      <c r="E1983" s="29"/>
    </row>
    <row r="1984" spans="1:5" ht="12" customHeight="1">
      <c r="A1984" s="155" t="str">
        <f>"220506 2"</f>
        <v>220506 2</v>
      </c>
      <c r="B1984" s="153" t="s">
        <v>33</v>
      </c>
      <c r="C1984" s="156" t="str">
        <f>IF(OR($A1984="",ISERROR(VALUE(LEFT($A1984,6)))),"",IF(LEN($A1984)=2,"WOJ. ",IF(LEN($A1984)=4,IF(VALUE(RIGHT($A1984,2))&gt;60,"","Powiat "),IF(VALUE(RIGHT($A1984,1))=1,"m. ",IF(VALUE(RIGHT($A1984,1))=2,"gm. w. ",IF(VALUE(RIGHT($A1984,1))=8,"dz. ","gm. m.-w. ")))))&amp;IF(LEN($A1984)=2,TRIM(UPPER(VLOOKUP($A1984,GUS_tabl_1!$A$7:$B$22,2,FALSE))),IF(ISERROR(FIND("..",TRIM(VLOOKUP(IF(AND(LEN($A1984)=4,VALUE(RIGHT($A1984,2))&gt;60),$A1984&amp;"01 1",$A1984),IF(AND(LEN($A1984)=4,VALUE(RIGHT($A1984,2))&lt;60),GUS_tabl_2!$A$8:$B$464,GUS_tabl_21!$A$5:$B$4886),2,FALSE)))),TRIM(VLOOKUP(IF(AND(LEN($A1984)=4,VALUE(RIGHT($A1984,2))&gt;60),$A1984&amp;"01 1",$A1984),IF(AND(LEN($A1984)=4,VALUE(RIGHT($A1984,2))&lt;60),GUS_tabl_2!$A$8:$B$464,GUS_tabl_21!$A$5:$B$4886),2,FALSE)),LEFT(TRIM(VLOOKUP(IF(AND(LEN($A1984)=4,VALUE(RIGHT($A1984,2))&gt;60),$A1984&amp;"01 1",$A1984),IF(AND(LEN($A1984)=4,VALUE(RIGHT($A1984,2))&lt;60),GUS_tabl_2!$A$8:$B$464,GUS_tabl_21!$A$5:$B$4886),2,FALSE)),SUM(FIND("..",TRIM(VLOOKUP(IF(AND(LEN($A1984)=4,VALUE(RIGHT($A1984,2))&gt;60),$A1984&amp;"01 1",$A1984),IF(AND(LEN($A1984)=4,VALUE(RIGHT($A1984,2))&lt;60),GUS_tabl_2!$A$8:$B$464,GUS_tabl_21!$A$5:$B$4886),2,FALSE))),-1)))))</f>
        <v>gm. w. Stężyca</v>
      </c>
      <c r="D1984" s="141">
        <f>IF(OR($A1984="",ISERROR(VALUE(LEFT($A1984,6)))),"",IF(LEN($A1984)=2,SUMIF($A1985:$A$2965,$A1984&amp;"??",$D1985:$D$2965),IF(AND(LEN($A1984)=4,VALUE(RIGHT($A1984,2))&lt;=60),SUMIF($A1985:$A$2965,$A1984&amp;"????",$D1985:$D$2965),VLOOKUP(IF(LEN($A1984)=4,$A1984&amp;"01 1",$A1984),GUS_tabl_21!$A$5:$F$4886,6,FALSE))))</f>
        <v>10664</v>
      </c>
      <c r="E1984" s="29"/>
    </row>
    <row r="1985" spans="1:5" ht="12" customHeight="1">
      <c r="A1985" s="155" t="str">
        <f>"220507 2"</f>
        <v>220507 2</v>
      </c>
      <c r="B1985" s="153" t="s">
        <v>33</v>
      </c>
      <c r="C1985" s="156" t="str">
        <f>IF(OR($A1985="",ISERROR(VALUE(LEFT($A1985,6)))),"",IF(LEN($A1985)=2,"WOJ. ",IF(LEN($A1985)=4,IF(VALUE(RIGHT($A1985,2))&gt;60,"","Powiat "),IF(VALUE(RIGHT($A1985,1))=1,"m. ",IF(VALUE(RIGHT($A1985,1))=2,"gm. w. ",IF(VALUE(RIGHT($A1985,1))=8,"dz. ","gm. m.-w. ")))))&amp;IF(LEN($A1985)=2,TRIM(UPPER(VLOOKUP($A1985,GUS_tabl_1!$A$7:$B$22,2,FALSE))),IF(ISERROR(FIND("..",TRIM(VLOOKUP(IF(AND(LEN($A1985)=4,VALUE(RIGHT($A1985,2))&gt;60),$A1985&amp;"01 1",$A1985),IF(AND(LEN($A1985)=4,VALUE(RIGHT($A1985,2))&lt;60),GUS_tabl_2!$A$8:$B$464,GUS_tabl_21!$A$5:$B$4886),2,FALSE)))),TRIM(VLOOKUP(IF(AND(LEN($A1985)=4,VALUE(RIGHT($A1985,2))&gt;60),$A1985&amp;"01 1",$A1985),IF(AND(LEN($A1985)=4,VALUE(RIGHT($A1985,2))&lt;60),GUS_tabl_2!$A$8:$B$464,GUS_tabl_21!$A$5:$B$4886),2,FALSE)),LEFT(TRIM(VLOOKUP(IF(AND(LEN($A1985)=4,VALUE(RIGHT($A1985,2))&gt;60),$A1985&amp;"01 1",$A1985),IF(AND(LEN($A1985)=4,VALUE(RIGHT($A1985,2))&lt;60),GUS_tabl_2!$A$8:$B$464,GUS_tabl_21!$A$5:$B$4886),2,FALSE)),SUM(FIND("..",TRIM(VLOOKUP(IF(AND(LEN($A1985)=4,VALUE(RIGHT($A1985,2))&gt;60),$A1985&amp;"01 1",$A1985),IF(AND(LEN($A1985)=4,VALUE(RIGHT($A1985,2))&lt;60),GUS_tabl_2!$A$8:$B$464,GUS_tabl_21!$A$5:$B$4886),2,FALSE))),-1)))))</f>
        <v>gm. w. Sulęczyno</v>
      </c>
      <c r="D1985" s="141">
        <f>IF(OR($A1985="",ISERROR(VALUE(LEFT($A1985,6)))),"",IF(LEN($A1985)=2,SUMIF($A1986:$A$2965,$A1985&amp;"??",$D1986:$D$2965),IF(AND(LEN($A1985)=4,VALUE(RIGHT($A1985,2))&lt;=60),SUMIF($A1986:$A$2965,$A1985&amp;"????",$D1986:$D$2965),VLOOKUP(IF(LEN($A1985)=4,$A1985&amp;"01 1",$A1985),GUS_tabl_21!$A$5:$F$4886,6,FALSE))))</f>
        <v>5547</v>
      </c>
      <c r="E1985" s="29"/>
    </row>
    <row r="1986" spans="1:5" ht="12" customHeight="1">
      <c r="A1986" s="155" t="str">
        <f>"220508 3"</f>
        <v>220508 3</v>
      </c>
      <c r="B1986" s="153" t="s">
        <v>33</v>
      </c>
      <c r="C1986" s="156" t="str">
        <f>IF(OR($A1986="",ISERROR(VALUE(LEFT($A1986,6)))),"",IF(LEN($A1986)=2,"WOJ. ",IF(LEN($A1986)=4,IF(VALUE(RIGHT($A1986,2))&gt;60,"","Powiat "),IF(VALUE(RIGHT($A1986,1))=1,"m. ",IF(VALUE(RIGHT($A1986,1))=2,"gm. w. ",IF(VALUE(RIGHT($A1986,1))=8,"dz. ","gm. m.-w. ")))))&amp;IF(LEN($A1986)=2,TRIM(UPPER(VLOOKUP($A1986,GUS_tabl_1!$A$7:$B$22,2,FALSE))),IF(ISERROR(FIND("..",TRIM(VLOOKUP(IF(AND(LEN($A1986)=4,VALUE(RIGHT($A1986,2))&gt;60),$A1986&amp;"01 1",$A1986),IF(AND(LEN($A1986)=4,VALUE(RIGHT($A1986,2))&lt;60),GUS_tabl_2!$A$8:$B$464,GUS_tabl_21!$A$5:$B$4886),2,FALSE)))),TRIM(VLOOKUP(IF(AND(LEN($A1986)=4,VALUE(RIGHT($A1986,2))&gt;60),$A1986&amp;"01 1",$A1986),IF(AND(LEN($A1986)=4,VALUE(RIGHT($A1986,2))&lt;60),GUS_tabl_2!$A$8:$B$464,GUS_tabl_21!$A$5:$B$4886),2,FALSE)),LEFT(TRIM(VLOOKUP(IF(AND(LEN($A1986)=4,VALUE(RIGHT($A1986,2))&gt;60),$A1986&amp;"01 1",$A1986),IF(AND(LEN($A1986)=4,VALUE(RIGHT($A1986,2))&lt;60),GUS_tabl_2!$A$8:$B$464,GUS_tabl_21!$A$5:$B$4886),2,FALSE)),SUM(FIND("..",TRIM(VLOOKUP(IF(AND(LEN($A1986)=4,VALUE(RIGHT($A1986,2))&gt;60),$A1986&amp;"01 1",$A1986),IF(AND(LEN($A1986)=4,VALUE(RIGHT($A1986,2))&lt;60),GUS_tabl_2!$A$8:$B$464,GUS_tabl_21!$A$5:$B$4886),2,FALSE))),-1)))))</f>
        <v>gm. m.-w. Żukowo</v>
      </c>
      <c r="D1986" s="141">
        <f>IF(OR($A1986="",ISERROR(VALUE(LEFT($A1986,6)))),"",IF(LEN($A1986)=2,SUMIF($A1987:$A$2965,$A1986&amp;"??",$D1987:$D$2965),IF(AND(LEN($A1986)=4,VALUE(RIGHT($A1986,2))&lt;=60),SUMIF($A1987:$A$2965,$A1986&amp;"????",$D1987:$D$2965),VLOOKUP(IF(LEN($A1986)=4,$A1986&amp;"01 1",$A1986),GUS_tabl_21!$A$5:$F$4886,6,FALSE))))</f>
        <v>40837</v>
      </c>
      <c r="E1986" s="29"/>
    </row>
    <row r="1987" spans="1:5" ht="12" customHeight="1">
      <c r="A1987" s="152" t="str">
        <f>"2206"</f>
        <v>2206</v>
      </c>
      <c r="B1987" s="153" t="s">
        <v>33</v>
      </c>
      <c r="C1987" s="154" t="str">
        <f>IF(OR($A1987="",ISERROR(VALUE(LEFT($A1987,6)))),"",IF(LEN($A1987)=2,"WOJ. ",IF(LEN($A1987)=4,IF(VALUE(RIGHT($A1987,2))&gt;60,"","Powiat "),IF(VALUE(RIGHT($A1987,1))=1,"m. ",IF(VALUE(RIGHT($A1987,1))=2,"gm. w. ",IF(VALUE(RIGHT($A1987,1))=8,"dz. ","gm. m.-w. ")))))&amp;IF(LEN($A1987)=2,TRIM(UPPER(VLOOKUP($A1987,GUS_tabl_1!$A$7:$B$22,2,FALSE))),IF(ISERROR(FIND("..",TRIM(VLOOKUP(IF(AND(LEN($A1987)=4,VALUE(RIGHT($A1987,2))&gt;60),$A1987&amp;"01 1",$A1987),IF(AND(LEN($A1987)=4,VALUE(RIGHT($A1987,2))&lt;60),GUS_tabl_2!$A$8:$B$464,GUS_tabl_21!$A$5:$B$4886),2,FALSE)))),TRIM(VLOOKUP(IF(AND(LEN($A1987)=4,VALUE(RIGHT($A1987,2))&gt;60),$A1987&amp;"01 1",$A1987),IF(AND(LEN($A1987)=4,VALUE(RIGHT($A1987,2))&lt;60),GUS_tabl_2!$A$8:$B$464,GUS_tabl_21!$A$5:$B$4886),2,FALSE)),LEFT(TRIM(VLOOKUP(IF(AND(LEN($A1987)=4,VALUE(RIGHT($A1987,2))&gt;60),$A1987&amp;"01 1",$A1987),IF(AND(LEN($A1987)=4,VALUE(RIGHT($A1987,2))&lt;60),GUS_tabl_2!$A$8:$B$464,GUS_tabl_21!$A$5:$B$4886),2,FALSE)),SUM(FIND("..",TRIM(VLOOKUP(IF(AND(LEN($A1987)=4,VALUE(RIGHT($A1987,2))&gt;60),$A1987&amp;"01 1",$A1987),IF(AND(LEN($A1987)=4,VALUE(RIGHT($A1987,2))&lt;60),GUS_tabl_2!$A$8:$B$464,GUS_tabl_21!$A$5:$B$4886),2,FALSE))),-1)))))</f>
        <v>Powiat kościerski</v>
      </c>
      <c r="D1987" s="140">
        <f>IF(OR($A1987="",ISERROR(VALUE(LEFT($A1987,6)))),"",IF(LEN($A1987)=2,SUMIF($A1988:$A$2965,$A1987&amp;"??",$D1988:$D$2965),IF(AND(LEN($A1987)=4,VALUE(RIGHT($A1987,2))&lt;=60),SUMIF($A1988:$A$2965,$A1987&amp;"????",$D1988:$D$2965),VLOOKUP(IF(LEN($A1987)=4,$A1987&amp;"01 1",$A1987),GUS_tabl_21!$A$5:$F$4886,6,FALSE))))</f>
        <v>72688</v>
      </c>
      <c r="E1987" s="29"/>
    </row>
    <row r="1988" spans="1:5" ht="12" customHeight="1">
      <c r="A1988" s="155" t="str">
        <f>"220601 1"</f>
        <v>220601 1</v>
      </c>
      <c r="B1988" s="153" t="s">
        <v>33</v>
      </c>
      <c r="C1988" s="156" t="str">
        <f>IF(OR($A1988="",ISERROR(VALUE(LEFT($A1988,6)))),"",IF(LEN($A1988)=2,"WOJ. ",IF(LEN($A1988)=4,IF(VALUE(RIGHT($A1988,2))&gt;60,"","Powiat "),IF(VALUE(RIGHT($A1988,1))=1,"m. ",IF(VALUE(RIGHT($A1988,1))=2,"gm. w. ",IF(VALUE(RIGHT($A1988,1))=8,"dz. ","gm. m.-w. ")))))&amp;IF(LEN($A1988)=2,TRIM(UPPER(VLOOKUP($A1988,GUS_tabl_1!$A$7:$B$22,2,FALSE))),IF(ISERROR(FIND("..",TRIM(VLOOKUP(IF(AND(LEN($A1988)=4,VALUE(RIGHT($A1988,2))&gt;60),$A1988&amp;"01 1",$A1988),IF(AND(LEN($A1988)=4,VALUE(RIGHT($A1988,2))&lt;60),GUS_tabl_2!$A$8:$B$464,GUS_tabl_21!$A$5:$B$4886),2,FALSE)))),TRIM(VLOOKUP(IF(AND(LEN($A1988)=4,VALUE(RIGHT($A1988,2))&gt;60),$A1988&amp;"01 1",$A1988),IF(AND(LEN($A1988)=4,VALUE(RIGHT($A1988,2))&lt;60),GUS_tabl_2!$A$8:$B$464,GUS_tabl_21!$A$5:$B$4886),2,FALSE)),LEFT(TRIM(VLOOKUP(IF(AND(LEN($A1988)=4,VALUE(RIGHT($A1988,2))&gt;60),$A1988&amp;"01 1",$A1988),IF(AND(LEN($A1988)=4,VALUE(RIGHT($A1988,2))&lt;60),GUS_tabl_2!$A$8:$B$464,GUS_tabl_21!$A$5:$B$4886),2,FALSE)),SUM(FIND("..",TRIM(VLOOKUP(IF(AND(LEN($A1988)=4,VALUE(RIGHT($A1988,2))&gt;60),$A1988&amp;"01 1",$A1988),IF(AND(LEN($A1988)=4,VALUE(RIGHT($A1988,2))&lt;60),GUS_tabl_2!$A$8:$B$464,GUS_tabl_21!$A$5:$B$4886),2,FALSE))),-1)))))</f>
        <v>m. Kościerzyna</v>
      </c>
      <c r="D1988" s="141">
        <f>IF(OR($A1988="",ISERROR(VALUE(LEFT($A1988,6)))),"",IF(LEN($A1988)=2,SUMIF($A1989:$A$2965,$A1988&amp;"??",$D1989:$D$2965),IF(AND(LEN($A1988)=4,VALUE(RIGHT($A1988,2))&lt;=60),SUMIF($A1989:$A$2965,$A1988&amp;"????",$D1989:$D$2965),VLOOKUP(IF(LEN($A1988)=4,$A1988&amp;"01 1",$A1988),GUS_tabl_21!$A$5:$F$4886,6,FALSE))))</f>
        <v>23742</v>
      </c>
      <c r="E1988" s="29"/>
    </row>
    <row r="1989" spans="1:5" ht="12" customHeight="1">
      <c r="A1989" s="155" t="str">
        <f>"220602 2"</f>
        <v>220602 2</v>
      </c>
      <c r="B1989" s="153" t="s">
        <v>33</v>
      </c>
      <c r="C1989" s="156" t="str">
        <f>IF(OR($A1989="",ISERROR(VALUE(LEFT($A1989,6)))),"",IF(LEN($A1989)=2,"WOJ. ",IF(LEN($A1989)=4,IF(VALUE(RIGHT($A1989,2))&gt;60,"","Powiat "),IF(VALUE(RIGHT($A1989,1))=1,"m. ",IF(VALUE(RIGHT($A1989,1))=2,"gm. w. ",IF(VALUE(RIGHT($A1989,1))=8,"dz. ","gm. m.-w. ")))))&amp;IF(LEN($A1989)=2,TRIM(UPPER(VLOOKUP($A1989,GUS_tabl_1!$A$7:$B$22,2,FALSE))),IF(ISERROR(FIND("..",TRIM(VLOOKUP(IF(AND(LEN($A1989)=4,VALUE(RIGHT($A1989,2))&gt;60),$A1989&amp;"01 1",$A1989),IF(AND(LEN($A1989)=4,VALUE(RIGHT($A1989,2))&lt;60),GUS_tabl_2!$A$8:$B$464,GUS_tabl_21!$A$5:$B$4886),2,FALSE)))),TRIM(VLOOKUP(IF(AND(LEN($A1989)=4,VALUE(RIGHT($A1989,2))&gt;60),$A1989&amp;"01 1",$A1989),IF(AND(LEN($A1989)=4,VALUE(RIGHT($A1989,2))&lt;60),GUS_tabl_2!$A$8:$B$464,GUS_tabl_21!$A$5:$B$4886),2,FALSE)),LEFT(TRIM(VLOOKUP(IF(AND(LEN($A1989)=4,VALUE(RIGHT($A1989,2))&gt;60),$A1989&amp;"01 1",$A1989),IF(AND(LEN($A1989)=4,VALUE(RIGHT($A1989,2))&lt;60),GUS_tabl_2!$A$8:$B$464,GUS_tabl_21!$A$5:$B$4886),2,FALSE)),SUM(FIND("..",TRIM(VLOOKUP(IF(AND(LEN($A1989)=4,VALUE(RIGHT($A1989,2))&gt;60),$A1989&amp;"01 1",$A1989),IF(AND(LEN($A1989)=4,VALUE(RIGHT($A1989,2))&lt;60),GUS_tabl_2!$A$8:$B$464,GUS_tabl_21!$A$5:$B$4886),2,FALSE))),-1)))))</f>
        <v>gm. w. Dziemiany</v>
      </c>
      <c r="D1989" s="141">
        <f>IF(OR($A1989="",ISERROR(VALUE(LEFT($A1989,6)))),"",IF(LEN($A1989)=2,SUMIF($A1990:$A$2965,$A1989&amp;"??",$D1990:$D$2965),IF(AND(LEN($A1989)=4,VALUE(RIGHT($A1989,2))&lt;=60),SUMIF($A1990:$A$2965,$A1989&amp;"????",$D1990:$D$2965),VLOOKUP(IF(LEN($A1989)=4,$A1989&amp;"01 1",$A1989),GUS_tabl_21!$A$5:$F$4886,6,FALSE))))</f>
        <v>4410</v>
      </c>
      <c r="E1989" s="29"/>
    </row>
    <row r="1990" spans="1:5" ht="12" customHeight="1">
      <c r="A1990" s="155" t="str">
        <f>"220603 2"</f>
        <v>220603 2</v>
      </c>
      <c r="B1990" s="153" t="s">
        <v>33</v>
      </c>
      <c r="C1990" s="156" t="str">
        <f>IF(OR($A1990="",ISERROR(VALUE(LEFT($A1990,6)))),"",IF(LEN($A1990)=2,"WOJ. ",IF(LEN($A1990)=4,IF(VALUE(RIGHT($A1990,2))&gt;60,"","Powiat "),IF(VALUE(RIGHT($A1990,1))=1,"m. ",IF(VALUE(RIGHT($A1990,1))=2,"gm. w. ",IF(VALUE(RIGHT($A1990,1))=8,"dz. ","gm. m.-w. ")))))&amp;IF(LEN($A1990)=2,TRIM(UPPER(VLOOKUP($A1990,GUS_tabl_1!$A$7:$B$22,2,FALSE))),IF(ISERROR(FIND("..",TRIM(VLOOKUP(IF(AND(LEN($A1990)=4,VALUE(RIGHT($A1990,2))&gt;60),$A1990&amp;"01 1",$A1990),IF(AND(LEN($A1990)=4,VALUE(RIGHT($A1990,2))&lt;60),GUS_tabl_2!$A$8:$B$464,GUS_tabl_21!$A$5:$B$4886),2,FALSE)))),TRIM(VLOOKUP(IF(AND(LEN($A1990)=4,VALUE(RIGHT($A1990,2))&gt;60),$A1990&amp;"01 1",$A1990),IF(AND(LEN($A1990)=4,VALUE(RIGHT($A1990,2))&lt;60),GUS_tabl_2!$A$8:$B$464,GUS_tabl_21!$A$5:$B$4886),2,FALSE)),LEFT(TRIM(VLOOKUP(IF(AND(LEN($A1990)=4,VALUE(RIGHT($A1990,2))&gt;60),$A1990&amp;"01 1",$A1990),IF(AND(LEN($A1990)=4,VALUE(RIGHT($A1990,2))&lt;60),GUS_tabl_2!$A$8:$B$464,GUS_tabl_21!$A$5:$B$4886),2,FALSE)),SUM(FIND("..",TRIM(VLOOKUP(IF(AND(LEN($A1990)=4,VALUE(RIGHT($A1990,2))&gt;60),$A1990&amp;"01 1",$A1990),IF(AND(LEN($A1990)=4,VALUE(RIGHT($A1990,2))&lt;60),GUS_tabl_2!$A$8:$B$464,GUS_tabl_21!$A$5:$B$4886),2,FALSE))),-1)))))</f>
        <v>gm. w. Karsin</v>
      </c>
      <c r="D1990" s="141">
        <f>IF(OR($A1990="",ISERROR(VALUE(LEFT($A1990,6)))),"",IF(LEN($A1990)=2,SUMIF($A1991:$A$2965,$A1990&amp;"??",$D1991:$D$2965),IF(AND(LEN($A1990)=4,VALUE(RIGHT($A1990,2))&lt;=60),SUMIF($A1991:$A$2965,$A1990&amp;"????",$D1991:$D$2965),VLOOKUP(IF(LEN($A1990)=4,$A1990&amp;"01 1",$A1990),GUS_tabl_21!$A$5:$F$4886,6,FALSE))))</f>
        <v>6239</v>
      </c>
      <c r="E1990" s="29"/>
    </row>
    <row r="1991" spans="1:5" ht="12" customHeight="1">
      <c r="A1991" s="155" t="str">
        <f>"220604 2"</f>
        <v>220604 2</v>
      </c>
      <c r="B1991" s="153" t="s">
        <v>33</v>
      </c>
      <c r="C1991" s="156" t="str">
        <f>IF(OR($A1991="",ISERROR(VALUE(LEFT($A1991,6)))),"",IF(LEN($A1991)=2,"WOJ. ",IF(LEN($A1991)=4,IF(VALUE(RIGHT($A1991,2))&gt;60,"","Powiat "),IF(VALUE(RIGHT($A1991,1))=1,"m. ",IF(VALUE(RIGHT($A1991,1))=2,"gm. w. ",IF(VALUE(RIGHT($A1991,1))=8,"dz. ","gm. m.-w. ")))))&amp;IF(LEN($A1991)=2,TRIM(UPPER(VLOOKUP($A1991,GUS_tabl_1!$A$7:$B$22,2,FALSE))),IF(ISERROR(FIND("..",TRIM(VLOOKUP(IF(AND(LEN($A1991)=4,VALUE(RIGHT($A1991,2))&gt;60),$A1991&amp;"01 1",$A1991),IF(AND(LEN($A1991)=4,VALUE(RIGHT($A1991,2))&lt;60),GUS_tabl_2!$A$8:$B$464,GUS_tabl_21!$A$5:$B$4886),2,FALSE)))),TRIM(VLOOKUP(IF(AND(LEN($A1991)=4,VALUE(RIGHT($A1991,2))&gt;60),$A1991&amp;"01 1",$A1991),IF(AND(LEN($A1991)=4,VALUE(RIGHT($A1991,2))&lt;60),GUS_tabl_2!$A$8:$B$464,GUS_tabl_21!$A$5:$B$4886),2,FALSE)),LEFT(TRIM(VLOOKUP(IF(AND(LEN($A1991)=4,VALUE(RIGHT($A1991,2))&gt;60),$A1991&amp;"01 1",$A1991),IF(AND(LEN($A1991)=4,VALUE(RIGHT($A1991,2))&lt;60),GUS_tabl_2!$A$8:$B$464,GUS_tabl_21!$A$5:$B$4886),2,FALSE)),SUM(FIND("..",TRIM(VLOOKUP(IF(AND(LEN($A1991)=4,VALUE(RIGHT($A1991,2))&gt;60),$A1991&amp;"01 1",$A1991),IF(AND(LEN($A1991)=4,VALUE(RIGHT($A1991,2))&lt;60),GUS_tabl_2!$A$8:$B$464,GUS_tabl_21!$A$5:$B$4886),2,FALSE))),-1)))))</f>
        <v>gm. w. Kościerzyna</v>
      </c>
      <c r="D1991" s="141">
        <f>IF(OR($A1991="",ISERROR(VALUE(LEFT($A1991,6)))),"",IF(LEN($A1991)=2,SUMIF($A1992:$A$2965,$A1991&amp;"??",$D1992:$D$2965),IF(AND(LEN($A1991)=4,VALUE(RIGHT($A1991,2))&lt;=60),SUMIF($A1992:$A$2965,$A1991&amp;"????",$D1992:$D$2965),VLOOKUP(IF(LEN($A1991)=4,$A1991&amp;"01 1",$A1991),GUS_tabl_21!$A$5:$F$4886,6,FALSE))))</f>
        <v>16091</v>
      </c>
      <c r="E1991" s="29"/>
    </row>
    <row r="1992" spans="1:5" ht="12" customHeight="1">
      <c r="A1992" s="155" t="str">
        <f>"220605 2"</f>
        <v>220605 2</v>
      </c>
      <c r="B1992" s="153" t="s">
        <v>33</v>
      </c>
      <c r="C1992" s="156" t="str">
        <f>IF(OR($A1992="",ISERROR(VALUE(LEFT($A1992,6)))),"",IF(LEN($A1992)=2,"WOJ. ",IF(LEN($A1992)=4,IF(VALUE(RIGHT($A1992,2))&gt;60,"","Powiat "),IF(VALUE(RIGHT($A1992,1))=1,"m. ",IF(VALUE(RIGHT($A1992,1))=2,"gm. w. ",IF(VALUE(RIGHT($A1992,1))=8,"dz. ","gm. m.-w. ")))))&amp;IF(LEN($A1992)=2,TRIM(UPPER(VLOOKUP($A1992,GUS_tabl_1!$A$7:$B$22,2,FALSE))),IF(ISERROR(FIND("..",TRIM(VLOOKUP(IF(AND(LEN($A1992)=4,VALUE(RIGHT($A1992,2))&gt;60),$A1992&amp;"01 1",$A1992),IF(AND(LEN($A1992)=4,VALUE(RIGHT($A1992,2))&lt;60),GUS_tabl_2!$A$8:$B$464,GUS_tabl_21!$A$5:$B$4886),2,FALSE)))),TRIM(VLOOKUP(IF(AND(LEN($A1992)=4,VALUE(RIGHT($A1992,2))&gt;60),$A1992&amp;"01 1",$A1992),IF(AND(LEN($A1992)=4,VALUE(RIGHT($A1992,2))&lt;60),GUS_tabl_2!$A$8:$B$464,GUS_tabl_21!$A$5:$B$4886),2,FALSE)),LEFT(TRIM(VLOOKUP(IF(AND(LEN($A1992)=4,VALUE(RIGHT($A1992,2))&gt;60),$A1992&amp;"01 1",$A1992),IF(AND(LEN($A1992)=4,VALUE(RIGHT($A1992,2))&lt;60),GUS_tabl_2!$A$8:$B$464,GUS_tabl_21!$A$5:$B$4886),2,FALSE)),SUM(FIND("..",TRIM(VLOOKUP(IF(AND(LEN($A1992)=4,VALUE(RIGHT($A1992,2))&gt;60),$A1992&amp;"01 1",$A1992),IF(AND(LEN($A1992)=4,VALUE(RIGHT($A1992,2))&lt;60),GUS_tabl_2!$A$8:$B$464,GUS_tabl_21!$A$5:$B$4886),2,FALSE))),-1)))))</f>
        <v>gm. w. Liniewo</v>
      </c>
      <c r="D1992" s="141">
        <f>IF(OR($A1992="",ISERROR(VALUE(LEFT($A1992,6)))),"",IF(LEN($A1992)=2,SUMIF($A1993:$A$2965,$A1992&amp;"??",$D1993:$D$2965),IF(AND(LEN($A1992)=4,VALUE(RIGHT($A1992,2))&lt;=60),SUMIF($A1993:$A$2965,$A1992&amp;"????",$D1993:$D$2965),VLOOKUP(IF(LEN($A1992)=4,$A1992&amp;"01 1",$A1992),GUS_tabl_21!$A$5:$F$4886,6,FALSE))))</f>
        <v>4597</v>
      </c>
      <c r="E1992" s="29"/>
    </row>
    <row r="1993" spans="1:5" ht="12" customHeight="1">
      <c r="A1993" s="155" t="str">
        <f>"220606 2"</f>
        <v>220606 2</v>
      </c>
      <c r="B1993" s="153" t="s">
        <v>33</v>
      </c>
      <c r="C1993" s="156" t="str">
        <f>IF(OR($A1993="",ISERROR(VALUE(LEFT($A1993,6)))),"",IF(LEN($A1993)=2,"WOJ. ",IF(LEN($A1993)=4,IF(VALUE(RIGHT($A1993,2))&gt;60,"","Powiat "),IF(VALUE(RIGHT($A1993,1))=1,"m. ",IF(VALUE(RIGHT($A1993,1))=2,"gm. w. ",IF(VALUE(RIGHT($A1993,1))=8,"dz. ","gm. m.-w. ")))))&amp;IF(LEN($A1993)=2,TRIM(UPPER(VLOOKUP($A1993,GUS_tabl_1!$A$7:$B$22,2,FALSE))),IF(ISERROR(FIND("..",TRIM(VLOOKUP(IF(AND(LEN($A1993)=4,VALUE(RIGHT($A1993,2))&gt;60),$A1993&amp;"01 1",$A1993),IF(AND(LEN($A1993)=4,VALUE(RIGHT($A1993,2))&lt;60),GUS_tabl_2!$A$8:$B$464,GUS_tabl_21!$A$5:$B$4886),2,FALSE)))),TRIM(VLOOKUP(IF(AND(LEN($A1993)=4,VALUE(RIGHT($A1993,2))&gt;60),$A1993&amp;"01 1",$A1993),IF(AND(LEN($A1993)=4,VALUE(RIGHT($A1993,2))&lt;60),GUS_tabl_2!$A$8:$B$464,GUS_tabl_21!$A$5:$B$4886),2,FALSE)),LEFT(TRIM(VLOOKUP(IF(AND(LEN($A1993)=4,VALUE(RIGHT($A1993,2))&gt;60),$A1993&amp;"01 1",$A1993),IF(AND(LEN($A1993)=4,VALUE(RIGHT($A1993,2))&lt;60),GUS_tabl_2!$A$8:$B$464,GUS_tabl_21!$A$5:$B$4886),2,FALSE)),SUM(FIND("..",TRIM(VLOOKUP(IF(AND(LEN($A1993)=4,VALUE(RIGHT($A1993,2))&gt;60),$A1993&amp;"01 1",$A1993),IF(AND(LEN($A1993)=4,VALUE(RIGHT($A1993,2))&lt;60),GUS_tabl_2!$A$8:$B$464,GUS_tabl_21!$A$5:$B$4886),2,FALSE))),-1)))))</f>
        <v>gm. w. Lipusz</v>
      </c>
      <c r="D1993" s="141">
        <f>IF(OR($A1993="",ISERROR(VALUE(LEFT($A1993,6)))),"",IF(LEN($A1993)=2,SUMIF($A1994:$A$2965,$A1993&amp;"??",$D1994:$D$2965),IF(AND(LEN($A1993)=4,VALUE(RIGHT($A1993,2))&lt;=60),SUMIF($A1994:$A$2965,$A1993&amp;"????",$D1994:$D$2965),VLOOKUP(IF(LEN($A1993)=4,$A1993&amp;"01 1",$A1993),GUS_tabl_21!$A$5:$F$4886,6,FALSE))))</f>
        <v>3744</v>
      </c>
      <c r="E1993" s="29"/>
    </row>
    <row r="1994" spans="1:5" ht="12" customHeight="1">
      <c r="A1994" s="155" t="str">
        <f>"220607 2"</f>
        <v>220607 2</v>
      </c>
      <c r="B1994" s="153" t="s">
        <v>33</v>
      </c>
      <c r="C1994" s="156" t="str">
        <f>IF(OR($A1994="",ISERROR(VALUE(LEFT($A1994,6)))),"",IF(LEN($A1994)=2,"WOJ. ",IF(LEN($A1994)=4,IF(VALUE(RIGHT($A1994,2))&gt;60,"","Powiat "),IF(VALUE(RIGHT($A1994,1))=1,"m. ",IF(VALUE(RIGHT($A1994,1))=2,"gm. w. ",IF(VALUE(RIGHT($A1994,1))=8,"dz. ","gm. m.-w. ")))))&amp;IF(LEN($A1994)=2,TRIM(UPPER(VLOOKUP($A1994,GUS_tabl_1!$A$7:$B$22,2,FALSE))),IF(ISERROR(FIND("..",TRIM(VLOOKUP(IF(AND(LEN($A1994)=4,VALUE(RIGHT($A1994,2))&gt;60),$A1994&amp;"01 1",$A1994),IF(AND(LEN($A1994)=4,VALUE(RIGHT($A1994,2))&lt;60),GUS_tabl_2!$A$8:$B$464,GUS_tabl_21!$A$5:$B$4886),2,FALSE)))),TRIM(VLOOKUP(IF(AND(LEN($A1994)=4,VALUE(RIGHT($A1994,2))&gt;60),$A1994&amp;"01 1",$A1994),IF(AND(LEN($A1994)=4,VALUE(RIGHT($A1994,2))&lt;60),GUS_tabl_2!$A$8:$B$464,GUS_tabl_21!$A$5:$B$4886),2,FALSE)),LEFT(TRIM(VLOOKUP(IF(AND(LEN($A1994)=4,VALUE(RIGHT($A1994,2))&gt;60),$A1994&amp;"01 1",$A1994),IF(AND(LEN($A1994)=4,VALUE(RIGHT($A1994,2))&lt;60),GUS_tabl_2!$A$8:$B$464,GUS_tabl_21!$A$5:$B$4886),2,FALSE)),SUM(FIND("..",TRIM(VLOOKUP(IF(AND(LEN($A1994)=4,VALUE(RIGHT($A1994,2))&gt;60),$A1994&amp;"01 1",$A1994),IF(AND(LEN($A1994)=4,VALUE(RIGHT($A1994,2))&lt;60),GUS_tabl_2!$A$8:$B$464,GUS_tabl_21!$A$5:$B$4886),2,FALSE))),-1)))))</f>
        <v>gm. w. Nowa Karczma</v>
      </c>
      <c r="D1994" s="141">
        <f>IF(OR($A1994="",ISERROR(VALUE(LEFT($A1994,6)))),"",IF(LEN($A1994)=2,SUMIF($A1995:$A$2965,$A1994&amp;"??",$D1995:$D$2965),IF(AND(LEN($A1994)=4,VALUE(RIGHT($A1994,2))&lt;=60),SUMIF($A1995:$A$2965,$A1994&amp;"????",$D1995:$D$2965),VLOOKUP(IF(LEN($A1994)=4,$A1994&amp;"01 1",$A1994),GUS_tabl_21!$A$5:$F$4886,6,FALSE))))</f>
        <v>7049</v>
      </c>
      <c r="E1994" s="29"/>
    </row>
    <row r="1995" spans="1:5" ht="12" customHeight="1">
      <c r="A1995" s="155" t="str">
        <f>"220608 2"</f>
        <v>220608 2</v>
      </c>
      <c r="B1995" s="153" t="s">
        <v>33</v>
      </c>
      <c r="C1995" s="156" t="str">
        <f>IF(OR($A1995="",ISERROR(VALUE(LEFT($A1995,6)))),"",IF(LEN($A1995)=2,"WOJ. ",IF(LEN($A1995)=4,IF(VALUE(RIGHT($A1995,2))&gt;60,"","Powiat "),IF(VALUE(RIGHT($A1995,1))=1,"m. ",IF(VALUE(RIGHT($A1995,1))=2,"gm. w. ",IF(VALUE(RIGHT($A1995,1))=8,"dz. ","gm. m.-w. ")))))&amp;IF(LEN($A1995)=2,TRIM(UPPER(VLOOKUP($A1995,GUS_tabl_1!$A$7:$B$22,2,FALSE))),IF(ISERROR(FIND("..",TRIM(VLOOKUP(IF(AND(LEN($A1995)=4,VALUE(RIGHT($A1995,2))&gt;60),$A1995&amp;"01 1",$A1995),IF(AND(LEN($A1995)=4,VALUE(RIGHT($A1995,2))&lt;60),GUS_tabl_2!$A$8:$B$464,GUS_tabl_21!$A$5:$B$4886),2,FALSE)))),TRIM(VLOOKUP(IF(AND(LEN($A1995)=4,VALUE(RIGHT($A1995,2))&gt;60),$A1995&amp;"01 1",$A1995),IF(AND(LEN($A1995)=4,VALUE(RIGHT($A1995,2))&lt;60),GUS_tabl_2!$A$8:$B$464,GUS_tabl_21!$A$5:$B$4886),2,FALSE)),LEFT(TRIM(VLOOKUP(IF(AND(LEN($A1995)=4,VALUE(RIGHT($A1995,2))&gt;60),$A1995&amp;"01 1",$A1995),IF(AND(LEN($A1995)=4,VALUE(RIGHT($A1995,2))&lt;60),GUS_tabl_2!$A$8:$B$464,GUS_tabl_21!$A$5:$B$4886),2,FALSE)),SUM(FIND("..",TRIM(VLOOKUP(IF(AND(LEN($A1995)=4,VALUE(RIGHT($A1995,2))&gt;60),$A1995&amp;"01 1",$A1995),IF(AND(LEN($A1995)=4,VALUE(RIGHT($A1995,2))&lt;60),GUS_tabl_2!$A$8:$B$464,GUS_tabl_21!$A$5:$B$4886),2,FALSE))),-1)))))</f>
        <v>gm. w. Stara Kiszewa</v>
      </c>
      <c r="D1995" s="141">
        <f>IF(OR($A1995="",ISERROR(VALUE(LEFT($A1995,6)))),"",IF(LEN($A1995)=2,SUMIF($A1996:$A$2965,$A1995&amp;"??",$D1996:$D$2965),IF(AND(LEN($A1995)=4,VALUE(RIGHT($A1995,2))&lt;=60),SUMIF($A1996:$A$2965,$A1995&amp;"????",$D1996:$D$2965),VLOOKUP(IF(LEN($A1995)=4,$A1995&amp;"01 1",$A1995),GUS_tabl_21!$A$5:$F$4886,6,FALSE))))</f>
        <v>6816</v>
      </c>
      <c r="E1995" s="29"/>
    </row>
    <row r="1996" spans="1:5" ht="12" customHeight="1">
      <c r="A1996" s="152" t="str">
        <f>"2207"</f>
        <v>2207</v>
      </c>
      <c r="B1996" s="153" t="s">
        <v>33</v>
      </c>
      <c r="C1996" s="154" t="str">
        <f>IF(OR($A1996="",ISERROR(VALUE(LEFT($A1996,6)))),"",IF(LEN($A1996)=2,"WOJ. ",IF(LEN($A1996)=4,IF(VALUE(RIGHT($A1996,2))&gt;60,"","Powiat "),IF(VALUE(RIGHT($A1996,1))=1,"m. ",IF(VALUE(RIGHT($A1996,1))=2,"gm. w. ",IF(VALUE(RIGHT($A1996,1))=8,"dz. ","gm. m.-w. ")))))&amp;IF(LEN($A1996)=2,TRIM(UPPER(VLOOKUP($A1996,GUS_tabl_1!$A$7:$B$22,2,FALSE))),IF(ISERROR(FIND("..",TRIM(VLOOKUP(IF(AND(LEN($A1996)=4,VALUE(RIGHT($A1996,2))&gt;60),$A1996&amp;"01 1",$A1996),IF(AND(LEN($A1996)=4,VALUE(RIGHT($A1996,2))&lt;60),GUS_tabl_2!$A$8:$B$464,GUS_tabl_21!$A$5:$B$4886),2,FALSE)))),TRIM(VLOOKUP(IF(AND(LEN($A1996)=4,VALUE(RIGHT($A1996,2))&gt;60),$A1996&amp;"01 1",$A1996),IF(AND(LEN($A1996)=4,VALUE(RIGHT($A1996,2))&lt;60),GUS_tabl_2!$A$8:$B$464,GUS_tabl_21!$A$5:$B$4886),2,FALSE)),LEFT(TRIM(VLOOKUP(IF(AND(LEN($A1996)=4,VALUE(RIGHT($A1996,2))&gt;60),$A1996&amp;"01 1",$A1996),IF(AND(LEN($A1996)=4,VALUE(RIGHT($A1996,2))&lt;60),GUS_tabl_2!$A$8:$B$464,GUS_tabl_21!$A$5:$B$4886),2,FALSE)),SUM(FIND("..",TRIM(VLOOKUP(IF(AND(LEN($A1996)=4,VALUE(RIGHT($A1996,2))&gt;60),$A1996&amp;"01 1",$A1996),IF(AND(LEN($A1996)=4,VALUE(RIGHT($A1996,2))&lt;60),GUS_tabl_2!$A$8:$B$464,GUS_tabl_21!$A$5:$B$4886),2,FALSE))),-1)))))</f>
        <v>Powiat kwidzyński</v>
      </c>
      <c r="D1996" s="140">
        <f>IF(OR($A1996="",ISERROR(VALUE(LEFT($A1996,6)))),"",IF(LEN($A1996)=2,SUMIF($A1997:$A$2965,$A1996&amp;"??",$D1997:$D$2965),IF(AND(LEN($A1996)=4,VALUE(RIGHT($A1996,2))&lt;=60),SUMIF($A1997:$A$2965,$A1996&amp;"????",$D1997:$D$2965),VLOOKUP(IF(LEN($A1996)=4,$A1996&amp;"01 1",$A1996),GUS_tabl_21!$A$5:$F$4886,6,FALSE))))</f>
        <v>83174</v>
      </c>
      <c r="E1996" s="29"/>
    </row>
    <row r="1997" spans="1:5" ht="12" customHeight="1">
      <c r="A1997" s="155" t="str">
        <f>"220701 1"</f>
        <v>220701 1</v>
      </c>
      <c r="B1997" s="153" t="s">
        <v>33</v>
      </c>
      <c r="C1997" s="156" t="str">
        <f>IF(OR($A1997="",ISERROR(VALUE(LEFT($A1997,6)))),"",IF(LEN($A1997)=2,"WOJ. ",IF(LEN($A1997)=4,IF(VALUE(RIGHT($A1997,2))&gt;60,"","Powiat "),IF(VALUE(RIGHT($A1997,1))=1,"m. ",IF(VALUE(RIGHT($A1997,1))=2,"gm. w. ",IF(VALUE(RIGHT($A1997,1))=8,"dz. ","gm. m.-w. ")))))&amp;IF(LEN($A1997)=2,TRIM(UPPER(VLOOKUP($A1997,GUS_tabl_1!$A$7:$B$22,2,FALSE))),IF(ISERROR(FIND("..",TRIM(VLOOKUP(IF(AND(LEN($A1997)=4,VALUE(RIGHT($A1997,2))&gt;60),$A1997&amp;"01 1",$A1997),IF(AND(LEN($A1997)=4,VALUE(RIGHT($A1997,2))&lt;60),GUS_tabl_2!$A$8:$B$464,GUS_tabl_21!$A$5:$B$4886),2,FALSE)))),TRIM(VLOOKUP(IF(AND(LEN($A1997)=4,VALUE(RIGHT($A1997,2))&gt;60),$A1997&amp;"01 1",$A1997),IF(AND(LEN($A1997)=4,VALUE(RIGHT($A1997,2))&lt;60),GUS_tabl_2!$A$8:$B$464,GUS_tabl_21!$A$5:$B$4886),2,FALSE)),LEFT(TRIM(VLOOKUP(IF(AND(LEN($A1997)=4,VALUE(RIGHT($A1997,2))&gt;60),$A1997&amp;"01 1",$A1997),IF(AND(LEN($A1997)=4,VALUE(RIGHT($A1997,2))&lt;60),GUS_tabl_2!$A$8:$B$464,GUS_tabl_21!$A$5:$B$4886),2,FALSE)),SUM(FIND("..",TRIM(VLOOKUP(IF(AND(LEN($A1997)=4,VALUE(RIGHT($A1997,2))&gt;60),$A1997&amp;"01 1",$A1997),IF(AND(LEN($A1997)=4,VALUE(RIGHT($A1997,2))&lt;60),GUS_tabl_2!$A$8:$B$464,GUS_tabl_21!$A$5:$B$4886),2,FALSE))),-1)))))</f>
        <v>m. Kwidzyn</v>
      </c>
      <c r="D1997" s="141">
        <f>IF(OR($A1997="",ISERROR(VALUE(LEFT($A1997,6)))),"",IF(LEN($A1997)=2,SUMIF($A1998:$A$2965,$A1997&amp;"??",$D1998:$D$2965),IF(AND(LEN($A1997)=4,VALUE(RIGHT($A1997,2))&lt;=60),SUMIF($A1998:$A$2965,$A1997&amp;"????",$D1998:$D$2965),VLOOKUP(IF(LEN($A1997)=4,$A1997&amp;"01 1",$A1997),GUS_tabl_21!$A$5:$F$4886,6,FALSE))))</f>
        <v>38418</v>
      </c>
      <c r="E1997" s="29"/>
    </row>
    <row r="1998" spans="1:5" ht="12" customHeight="1">
      <c r="A1998" s="155" t="str">
        <f>"220702 2"</f>
        <v>220702 2</v>
      </c>
      <c r="B1998" s="153" t="s">
        <v>33</v>
      </c>
      <c r="C1998" s="156" t="str">
        <f>IF(OR($A1998="",ISERROR(VALUE(LEFT($A1998,6)))),"",IF(LEN($A1998)=2,"WOJ. ",IF(LEN($A1998)=4,IF(VALUE(RIGHT($A1998,2))&gt;60,"","Powiat "),IF(VALUE(RIGHT($A1998,1))=1,"m. ",IF(VALUE(RIGHT($A1998,1))=2,"gm. w. ",IF(VALUE(RIGHT($A1998,1))=8,"dz. ","gm. m.-w. ")))))&amp;IF(LEN($A1998)=2,TRIM(UPPER(VLOOKUP($A1998,GUS_tabl_1!$A$7:$B$22,2,FALSE))),IF(ISERROR(FIND("..",TRIM(VLOOKUP(IF(AND(LEN($A1998)=4,VALUE(RIGHT($A1998,2))&gt;60),$A1998&amp;"01 1",$A1998),IF(AND(LEN($A1998)=4,VALUE(RIGHT($A1998,2))&lt;60),GUS_tabl_2!$A$8:$B$464,GUS_tabl_21!$A$5:$B$4886),2,FALSE)))),TRIM(VLOOKUP(IF(AND(LEN($A1998)=4,VALUE(RIGHT($A1998,2))&gt;60),$A1998&amp;"01 1",$A1998),IF(AND(LEN($A1998)=4,VALUE(RIGHT($A1998,2))&lt;60),GUS_tabl_2!$A$8:$B$464,GUS_tabl_21!$A$5:$B$4886),2,FALSE)),LEFT(TRIM(VLOOKUP(IF(AND(LEN($A1998)=4,VALUE(RIGHT($A1998,2))&gt;60),$A1998&amp;"01 1",$A1998),IF(AND(LEN($A1998)=4,VALUE(RIGHT($A1998,2))&lt;60),GUS_tabl_2!$A$8:$B$464,GUS_tabl_21!$A$5:$B$4886),2,FALSE)),SUM(FIND("..",TRIM(VLOOKUP(IF(AND(LEN($A1998)=4,VALUE(RIGHT($A1998,2))&gt;60),$A1998&amp;"01 1",$A1998),IF(AND(LEN($A1998)=4,VALUE(RIGHT($A1998,2))&lt;60),GUS_tabl_2!$A$8:$B$464,GUS_tabl_21!$A$5:$B$4886),2,FALSE))),-1)))))</f>
        <v>gm. w. Gardeja</v>
      </c>
      <c r="D1998" s="141">
        <f>IF(OR($A1998="",ISERROR(VALUE(LEFT($A1998,6)))),"",IF(LEN($A1998)=2,SUMIF($A1999:$A$2965,$A1998&amp;"??",$D1999:$D$2965),IF(AND(LEN($A1998)=4,VALUE(RIGHT($A1998,2))&lt;=60),SUMIF($A1999:$A$2965,$A1998&amp;"????",$D1999:$D$2965),VLOOKUP(IF(LEN($A1998)=4,$A1998&amp;"01 1",$A1998),GUS_tabl_21!$A$5:$F$4886,6,FALSE))))</f>
        <v>8421</v>
      </c>
      <c r="E1998" s="29"/>
    </row>
    <row r="1999" spans="1:5" ht="12" customHeight="1">
      <c r="A1999" s="155" t="str">
        <f>"220703 2"</f>
        <v>220703 2</v>
      </c>
      <c r="B1999" s="153" t="s">
        <v>33</v>
      </c>
      <c r="C1999" s="156" t="str">
        <f>IF(OR($A1999="",ISERROR(VALUE(LEFT($A1999,6)))),"",IF(LEN($A1999)=2,"WOJ. ",IF(LEN($A1999)=4,IF(VALUE(RIGHT($A1999,2))&gt;60,"","Powiat "),IF(VALUE(RIGHT($A1999,1))=1,"m. ",IF(VALUE(RIGHT($A1999,1))=2,"gm. w. ",IF(VALUE(RIGHT($A1999,1))=8,"dz. ","gm. m.-w. ")))))&amp;IF(LEN($A1999)=2,TRIM(UPPER(VLOOKUP($A1999,GUS_tabl_1!$A$7:$B$22,2,FALSE))),IF(ISERROR(FIND("..",TRIM(VLOOKUP(IF(AND(LEN($A1999)=4,VALUE(RIGHT($A1999,2))&gt;60),$A1999&amp;"01 1",$A1999),IF(AND(LEN($A1999)=4,VALUE(RIGHT($A1999,2))&lt;60),GUS_tabl_2!$A$8:$B$464,GUS_tabl_21!$A$5:$B$4886),2,FALSE)))),TRIM(VLOOKUP(IF(AND(LEN($A1999)=4,VALUE(RIGHT($A1999,2))&gt;60),$A1999&amp;"01 1",$A1999),IF(AND(LEN($A1999)=4,VALUE(RIGHT($A1999,2))&lt;60),GUS_tabl_2!$A$8:$B$464,GUS_tabl_21!$A$5:$B$4886),2,FALSE)),LEFT(TRIM(VLOOKUP(IF(AND(LEN($A1999)=4,VALUE(RIGHT($A1999,2))&gt;60),$A1999&amp;"01 1",$A1999),IF(AND(LEN($A1999)=4,VALUE(RIGHT($A1999,2))&lt;60),GUS_tabl_2!$A$8:$B$464,GUS_tabl_21!$A$5:$B$4886),2,FALSE)),SUM(FIND("..",TRIM(VLOOKUP(IF(AND(LEN($A1999)=4,VALUE(RIGHT($A1999,2))&gt;60),$A1999&amp;"01 1",$A1999),IF(AND(LEN($A1999)=4,VALUE(RIGHT($A1999,2))&lt;60),GUS_tabl_2!$A$8:$B$464,GUS_tabl_21!$A$5:$B$4886),2,FALSE))),-1)))))</f>
        <v>gm. w. Kwidzyn</v>
      </c>
      <c r="D1999" s="141">
        <f>IF(OR($A1999="",ISERROR(VALUE(LEFT($A1999,6)))),"",IF(LEN($A1999)=2,SUMIF($A2000:$A$2965,$A1999&amp;"??",$D2000:$D$2965),IF(AND(LEN($A1999)=4,VALUE(RIGHT($A1999,2))&lt;=60),SUMIF($A2000:$A$2965,$A1999&amp;"????",$D2000:$D$2965),VLOOKUP(IF(LEN($A1999)=4,$A1999&amp;"01 1",$A1999),GUS_tabl_21!$A$5:$F$4886,6,FALSE))))</f>
        <v>11429</v>
      </c>
      <c r="E1999" s="29"/>
    </row>
    <row r="2000" spans="1:5" ht="12" customHeight="1">
      <c r="A2000" s="155" t="str">
        <f>"220704 3"</f>
        <v>220704 3</v>
      </c>
      <c r="B2000" s="153" t="s">
        <v>33</v>
      </c>
      <c r="C2000" s="156" t="str">
        <f>IF(OR($A2000="",ISERROR(VALUE(LEFT($A2000,6)))),"",IF(LEN($A2000)=2,"WOJ. ",IF(LEN($A2000)=4,IF(VALUE(RIGHT($A2000,2))&gt;60,"","Powiat "),IF(VALUE(RIGHT($A2000,1))=1,"m. ",IF(VALUE(RIGHT($A2000,1))=2,"gm. w. ",IF(VALUE(RIGHT($A2000,1))=8,"dz. ","gm. m.-w. ")))))&amp;IF(LEN($A2000)=2,TRIM(UPPER(VLOOKUP($A2000,GUS_tabl_1!$A$7:$B$22,2,FALSE))),IF(ISERROR(FIND("..",TRIM(VLOOKUP(IF(AND(LEN($A2000)=4,VALUE(RIGHT($A2000,2))&gt;60),$A2000&amp;"01 1",$A2000),IF(AND(LEN($A2000)=4,VALUE(RIGHT($A2000,2))&lt;60),GUS_tabl_2!$A$8:$B$464,GUS_tabl_21!$A$5:$B$4886),2,FALSE)))),TRIM(VLOOKUP(IF(AND(LEN($A2000)=4,VALUE(RIGHT($A2000,2))&gt;60),$A2000&amp;"01 1",$A2000),IF(AND(LEN($A2000)=4,VALUE(RIGHT($A2000,2))&lt;60),GUS_tabl_2!$A$8:$B$464,GUS_tabl_21!$A$5:$B$4886),2,FALSE)),LEFT(TRIM(VLOOKUP(IF(AND(LEN($A2000)=4,VALUE(RIGHT($A2000,2))&gt;60),$A2000&amp;"01 1",$A2000),IF(AND(LEN($A2000)=4,VALUE(RIGHT($A2000,2))&lt;60),GUS_tabl_2!$A$8:$B$464,GUS_tabl_21!$A$5:$B$4886),2,FALSE)),SUM(FIND("..",TRIM(VLOOKUP(IF(AND(LEN($A2000)=4,VALUE(RIGHT($A2000,2))&gt;60),$A2000&amp;"01 1",$A2000),IF(AND(LEN($A2000)=4,VALUE(RIGHT($A2000,2))&lt;60),GUS_tabl_2!$A$8:$B$464,GUS_tabl_21!$A$5:$B$4886),2,FALSE))),-1)))))</f>
        <v>gm. m.-w. Prabuty</v>
      </c>
      <c r="D2000" s="141">
        <f>IF(OR($A2000="",ISERROR(VALUE(LEFT($A2000,6)))),"",IF(LEN($A2000)=2,SUMIF($A2001:$A$2965,$A2000&amp;"??",$D2001:$D$2965),IF(AND(LEN($A2000)=4,VALUE(RIGHT($A2000,2))&lt;=60),SUMIF($A2001:$A$2965,$A2000&amp;"????",$D2001:$D$2965),VLOOKUP(IF(LEN($A2000)=4,$A2000&amp;"01 1",$A2000),GUS_tabl_21!$A$5:$F$4886,6,FALSE))))</f>
        <v>13091</v>
      </c>
      <c r="E2000" s="29"/>
    </row>
    <row r="2001" spans="1:5" ht="12" customHeight="1">
      <c r="A2001" s="155" t="str">
        <f>"220705 2"</f>
        <v>220705 2</v>
      </c>
      <c r="B2001" s="153" t="s">
        <v>33</v>
      </c>
      <c r="C2001" s="156" t="str">
        <f>IF(OR($A2001="",ISERROR(VALUE(LEFT($A2001,6)))),"",IF(LEN($A2001)=2,"WOJ. ",IF(LEN($A2001)=4,IF(VALUE(RIGHT($A2001,2))&gt;60,"","Powiat "),IF(VALUE(RIGHT($A2001,1))=1,"m. ",IF(VALUE(RIGHT($A2001,1))=2,"gm. w. ",IF(VALUE(RIGHT($A2001,1))=8,"dz. ","gm. m.-w. ")))))&amp;IF(LEN($A2001)=2,TRIM(UPPER(VLOOKUP($A2001,GUS_tabl_1!$A$7:$B$22,2,FALSE))),IF(ISERROR(FIND("..",TRIM(VLOOKUP(IF(AND(LEN($A2001)=4,VALUE(RIGHT($A2001,2))&gt;60),$A2001&amp;"01 1",$A2001),IF(AND(LEN($A2001)=4,VALUE(RIGHT($A2001,2))&lt;60),GUS_tabl_2!$A$8:$B$464,GUS_tabl_21!$A$5:$B$4886),2,FALSE)))),TRIM(VLOOKUP(IF(AND(LEN($A2001)=4,VALUE(RIGHT($A2001,2))&gt;60),$A2001&amp;"01 1",$A2001),IF(AND(LEN($A2001)=4,VALUE(RIGHT($A2001,2))&lt;60),GUS_tabl_2!$A$8:$B$464,GUS_tabl_21!$A$5:$B$4886),2,FALSE)),LEFT(TRIM(VLOOKUP(IF(AND(LEN($A2001)=4,VALUE(RIGHT($A2001,2))&gt;60),$A2001&amp;"01 1",$A2001),IF(AND(LEN($A2001)=4,VALUE(RIGHT($A2001,2))&lt;60),GUS_tabl_2!$A$8:$B$464,GUS_tabl_21!$A$5:$B$4886),2,FALSE)),SUM(FIND("..",TRIM(VLOOKUP(IF(AND(LEN($A2001)=4,VALUE(RIGHT($A2001,2))&gt;60),$A2001&amp;"01 1",$A2001),IF(AND(LEN($A2001)=4,VALUE(RIGHT($A2001,2))&lt;60),GUS_tabl_2!$A$8:$B$464,GUS_tabl_21!$A$5:$B$4886),2,FALSE))),-1)))))</f>
        <v>gm. w. Ryjewo</v>
      </c>
      <c r="D2001" s="141">
        <f>IF(OR($A2001="",ISERROR(VALUE(LEFT($A2001,6)))),"",IF(LEN($A2001)=2,SUMIF($A2002:$A$2965,$A2001&amp;"??",$D2002:$D$2965),IF(AND(LEN($A2001)=4,VALUE(RIGHT($A2001,2))&lt;=60),SUMIF($A2002:$A$2965,$A2001&amp;"????",$D2002:$D$2965),VLOOKUP(IF(LEN($A2001)=4,$A2001&amp;"01 1",$A2001),GUS_tabl_21!$A$5:$F$4886,6,FALSE))))</f>
        <v>5831</v>
      </c>
      <c r="E2001" s="29"/>
    </row>
    <row r="2002" spans="1:5" ht="12" customHeight="1">
      <c r="A2002" s="155" t="str">
        <f>"220706 2"</f>
        <v>220706 2</v>
      </c>
      <c r="B2002" s="153" t="s">
        <v>33</v>
      </c>
      <c r="C2002" s="156" t="str">
        <f>IF(OR($A2002="",ISERROR(VALUE(LEFT($A2002,6)))),"",IF(LEN($A2002)=2,"WOJ. ",IF(LEN($A2002)=4,IF(VALUE(RIGHT($A2002,2))&gt;60,"","Powiat "),IF(VALUE(RIGHT($A2002,1))=1,"m. ",IF(VALUE(RIGHT($A2002,1))=2,"gm. w. ",IF(VALUE(RIGHT($A2002,1))=8,"dz. ","gm. m.-w. ")))))&amp;IF(LEN($A2002)=2,TRIM(UPPER(VLOOKUP($A2002,GUS_tabl_1!$A$7:$B$22,2,FALSE))),IF(ISERROR(FIND("..",TRIM(VLOOKUP(IF(AND(LEN($A2002)=4,VALUE(RIGHT($A2002,2))&gt;60),$A2002&amp;"01 1",$A2002),IF(AND(LEN($A2002)=4,VALUE(RIGHT($A2002,2))&lt;60),GUS_tabl_2!$A$8:$B$464,GUS_tabl_21!$A$5:$B$4886),2,FALSE)))),TRIM(VLOOKUP(IF(AND(LEN($A2002)=4,VALUE(RIGHT($A2002,2))&gt;60),$A2002&amp;"01 1",$A2002),IF(AND(LEN($A2002)=4,VALUE(RIGHT($A2002,2))&lt;60),GUS_tabl_2!$A$8:$B$464,GUS_tabl_21!$A$5:$B$4886),2,FALSE)),LEFT(TRIM(VLOOKUP(IF(AND(LEN($A2002)=4,VALUE(RIGHT($A2002,2))&gt;60),$A2002&amp;"01 1",$A2002),IF(AND(LEN($A2002)=4,VALUE(RIGHT($A2002,2))&lt;60),GUS_tabl_2!$A$8:$B$464,GUS_tabl_21!$A$5:$B$4886),2,FALSE)),SUM(FIND("..",TRIM(VLOOKUP(IF(AND(LEN($A2002)=4,VALUE(RIGHT($A2002,2))&gt;60),$A2002&amp;"01 1",$A2002),IF(AND(LEN($A2002)=4,VALUE(RIGHT($A2002,2))&lt;60),GUS_tabl_2!$A$8:$B$464,GUS_tabl_21!$A$5:$B$4886),2,FALSE))),-1)))))</f>
        <v>gm. w. Sadlinki</v>
      </c>
      <c r="D2002" s="141">
        <f>IF(OR($A2002="",ISERROR(VALUE(LEFT($A2002,6)))),"",IF(LEN($A2002)=2,SUMIF($A2003:$A$2965,$A2002&amp;"??",$D2003:$D$2965),IF(AND(LEN($A2002)=4,VALUE(RIGHT($A2002,2))&lt;=60),SUMIF($A2003:$A$2965,$A2002&amp;"????",$D2003:$D$2965),VLOOKUP(IF(LEN($A2002)=4,$A2002&amp;"01 1",$A2002),GUS_tabl_21!$A$5:$F$4886,6,FALSE))))</f>
        <v>5984</v>
      </c>
      <c r="E2002" s="29"/>
    </row>
    <row r="2003" spans="1:5" ht="12" customHeight="1">
      <c r="A2003" s="152" t="str">
        <f>"2208"</f>
        <v>2208</v>
      </c>
      <c r="B2003" s="153" t="s">
        <v>33</v>
      </c>
      <c r="C2003" s="154" t="str">
        <f>IF(OR($A2003="",ISERROR(VALUE(LEFT($A2003,6)))),"",IF(LEN($A2003)=2,"WOJ. ",IF(LEN($A2003)=4,IF(VALUE(RIGHT($A2003,2))&gt;60,"","Powiat "),IF(VALUE(RIGHT($A2003,1))=1,"m. ",IF(VALUE(RIGHT($A2003,1))=2,"gm. w. ",IF(VALUE(RIGHT($A2003,1))=8,"dz. ","gm. m.-w. ")))))&amp;IF(LEN($A2003)=2,TRIM(UPPER(VLOOKUP($A2003,GUS_tabl_1!$A$7:$B$22,2,FALSE))),IF(ISERROR(FIND("..",TRIM(VLOOKUP(IF(AND(LEN($A2003)=4,VALUE(RIGHT($A2003,2))&gt;60),$A2003&amp;"01 1",$A2003),IF(AND(LEN($A2003)=4,VALUE(RIGHT($A2003,2))&lt;60),GUS_tabl_2!$A$8:$B$464,GUS_tabl_21!$A$5:$B$4886),2,FALSE)))),TRIM(VLOOKUP(IF(AND(LEN($A2003)=4,VALUE(RIGHT($A2003,2))&gt;60),$A2003&amp;"01 1",$A2003),IF(AND(LEN($A2003)=4,VALUE(RIGHT($A2003,2))&lt;60),GUS_tabl_2!$A$8:$B$464,GUS_tabl_21!$A$5:$B$4886),2,FALSE)),LEFT(TRIM(VLOOKUP(IF(AND(LEN($A2003)=4,VALUE(RIGHT($A2003,2))&gt;60),$A2003&amp;"01 1",$A2003),IF(AND(LEN($A2003)=4,VALUE(RIGHT($A2003,2))&lt;60),GUS_tabl_2!$A$8:$B$464,GUS_tabl_21!$A$5:$B$4886),2,FALSE)),SUM(FIND("..",TRIM(VLOOKUP(IF(AND(LEN($A2003)=4,VALUE(RIGHT($A2003,2))&gt;60),$A2003&amp;"01 1",$A2003),IF(AND(LEN($A2003)=4,VALUE(RIGHT($A2003,2))&lt;60),GUS_tabl_2!$A$8:$B$464,GUS_tabl_21!$A$5:$B$4886),2,FALSE))),-1)))))</f>
        <v>Powiat lęborski</v>
      </c>
      <c r="D2003" s="140">
        <f>IF(OR($A2003="",ISERROR(VALUE(LEFT($A2003,6)))),"",IF(LEN($A2003)=2,SUMIF($A2004:$A$2965,$A2003&amp;"??",$D2004:$D$2965),IF(AND(LEN($A2003)=4,VALUE(RIGHT($A2003,2))&lt;=60),SUMIF($A2004:$A$2965,$A2003&amp;"????",$D2004:$D$2965),VLOOKUP(IF(LEN($A2003)=4,$A2003&amp;"01 1",$A2003),GUS_tabl_21!$A$5:$F$4886,6,FALSE))))</f>
        <v>66115</v>
      </c>
      <c r="E2003" s="29"/>
    </row>
    <row r="2004" spans="1:5" ht="12" customHeight="1">
      <c r="A2004" s="155" t="str">
        <f>"220801 1"</f>
        <v>220801 1</v>
      </c>
      <c r="B2004" s="153" t="s">
        <v>33</v>
      </c>
      <c r="C2004" s="156" t="str">
        <f>IF(OR($A2004="",ISERROR(VALUE(LEFT($A2004,6)))),"",IF(LEN($A2004)=2,"WOJ. ",IF(LEN($A2004)=4,IF(VALUE(RIGHT($A2004,2))&gt;60,"","Powiat "),IF(VALUE(RIGHT($A2004,1))=1,"m. ",IF(VALUE(RIGHT($A2004,1))=2,"gm. w. ",IF(VALUE(RIGHT($A2004,1))=8,"dz. ","gm. m.-w. ")))))&amp;IF(LEN($A2004)=2,TRIM(UPPER(VLOOKUP($A2004,GUS_tabl_1!$A$7:$B$22,2,FALSE))),IF(ISERROR(FIND("..",TRIM(VLOOKUP(IF(AND(LEN($A2004)=4,VALUE(RIGHT($A2004,2))&gt;60),$A2004&amp;"01 1",$A2004),IF(AND(LEN($A2004)=4,VALUE(RIGHT($A2004,2))&lt;60),GUS_tabl_2!$A$8:$B$464,GUS_tabl_21!$A$5:$B$4886),2,FALSE)))),TRIM(VLOOKUP(IF(AND(LEN($A2004)=4,VALUE(RIGHT($A2004,2))&gt;60),$A2004&amp;"01 1",$A2004),IF(AND(LEN($A2004)=4,VALUE(RIGHT($A2004,2))&lt;60),GUS_tabl_2!$A$8:$B$464,GUS_tabl_21!$A$5:$B$4886),2,FALSE)),LEFT(TRIM(VLOOKUP(IF(AND(LEN($A2004)=4,VALUE(RIGHT($A2004,2))&gt;60),$A2004&amp;"01 1",$A2004),IF(AND(LEN($A2004)=4,VALUE(RIGHT($A2004,2))&lt;60),GUS_tabl_2!$A$8:$B$464,GUS_tabl_21!$A$5:$B$4886),2,FALSE)),SUM(FIND("..",TRIM(VLOOKUP(IF(AND(LEN($A2004)=4,VALUE(RIGHT($A2004,2))&gt;60),$A2004&amp;"01 1",$A2004),IF(AND(LEN($A2004)=4,VALUE(RIGHT($A2004,2))&lt;60),GUS_tabl_2!$A$8:$B$464,GUS_tabl_21!$A$5:$B$4886),2,FALSE))),-1)))))</f>
        <v>m. Lębork</v>
      </c>
      <c r="D2004" s="141">
        <f>IF(OR($A2004="",ISERROR(VALUE(LEFT($A2004,6)))),"",IF(LEN($A2004)=2,SUMIF($A2005:$A$2965,$A2004&amp;"??",$D2005:$D$2965),IF(AND(LEN($A2004)=4,VALUE(RIGHT($A2004,2))&lt;=60),SUMIF($A2005:$A$2965,$A2004&amp;"????",$D2005:$D$2965),VLOOKUP(IF(LEN($A2004)=4,$A2004&amp;"01 1",$A2004),GUS_tabl_21!$A$5:$F$4886,6,FALSE))))</f>
        <v>35273</v>
      </c>
      <c r="E2004" s="29"/>
    </row>
    <row r="2005" spans="1:5" ht="12" customHeight="1">
      <c r="A2005" s="155" t="str">
        <f>"220802 1"</f>
        <v>220802 1</v>
      </c>
      <c r="B2005" s="153" t="s">
        <v>33</v>
      </c>
      <c r="C2005" s="156" t="str">
        <f>IF(OR($A2005="",ISERROR(VALUE(LEFT($A2005,6)))),"",IF(LEN($A2005)=2,"WOJ. ",IF(LEN($A2005)=4,IF(VALUE(RIGHT($A2005,2))&gt;60,"","Powiat "),IF(VALUE(RIGHT($A2005,1))=1,"m. ",IF(VALUE(RIGHT($A2005,1))=2,"gm. w. ",IF(VALUE(RIGHT($A2005,1))=8,"dz. ","gm. m.-w. ")))))&amp;IF(LEN($A2005)=2,TRIM(UPPER(VLOOKUP($A2005,GUS_tabl_1!$A$7:$B$22,2,FALSE))),IF(ISERROR(FIND("..",TRIM(VLOOKUP(IF(AND(LEN($A2005)=4,VALUE(RIGHT($A2005,2))&gt;60),$A2005&amp;"01 1",$A2005),IF(AND(LEN($A2005)=4,VALUE(RIGHT($A2005,2))&lt;60),GUS_tabl_2!$A$8:$B$464,GUS_tabl_21!$A$5:$B$4886),2,FALSE)))),TRIM(VLOOKUP(IF(AND(LEN($A2005)=4,VALUE(RIGHT($A2005,2))&gt;60),$A2005&amp;"01 1",$A2005),IF(AND(LEN($A2005)=4,VALUE(RIGHT($A2005,2))&lt;60),GUS_tabl_2!$A$8:$B$464,GUS_tabl_21!$A$5:$B$4886),2,FALSE)),LEFT(TRIM(VLOOKUP(IF(AND(LEN($A2005)=4,VALUE(RIGHT($A2005,2))&gt;60),$A2005&amp;"01 1",$A2005),IF(AND(LEN($A2005)=4,VALUE(RIGHT($A2005,2))&lt;60),GUS_tabl_2!$A$8:$B$464,GUS_tabl_21!$A$5:$B$4886),2,FALSE)),SUM(FIND("..",TRIM(VLOOKUP(IF(AND(LEN($A2005)=4,VALUE(RIGHT($A2005,2))&gt;60),$A2005&amp;"01 1",$A2005),IF(AND(LEN($A2005)=4,VALUE(RIGHT($A2005,2))&lt;60),GUS_tabl_2!$A$8:$B$464,GUS_tabl_21!$A$5:$B$4886),2,FALSE))),-1)))))</f>
        <v>m. Łeba (b)</v>
      </c>
      <c r="D2005" s="141">
        <f>IF(OR($A2005="",ISERROR(VALUE(LEFT($A2005,6)))),"",IF(LEN($A2005)=2,SUMIF($A2006:$A$2965,$A2005&amp;"??",$D2006:$D$2965),IF(AND(LEN($A2005)=4,VALUE(RIGHT($A2005,2))&lt;=60),SUMIF($A2006:$A$2965,$A2005&amp;"????",$D2006:$D$2965),VLOOKUP(IF(LEN($A2005)=4,$A2005&amp;"01 1",$A2005),GUS_tabl_21!$A$5:$F$4886,6,FALSE))))</f>
        <v>3601</v>
      </c>
      <c r="E2005" s="29"/>
    </row>
    <row r="2006" spans="1:5" ht="12" customHeight="1">
      <c r="A2006" s="155" t="str">
        <f>"220803 2"</f>
        <v>220803 2</v>
      </c>
      <c r="B2006" s="153" t="s">
        <v>33</v>
      </c>
      <c r="C2006" s="156" t="str">
        <f>IF(OR($A2006="",ISERROR(VALUE(LEFT($A2006,6)))),"",IF(LEN($A2006)=2,"WOJ. ",IF(LEN($A2006)=4,IF(VALUE(RIGHT($A2006,2))&gt;60,"","Powiat "),IF(VALUE(RIGHT($A2006,1))=1,"m. ",IF(VALUE(RIGHT($A2006,1))=2,"gm. w. ",IF(VALUE(RIGHT($A2006,1))=8,"dz. ","gm. m.-w. ")))))&amp;IF(LEN($A2006)=2,TRIM(UPPER(VLOOKUP($A2006,GUS_tabl_1!$A$7:$B$22,2,FALSE))),IF(ISERROR(FIND("..",TRIM(VLOOKUP(IF(AND(LEN($A2006)=4,VALUE(RIGHT($A2006,2))&gt;60),$A2006&amp;"01 1",$A2006),IF(AND(LEN($A2006)=4,VALUE(RIGHT($A2006,2))&lt;60),GUS_tabl_2!$A$8:$B$464,GUS_tabl_21!$A$5:$B$4886),2,FALSE)))),TRIM(VLOOKUP(IF(AND(LEN($A2006)=4,VALUE(RIGHT($A2006,2))&gt;60),$A2006&amp;"01 1",$A2006),IF(AND(LEN($A2006)=4,VALUE(RIGHT($A2006,2))&lt;60),GUS_tabl_2!$A$8:$B$464,GUS_tabl_21!$A$5:$B$4886),2,FALSE)),LEFT(TRIM(VLOOKUP(IF(AND(LEN($A2006)=4,VALUE(RIGHT($A2006,2))&gt;60),$A2006&amp;"01 1",$A2006),IF(AND(LEN($A2006)=4,VALUE(RIGHT($A2006,2))&lt;60),GUS_tabl_2!$A$8:$B$464,GUS_tabl_21!$A$5:$B$4886),2,FALSE)),SUM(FIND("..",TRIM(VLOOKUP(IF(AND(LEN($A2006)=4,VALUE(RIGHT($A2006,2))&gt;60),$A2006&amp;"01 1",$A2006),IF(AND(LEN($A2006)=4,VALUE(RIGHT($A2006,2))&lt;60),GUS_tabl_2!$A$8:$B$464,GUS_tabl_21!$A$5:$B$4886),2,FALSE))),-1)))))</f>
        <v>gm. w. Cewice</v>
      </c>
      <c r="D2006" s="141">
        <f>IF(OR($A2006="",ISERROR(VALUE(LEFT($A2006,6)))),"",IF(LEN($A2006)=2,SUMIF($A2007:$A$2965,$A2006&amp;"??",$D2007:$D$2965),IF(AND(LEN($A2006)=4,VALUE(RIGHT($A2006,2))&lt;=60),SUMIF($A2007:$A$2965,$A2006&amp;"????",$D2007:$D$2965),VLOOKUP(IF(LEN($A2006)=4,$A2006&amp;"01 1",$A2006),GUS_tabl_21!$A$5:$F$4886,6,FALSE))))</f>
        <v>7577</v>
      </c>
      <c r="E2006" s="29"/>
    </row>
    <row r="2007" spans="1:5" ht="12" customHeight="1">
      <c r="A2007" s="155" t="str">
        <f>"220804 2"</f>
        <v>220804 2</v>
      </c>
      <c r="B2007" s="153" t="s">
        <v>33</v>
      </c>
      <c r="C2007" s="156" t="str">
        <f>IF(OR($A2007="",ISERROR(VALUE(LEFT($A2007,6)))),"",IF(LEN($A2007)=2,"WOJ. ",IF(LEN($A2007)=4,IF(VALUE(RIGHT($A2007,2))&gt;60,"","Powiat "),IF(VALUE(RIGHT($A2007,1))=1,"m. ",IF(VALUE(RIGHT($A2007,1))=2,"gm. w. ",IF(VALUE(RIGHT($A2007,1))=8,"dz. ","gm. m.-w. ")))))&amp;IF(LEN($A2007)=2,TRIM(UPPER(VLOOKUP($A2007,GUS_tabl_1!$A$7:$B$22,2,FALSE))),IF(ISERROR(FIND("..",TRIM(VLOOKUP(IF(AND(LEN($A2007)=4,VALUE(RIGHT($A2007,2))&gt;60),$A2007&amp;"01 1",$A2007),IF(AND(LEN($A2007)=4,VALUE(RIGHT($A2007,2))&lt;60),GUS_tabl_2!$A$8:$B$464,GUS_tabl_21!$A$5:$B$4886),2,FALSE)))),TRIM(VLOOKUP(IF(AND(LEN($A2007)=4,VALUE(RIGHT($A2007,2))&gt;60),$A2007&amp;"01 1",$A2007),IF(AND(LEN($A2007)=4,VALUE(RIGHT($A2007,2))&lt;60),GUS_tabl_2!$A$8:$B$464,GUS_tabl_21!$A$5:$B$4886),2,FALSE)),LEFT(TRIM(VLOOKUP(IF(AND(LEN($A2007)=4,VALUE(RIGHT($A2007,2))&gt;60),$A2007&amp;"01 1",$A2007),IF(AND(LEN($A2007)=4,VALUE(RIGHT($A2007,2))&lt;60),GUS_tabl_2!$A$8:$B$464,GUS_tabl_21!$A$5:$B$4886),2,FALSE)),SUM(FIND("..",TRIM(VLOOKUP(IF(AND(LEN($A2007)=4,VALUE(RIGHT($A2007,2))&gt;60),$A2007&amp;"01 1",$A2007),IF(AND(LEN($A2007)=4,VALUE(RIGHT($A2007,2))&lt;60),GUS_tabl_2!$A$8:$B$464,GUS_tabl_21!$A$5:$B$4886),2,FALSE))),-1)))))</f>
        <v>gm. w. Nowa Wieś Lęborska</v>
      </c>
      <c r="D2007" s="141">
        <f>IF(OR($A2007="",ISERROR(VALUE(LEFT($A2007,6)))),"",IF(LEN($A2007)=2,SUMIF($A2008:$A$2965,$A2007&amp;"??",$D2008:$D$2965),IF(AND(LEN($A2007)=4,VALUE(RIGHT($A2007,2))&lt;=60),SUMIF($A2008:$A$2965,$A2007&amp;"????",$D2008:$D$2965),VLOOKUP(IF(LEN($A2007)=4,$A2007&amp;"01 1",$A2007),GUS_tabl_21!$A$5:$F$4886,6,FALSE))))</f>
        <v>13645</v>
      </c>
      <c r="E2007" s="29"/>
    </row>
    <row r="2008" spans="1:5" ht="12" customHeight="1">
      <c r="A2008" s="155" t="str">
        <f>"220805 2"</f>
        <v>220805 2</v>
      </c>
      <c r="B2008" s="153" t="s">
        <v>33</v>
      </c>
      <c r="C2008" s="156" t="str">
        <f>IF(OR($A2008="",ISERROR(VALUE(LEFT($A2008,6)))),"",IF(LEN($A2008)=2,"WOJ. ",IF(LEN($A2008)=4,IF(VALUE(RIGHT($A2008,2))&gt;60,"","Powiat "),IF(VALUE(RIGHT($A2008,1))=1,"m. ",IF(VALUE(RIGHT($A2008,1))=2,"gm. w. ",IF(VALUE(RIGHT($A2008,1))=8,"dz. ","gm. m.-w. ")))))&amp;IF(LEN($A2008)=2,TRIM(UPPER(VLOOKUP($A2008,GUS_tabl_1!$A$7:$B$22,2,FALSE))),IF(ISERROR(FIND("..",TRIM(VLOOKUP(IF(AND(LEN($A2008)=4,VALUE(RIGHT($A2008,2))&gt;60),$A2008&amp;"01 1",$A2008),IF(AND(LEN($A2008)=4,VALUE(RIGHT($A2008,2))&lt;60),GUS_tabl_2!$A$8:$B$464,GUS_tabl_21!$A$5:$B$4886),2,FALSE)))),TRIM(VLOOKUP(IF(AND(LEN($A2008)=4,VALUE(RIGHT($A2008,2))&gt;60),$A2008&amp;"01 1",$A2008),IF(AND(LEN($A2008)=4,VALUE(RIGHT($A2008,2))&lt;60),GUS_tabl_2!$A$8:$B$464,GUS_tabl_21!$A$5:$B$4886),2,FALSE)),LEFT(TRIM(VLOOKUP(IF(AND(LEN($A2008)=4,VALUE(RIGHT($A2008,2))&gt;60),$A2008&amp;"01 1",$A2008),IF(AND(LEN($A2008)=4,VALUE(RIGHT($A2008,2))&lt;60),GUS_tabl_2!$A$8:$B$464,GUS_tabl_21!$A$5:$B$4886),2,FALSE)),SUM(FIND("..",TRIM(VLOOKUP(IF(AND(LEN($A2008)=4,VALUE(RIGHT($A2008,2))&gt;60),$A2008&amp;"01 1",$A2008),IF(AND(LEN($A2008)=4,VALUE(RIGHT($A2008,2))&lt;60),GUS_tabl_2!$A$8:$B$464,GUS_tabl_21!$A$5:$B$4886),2,FALSE))),-1)))))</f>
        <v>gm. w. Wicko</v>
      </c>
      <c r="D2008" s="141">
        <f>IF(OR($A2008="",ISERROR(VALUE(LEFT($A2008,6)))),"",IF(LEN($A2008)=2,SUMIF($A2009:$A$2965,$A2008&amp;"??",$D2009:$D$2965),IF(AND(LEN($A2008)=4,VALUE(RIGHT($A2008,2))&lt;=60),SUMIF($A2009:$A$2965,$A2008&amp;"????",$D2009:$D$2965),VLOOKUP(IF(LEN($A2008)=4,$A2008&amp;"01 1",$A2008),GUS_tabl_21!$A$5:$F$4886,6,FALSE))))</f>
        <v>6019</v>
      </c>
      <c r="E2008" s="29"/>
    </row>
    <row r="2009" spans="1:5" ht="12" customHeight="1">
      <c r="A2009" s="152" t="str">
        <f>"2209"</f>
        <v>2209</v>
      </c>
      <c r="B2009" s="153" t="s">
        <v>33</v>
      </c>
      <c r="C2009" s="154" t="str">
        <f>IF(OR($A2009="",ISERROR(VALUE(LEFT($A2009,6)))),"",IF(LEN($A2009)=2,"WOJ. ",IF(LEN($A2009)=4,IF(VALUE(RIGHT($A2009,2))&gt;60,"","Powiat "),IF(VALUE(RIGHT($A2009,1))=1,"m. ",IF(VALUE(RIGHT($A2009,1))=2,"gm. w. ",IF(VALUE(RIGHT($A2009,1))=8,"dz. ","gm. m.-w. ")))))&amp;IF(LEN($A2009)=2,TRIM(UPPER(VLOOKUP($A2009,GUS_tabl_1!$A$7:$B$22,2,FALSE))),IF(ISERROR(FIND("..",TRIM(VLOOKUP(IF(AND(LEN($A2009)=4,VALUE(RIGHT($A2009,2))&gt;60),$A2009&amp;"01 1",$A2009),IF(AND(LEN($A2009)=4,VALUE(RIGHT($A2009,2))&lt;60),GUS_tabl_2!$A$8:$B$464,GUS_tabl_21!$A$5:$B$4886),2,FALSE)))),TRIM(VLOOKUP(IF(AND(LEN($A2009)=4,VALUE(RIGHT($A2009,2))&gt;60),$A2009&amp;"01 1",$A2009),IF(AND(LEN($A2009)=4,VALUE(RIGHT($A2009,2))&lt;60),GUS_tabl_2!$A$8:$B$464,GUS_tabl_21!$A$5:$B$4886),2,FALSE)),LEFT(TRIM(VLOOKUP(IF(AND(LEN($A2009)=4,VALUE(RIGHT($A2009,2))&gt;60),$A2009&amp;"01 1",$A2009),IF(AND(LEN($A2009)=4,VALUE(RIGHT($A2009,2))&lt;60),GUS_tabl_2!$A$8:$B$464,GUS_tabl_21!$A$5:$B$4886),2,FALSE)),SUM(FIND("..",TRIM(VLOOKUP(IF(AND(LEN($A2009)=4,VALUE(RIGHT($A2009,2))&gt;60),$A2009&amp;"01 1",$A2009),IF(AND(LEN($A2009)=4,VALUE(RIGHT($A2009,2))&lt;60),GUS_tabl_2!$A$8:$B$464,GUS_tabl_21!$A$5:$B$4886),2,FALSE))),-1)))))</f>
        <v>Powiat malborski</v>
      </c>
      <c r="D2009" s="140">
        <f>IF(OR($A2009="",ISERROR(VALUE(LEFT($A2009,6)))),"",IF(LEN($A2009)=2,SUMIF($A2010:$A$2965,$A2009&amp;"??",$D2010:$D$2965),IF(AND(LEN($A2009)=4,VALUE(RIGHT($A2009,2))&lt;=60),SUMIF($A2010:$A$2965,$A2009&amp;"????",$D2010:$D$2965),VLOOKUP(IF(LEN($A2009)=4,$A2009&amp;"01 1",$A2009),GUS_tabl_21!$A$5:$F$4886,6,FALSE))))</f>
        <v>63470</v>
      </c>
      <c r="E2009" s="29"/>
    </row>
    <row r="2010" spans="1:5" ht="12" customHeight="1">
      <c r="A2010" s="155" t="str">
        <f>"220901 1"</f>
        <v>220901 1</v>
      </c>
      <c r="B2010" s="153" t="s">
        <v>33</v>
      </c>
      <c r="C2010" s="156" t="str">
        <f>IF(OR($A2010="",ISERROR(VALUE(LEFT($A2010,6)))),"",IF(LEN($A2010)=2,"WOJ. ",IF(LEN($A2010)=4,IF(VALUE(RIGHT($A2010,2))&gt;60,"","Powiat "),IF(VALUE(RIGHT($A2010,1))=1,"m. ",IF(VALUE(RIGHT($A2010,1))=2,"gm. w. ",IF(VALUE(RIGHT($A2010,1))=8,"dz. ","gm. m.-w. ")))))&amp;IF(LEN($A2010)=2,TRIM(UPPER(VLOOKUP($A2010,GUS_tabl_1!$A$7:$B$22,2,FALSE))),IF(ISERROR(FIND("..",TRIM(VLOOKUP(IF(AND(LEN($A2010)=4,VALUE(RIGHT($A2010,2))&gt;60),$A2010&amp;"01 1",$A2010),IF(AND(LEN($A2010)=4,VALUE(RIGHT($A2010,2))&lt;60),GUS_tabl_2!$A$8:$B$464,GUS_tabl_21!$A$5:$B$4886),2,FALSE)))),TRIM(VLOOKUP(IF(AND(LEN($A2010)=4,VALUE(RIGHT($A2010,2))&gt;60),$A2010&amp;"01 1",$A2010),IF(AND(LEN($A2010)=4,VALUE(RIGHT($A2010,2))&lt;60),GUS_tabl_2!$A$8:$B$464,GUS_tabl_21!$A$5:$B$4886),2,FALSE)),LEFT(TRIM(VLOOKUP(IF(AND(LEN($A2010)=4,VALUE(RIGHT($A2010,2))&gt;60),$A2010&amp;"01 1",$A2010),IF(AND(LEN($A2010)=4,VALUE(RIGHT($A2010,2))&lt;60),GUS_tabl_2!$A$8:$B$464,GUS_tabl_21!$A$5:$B$4886),2,FALSE)),SUM(FIND("..",TRIM(VLOOKUP(IF(AND(LEN($A2010)=4,VALUE(RIGHT($A2010,2))&gt;60),$A2010&amp;"01 1",$A2010),IF(AND(LEN($A2010)=4,VALUE(RIGHT($A2010,2))&lt;60),GUS_tabl_2!$A$8:$B$464,GUS_tabl_21!$A$5:$B$4886),2,FALSE))),-1)))))</f>
        <v>m. Malbork</v>
      </c>
      <c r="D2010" s="141">
        <f>IF(OR($A2010="",ISERROR(VALUE(LEFT($A2010,6)))),"",IF(LEN($A2010)=2,SUMIF($A2011:$A$2965,$A2010&amp;"??",$D2011:$D$2965),IF(AND(LEN($A2010)=4,VALUE(RIGHT($A2010,2))&lt;=60),SUMIF($A2011:$A$2965,$A2010&amp;"????",$D2011:$D$2965),VLOOKUP(IF(LEN($A2010)=4,$A2010&amp;"01 1",$A2010),GUS_tabl_21!$A$5:$F$4886,6,FALSE))))</f>
        <v>38345</v>
      </c>
      <c r="E2010" s="29"/>
    </row>
    <row r="2011" spans="1:5" ht="12" customHeight="1">
      <c r="A2011" s="155" t="str">
        <f>"220903 2"</f>
        <v>220903 2</v>
      </c>
      <c r="B2011" s="153" t="s">
        <v>33</v>
      </c>
      <c r="C2011" s="156" t="str">
        <f>IF(OR($A2011="",ISERROR(VALUE(LEFT($A2011,6)))),"",IF(LEN($A2011)=2,"WOJ. ",IF(LEN($A2011)=4,IF(VALUE(RIGHT($A2011,2))&gt;60,"","Powiat "),IF(VALUE(RIGHT($A2011,1))=1,"m. ",IF(VALUE(RIGHT($A2011,1))=2,"gm. w. ",IF(VALUE(RIGHT($A2011,1))=8,"dz. ","gm. m.-w. ")))))&amp;IF(LEN($A2011)=2,TRIM(UPPER(VLOOKUP($A2011,GUS_tabl_1!$A$7:$B$22,2,FALSE))),IF(ISERROR(FIND("..",TRIM(VLOOKUP(IF(AND(LEN($A2011)=4,VALUE(RIGHT($A2011,2))&gt;60),$A2011&amp;"01 1",$A2011),IF(AND(LEN($A2011)=4,VALUE(RIGHT($A2011,2))&lt;60),GUS_tabl_2!$A$8:$B$464,GUS_tabl_21!$A$5:$B$4886),2,FALSE)))),TRIM(VLOOKUP(IF(AND(LEN($A2011)=4,VALUE(RIGHT($A2011,2))&gt;60),$A2011&amp;"01 1",$A2011),IF(AND(LEN($A2011)=4,VALUE(RIGHT($A2011,2))&lt;60),GUS_tabl_2!$A$8:$B$464,GUS_tabl_21!$A$5:$B$4886),2,FALSE)),LEFT(TRIM(VLOOKUP(IF(AND(LEN($A2011)=4,VALUE(RIGHT($A2011,2))&gt;60),$A2011&amp;"01 1",$A2011),IF(AND(LEN($A2011)=4,VALUE(RIGHT($A2011,2))&lt;60),GUS_tabl_2!$A$8:$B$464,GUS_tabl_21!$A$5:$B$4886),2,FALSE)),SUM(FIND("..",TRIM(VLOOKUP(IF(AND(LEN($A2011)=4,VALUE(RIGHT($A2011,2))&gt;60),$A2011&amp;"01 1",$A2011),IF(AND(LEN($A2011)=4,VALUE(RIGHT($A2011,2))&lt;60),GUS_tabl_2!$A$8:$B$464,GUS_tabl_21!$A$5:$B$4886),2,FALSE))),-1)))))</f>
        <v>gm. w. Lichnowy</v>
      </c>
      <c r="D2011" s="141">
        <f>IF(OR($A2011="",ISERROR(VALUE(LEFT($A2011,6)))),"",IF(LEN($A2011)=2,SUMIF($A2012:$A$2965,$A2011&amp;"??",$D2012:$D$2965),IF(AND(LEN($A2011)=4,VALUE(RIGHT($A2011,2))&lt;=60),SUMIF($A2012:$A$2965,$A2011&amp;"????",$D2012:$D$2965),VLOOKUP(IF(LEN($A2011)=4,$A2011&amp;"01 1",$A2011),GUS_tabl_21!$A$5:$F$4886,6,FALSE))))</f>
        <v>4613</v>
      </c>
      <c r="E2011" s="29"/>
    </row>
    <row r="2012" spans="1:5" ht="12" customHeight="1">
      <c r="A2012" s="155" t="str">
        <f>"220904 2"</f>
        <v>220904 2</v>
      </c>
      <c r="B2012" s="153" t="s">
        <v>33</v>
      </c>
      <c r="C2012" s="156" t="str">
        <f>IF(OR($A2012="",ISERROR(VALUE(LEFT($A2012,6)))),"",IF(LEN($A2012)=2,"WOJ. ",IF(LEN($A2012)=4,IF(VALUE(RIGHT($A2012,2))&gt;60,"","Powiat "),IF(VALUE(RIGHT($A2012,1))=1,"m. ",IF(VALUE(RIGHT($A2012,1))=2,"gm. w. ",IF(VALUE(RIGHT($A2012,1))=8,"dz. ","gm. m.-w. ")))))&amp;IF(LEN($A2012)=2,TRIM(UPPER(VLOOKUP($A2012,GUS_tabl_1!$A$7:$B$22,2,FALSE))),IF(ISERROR(FIND("..",TRIM(VLOOKUP(IF(AND(LEN($A2012)=4,VALUE(RIGHT($A2012,2))&gt;60),$A2012&amp;"01 1",$A2012),IF(AND(LEN($A2012)=4,VALUE(RIGHT($A2012,2))&lt;60),GUS_tabl_2!$A$8:$B$464,GUS_tabl_21!$A$5:$B$4886),2,FALSE)))),TRIM(VLOOKUP(IF(AND(LEN($A2012)=4,VALUE(RIGHT($A2012,2))&gt;60),$A2012&amp;"01 1",$A2012),IF(AND(LEN($A2012)=4,VALUE(RIGHT($A2012,2))&lt;60),GUS_tabl_2!$A$8:$B$464,GUS_tabl_21!$A$5:$B$4886),2,FALSE)),LEFT(TRIM(VLOOKUP(IF(AND(LEN($A2012)=4,VALUE(RIGHT($A2012,2))&gt;60),$A2012&amp;"01 1",$A2012),IF(AND(LEN($A2012)=4,VALUE(RIGHT($A2012,2))&lt;60),GUS_tabl_2!$A$8:$B$464,GUS_tabl_21!$A$5:$B$4886),2,FALSE)),SUM(FIND("..",TRIM(VLOOKUP(IF(AND(LEN($A2012)=4,VALUE(RIGHT($A2012,2))&gt;60),$A2012&amp;"01 1",$A2012),IF(AND(LEN($A2012)=4,VALUE(RIGHT($A2012,2))&lt;60),GUS_tabl_2!$A$8:$B$464,GUS_tabl_21!$A$5:$B$4886),2,FALSE))),-1)))))</f>
        <v>gm. w. Malbork</v>
      </c>
      <c r="D2012" s="141">
        <f>IF(OR($A2012="",ISERROR(VALUE(LEFT($A2012,6)))),"",IF(LEN($A2012)=2,SUMIF($A2013:$A$2965,$A2012&amp;"??",$D2013:$D$2965),IF(AND(LEN($A2012)=4,VALUE(RIGHT($A2012,2))&lt;=60),SUMIF($A2013:$A$2965,$A2012&amp;"????",$D2013:$D$2965),VLOOKUP(IF(LEN($A2012)=4,$A2012&amp;"01 1",$A2012),GUS_tabl_21!$A$5:$F$4886,6,FALSE))))</f>
        <v>4831</v>
      </c>
      <c r="E2012" s="29"/>
    </row>
    <row r="2013" spans="1:5" ht="12" customHeight="1">
      <c r="A2013" s="155" t="str">
        <f>"220906 2"</f>
        <v>220906 2</v>
      </c>
      <c r="B2013" s="153" t="s">
        <v>33</v>
      </c>
      <c r="C2013" s="156" t="str">
        <f>IF(OR($A2013="",ISERROR(VALUE(LEFT($A2013,6)))),"",IF(LEN($A2013)=2,"WOJ. ",IF(LEN($A2013)=4,IF(VALUE(RIGHT($A2013,2))&gt;60,"","Powiat "),IF(VALUE(RIGHT($A2013,1))=1,"m. ",IF(VALUE(RIGHT($A2013,1))=2,"gm. w. ",IF(VALUE(RIGHT($A2013,1))=8,"dz. ","gm. m.-w. ")))))&amp;IF(LEN($A2013)=2,TRIM(UPPER(VLOOKUP($A2013,GUS_tabl_1!$A$7:$B$22,2,FALSE))),IF(ISERROR(FIND("..",TRIM(VLOOKUP(IF(AND(LEN($A2013)=4,VALUE(RIGHT($A2013,2))&gt;60),$A2013&amp;"01 1",$A2013),IF(AND(LEN($A2013)=4,VALUE(RIGHT($A2013,2))&lt;60),GUS_tabl_2!$A$8:$B$464,GUS_tabl_21!$A$5:$B$4886),2,FALSE)))),TRIM(VLOOKUP(IF(AND(LEN($A2013)=4,VALUE(RIGHT($A2013,2))&gt;60),$A2013&amp;"01 1",$A2013),IF(AND(LEN($A2013)=4,VALUE(RIGHT($A2013,2))&lt;60),GUS_tabl_2!$A$8:$B$464,GUS_tabl_21!$A$5:$B$4886),2,FALSE)),LEFT(TRIM(VLOOKUP(IF(AND(LEN($A2013)=4,VALUE(RIGHT($A2013,2))&gt;60),$A2013&amp;"01 1",$A2013),IF(AND(LEN($A2013)=4,VALUE(RIGHT($A2013,2))&lt;60),GUS_tabl_2!$A$8:$B$464,GUS_tabl_21!$A$5:$B$4886),2,FALSE)),SUM(FIND("..",TRIM(VLOOKUP(IF(AND(LEN($A2013)=4,VALUE(RIGHT($A2013,2))&gt;60),$A2013&amp;"01 1",$A2013),IF(AND(LEN($A2013)=4,VALUE(RIGHT($A2013,2))&lt;60),GUS_tabl_2!$A$8:$B$464,GUS_tabl_21!$A$5:$B$4886),2,FALSE))),-1)))))</f>
        <v>gm. w. Miłoradz</v>
      </c>
      <c r="D2013" s="141">
        <f>IF(OR($A2013="",ISERROR(VALUE(LEFT($A2013,6)))),"",IF(LEN($A2013)=2,SUMIF($A2014:$A$2965,$A2013&amp;"??",$D2014:$D$2965),IF(AND(LEN($A2013)=4,VALUE(RIGHT($A2013,2))&lt;=60),SUMIF($A2014:$A$2965,$A2013&amp;"????",$D2014:$D$2965),VLOOKUP(IF(LEN($A2013)=4,$A2013&amp;"01 1",$A2013),GUS_tabl_21!$A$5:$F$4886,6,FALSE))))</f>
        <v>3348</v>
      </c>
      <c r="E2013" s="29"/>
    </row>
    <row r="2014" spans="1:5" ht="12" customHeight="1">
      <c r="A2014" s="155" t="str">
        <f>"220907 3"</f>
        <v>220907 3</v>
      </c>
      <c r="B2014" s="153" t="s">
        <v>33</v>
      </c>
      <c r="C2014" s="156" t="str">
        <f>IF(OR($A2014="",ISERROR(VALUE(LEFT($A2014,6)))),"",IF(LEN($A2014)=2,"WOJ. ",IF(LEN($A2014)=4,IF(VALUE(RIGHT($A2014,2))&gt;60,"","Powiat "),IF(VALUE(RIGHT($A2014,1))=1,"m. ",IF(VALUE(RIGHT($A2014,1))=2,"gm. w. ",IF(VALUE(RIGHT($A2014,1))=8,"dz. ","gm. m.-w. ")))))&amp;IF(LEN($A2014)=2,TRIM(UPPER(VLOOKUP($A2014,GUS_tabl_1!$A$7:$B$22,2,FALSE))),IF(ISERROR(FIND("..",TRIM(VLOOKUP(IF(AND(LEN($A2014)=4,VALUE(RIGHT($A2014,2))&gt;60),$A2014&amp;"01 1",$A2014),IF(AND(LEN($A2014)=4,VALUE(RIGHT($A2014,2))&lt;60),GUS_tabl_2!$A$8:$B$464,GUS_tabl_21!$A$5:$B$4886),2,FALSE)))),TRIM(VLOOKUP(IF(AND(LEN($A2014)=4,VALUE(RIGHT($A2014,2))&gt;60),$A2014&amp;"01 1",$A2014),IF(AND(LEN($A2014)=4,VALUE(RIGHT($A2014,2))&lt;60),GUS_tabl_2!$A$8:$B$464,GUS_tabl_21!$A$5:$B$4886),2,FALSE)),LEFT(TRIM(VLOOKUP(IF(AND(LEN($A2014)=4,VALUE(RIGHT($A2014,2))&gt;60),$A2014&amp;"01 1",$A2014),IF(AND(LEN($A2014)=4,VALUE(RIGHT($A2014,2))&lt;60),GUS_tabl_2!$A$8:$B$464,GUS_tabl_21!$A$5:$B$4886),2,FALSE)),SUM(FIND("..",TRIM(VLOOKUP(IF(AND(LEN($A2014)=4,VALUE(RIGHT($A2014,2))&gt;60),$A2014&amp;"01 1",$A2014),IF(AND(LEN($A2014)=4,VALUE(RIGHT($A2014,2))&lt;60),GUS_tabl_2!$A$8:$B$464,GUS_tabl_21!$A$5:$B$4886),2,FALSE))),-1)))))</f>
        <v>gm. m.-w. Nowy Staw</v>
      </c>
      <c r="D2014" s="141">
        <f>IF(OR($A2014="",ISERROR(VALUE(LEFT($A2014,6)))),"",IF(LEN($A2014)=2,SUMIF($A2015:$A$2965,$A2014&amp;"??",$D2015:$D$2965),IF(AND(LEN($A2014)=4,VALUE(RIGHT($A2014,2))&lt;=60),SUMIF($A2015:$A$2965,$A2014&amp;"????",$D2015:$D$2965),VLOOKUP(IF(LEN($A2014)=4,$A2014&amp;"01 1",$A2014),GUS_tabl_21!$A$5:$F$4886,6,FALSE))))</f>
        <v>7637</v>
      </c>
      <c r="E2014" s="29"/>
    </row>
    <row r="2015" spans="1:5" ht="12" customHeight="1">
      <c r="A2015" s="155" t="str">
        <f>"220908 2"</f>
        <v>220908 2</v>
      </c>
      <c r="B2015" s="153" t="s">
        <v>33</v>
      </c>
      <c r="C2015" s="156" t="str">
        <f>IF(OR($A2015="",ISERROR(VALUE(LEFT($A2015,6)))),"",IF(LEN($A2015)=2,"WOJ. ",IF(LEN($A2015)=4,IF(VALUE(RIGHT($A2015,2))&gt;60,"","Powiat "),IF(VALUE(RIGHT($A2015,1))=1,"m. ",IF(VALUE(RIGHT($A2015,1))=2,"gm. w. ",IF(VALUE(RIGHT($A2015,1))=8,"dz. ","gm. m.-w. ")))))&amp;IF(LEN($A2015)=2,TRIM(UPPER(VLOOKUP($A2015,GUS_tabl_1!$A$7:$B$22,2,FALSE))),IF(ISERROR(FIND("..",TRIM(VLOOKUP(IF(AND(LEN($A2015)=4,VALUE(RIGHT($A2015,2))&gt;60),$A2015&amp;"01 1",$A2015),IF(AND(LEN($A2015)=4,VALUE(RIGHT($A2015,2))&lt;60),GUS_tabl_2!$A$8:$B$464,GUS_tabl_21!$A$5:$B$4886),2,FALSE)))),TRIM(VLOOKUP(IF(AND(LEN($A2015)=4,VALUE(RIGHT($A2015,2))&gt;60),$A2015&amp;"01 1",$A2015),IF(AND(LEN($A2015)=4,VALUE(RIGHT($A2015,2))&lt;60),GUS_tabl_2!$A$8:$B$464,GUS_tabl_21!$A$5:$B$4886),2,FALSE)),LEFT(TRIM(VLOOKUP(IF(AND(LEN($A2015)=4,VALUE(RIGHT($A2015,2))&gt;60),$A2015&amp;"01 1",$A2015),IF(AND(LEN($A2015)=4,VALUE(RIGHT($A2015,2))&lt;60),GUS_tabl_2!$A$8:$B$464,GUS_tabl_21!$A$5:$B$4886),2,FALSE)),SUM(FIND("..",TRIM(VLOOKUP(IF(AND(LEN($A2015)=4,VALUE(RIGHT($A2015,2))&gt;60),$A2015&amp;"01 1",$A2015),IF(AND(LEN($A2015)=4,VALUE(RIGHT($A2015,2))&lt;60),GUS_tabl_2!$A$8:$B$464,GUS_tabl_21!$A$5:$B$4886),2,FALSE))),-1)))))</f>
        <v>gm. w. Stare Pole</v>
      </c>
      <c r="D2015" s="141">
        <f>IF(OR($A2015="",ISERROR(VALUE(LEFT($A2015,6)))),"",IF(LEN($A2015)=2,SUMIF($A2016:$A$2965,$A2015&amp;"??",$D2016:$D$2965),IF(AND(LEN($A2015)=4,VALUE(RIGHT($A2015,2))&lt;=60),SUMIF($A2016:$A$2965,$A2015&amp;"????",$D2016:$D$2965),VLOOKUP(IF(LEN($A2015)=4,$A2015&amp;"01 1",$A2015),GUS_tabl_21!$A$5:$F$4886,6,FALSE))))</f>
        <v>4696</v>
      </c>
      <c r="E2015" s="29"/>
    </row>
    <row r="2016" spans="1:5" ht="12" customHeight="1">
      <c r="A2016" s="152" t="str">
        <f>"2210"</f>
        <v>2210</v>
      </c>
      <c r="B2016" s="153" t="s">
        <v>33</v>
      </c>
      <c r="C2016" s="154" t="str">
        <f>IF(OR($A2016="",ISERROR(VALUE(LEFT($A2016,6)))),"",IF(LEN($A2016)=2,"WOJ. ",IF(LEN($A2016)=4,IF(VALUE(RIGHT($A2016,2))&gt;60,"","Powiat "),IF(VALUE(RIGHT($A2016,1))=1,"m. ",IF(VALUE(RIGHT($A2016,1))=2,"gm. w. ",IF(VALUE(RIGHT($A2016,1))=8,"dz. ","gm. m.-w. ")))))&amp;IF(LEN($A2016)=2,TRIM(UPPER(VLOOKUP($A2016,GUS_tabl_1!$A$7:$B$22,2,FALSE))),IF(ISERROR(FIND("..",TRIM(VLOOKUP(IF(AND(LEN($A2016)=4,VALUE(RIGHT($A2016,2))&gt;60),$A2016&amp;"01 1",$A2016),IF(AND(LEN($A2016)=4,VALUE(RIGHT($A2016,2))&lt;60),GUS_tabl_2!$A$8:$B$464,GUS_tabl_21!$A$5:$B$4886),2,FALSE)))),TRIM(VLOOKUP(IF(AND(LEN($A2016)=4,VALUE(RIGHT($A2016,2))&gt;60),$A2016&amp;"01 1",$A2016),IF(AND(LEN($A2016)=4,VALUE(RIGHT($A2016,2))&lt;60),GUS_tabl_2!$A$8:$B$464,GUS_tabl_21!$A$5:$B$4886),2,FALSE)),LEFT(TRIM(VLOOKUP(IF(AND(LEN($A2016)=4,VALUE(RIGHT($A2016,2))&gt;60),$A2016&amp;"01 1",$A2016),IF(AND(LEN($A2016)=4,VALUE(RIGHT($A2016,2))&lt;60),GUS_tabl_2!$A$8:$B$464,GUS_tabl_21!$A$5:$B$4886),2,FALSE)),SUM(FIND("..",TRIM(VLOOKUP(IF(AND(LEN($A2016)=4,VALUE(RIGHT($A2016,2))&gt;60),$A2016&amp;"01 1",$A2016),IF(AND(LEN($A2016)=4,VALUE(RIGHT($A2016,2))&lt;60),GUS_tabl_2!$A$8:$B$464,GUS_tabl_21!$A$5:$B$4886),2,FALSE))),-1)))))</f>
        <v>Powiat nowodworski</v>
      </c>
      <c r="D2016" s="140">
        <f>IF(OR($A2016="",ISERROR(VALUE(LEFT($A2016,6)))),"",IF(LEN($A2016)=2,SUMIF($A2017:$A$2965,$A2016&amp;"??",$D2017:$D$2965),IF(AND(LEN($A2016)=4,VALUE(RIGHT($A2016,2))&lt;=60),SUMIF($A2017:$A$2965,$A2016&amp;"????",$D2017:$D$2965),VLOOKUP(IF(LEN($A2016)=4,$A2016&amp;"01 1",$A2016),GUS_tabl_21!$A$5:$F$4886,6,FALSE))))</f>
        <v>35580</v>
      </c>
      <c r="E2016" s="29"/>
    </row>
    <row r="2017" spans="1:5" ht="12" customHeight="1">
      <c r="A2017" s="155" t="str">
        <f>"221001 1"</f>
        <v>221001 1</v>
      </c>
      <c r="B2017" s="153" t="s">
        <v>33</v>
      </c>
      <c r="C2017" s="156" t="str">
        <f>IF(OR($A2017="",ISERROR(VALUE(LEFT($A2017,6)))),"",IF(LEN($A2017)=2,"WOJ. ",IF(LEN($A2017)=4,IF(VALUE(RIGHT($A2017,2))&gt;60,"","Powiat "),IF(VALUE(RIGHT($A2017,1))=1,"m. ",IF(VALUE(RIGHT($A2017,1))=2,"gm. w. ",IF(VALUE(RIGHT($A2017,1))=8,"dz. ","gm. m.-w. ")))))&amp;IF(LEN($A2017)=2,TRIM(UPPER(VLOOKUP($A2017,GUS_tabl_1!$A$7:$B$22,2,FALSE))),IF(ISERROR(FIND("..",TRIM(VLOOKUP(IF(AND(LEN($A2017)=4,VALUE(RIGHT($A2017,2))&gt;60),$A2017&amp;"01 1",$A2017),IF(AND(LEN($A2017)=4,VALUE(RIGHT($A2017,2))&lt;60),GUS_tabl_2!$A$8:$B$464,GUS_tabl_21!$A$5:$B$4886),2,FALSE)))),TRIM(VLOOKUP(IF(AND(LEN($A2017)=4,VALUE(RIGHT($A2017,2))&gt;60),$A2017&amp;"01 1",$A2017),IF(AND(LEN($A2017)=4,VALUE(RIGHT($A2017,2))&lt;60),GUS_tabl_2!$A$8:$B$464,GUS_tabl_21!$A$5:$B$4886),2,FALSE)),LEFT(TRIM(VLOOKUP(IF(AND(LEN($A2017)=4,VALUE(RIGHT($A2017,2))&gt;60),$A2017&amp;"01 1",$A2017),IF(AND(LEN($A2017)=4,VALUE(RIGHT($A2017,2))&lt;60),GUS_tabl_2!$A$8:$B$464,GUS_tabl_21!$A$5:$B$4886),2,FALSE)),SUM(FIND("..",TRIM(VLOOKUP(IF(AND(LEN($A2017)=4,VALUE(RIGHT($A2017,2))&gt;60),$A2017&amp;"01 1",$A2017),IF(AND(LEN($A2017)=4,VALUE(RIGHT($A2017,2))&lt;60),GUS_tabl_2!$A$8:$B$464,GUS_tabl_21!$A$5:$B$4886),2,FALSE))),-1)))))</f>
        <v>m. Krynica Morska</v>
      </c>
      <c r="D2017" s="141">
        <f>IF(OR($A2017="",ISERROR(VALUE(LEFT($A2017,6)))),"",IF(LEN($A2017)=2,SUMIF($A2018:$A$2965,$A2017&amp;"??",$D2018:$D$2965),IF(AND(LEN($A2017)=4,VALUE(RIGHT($A2017,2))&lt;=60),SUMIF($A2018:$A$2965,$A2017&amp;"????",$D2018:$D$2965),VLOOKUP(IF(LEN($A2017)=4,$A2017&amp;"01 1",$A2017),GUS_tabl_21!$A$5:$F$4886,6,FALSE))))</f>
        <v>1286</v>
      </c>
      <c r="E2017" s="29"/>
    </row>
    <row r="2018" spans="1:5" ht="12" customHeight="1">
      <c r="A2018" s="155" t="str">
        <f>"221002 3"</f>
        <v>221002 3</v>
      </c>
      <c r="B2018" s="153" t="s">
        <v>33</v>
      </c>
      <c r="C2018" s="156" t="str">
        <f>IF(OR($A2018="",ISERROR(VALUE(LEFT($A2018,6)))),"",IF(LEN($A2018)=2,"WOJ. ",IF(LEN($A2018)=4,IF(VALUE(RIGHT($A2018,2))&gt;60,"","Powiat "),IF(VALUE(RIGHT($A2018,1))=1,"m. ",IF(VALUE(RIGHT($A2018,1))=2,"gm. w. ",IF(VALUE(RIGHT($A2018,1))=8,"dz. ","gm. m.-w. ")))))&amp;IF(LEN($A2018)=2,TRIM(UPPER(VLOOKUP($A2018,GUS_tabl_1!$A$7:$B$22,2,FALSE))),IF(ISERROR(FIND("..",TRIM(VLOOKUP(IF(AND(LEN($A2018)=4,VALUE(RIGHT($A2018,2))&gt;60),$A2018&amp;"01 1",$A2018),IF(AND(LEN($A2018)=4,VALUE(RIGHT($A2018,2))&lt;60),GUS_tabl_2!$A$8:$B$464,GUS_tabl_21!$A$5:$B$4886),2,FALSE)))),TRIM(VLOOKUP(IF(AND(LEN($A2018)=4,VALUE(RIGHT($A2018,2))&gt;60),$A2018&amp;"01 1",$A2018),IF(AND(LEN($A2018)=4,VALUE(RIGHT($A2018,2))&lt;60),GUS_tabl_2!$A$8:$B$464,GUS_tabl_21!$A$5:$B$4886),2,FALSE)),LEFT(TRIM(VLOOKUP(IF(AND(LEN($A2018)=4,VALUE(RIGHT($A2018,2))&gt;60),$A2018&amp;"01 1",$A2018),IF(AND(LEN($A2018)=4,VALUE(RIGHT($A2018,2))&lt;60),GUS_tabl_2!$A$8:$B$464,GUS_tabl_21!$A$5:$B$4886),2,FALSE)),SUM(FIND("..",TRIM(VLOOKUP(IF(AND(LEN($A2018)=4,VALUE(RIGHT($A2018,2))&gt;60),$A2018&amp;"01 1",$A2018),IF(AND(LEN($A2018)=4,VALUE(RIGHT($A2018,2))&lt;60),GUS_tabl_2!$A$8:$B$464,GUS_tabl_21!$A$5:$B$4886),2,FALSE))),-1)))))</f>
        <v>gm. m.-w. Nowy Dwór Gdański</v>
      </c>
      <c r="D2018" s="141">
        <f>IF(OR($A2018="",ISERROR(VALUE(LEFT($A2018,6)))),"",IF(LEN($A2018)=2,SUMIF($A2019:$A$2965,$A2018&amp;"??",$D2019:$D$2965),IF(AND(LEN($A2018)=4,VALUE(RIGHT($A2018,2))&lt;=60),SUMIF($A2019:$A$2965,$A2018&amp;"????",$D2019:$D$2965),VLOOKUP(IF(LEN($A2018)=4,$A2018&amp;"01 1",$A2018),GUS_tabl_21!$A$5:$F$4886,6,FALSE))))</f>
        <v>17695</v>
      </c>
      <c r="E2018" s="29"/>
    </row>
    <row r="2019" spans="1:5" ht="12" customHeight="1">
      <c r="A2019" s="155" t="str">
        <f>"221003 2"</f>
        <v>221003 2</v>
      </c>
      <c r="B2019" s="153" t="s">
        <v>33</v>
      </c>
      <c r="C2019" s="156" t="str">
        <f>IF(OR($A2019="",ISERROR(VALUE(LEFT($A2019,6)))),"",IF(LEN($A2019)=2,"WOJ. ",IF(LEN($A2019)=4,IF(VALUE(RIGHT($A2019,2))&gt;60,"","Powiat "),IF(VALUE(RIGHT($A2019,1))=1,"m. ",IF(VALUE(RIGHT($A2019,1))=2,"gm. w. ",IF(VALUE(RIGHT($A2019,1))=8,"dz. ","gm. m.-w. ")))))&amp;IF(LEN($A2019)=2,TRIM(UPPER(VLOOKUP($A2019,GUS_tabl_1!$A$7:$B$22,2,FALSE))),IF(ISERROR(FIND("..",TRIM(VLOOKUP(IF(AND(LEN($A2019)=4,VALUE(RIGHT($A2019,2))&gt;60),$A2019&amp;"01 1",$A2019),IF(AND(LEN($A2019)=4,VALUE(RIGHT($A2019,2))&lt;60),GUS_tabl_2!$A$8:$B$464,GUS_tabl_21!$A$5:$B$4886),2,FALSE)))),TRIM(VLOOKUP(IF(AND(LEN($A2019)=4,VALUE(RIGHT($A2019,2))&gt;60),$A2019&amp;"01 1",$A2019),IF(AND(LEN($A2019)=4,VALUE(RIGHT($A2019,2))&lt;60),GUS_tabl_2!$A$8:$B$464,GUS_tabl_21!$A$5:$B$4886),2,FALSE)),LEFT(TRIM(VLOOKUP(IF(AND(LEN($A2019)=4,VALUE(RIGHT($A2019,2))&gt;60),$A2019&amp;"01 1",$A2019),IF(AND(LEN($A2019)=4,VALUE(RIGHT($A2019,2))&lt;60),GUS_tabl_2!$A$8:$B$464,GUS_tabl_21!$A$5:$B$4886),2,FALSE)),SUM(FIND("..",TRIM(VLOOKUP(IF(AND(LEN($A2019)=4,VALUE(RIGHT($A2019,2))&gt;60),$A2019&amp;"01 1",$A2019),IF(AND(LEN($A2019)=4,VALUE(RIGHT($A2019,2))&lt;60),GUS_tabl_2!$A$8:$B$464,GUS_tabl_21!$A$5:$B$4886),2,FALSE))),-1)))))</f>
        <v>gm. w. Ostaszewo</v>
      </c>
      <c r="D2019" s="141">
        <f>IF(OR($A2019="",ISERROR(VALUE(LEFT($A2019,6)))),"",IF(LEN($A2019)=2,SUMIF($A2020:$A$2965,$A2019&amp;"??",$D2020:$D$2965),IF(AND(LEN($A2019)=4,VALUE(RIGHT($A2019,2))&lt;=60),SUMIF($A2020:$A$2965,$A2019&amp;"????",$D2020:$D$2965),VLOOKUP(IF(LEN($A2019)=4,$A2019&amp;"01 1",$A2019),GUS_tabl_21!$A$5:$F$4886,6,FALSE))))</f>
        <v>3216</v>
      </c>
      <c r="E2019" s="29"/>
    </row>
    <row r="2020" spans="1:5" ht="12" customHeight="1">
      <c r="A2020" s="155" t="str">
        <f>"221004 2"</f>
        <v>221004 2</v>
      </c>
      <c r="B2020" s="153" t="s">
        <v>33</v>
      </c>
      <c r="C2020" s="156" t="str">
        <f>IF(OR($A2020="",ISERROR(VALUE(LEFT($A2020,6)))),"",IF(LEN($A2020)=2,"WOJ. ",IF(LEN($A2020)=4,IF(VALUE(RIGHT($A2020,2))&gt;60,"","Powiat "),IF(VALUE(RIGHT($A2020,1))=1,"m. ",IF(VALUE(RIGHT($A2020,1))=2,"gm. w. ",IF(VALUE(RIGHT($A2020,1))=8,"dz. ","gm. m.-w. ")))))&amp;IF(LEN($A2020)=2,TRIM(UPPER(VLOOKUP($A2020,GUS_tabl_1!$A$7:$B$22,2,FALSE))),IF(ISERROR(FIND("..",TRIM(VLOOKUP(IF(AND(LEN($A2020)=4,VALUE(RIGHT($A2020,2))&gt;60),$A2020&amp;"01 1",$A2020),IF(AND(LEN($A2020)=4,VALUE(RIGHT($A2020,2))&lt;60),GUS_tabl_2!$A$8:$B$464,GUS_tabl_21!$A$5:$B$4886),2,FALSE)))),TRIM(VLOOKUP(IF(AND(LEN($A2020)=4,VALUE(RIGHT($A2020,2))&gt;60),$A2020&amp;"01 1",$A2020),IF(AND(LEN($A2020)=4,VALUE(RIGHT($A2020,2))&lt;60),GUS_tabl_2!$A$8:$B$464,GUS_tabl_21!$A$5:$B$4886),2,FALSE)),LEFT(TRIM(VLOOKUP(IF(AND(LEN($A2020)=4,VALUE(RIGHT($A2020,2))&gt;60),$A2020&amp;"01 1",$A2020),IF(AND(LEN($A2020)=4,VALUE(RIGHT($A2020,2))&lt;60),GUS_tabl_2!$A$8:$B$464,GUS_tabl_21!$A$5:$B$4886),2,FALSE)),SUM(FIND("..",TRIM(VLOOKUP(IF(AND(LEN($A2020)=4,VALUE(RIGHT($A2020,2))&gt;60),$A2020&amp;"01 1",$A2020),IF(AND(LEN($A2020)=4,VALUE(RIGHT($A2020,2))&lt;60),GUS_tabl_2!$A$8:$B$464,GUS_tabl_21!$A$5:$B$4886),2,FALSE))),-1)))))</f>
        <v>gm. w. Stegna</v>
      </c>
      <c r="D2020" s="141">
        <f>IF(OR($A2020="",ISERROR(VALUE(LEFT($A2020,6)))),"",IF(LEN($A2020)=2,SUMIF($A2021:$A$2965,$A2020&amp;"??",$D2021:$D$2965),IF(AND(LEN($A2020)=4,VALUE(RIGHT($A2020,2))&lt;=60),SUMIF($A2021:$A$2965,$A2020&amp;"????",$D2021:$D$2965),VLOOKUP(IF(LEN($A2020)=4,$A2020&amp;"01 1",$A2020),GUS_tabl_21!$A$5:$F$4886,6,FALSE))))</f>
        <v>9749</v>
      </c>
      <c r="E2020" s="29"/>
    </row>
    <row r="2021" spans="1:5" ht="12" customHeight="1">
      <c r="A2021" s="155" t="str">
        <f>"221005 2"</f>
        <v>221005 2</v>
      </c>
      <c r="B2021" s="153" t="s">
        <v>33</v>
      </c>
      <c r="C2021" s="156" t="str">
        <f>IF(OR($A2021="",ISERROR(VALUE(LEFT($A2021,6)))),"",IF(LEN($A2021)=2,"WOJ. ",IF(LEN($A2021)=4,IF(VALUE(RIGHT($A2021,2))&gt;60,"","Powiat "),IF(VALUE(RIGHT($A2021,1))=1,"m. ",IF(VALUE(RIGHT($A2021,1))=2,"gm. w. ",IF(VALUE(RIGHT($A2021,1))=8,"dz. ","gm. m.-w. ")))))&amp;IF(LEN($A2021)=2,TRIM(UPPER(VLOOKUP($A2021,GUS_tabl_1!$A$7:$B$22,2,FALSE))),IF(ISERROR(FIND("..",TRIM(VLOOKUP(IF(AND(LEN($A2021)=4,VALUE(RIGHT($A2021,2))&gt;60),$A2021&amp;"01 1",$A2021),IF(AND(LEN($A2021)=4,VALUE(RIGHT($A2021,2))&lt;60),GUS_tabl_2!$A$8:$B$464,GUS_tabl_21!$A$5:$B$4886),2,FALSE)))),TRIM(VLOOKUP(IF(AND(LEN($A2021)=4,VALUE(RIGHT($A2021,2))&gt;60),$A2021&amp;"01 1",$A2021),IF(AND(LEN($A2021)=4,VALUE(RIGHT($A2021,2))&lt;60),GUS_tabl_2!$A$8:$B$464,GUS_tabl_21!$A$5:$B$4886),2,FALSE)),LEFT(TRIM(VLOOKUP(IF(AND(LEN($A2021)=4,VALUE(RIGHT($A2021,2))&gt;60),$A2021&amp;"01 1",$A2021),IF(AND(LEN($A2021)=4,VALUE(RIGHT($A2021,2))&lt;60),GUS_tabl_2!$A$8:$B$464,GUS_tabl_21!$A$5:$B$4886),2,FALSE)),SUM(FIND("..",TRIM(VLOOKUP(IF(AND(LEN($A2021)=4,VALUE(RIGHT($A2021,2))&gt;60),$A2021&amp;"01 1",$A2021),IF(AND(LEN($A2021)=4,VALUE(RIGHT($A2021,2))&lt;60),GUS_tabl_2!$A$8:$B$464,GUS_tabl_21!$A$5:$B$4886),2,FALSE))),-1)))))</f>
        <v>gm. w. Sztutowo</v>
      </c>
      <c r="D2021" s="141">
        <f>IF(OR($A2021="",ISERROR(VALUE(LEFT($A2021,6)))),"",IF(LEN($A2021)=2,SUMIF($A2022:$A$2965,$A2021&amp;"??",$D2022:$D$2965),IF(AND(LEN($A2021)=4,VALUE(RIGHT($A2021,2))&lt;=60),SUMIF($A2022:$A$2965,$A2021&amp;"????",$D2022:$D$2965),VLOOKUP(IF(LEN($A2021)=4,$A2021&amp;"01 1",$A2021),GUS_tabl_21!$A$5:$F$4886,6,FALSE))))</f>
        <v>3634</v>
      </c>
      <c r="E2021" s="29"/>
    </row>
    <row r="2022" spans="1:5" ht="12" customHeight="1">
      <c r="A2022" s="152" t="str">
        <f>"2211"</f>
        <v>2211</v>
      </c>
      <c r="B2022" s="153" t="s">
        <v>33</v>
      </c>
      <c r="C2022" s="154" t="str">
        <f>IF(OR($A2022="",ISERROR(VALUE(LEFT($A2022,6)))),"",IF(LEN($A2022)=2,"WOJ. ",IF(LEN($A2022)=4,IF(VALUE(RIGHT($A2022,2))&gt;60,"","Powiat "),IF(VALUE(RIGHT($A2022,1))=1,"m. ",IF(VALUE(RIGHT($A2022,1))=2,"gm. w. ",IF(VALUE(RIGHT($A2022,1))=8,"dz. ","gm. m.-w. ")))))&amp;IF(LEN($A2022)=2,TRIM(UPPER(VLOOKUP($A2022,GUS_tabl_1!$A$7:$B$22,2,FALSE))),IF(ISERROR(FIND("..",TRIM(VLOOKUP(IF(AND(LEN($A2022)=4,VALUE(RIGHT($A2022,2))&gt;60),$A2022&amp;"01 1",$A2022),IF(AND(LEN($A2022)=4,VALUE(RIGHT($A2022,2))&lt;60),GUS_tabl_2!$A$8:$B$464,GUS_tabl_21!$A$5:$B$4886),2,FALSE)))),TRIM(VLOOKUP(IF(AND(LEN($A2022)=4,VALUE(RIGHT($A2022,2))&gt;60),$A2022&amp;"01 1",$A2022),IF(AND(LEN($A2022)=4,VALUE(RIGHT($A2022,2))&lt;60),GUS_tabl_2!$A$8:$B$464,GUS_tabl_21!$A$5:$B$4886),2,FALSE)),LEFT(TRIM(VLOOKUP(IF(AND(LEN($A2022)=4,VALUE(RIGHT($A2022,2))&gt;60),$A2022&amp;"01 1",$A2022),IF(AND(LEN($A2022)=4,VALUE(RIGHT($A2022,2))&lt;60),GUS_tabl_2!$A$8:$B$464,GUS_tabl_21!$A$5:$B$4886),2,FALSE)),SUM(FIND("..",TRIM(VLOOKUP(IF(AND(LEN($A2022)=4,VALUE(RIGHT($A2022,2))&gt;60),$A2022&amp;"01 1",$A2022),IF(AND(LEN($A2022)=4,VALUE(RIGHT($A2022,2))&lt;60),GUS_tabl_2!$A$8:$B$464,GUS_tabl_21!$A$5:$B$4886),2,FALSE))),-1)))))</f>
        <v>Powiat pucki</v>
      </c>
      <c r="D2022" s="140">
        <f>IF(OR($A2022="",ISERROR(VALUE(LEFT($A2022,6)))),"",IF(LEN($A2022)=2,SUMIF($A2023:$A$2965,$A2022&amp;"??",$D2023:$D$2965),IF(AND(LEN($A2022)=4,VALUE(RIGHT($A2022,2))&lt;=60),SUMIF($A2023:$A$2965,$A2022&amp;"????",$D2023:$D$2965),VLOOKUP(IF(LEN($A2022)=4,$A2022&amp;"01 1",$A2022),GUS_tabl_21!$A$5:$F$4886,6,FALSE))))</f>
        <v>86684</v>
      </c>
      <c r="E2022" s="29"/>
    </row>
    <row r="2023" spans="1:5" ht="12" customHeight="1">
      <c r="A2023" s="155" t="str">
        <f>"221101 1"</f>
        <v>221101 1</v>
      </c>
      <c r="B2023" s="153" t="s">
        <v>33</v>
      </c>
      <c r="C2023" s="156" t="str">
        <f>IF(OR($A2023="",ISERROR(VALUE(LEFT($A2023,6)))),"",IF(LEN($A2023)=2,"WOJ. ",IF(LEN($A2023)=4,IF(VALUE(RIGHT($A2023,2))&gt;60,"","Powiat "),IF(VALUE(RIGHT($A2023,1))=1,"m. ",IF(VALUE(RIGHT($A2023,1))=2,"gm. w. ",IF(VALUE(RIGHT($A2023,1))=8,"dz. ","gm. m.-w. ")))))&amp;IF(LEN($A2023)=2,TRIM(UPPER(VLOOKUP($A2023,GUS_tabl_1!$A$7:$B$22,2,FALSE))),IF(ISERROR(FIND("..",TRIM(VLOOKUP(IF(AND(LEN($A2023)=4,VALUE(RIGHT($A2023,2))&gt;60),$A2023&amp;"01 1",$A2023),IF(AND(LEN($A2023)=4,VALUE(RIGHT($A2023,2))&lt;60),GUS_tabl_2!$A$8:$B$464,GUS_tabl_21!$A$5:$B$4886),2,FALSE)))),TRIM(VLOOKUP(IF(AND(LEN($A2023)=4,VALUE(RIGHT($A2023,2))&gt;60),$A2023&amp;"01 1",$A2023),IF(AND(LEN($A2023)=4,VALUE(RIGHT($A2023,2))&lt;60),GUS_tabl_2!$A$8:$B$464,GUS_tabl_21!$A$5:$B$4886),2,FALSE)),LEFT(TRIM(VLOOKUP(IF(AND(LEN($A2023)=4,VALUE(RIGHT($A2023,2))&gt;60),$A2023&amp;"01 1",$A2023),IF(AND(LEN($A2023)=4,VALUE(RIGHT($A2023,2))&lt;60),GUS_tabl_2!$A$8:$B$464,GUS_tabl_21!$A$5:$B$4886),2,FALSE)),SUM(FIND("..",TRIM(VLOOKUP(IF(AND(LEN($A2023)=4,VALUE(RIGHT($A2023,2))&gt;60),$A2023&amp;"01 1",$A2023),IF(AND(LEN($A2023)=4,VALUE(RIGHT($A2023,2))&lt;60),GUS_tabl_2!$A$8:$B$464,GUS_tabl_21!$A$5:$B$4886),2,FALSE))),-1)))))</f>
        <v>m. Hel (b)</v>
      </c>
      <c r="D2023" s="141">
        <f>IF(OR($A2023="",ISERROR(VALUE(LEFT($A2023,6)))),"",IF(LEN($A2023)=2,SUMIF($A2024:$A$2965,$A2023&amp;"??",$D2024:$D$2965),IF(AND(LEN($A2023)=4,VALUE(RIGHT($A2023,2))&lt;=60),SUMIF($A2024:$A$2965,$A2023&amp;"????",$D2024:$D$2965),VLOOKUP(IF(LEN($A2023)=4,$A2023&amp;"01 1",$A2023),GUS_tabl_21!$A$5:$F$4886,6,FALSE))))</f>
        <v>3261</v>
      </c>
      <c r="E2023" s="29"/>
    </row>
    <row r="2024" spans="1:5" ht="12" customHeight="1">
      <c r="A2024" s="155" t="str">
        <f>"221102 3"</f>
        <v>221102 3</v>
      </c>
      <c r="B2024" s="153" t="s">
        <v>33</v>
      </c>
      <c r="C2024" s="159" t="str">
        <f>IF(OR($A2024="",ISERROR(VALUE(LEFT($A2024,6)))),"",IF(LEN($A2024)=2,"WOJ. ",IF(LEN($A2024)=4,IF(VALUE(RIGHT($A2024,2))&gt;60,"","Powiat "),IF(VALUE(RIGHT($A2024,1))=1,"m. ",IF(VALUE(RIGHT($A2024,1))=2,"gm. w. ",IF(VALUE(RIGHT($A2024,1))=8,"dz. ","gm. m.-w. ")))))&amp;IF(LEN($A2024)=2,TRIM(UPPER(VLOOKUP($A2024,GUS_tabl_1!$A$7:$B$22,2,FALSE))),IF(ISERROR(FIND("..",TRIM(VLOOKUP(IF(AND(LEN($A2024)=4,VALUE(RIGHT($A2024,2))&gt;60),$A2024&amp;"01 1",$A2024),IF(AND(LEN($A2024)=4,VALUE(RIGHT($A2024,2))&lt;60),GUS_tabl_2!$A$8:$B$464,GUS_tabl_21!$A$5:$B$4886),2,FALSE)))),TRIM(VLOOKUP(IF(AND(LEN($A2024)=4,VALUE(RIGHT($A2024,2))&gt;60),$A2024&amp;"01 1",$A2024),IF(AND(LEN($A2024)=4,VALUE(RIGHT($A2024,2))&lt;60),GUS_tabl_2!$A$8:$B$464,GUS_tabl_21!$A$5:$B$4886),2,FALSE)),LEFT(TRIM(VLOOKUP(IF(AND(LEN($A2024)=4,VALUE(RIGHT($A2024,2))&gt;60),$A2024&amp;"01 1",$A2024),IF(AND(LEN($A2024)=4,VALUE(RIGHT($A2024,2))&lt;60),GUS_tabl_2!$A$8:$B$464,GUS_tabl_21!$A$5:$B$4886),2,FALSE)),SUM(FIND("..",TRIM(VLOOKUP(IF(AND(LEN($A2024)=4,VALUE(RIGHT($A2024,2))&gt;60),$A2024&amp;"01 1",$A2024),IF(AND(LEN($A2024)=4,VALUE(RIGHT($A2024,2))&lt;60),GUS_tabl_2!$A$8:$B$464,GUS_tabl_21!$A$5:$B$4886),2,FALSE))),-1)))))</f>
        <v>gm. m.-w. Jastarnia</v>
      </c>
      <c r="D2024" s="141">
        <f>IF(OR($A2024="",ISERROR(VALUE(LEFT($A2024,6)))),"",IF(LEN($A2024)=2,SUMIF($A2025:$A$2965,$A2024&amp;"??",$D2025:$D$2965),IF(AND(LEN($A2024)=4,VALUE(RIGHT($A2024,2))&lt;=60),SUMIF($A2025:$A$2965,$A2024&amp;"????",$D2025:$D$2965),VLOOKUP(IF(LEN($A2024)=4,$A2024&amp;"01 1",$A2024),GUS_tabl_21!$A$5:$F$4886,6,FALSE))))</f>
        <v>3690</v>
      </c>
      <c r="E2024" s="29"/>
    </row>
    <row r="2025" spans="1:5" ht="12" customHeight="1">
      <c r="A2025" s="155" t="str">
        <f>"221103 1"</f>
        <v>221103 1</v>
      </c>
      <c r="B2025" s="153" t="s">
        <v>33</v>
      </c>
      <c r="C2025" s="156" t="str">
        <f>IF(OR($A2025="",ISERROR(VALUE(LEFT($A2025,6)))),"",IF(LEN($A2025)=2,"WOJ. ",IF(LEN($A2025)=4,IF(VALUE(RIGHT($A2025,2))&gt;60,"","Powiat "),IF(VALUE(RIGHT($A2025,1))=1,"m. ",IF(VALUE(RIGHT($A2025,1))=2,"gm. w. ",IF(VALUE(RIGHT($A2025,1))=8,"dz. ","gm. m.-w. ")))))&amp;IF(LEN($A2025)=2,TRIM(UPPER(VLOOKUP($A2025,GUS_tabl_1!$A$7:$B$22,2,FALSE))),IF(ISERROR(FIND("..",TRIM(VLOOKUP(IF(AND(LEN($A2025)=4,VALUE(RIGHT($A2025,2))&gt;60),$A2025&amp;"01 1",$A2025),IF(AND(LEN($A2025)=4,VALUE(RIGHT($A2025,2))&lt;60),GUS_tabl_2!$A$8:$B$464,GUS_tabl_21!$A$5:$B$4886),2,FALSE)))),TRIM(VLOOKUP(IF(AND(LEN($A2025)=4,VALUE(RIGHT($A2025,2))&gt;60),$A2025&amp;"01 1",$A2025),IF(AND(LEN($A2025)=4,VALUE(RIGHT($A2025,2))&lt;60),GUS_tabl_2!$A$8:$B$464,GUS_tabl_21!$A$5:$B$4886),2,FALSE)),LEFT(TRIM(VLOOKUP(IF(AND(LEN($A2025)=4,VALUE(RIGHT($A2025,2))&gt;60),$A2025&amp;"01 1",$A2025),IF(AND(LEN($A2025)=4,VALUE(RIGHT($A2025,2))&lt;60),GUS_tabl_2!$A$8:$B$464,GUS_tabl_21!$A$5:$B$4886),2,FALSE)),SUM(FIND("..",TRIM(VLOOKUP(IF(AND(LEN($A2025)=4,VALUE(RIGHT($A2025,2))&gt;60),$A2025&amp;"01 1",$A2025),IF(AND(LEN($A2025)=4,VALUE(RIGHT($A2025,2))&lt;60),GUS_tabl_2!$A$8:$B$464,GUS_tabl_21!$A$5:$B$4886),2,FALSE))),-1)))))</f>
        <v>m. Puck</v>
      </c>
      <c r="D2025" s="141">
        <f>IF(OR($A2025="",ISERROR(VALUE(LEFT($A2025,6)))),"",IF(LEN($A2025)=2,SUMIF($A2026:$A$2965,$A2025&amp;"??",$D2026:$D$2965),IF(AND(LEN($A2025)=4,VALUE(RIGHT($A2025,2))&lt;=60),SUMIF($A2026:$A$2965,$A2025&amp;"????",$D2026:$D$2965),VLOOKUP(IF(LEN($A2025)=4,$A2025&amp;"01 1",$A2025),GUS_tabl_21!$A$5:$F$4886,6,FALSE))))</f>
        <v>11241</v>
      </c>
      <c r="E2025" s="29"/>
    </row>
    <row r="2026" spans="1:5" ht="12" customHeight="1">
      <c r="A2026" s="155" t="str">
        <f>"221104 3"</f>
        <v>221104 3</v>
      </c>
      <c r="B2026" s="153" t="s">
        <v>33</v>
      </c>
      <c r="C2026" s="159" t="str">
        <f>IF(OR($A2026="",ISERROR(VALUE(LEFT($A2026,6)))),"",IF(LEN($A2026)=2,"WOJ. ",IF(LEN($A2026)=4,IF(VALUE(RIGHT($A2026,2))&gt;60,"","Powiat "),IF(VALUE(RIGHT($A2026,1))=1,"m. ",IF(VALUE(RIGHT($A2026,1))=2,"gm. w. ",IF(VALUE(RIGHT($A2026,1))=8,"dz. ","gm. m.-w. ")))))&amp;IF(LEN($A2026)=2,TRIM(UPPER(VLOOKUP($A2026,GUS_tabl_1!$A$7:$B$22,2,FALSE))),IF(ISERROR(FIND("..",TRIM(VLOOKUP(IF(AND(LEN($A2026)=4,VALUE(RIGHT($A2026,2))&gt;60),$A2026&amp;"01 1",$A2026),IF(AND(LEN($A2026)=4,VALUE(RIGHT($A2026,2))&lt;60),GUS_tabl_2!$A$8:$B$464,GUS_tabl_21!$A$5:$B$4886),2,FALSE)))),TRIM(VLOOKUP(IF(AND(LEN($A2026)=4,VALUE(RIGHT($A2026,2))&gt;60),$A2026&amp;"01 1",$A2026),IF(AND(LEN($A2026)=4,VALUE(RIGHT($A2026,2))&lt;60),GUS_tabl_2!$A$8:$B$464,GUS_tabl_21!$A$5:$B$4886),2,FALSE)),LEFT(TRIM(VLOOKUP(IF(AND(LEN($A2026)=4,VALUE(RIGHT($A2026,2))&gt;60),$A2026&amp;"01 1",$A2026),IF(AND(LEN($A2026)=4,VALUE(RIGHT($A2026,2))&lt;60),GUS_tabl_2!$A$8:$B$464,GUS_tabl_21!$A$5:$B$4886),2,FALSE)),SUM(FIND("..",TRIM(VLOOKUP(IF(AND(LEN($A2026)=4,VALUE(RIGHT($A2026,2))&gt;60),$A2026&amp;"01 1",$A2026),IF(AND(LEN($A2026)=4,VALUE(RIGHT($A2026,2))&lt;60),GUS_tabl_2!$A$8:$B$464,GUS_tabl_21!$A$5:$B$4886),2,FALSE))),-1)))))</f>
        <v>gm. m.-w. Władysławowo</v>
      </c>
      <c r="D2026" s="141">
        <f>IF(OR($A2026="",ISERROR(VALUE(LEFT($A2026,6)))),"",IF(LEN($A2026)=2,SUMIF($A2027:$A$2965,$A2026&amp;"??",$D2027:$D$2965),IF(AND(LEN($A2026)=4,VALUE(RIGHT($A2026,2))&lt;=60),SUMIF($A2027:$A$2965,$A2026&amp;"????",$D2027:$D$2965),VLOOKUP(IF(LEN($A2026)=4,$A2026&amp;"01 1",$A2026),GUS_tabl_21!$A$5:$F$4886,6,FALSE))))</f>
        <v>15388</v>
      </c>
      <c r="E2026" s="29"/>
    </row>
    <row r="2027" spans="1:5" ht="12" customHeight="1">
      <c r="A2027" s="155" t="str">
        <f>"221105 2"</f>
        <v>221105 2</v>
      </c>
      <c r="B2027" s="153" t="s">
        <v>33</v>
      </c>
      <c r="C2027" s="156" t="str">
        <f>IF(OR($A2027="",ISERROR(VALUE(LEFT($A2027,6)))),"",IF(LEN($A2027)=2,"WOJ. ",IF(LEN($A2027)=4,IF(VALUE(RIGHT($A2027,2))&gt;60,"","Powiat "),IF(VALUE(RIGHT($A2027,1))=1,"m. ",IF(VALUE(RIGHT($A2027,1))=2,"gm. w. ",IF(VALUE(RIGHT($A2027,1))=8,"dz. ","gm. m.-w. ")))))&amp;IF(LEN($A2027)=2,TRIM(UPPER(VLOOKUP($A2027,GUS_tabl_1!$A$7:$B$22,2,FALSE))),IF(ISERROR(FIND("..",TRIM(VLOOKUP(IF(AND(LEN($A2027)=4,VALUE(RIGHT($A2027,2))&gt;60),$A2027&amp;"01 1",$A2027),IF(AND(LEN($A2027)=4,VALUE(RIGHT($A2027,2))&lt;60),GUS_tabl_2!$A$8:$B$464,GUS_tabl_21!$A$5:$B$4886),2,FALSE)))),TRIM(VLOOKUP(IF(AND(LEN($A2027)=4,VALUE(RIGHT($A2027,2))&gt;60),$A2027&amp;"01 1",$A2027),IF(AND(LEN($A2027)=4,VALUE(RIGHT($A2027,2))&lt;60),GUS_tabl_2!$A$8:$B$464,GUS_tabl_21!$A$5:$B$4886),2,FALSE)),LEFT(TRIM(VLOOKUP(IF(AND(LEN($A2027)=4,VALUE(RIGHT($A2027,2))&gt;60),$A2027&amp;"01 1",$A2027),IF(AND(LEN($A2027)=4,VALUE(RIGHT($A2027,2))&lt;60),GUS_tabl_2!$A$8:$B$464,GUS_tabl_21!$A$5:$B$4886),2,FALSE)),SUM(FIND("..",TRIM(VLOOKUP(IF(AND(LEN($A2027)=4,VALUE(RIGHT($A2027,2))&gt;60),$A2027&amp;"01 1",$A2027),IF(AND(LEN($A2027)=4,VALUE(RIGHT($A2027,2))&lt;60),GUS_tabl_2!$A$8:$B$464,GUS_tabl_21!$A$5:$B$4886),2,FALSE))),-1)))))</f>
        <v>gm. w. Kosakowo</v>
      </c>
      <c r="D2027" s="141">
        <f>IF(OR($A2027="",ISERROR(VALUE(LEFT($A2027,6)))),"",IF(LEN($A2027)=2,SUMIF($A2028:$A$2965,$A2027&amp;"??",$D2028:$D$2965),IF(AND(LEN($A2027)=4,VALUE(RIGHT($A2027,2))&lt;=60),SUMIF($A2028:$A$2965,$A2027&amp;"????",$D2028:$D$2965),VLOOKUP(IF(LEN($A2027)=4,$A2027&amp;"01 1",$A2027),GUS_tabl_21!$A$5:$F$4886,6,FALSE))))</f>
        <v>15589</v>
      </c>
      <c r="E2027" s="29"/>
    </row>
    <row r="2028" spans="1:5" ht="12" customHeight="1">
      <c r="A2028" s="155" t="str">
        <f>"221106 2"</f>
        <v>221106 2</v>
      </c>
      <c r="B2028" s="153" t="s">
        <v>33</v>
      </c>
      <c r="C2028" s="156" t="str">
        <f>IF(OR($A2028="",ISERROR(VALUE(LEFT($A2028,6)))),"",IF(LEN($A2028)=2,"WOJ. ",IF(LEN($A2028)=4,IF(VALUE(RIGHT($A2028,2))&gt;60,"","Powiat "),IF(VALUE(RIGHT($A2028,1))=1,"m. ",IF(VALUE(RIGHT($A2028,1))=2,"gm. w. ",IF(VALUE(RIGHT($A2028,1))=8,"dz. ","gm. m.-w. ")))))&amp;IF(LEN($A2028)=2,TRIM(UPPER(VLOOKUP($A2028,GUS_tabl_1!$A$7:$B$22,2,FALSE))),IF(ISERROR(FIND("..",TRIM(VLOOKUP(IF(AND(LEN($A2028)=4,VALUE(RIGHT($A2028,2))&gt;60),$A2028&amp;"01 1",$A2028),IF(AND(LEN($A2028)=4,VALUE(RIGHT($A2028,2))&lt;60),GUS_tabl_2!$A$8:$B$464,GUS_tabl_21!$A$5:$B$4886),2,FALSE)))),TRIM(VLOOKUP(IF(AND(LEN($A2028)=4,VALUE(RIGHT($A2028,2))&gt;60),$A2028&amp;"01 1",$A2028),IF(AND(LEN($A2028)=4,VALUE(RIGHT($A2028,2))&lt;60),GUS_tabl_2!$A$8:$B$464,GUS_tabl_21!$A$5:$B$4886),2,FALSE)),LEFT(TRIM(VLOOKUP(IF(AND(LEN($A2028)=4,VALUE(RIGHT($A2028,2))&gt;60),$A2028&amp;"01 1",$A2028),IF(AND(LEN($A2028)=4,VALUE(RIGHT($A2028,2))&lt;60),GUS_tabl_2!$A$8:$B$464,GUS_tabl_21!$A$5:$B$4886),2,FALSE)),SUM(FIND("..",TRIM(VLOOKUP(IF(AND(LEN($A2028)=4,VALUE(RIGHT($A2028,2))&gt;60),$A2028&amp;"01 1",$A2028),IF(AND(LEN($A2028)=4,VALUE(RIGHT($A2028,2))&lt;60),GUS_tabl_2!$A$8:$B$464,GUS_tabl_21!$A$5:$B$4886),2,FALSE))),-1)))))</f>
        <v>gm. w. Krokowa</v>
      </c>
      <c r="D2028" s="141">
        <f>IF(OR($A2028="",ISERROR(VALUE(LEFT($A2028,6)))),"",IF(LEN($A2028)=2,SUMIF($A2029:$A$2965,$A2028&amp;"??",$D2029:$D$2965),IF(AND(LEN($A2028)=4,VALUE(RIGHT($A2028,2))&lt;=60),SUMIF($A2029:$A$2965,$A2028&amp;"????",$D2029:$D$2965),VLOOKUP(IF(LEN($A2028)=4,$A2028&amp;"01 1",$A2028),GUS_tabl_21!$A$5:$F$4886,6,FALSE))))</f>
        <v>10816</v>
      </c>
      <c r="E2028" s="29"/>
    </row>
    <row r="2029" spans="1:5" ht="12" customHeight="1">
      <c r="A2029" s="155" t="str">
        <f>"221107 2"</f>
        <v>221107 2</v>
      </c>
      <c r="B2029" s="153" t="s">
        <v>33</v>
      </c>
      <c r="C2029" s="156" t="str">
        <f>IF(OR($A2029="",ISERROR(VALUE(LEFT($A2029,6)))),"",IF(LEN($A2029)=2,"WOJ. ",IF(LEN($A2029)=4,IF(VALUE(RIGHT($A2029,2))&gt;60,"","Powiat "),IF(VALUE(RIGHT($A2029,1))=1,"m. ",IF(VALUE(RIGHT($A2029,1))=2,"gm. w. ",IF(VALUE(RIGHT($A2029,1))=8,"dz. ","gm. m.-w. ")))))&amp;IF(LEN($A2029)=2,TRIM(UPPER(VLOOKUP($A2029,GUS_tabl_1!$A$7:$B$22,2,FALSE))),IF(ISERROR(FIND("..",TRIM(VLOOKUP(IF(AND(LEN($A2029)=4,VALUE(RIGHT($A2029,2))&gt;60),$A2029&amp;"01 1",$A2029),IF(AND(LEN($A2029)=4,VALUE(RIGHT($A2029,2))&lt;60),GUS_tabl_2!$A$8:$B$464,GUS_tabl_21!$A$5:$B$4886),2,FALSE)))),TRIM(VLOOKUP(IF(AND(LEN($A2029)=4,VALUE(RIGHT($A2029,2))&gt;60),$A2029&amp;"01 1",$A2029),IF(AND(LEN($A2029)=4,VALUE(RIGHT($A2029,2))&lt;60),GUS_tabl_2!$A$8:$B$464,GUS_tabl_21!$A$5:$B$4886),2,FALSE)),LEFT(TRIM(VLOOKUP(IF(AND(LEN($A2029)=4,VALUE(RIGHT($A2029,2))&gt;60),$A2029&amp;"01 1",$A2029),IF(AND(LEN($A2029)=4,VALUE(RIGHT($A2029,2))&lt;60),GUS_tabl_2!$A$8:$B$464,GUS_tabl_21!$A$5:$B$4886),2,FALSE)),SUM(FIND("..",TRIM(VLOOKUP(IF(AND(LEN($A2029)=4,VALUE(RIGHT($A2029,2))&gt;60),$A2029&amp;"01 1",$A2029),IF(AND(LEN($A2029)=4,VALUE(RIGHT($A2029,2))&lt;60),GUS_tabl_2!$A$8:$B$464,GUS_tabl_21!$A$5:$B$4886),2,FALSE))),-1)))))</f>
        <v>gm. w. Puck</v>
      </c>
      <c r="D2029" s="141">
        <f>IF(OR($A2029="",ISERROR(VALUE(LEFT($A2029,6)))),"",IF(LEN($A2029)=2,SUMIF($A2030:$A$2965,$A2029&amp;"??",$D2030:$D$2965),IF(AND(LEN($A2029)=4,VALUE(RIGHT($A2029,2))&lt;=60),SUMIF($A2030:$A$2965,$A2029&amp;"????",$D2030:$D$2965),VLOOKUP(IF(LEN($A2029)=4,$A2029&amp;"01 1",$A2029),GUS_tabl_21!$A$5:$F$4886,6,FALSE))))</f>
        <v>26699</v>
      </c>
      <c r="E2029" s="29"/>
    </row>
    <row r="2030" spans="1:5" ht="12" customHeight="1">
      <c r="A2030" s="152" t="str">
        <f>"2212"</f>
        <v>2212</v>
      </c>
      <c r="B2030" s="153" t="s">
        <v>33</v>
      </c>
      <c r="C2030" s="154" t="str">
        <f>IF(OR($A2030="",ISERROR(VALUE(LEFT($A2030,6)))),"",IF(LEN($A2030)=2,"WOJ. ",IF(LEN($A2030)=4,IF(VALUE(RIGHT($A2030,2))&gt;60,"","Powiat "),IF(VALUE(RIGHT($A2030,1))=1,"m. ",IF(VALUE(RIGHT($A2030,1))=2,"gm. w. ",IF(VALUE(RIGHT($A2030,1))=8,"dz. ","gm. m.-w. ")))))&amp;IF(LEN($A2030)=2,TRIM(UPPER(VLOOKUP($A2030,GUS_tabl_1!$A$7:$B$22,2,FALSE))),IF(ISERROR(FIND("..",TRIM(VLOOKUP(IF(AND(LEN($A2030)=4,VALUE(RIGHT($A2030,2))&gt;60),$A2030&amp;"01 1",$A2030),IF(AND(LEN($A2030)=4,VALUE(RIGHT($A2030,2))&lt;60),GUS_tabl_2!$A$8:$B$464,GUS_tabl_21!$A$5:$B$4886),2,FALSE)))),TRIM(VLOOKUP(IF(AND(LEN($A2030)=4,VALUE(RIGHT($A2030,2))&gt;60),$A2030&amp;"01 1",$A2030),IF(AND(LEN($A2030)=4,VALUE(RIGHT($A2030,2))&lt;60),GUS_tabl_2!$A$8:$B$464,GUS_tabl_21!$A$5:$B$4886),2,FALSE)),LEFT(TRIM(VLOOKUP(IF(AND(LEN($A2030)=4,VALUE(RIGHT($A2030,2))&gt;60),$A2030&amp;"01 1",$A2030),IF(AND(LEN($A2030)=4,VALUE(RIGHT($A2030,2))&lt;60),GUS_tabl_2!$A$8:$B$464,GUS_tabl_21!$A$5:$B$4886),2,FALSE)),SUM(FIND("..",TRIM(VLOOKUP(IF(AND(LEN($A2030)=4,VALUE(RIGHT($A2030,2))&gt;60),$A2030&amp;"01 1",$A2030),IF(AND(LEN($A2030)=4,VALUE(RIGHT($A2030,2))&lt;60),GUS_tabl_2!$A$8:$B$464,GUS_tabl_21!$A$5:$B$4886),2,FALSE))),-1)))))</f>
        <v>Powiat słupski</v>
      </c>
      <c r="D2030" s="140">
        <f>IF(OR($A2030="",ISERROR(VALUE(LEFT($A2030,6)))),"",IF(LEN($A2030)=2,SUMIF($A2031:$A$2965,$A2030&amp;"??",$D2031:$D$2965),IF(AND(LEN($A2030)=4,VALUE(RIGHT($A2030,2))&lt;=60),SUMIF($A2031:$A$2965,$A2030&amp;"????",$D2031:$D$2965),VLOOKUP(IF(LEN($A2030)=4,$A2030&amp;"01 1",$A2030),GUS_tabl_21!$A$5:$F$4886,6,FALSE))))</f>
        <v>98686</v>
      </c>
      <c r="E2030" s="29"/>
    </row>
    <row r="2031" spans="1:5" ht="12" customHeight="1">
      <c r="A2031" s="155" t="str">
        <f>"221201 1"</f>
        <v>221201 1</v>
      </c>
      <c r="B2031" s="153" t="s">
        <v>33</v>
      </c>
      <c r="C2031" s="156" t="str">
        <f>IF(OR($A2031="",ISERROR(VALUE(LEFT($A2031,6)))),"",IF(LEN($A2031)=2,"WOJ. ",IF(LEN($A2031)=4,IF(VALUE(RIGHT($A2031,2))&gt;60,"","Powiat "),IF(VALUE(RIGHT($A2031,1))=1,"m. ",IF(VALUE(RIGHT($A2031,1))=2,"gm. w. ",IF(VALUE(RIGHT($A2031,1))=8,"dz. ","gm. m.-w. ")))))&amp;IF(LEN($A2031)=2,TRIM(UPPER(VLOOKUP($A2031,GUS_tabl_1!$A$7:$B$22,2,FALSE))),IF(ISERROR(FIND("..",TRIM(VLOOKUP(IF(AND(LEN($A2031)=4,VALUE(RIGHT($A2031,2))&gt;60),$A2031&amp;"01 1",$A2031),IF(AND(LEN($A2031)=4,VALUE(RIGHT($A2031,2))&lt;60),GUS_tabl_2!$A$8:$B$464,GUS_tabl_21!$A$5:$B$4886),2,FALSE)))),TRIM(VLOOKUP(IF(AND(LEN($A2031)=4,VALUE(RIGHT($A2031,2))&gt;60),$A2031&amp;"01 1",$A2031),IF(AND(LEN($A2031)=4,VALUE(RIGHT($A2031,2))&lt;60),GUS_tabl_2!$A$8:$B$464,GUS_tabl_21!$A$5:$B$4886),2,FALSE)),LEFT(TRIM(VLOOKUP(IF(AND(LEN($A2031)=4,VALUE(RIGHT($A2031,2))&gt;60),$A2031&amp;"01 1",$A2031),IF(AND(LEN($A2031)=4,VALUE(RIGHT($A2031,2))&lt;60),GUS_tabl_2!$A$8:$B$464,GUS_tabl_21!$A$5:$B$4886),2,FALSE)),SUM(FIND("..",TRIM(VLOOKUP(IF(AND(LEN($A2031)=4,VALUE(RIGHT($A2031,2))&gt;60),$A2031&amp;"01 1",$A2031),IF(AND(LEN($A2031)=4,VALUE(RIGHT($A2031,2))&lt;60),GUS_tabl_2!$A$8:$B$464,GUS_tabl_21!$A$5:$B$4886),2,FALSE))),-1)))))</f>
        <v>m. Ustka (b)</v>
      </c>
      <c r="D2031" s="141">
        <f>IF(OR($A2031="",ISERROR(VALUE(LEFT($A2031,6)))),"",IF(LEN($A2031)=2,SUMIF($A2032:$A$2965,$A2031&amp;"??",$D2032:$D$2965),IF(AND(LEN($A2031)=4,VALUE(RIGHT($A2031,2))&lt;=60),SUMIF($A2032:$A$2965,$A2031&amp;"????",$D2032:$D$2965),VLOOKUP(IF(LEN($A2031)=4,$A2031&amp;"01 1",$A2031),GUS_tabl_21!$A$5:$F$4886,6,FALSE))))</f>
        <v>15367</v>
      </c>
      <c r="E2031" s="29"/>
    </row>
    <row r="2032" spans="1:5" ht="12" customHeight="1">
      <c r="A2032" s="155" t="str">
        <f>"221202 2"</f>
        <v>221202 2</v>
      </c>
      <c r="B2032" s="153" t="s">
        <v>33</v>
      </c>
      <c r="C2032" s="156" t="str">
        <f>IF(OR($A2032="",ISERROR(VALUE(LEFT($A2032,6)))),"",IF(LEN($A2032)=2,"WOJ. ",IF(LEN($A2032)=4,IF(VALUE(RIGHT($A2032,2))&gt;60,"","Powiat "),IF(VALUE(RIGHT($A2032,1))=1,"m. ",IF(VALUE(RIGHT($A2032,1))=2,"gm. w. ",IF(VALUE(RIGHT($A2032,1))=8,"dz. ","gm. m.-w. ")))))&amp;IF(LEN($A2032)=2,TRIM(UPPER(VLOOKUP($A2032,GUS_tabl_1!$A$7:$B$22,2,FALSE))),IF(ISERROR(FIND("..",TRIM(VLOOKUP(IF(AND(LEN($A2032)=4,VALUE(RIGHT($A2032,2))&gt;60),$A2032&amp;"01 1",$A2032),IF(AND(LEN($A2032)=4,VALUE(RIGHT($A2032,2))&lt;60),GUS_tabl_2!$A$8:$B$464,GUS_tabl_21!$A$5:$B$4886),2,FALSE)))),TRIM(VLOOKUP(IF(AND(LEN($A2032)=4,VALUE(RIGHT($A2032,2))&gt;60),$A2032&amp;"01 1",$A2032),IF(AND(LEN($A2032)=4,VALUE(RIGHT($A2032,2))&lt;60),GUS_tabl_2!$A$8:$B$464,GUS_tabl_21!$A$5:$B$4886),2,FALSE)),LEFT(TRIM(VLOOKUP(IF(AND(LEN($A2032)=4,VALUE(RIGHT($A2032,2))&gt;60),$A2032&amp;"01 1",$A2032),IF(AND(LEN($A2032)=4,VALUE(RIGHT($A2032,2))&lt;60),GUS_tabl_2!$A$8:$B$464,GUS_tabl_21!$A$5:$B$4886),2,FALSE)),SUM(FIND("..",TRIM(VLOOKUP(IF(AND(LEN($A2032)=4,VALUE(RIGHT($A2032,2))&gt;60),$A2032&amp;"01 1",$A2032),IF(AND(LEN($A2032)=4,VALUE(RIGHT($A2032,2))&lt;60),GUS_tabl_2!$A$8:$B$464,GUS_tabl_21!$A$5:$B$4886),2,FALSE))),-1)))))</f>
        <v>gm. w. Damnica</v>
      </c>
      <c r="D2032" s="141">
        <f>IF(OR($A2032="",ISERROR(VALUE(LEFT($A2032,6)))),"",IF(LEN($A2032)=2,SUMIF($A2033:$A$2965,$A2032&amp;"??",$D2033:$D$2965),IF(AND(LEN($A2032)=4,VALUE(RIGHT($A2032,2))&lt;=60),SUMIF($A2033:$A$2965,$A2032&amp;"????",$D2033:$D$2965),VLOOKUP(IF(LEN($A2032)=4,$A2032&amp;"01 1",$A2032),GUS_tabl_21!$A$5:$F$4886,6,FALSE))))</f>
        <v>6093</v>
      </c>
      <c r="E2032" s="29"/>
    </row>
    <row r="2033" spans="1:5" ht="12" customHeight="1">
      <c r="A2033" s="155" t="str">
        <f>"221203 2"</f>
        <v>221203 2</v>
      </c>
      <c r="B2033" s="153" t="s">
        <v>33</v>
      </c>
      <c r="C2033" s="156" t="str">
        <f>IF(OR($A2033="",ISERROR(VALUE(LEFT($A2033,6)))),"",IF(LEN($A2033)=2,"WOJ. ",IF(LEN($A2033)=4,IF(VALUE(RIGHT($A2033,2))&gt;60,"","Powiat "),IF(VALUE(RIGHT($A2033,1))=1,"m. ",IF(VALUE(RIGHT($A2033,1))=2,"gm. w. ",IF(VALUE(RIGHT($A2033,1))=8,"dz. ","gm. m.-w. ")))))&amp;IF(LEN($A2033)=2,TRIM(UPPER(VLOOKUP($A2033,GUS_tabl_1!$A$7:$B$22,2,FALSE))),IF(ISERROR(FIND("..",TRIM(VLOOKUP(IF(AND(LEN($A2033)=4,VALUE(RIGHT($A2033,2))&gt;60),$A2033&amp;"01 1",$A2033),IF(AND(LEN($A2033)=4,VALUE(RIGHT($A2033,2))&lt;60),GUS_tabl_2!$A$8:$B$464,GUS_tabl_21!$A$5:$B$4886),2,FALSE)))),TRIM(VLOOKUP(IF(AND(LEN($A2033)=4,VALUE(RIGHT($A2033,2))&gt;60),$A2033&amp;"01 1",$A2033),IF(AND(LEN($A2033)=4,VALUE(RIGHT($A2033,2))&lt;60),GUS_tabl_2!$A$8:$B$464,GUS_tabl_21!$A$5:$B$4886),2,FALSE)),LEFT(TRIM(VLOOKUP(IF(AND(LEN($A2033)=4,VALUE(RIGHT($A2033,2))&gt;60),$A2033&amp;"01 1",$A2033),IF(AND(LEN($A2033)=4,VALUE(RIGHT($A2033,2))&lt;60),GUS_tabl_2!$A$8:$B$464,GUS_tabl_21!$A$5:$B$4886),2,FALSE)),SUM(FIND("..",TRIM(VLOOKUP(IF(AND(LEN($A2033)=4,VALUE(RIGHT($A2033,2))&gt;60),$A2033&amp;"01 1",$A2033),IF(AND(LEN($A2033)=4,VALUE(RIGHT($A2033,2))&lt;60),GUS_tabl_2!$A$8:$B$464,GUS_tabl_21!$A$5:$B$4886),2,FALSE))),-1)))))</f>
        <v>gm. w. Dębnica Kaszubska</v>
      </c>
      <c r="D2033" s="141">
        <f>IF(OR($A2033="",ISERROR(VALUE(LEFT($A2033,6)))),"",IF(LEN($A2033)=2,SUMIF($A2034:$A$2965,$A2033&amp;"??",$D2034:$D$2965),IF(AND(LEN($A2033)=4,VALUE(RIGHT($A2033,2))&lt;=60),SUMIF($A2034:$A$2965,$A2033&amp;"????",$D2034:$D$2965),VLOOKUP(IF(LEN($A2033)=4,$A2033&amp;"01 1",$A2033),GUS_tabl_21!$A$5:$F$4886,6,FALSE))))</f>
        <v>9534</v>
      </c>
      <c r="E2033" s="29"/>
    </row>
    <row r="2034" spans="1:5" ht="12" customHeight="1">
      <c r="A2034" s="155" t="str">
        <f>"221204 2"</f>
        <v>221204 2</v>
      </c>
      <c r="B2034" s="153" t="s">
        <v>33</v>
      </c>
      <c r="C2034" s="156" t="str">
        <f>IF(OR($A2034="",ISERROR(VALUE(LEFT($A2034,6)))),"",IF(LEN($A2034)=2,"WOJ. ",IF(LEN($A2034)=4,IF(VALUE(RIGHT($A2034,2))&gt;60,"","Powiat "),IF(VALUE(RIGHT($A2034,1))=1,"m. ",IF(VALUE(RIGHT($A2034,1))=2,"gm. w. ",IF(VALUE(RIGHT($A2034,1))=8,"dz. ","gm. m.-w. ")))))&amp;IF(LEN($A2034)=2,TRIM(UPPER(VLOOKUP($A2034,GUS_tabl_1!$A$7:$B$22,2,FALSE))),IF(ISERROR(FIND("..",TRIM(VLOOKUP(IF(AND(LEN($A2034)=4,VALUE(RIGHT($A2034,2))&gt;60),$A2034&amp;"01 1",$A2034),IF(AND(LEN($A2034)=4,VALUE(RIGHT($A2034,2))&lt;60),GUS_tabl_2!$A$8:$B$464,GUS_tabl_21!$A$5:$B$4886),2,FALSE)))),TRIM(VLOOKUP(IF(AND(LEN($A2034)=4,VALUE(RIGHT($A2034,2))&gt;60),$A2034&amp;"01 1",$A2034),IF(AND(LEN($A2034)=4,VALUE(RIGHT($A2034,2))&lt;60),GUS_tabl_2!$A$8:$B$464,GUS_tabl_21!$A$5:$B$4886),2,FALSE)),LEFT(TRIM(VLOOKUP(IF(AND(LEN($A2034)=4,VALUE(RIGHT($A2034,2))&gt;60),$A2034&amp;"01 1",$A2034),IF(AND(LEN($A2034)=4,VALUE(RIGHT($A2034,2))&lt;60),GUS_tabl_2!$A$8:$B$464,GUS_tabl_21!$A$5:$B$4886),2,FALSE)),SUM(FIND("..",TRIM(VLOOKUP(IF(AND(LEN($A2034)=4,VALUE(RIGHT($A2034,2))&gt;60),$A2034&amp;"01 1",$A2034),IF(AND(LEN($A2034)=4,VALUE(RIGHT($A2034,2))&lt;60),GUS_tabl_2!$A$8:$B$464,GUS_tabl_21!$A$5:$B$4886),2,FALSE))),-1)))))</f>
        <v>gm. w. Główczyce</v>
      </c>
      <c r="D2034" s="141">
        <f>IF(OR($A2034="",ISERROR(VALUE(LEFT($A2034,6)))),"",IF(LEN($A2034)=2,SUMIF($A2035:$A$2965,$A2034&amp;"??",$D2035:$D$2965),IF(AND(LEN($A2034)=4,VALUE(RIGHT($A2034,2))&lt;=60),SUMIF($A2035:$A$2965,$A2034&amp;"????",$D2035:$D$2965),VLOOKUP(IF(LEN($A2034)=4,$A2034&amp;"01 1",$A2034),GUS_tabl_21!$A$5:$F$4886,6,FALSE))))</f>
        <v>8979</v>
      </c>
      <c r="E2034" s="29"/>
    </row>
    <row r="2035" spans="1:5" ht="12" customHeight="1">
      <c r="A2035" s="155" t="str">
        <f>"221205 3"</f>
        <v>221205 3</v>
      </c>
      <c r="B2035" s="153" t="s">
        <v>33</v>
      </c>
      <c r="C2035" s="156" t="str">
        <f>IF(OR($A2035="",ISERROR(VALUE(LEFT($A2035,6)))),"",IF(LEN($A2035)=2,"WOJ. ",IF(LEN($A2035)=4,IF(VALUE(RIGHT($A2035,2))&gt;60,"","Powiat "),IF(VALUE(RIGHT($A2035,1))=1,"m. ",IF(VALUE(RIGHT($A2035,1))=2,"gm. w. ",IF(VALUE(RIGHT($A2035,1))=8,"dz. ","gm. m.-w. ")))))&amp;IF(LEN($A2035)=2,TRIM(UPPER(VLOOKUP($A2035,GUS_tabl_1!$A$7:$B$22,2,FALSE))),IF(ISERROR(FIND("..",TRIM(VLOOKUP(IF(AND(LEN($A2035)=4,VALUE(RIGHT($A2035,2))&gt;60),$A2035&amp;"01 1",$A2035),IF(AND(LEN($A2035)=4,VALUE(RIGHT($A2035,2))&lt;60),GUS_tabl_2!$A$8:$B$464,GUS_tabl_21!$A$5:$B$4886),2,FALSE)))),TRIM(VLOOKUP(IF(AND(LEN($A2035)=4,VALUE(RIGHT($A2035,2))&gt;60),$A2035&amp;"01 1",$A2035),IF(AND(LEN($A2035)=4,VALUE(RIGHT($A2035,2))&lt;60),GUS_tabl_2!$A$8:$B$464,GUS_tabl_21!$A$5:$B$4886),2,FALSE)),LEFT(TRIM(VLOOKUP(IF(AND(LEN($A2035)=4,VALUE(RIGHT($A2035,2))&gt;60),$A2035&amp;"01 1",$A2035),IF(AND(LEN($A2035)=4,VALUE(RIGHT($A2035,2))&lt;60),GUS_tabl_2!$A$8:$B$464,GUS_tabl_21!$A$5:$B$4886),2,FALSE)),SUM(FIND("..",TRIM(VLOOKUP(IF(AND(LEN($A2035)=4,VALUE(RIGHT($A2035,2))&gt;60),$A2035&amp;"01 1",$A2035),IF(AND(LEN($A2035)=4,VALUE(RIGHT($A2035,2))&lt;60),GUS_tabl_2!$A$8:$B$464,GUS_tabl_21!$A$5:$B$4886),2,FALSE))),-1)))))</f>
        <v>gm. m.-w. Kępice</v>
      </c>
      <c r="D2035" s="141">
        <f>IF(OR($A2035="",ISERROR(VALUE(LEFT($A2035,6)))),"",IF(LEN($A2035)=2,SUMIF($A2036:$A$2965,$A2035&amp;"??",$D2036:$D$2965),IF(AND(LEN($A2035)=4,VALUE(RIGHT($A2035,2))&lt;=60),SUMIF($A2036:$A$2965,$A2035&amp;"????",$D2036:$D$2965),VLOOKUP(IF(LEN($A2035)=4,$A2035&amp;"01 1",$A2035),GUS_tabl_21!$A$5:$F$4886,6,FALSE))))</f>
        <v>9063</v>
      </c>
      <c r="E2035" s="29"/>
    </row>
    <row r="2036" spans="1:5" ht="12" customHeight="1">
      <c r="A2036" s="155" t="str">
        <f>"221206 2"</f>
        <v>221206 2</v>
      </c>
      <c r="B2036" s="153" t="s">
        <v>33</v>
      </c>
      <c r="C2036" s="156" t="str">
        <f>IF(OR($A2036="",ISERROR(VALUE(LEFT($A2036,6)))),"",IF(LEN($A2036)=2,"WOJ. ",IF(LEN($A2036)=4,IF(VALUE(RIGHT($A2036,2))&gt;60,"","Powiat "),IF(VALUE(RIGHT($A2036,1))=1,"m. ",IF(VALUE(RIGHT($A2036,1))=2,"gm. w. ",IF(VALUE(RIGHT($A2036,1))=8,"dz. ","gm. m.-w. ")))))&amp;IF(LEN($A2036)=2,TRIM(UPPER(VLOOKUP($A2036,GUS_tabl_1!$A$7:$B$22,2,FALSE))),IF(ISERROR(FIND("..",TRIM(VLOOKUP(IF(AND(LEN($A2036)=4,VALUE(RIGHT($A2036,2))&gt;60),$A2036&amp;"01 1",$A2036),IF(AND(LEN($A2036)=4,VALUE(RIGHT($A2036,2))&lt;60),GUS_tabl_2!$A$8:$B$464,GUS_tabl_21!$A$5:$B$4886),2,FALSE)))),TRIM(VLOOKUP(IF(AND(LEN($A2036)=4,VALUE(RIGHT($A2036,2))&gt;60),$A2036&amp;"01 1",$A2036),IF(AND(LEN($A2036)=4,VALUE(RIGHT($A2036,2))&lt;60),GUS_tabl_2!$A$8:$B$464,GUS_tabl_21!$A$5:$B$4886),2,FALSE)),LEFT(TRIM(VLOOKUP(IF(AND(LEN($A2036)=4,VALUE(RIGHT($A2036,2))&gt;60),$A2036&amp;"01 1",$A2036),IF(AND(LEN($A2036)=4,VALUE(RIGHT($A2036,2))&lt;60),GUS_tabl_2!$A$8:$B$464,GUS_tabl_21!$A$5:$B$4886),2,FALSE)),SUM(FIND("..",TRIM(VLOOKUP(IF(AND(LEN($A2036)=4,VALUE(RIGHT($A2036,2))&gt;60),$A2036&amp;"01 1",$A2036),IF(AND(LEN($A2036)=4,VALUE(RIGHT($A2036,2))&lt;60),GUS_tabl_2!$A$8:$B$464,GUS_tabl_21!$A$5:$B$4886),2,FALSE))),-1)))))</f>
        <v>gm. w. Kobylnica</v>
      </c>
      <c r="D2036" s="141">
        <f>IF(OR($A2036="",ISERROR(VALUE(LEFT($A2036,6)))),"",IF(LEN($A2036)=2,SUMIF($A2037:$A$2965,$A2036&amp;"??",$D2037:$D$2965),IF(AND(LEN($A2036)=4,VALUE(RIGHT($A2036,2))&lt;=60),SUMIF($A2037:$A$2965,$A2036&amp;"????",$D2037:$D$2965),VLOOKUP(IF(LEN($A2036)=4,$A2036&amp;"01 1",$A2036),GUS_tabl_21!$A$5:$F$4886,6,FALSE))))</f>
        <v>12848</v>
      </c>
      <c r="E2036" s="29"/>
    </row>
    <row r="2037" spans="1:5" ht="12" customHeight="1">
      <c r="A2037" s="155" t="str">
        <f>"221207 2"</f>
        <v>221207 2</v>
      </c>
      <c r="B2037" s="153" t="s">
        <v>33</v>
      </c>
      <c r="C2037" s="156" t="str">
        <f>IF(OR($A2037="",ISERROR(VALUE(LEFT($A2037,6)))),"",IF(LEN($A2037)=2,"WOJ. ",IF(LEN($A2037)=4,IF(VALUE(RIGHT($A2037,2))&gt;60,"","Powiat "),IF(VALUE(RIGHT($A2037,1))=1,"m. ",IF(VALUE(RIGHT($A2037,1))=2,"gm. w. ",IF(VALUE(RIGHT($A2037,1))=8,"dz. ","gm. m.-w. ")))))&amp;IF(LEN($A2037)=2,TRIM(UPPER(VLOOKUP($A2037,GUS_tabl_1!$A$7:$B$22,2,FALSE))),IF(ISERROR(FIND("..",TRIM(VLOOKUP(IF(AND(LEN($A2037)=4,VALUE(RIGHT($A2037,2))&gt;60),$A2037&amp;"01 1",$A2037),IF(AND(LEN($A2037)=4,VALUE(RIGHT($A2037,2))&lt;60),GUS_tabl_2!$A$8:$B$464,GUS_tabl_21!$A$5:$B$4886),2,FALSE)))),TRIM(VLOOKUP(IF(AND(LEN($A2037)=4,VALUE(RIGHT($A2037,2))&gt;60),$A2037&amp;"01 1",$A2037),IF(AND(LEN($A2037)=4,VALUE(RIGHT($A2037,2))&lt;60),GUS_tabl_2!$A$8:$B$464,GUS_tabl_21!$A$5:$B$4886),2,FALSE)),LEFT(TRIM(VLOOKUP(IF(AND(LEN($A2037)=4,VALUE(RIGHT($A2037,2))&gt;60),$A2037&amp;"01 1",$A2037),IF(AND(LEN($A2037)=4,VALUE(RIGHT($A2037,2))&lt;60),GUS_tabl_2!$A$8:$B$464,GUS_tabl_21!$A$5:$B$4886),2,FALSE)),SUM(FIND("..",TRIM(VLOOKUP(IF(AND(LEN($A2037)=4,VALUE(RIGHT($A2037,2))&gt;60),$A2037&amp;"01 1",$A2037),IF(AND(LEN($A2037)=4,VALUE(RIGHT($A2037,2))&lt;60),GUS_tabl_2!$A$8:$B$464,GUS_tabl_21!$A$5:$B$4886),2,FALSE))),-1)))))</f>
        <v>gm. w. Potęgowo</v>
      </c>
      <c r="D2037" s="141">
        <f>IF(OR($A2037="",ISERROR(VALUE(LEFT($A2037,6)))),"",IF(LEN($A2037)=2,SUMIF($A2038:$A$2965,$A2037&amp;"??",$D2038:$D$2965),IF(AND(LEN($A2037)=4,VALUE(RIGHT($A2037,2))&lt;=60),SUMIF($A2038:$A$2965,$A2037&amp;"????",$D2038:$D$2965),VLOOKUP(IF(LEN($A2037)=4,$A2037&amp;"01 1",$A2037),GUS_tabl_21!$A$5:$F$4886,6,FALSE))))</f>
        <v>6882</v>
      </c>
      <c r="E2037" s="29"/>
    </row>
    <row r="2038" spans="1:5" ht="12" customHeight="1">
      <c r="A2038" s="155" t="str">
        <f>"221208 2"</f>
        <v>221208 2</v>
      </c>
      <c r="B2038" s="153" t="s">
        <v>33</v>
      </c>
      <c r="C2038" s="156" t="str">
        <f>IF(OR($A2038="",ISERROR(VALUE(LEFT($A2038,6)))),"",IF(LEN($A2038)=2,"WOJ. ",IF(LEN($A2038)=4,IF(VALUE(RIGHT($A2038,2))&gt;60,"","Powiat "),IF(VALUE(RIGHT($A2038,1))=1,"m. ",IF(VALUE(RIGHT($A2038,1))=2,"gm. w. ",IF(VALUE(RIGHT($A2038,1))=8,"dz. ","gm. m.-w. ")))))&amp;IF(LEN($A2038)=2,TRIM(UPPER(VLOOKUP($A2038,GUS_tabl_1!$A$7:$B$22,2,FALSE))),IF(ISERROR(FIND("..",TRIM(VLOOKUP(IF(AND(LEN($A2038)=4,VALUE(RIGHT($A2038,2))&gt;60),$A2038&amp;"01 1",$A2038),IF(AND(LEN($A2038)=4,VALUE(RIGHT($A2038,2))&lt;60),GUS_tabl_2!$A$8:$B$464,GUS_tabl_21!$A$5:$B$4886),2,FALSE)))),TRIM(VLOOKUP(IF(AND(LEN($A2038)=4,VALUE(RIGHT($A2038,2))&gt;60),$A2038&amp;"01 1",$A2038),IF(AND(LEN($A2038)=4,VALUE(RIGHT($A2038,2))&lt;60),GUS_tabl_2!$A$8:$B$464,GUS_tabl_21!$A$5:$B$4886),2,FALSE)),LEFT(TRIM(VLOOKUP(IF(AND(LEN($A2038)=4,VALUE(RIGHT($A2038,2))&gt;60),$A2038&amp;"01 1",$A2038),IF(AND(LEN($A2038)=4,VALUE(RIGHT($A2038,2))&lt;60),GUS_tabl_2!$A$8:$B$464,GUS_tabl_21!$A$5:$B$4886),2,FALSE)),SUM(FIND("..",TRIM(VLOOKUP(IF(AND(LEN($A2038)=4,VALUE(RIGHT($A2038,2))&gt;60),$A2038&amp;"01 1",$A2038),IF(AND(LEN($A2038)=4,VALUE(RIGHT($A2038,2))&lt;60),GUS_tabl_2!$A$8:$B$464,GUS_tabl_21!$A$5:$B$4886),2,FALSE))),-1)))))</f>
        <v>gm. w. Słupsk</v>
      </c>
      <c r="D2038" s="141">
        <f>IF(OR($A2038="",ISERROR(VALUE(LEFT($A2038,6)))),"",IF(LEN($A2038)=2,SUMIF($A2039:$A$2965,$A2038&amp;"??",$D2039:$D$2965),IF(AND(LEN($A2038)=4,VALUE(RIGHT($A2038,2))&lt;=60),SUMIF($A2039:$A$2965,$A2038&amp;"????",$D2039:$D$2965),VLOOKUP(IF(LEN($A2038)=4,$A2038&amp;"01 1",$A2038),GUS_tabl_21!$A$5:$F$4886,6,FALSE))))</f>
        <v>18206</v>
      </c>
      <c r="E2038" s="29"/>
    </row>
    <row r="2039" spans="1:5" ht="12" customHeight="1">
      <c r="A2039" s="155" t="str">
        <f>"221209 2"</f>
        <v>221209 2</v>
      </c>
      <c r="B2039" s="153" t="s">
        <v>33</v>
      </c>
      <c r="C2039" s="156" t="str">
        <f>IF(OR($A2039="",ISERROR(VALUE(LEFT($A2039,6)))),"",IF(LEN($A2039)=2,"WOJ. ",IF(LEN($A2039)=4,IF(VALUE(RIGHT($A2039,2))&gt;60,"","Powiat "),IF(VALUE(RIGHT($A2039,1))=1,"m. ",IF(VALUE(RIGHT($A2039,1))=2,"gm. w. ",IF(VALUE(RIGHT($A2039,1))=8,"dz. ","gm. m.-w. ")))))&amp;IF(LEN($A2039)=2,TRIM(UPPER(VLOOKUP($A2039,GUS_tabl_1!$A$7:$B$22,2,FALSE))),IF(ISERROR(FIND("..",TRIM(VLOOKUP(IF(AND(LEN($A2039)=4,VALUE(RIGHT($A2039,2))&gt;60),$A2039&amp;"01 1",$A2039),IF(AND(LEN($A2039)=4,VALUE(RIGHT($A2039,2))&lt;60),GUS_tabl_2!$A$8:$B$464,GUS_tabl_21!$A$5:$B$4886),2,FALSE)))),TRIM(VLOOKUP(IF(AND(LEN($A2039)=4,VALUE(RIGHT($A2039,2))&gt;60),$A2039&amp;"01 1",$A2039),IF(AND(LEN($A2039)=4,VALUE(RIGHT($A2039,2))&lt;60),GUS_tabl_2!$A$8:$B$464,GUS_tabl_21!$A$5:$B$4886),2,FALSE)),LEFT(TRIM(VLOOKUP(IF(AND(LEN($A2039)=4,VALUE(RIGHT($A2039,2))&gt;60),$A2039&amp;"01 1",$A2039),IF(AND(LEN($A2039)=4,VALUE(RIGHT($A2039,2))&lt;60),GUS_tabl_2!$A$8:$B$464,GUS_tabl_21!$A$5:$B$4886),2,FALSE)),SUM(FIND("..",TRIM(VLOOKUP(IF(AND(LEN($A2039)=4,VALUE(RIGHT($A2039,2))&gt;60),$A2039&amp;"01 1",$A2039),IF(AND(LEN($A2039)=4,VALUE(RIGHT($A2039,2))&lt;60),GUS_tabl_2!$A$8:$B$464,GUS_tabl_21!$A$5:$B$4886),2,FALSE))),-1)))))</f>
        <v>gm. w. Smołdzino</v>
      </c>
      <c r="D2039" s="141">
        <f>IF(OR($A2039="",ISERROR(VALUE(LEFT($A2039,6)))),"",IF(LEN($A2039)=2,SUMIF($A2040:$A$2965,$A2039&amp;"??",$D2040:$D$2965),IF(AND(LEN($A2039)=4,VALUE(RIGHT($A2039,2))&lt;=60),SUMIF($A2040:$A$2965,$A2039&amp;"????",$D2040:$D$2965),VLOOKUP(IF(LEN($A2039)=4,$A2039&amp;"01 1",$A2039),GUS_tabl_21!$A$5:$F$4886,6,FALSE))))</f>
        <v>3375</v>
      </c>
      <c r="E2039" s="29"/>
    </row>
    <row r="2040" spans="1:5" ht="12" customHeight="1">
      <c r="A2040" s="155" t="str">
        <f>"221210 2"</f>
        <v>221210 2</v>
      </c>
      <c r="B2040" s="153" t="s">
        <v>33</v>
      </c>
      <c r="C2040" s="156" t="str">
        <f>IF(OR($A2040="",ISERROR(VALUE(LEFT($A2040,6)))),"",IF(LEN($A2040)=2,"WOJ. ",IF(LEN($A2040)=4,IF(VALUE(RIGHT($A2040,2))&gt;60,"","Powiat "),IF(VALUE(RIGHT($A2040,1))=1,"m. ",IF(VALUE(RIGHT($A2040,1))=2,"gm. w. ",IF(VALUE(RIGHT($A2040,1))=8,"dz. ","gm. m.-w. ")))))&amp;IF(LEN($A2040)=2,TRIM(UPPER(VLOOKUP($A2040,GUS_tabl_1!$A$7:$B$22,2,FALSE))),IF(ISERROR(FIND("..",TRIM(VLOOKUP(IF(AND(LEN($A2040)=4,VALUE(RIGHT($A2040,2))&gt;60),$A2040&amp;"01 1",$A2040),IF(AND(LEN($A2040)=4,VALUE(RIGHT($A2040,2))&lt;60),GUS_tabl_2!$A$8:$B$464,GUS_tabl_21!$A$5:$B$4886),2,FALSE)))),TRIM(VLOOKUP(IF(AND(LEN($A2040)=4,VALUE(RIGHT($A2040,2))&gt;60),$A2040&amp;"01 1",$A2040),IF(AND(LEN($A2040)=4,VALUE(RIGHT($A2040,2))&lt;60),GUS_tabl_2!$A$8:$B$464,GUS_tabl_21!$A$5:$B$4886),2,FALSE)),LEFT(TRIM(VLOOKUP(IF(AND(LEN($A2040)=4,VALUE(RIGHT($A2040,2))&gt;60),$A2040&amp;"01 1",$A2040),IF(AND(LEN($A2040)=4,VALUE(RIGHT($A2040,2))&lt;60),GUS_tabl_2!$A$8:$B$464,GUS_tabl_21!$A$5:$B$4886),2,FALSE)),SUM(FIND("..",TRIM(VLOOKUP(IF(AND(LEN($A2040)=4,VALUE(RIGHT($A2040,2))&gt;60),$A2040&amp;"01 1",$A2040),IF(AND(LEN($A2040)=4,VALUE(RIGHT($A2040,2))&lt;60),GUS_tabl_2!$A$8:$B$464,GUS_tabl_21!$A$5:$B$4886),2,FALSE))),-1)))))</f>
        <v>gm. w. Ustka</v>
      </c>
      <c r="D2040" s="141">
        <f>IF(OR($A2040="",ISERROR(VALUE(LEFT($A2040,6)))),"",IF(LEN($A2040)=2,SUMIF($A2041:$A$2965,$A2040&amp;"??",$D2041:$D$2965),IF(AND(LEN($A2040)=4,VALUE(RIGHT($A2040,2))&lt;=60),SUMIF($A2041:$A$2965,$A2040&amp;"????",$D2041:$D$2965),VLOOKUP(IF(LEN($A2040)=4,$A2040&amp;"01 1",$A2040),GUS_tabl_21!$A$5:$F$4886,6,FALSE))))</f>
        <v>8339</v>
      </c>
      <c r="E2040" s="29"/>
    </row>
    <row r="2041" spans="1:5" ht="12" customHeight="1">
      <c r="A2041" s="152" t="str">
        <f>"2213"</f>
        <v>2213</v>
      </c>
      <c r="B2041" s="153" t="s">
        <v>33</v>
      </c>
      <c r="C2041" s="154" t="str">
        <f>IF(OR($A2041="",ISERROR(VALUE(LEFT($A2041,6)))),"",IF(LEN($A2041)=2,"WOJ. ",IF(LEN($A2041)=4,IF(VALUE(RIGHT($A2041,2))&gt;60,"","Powiat "),IF(VALUE(RIGHT($A2041,1))=1,"m. ",IF(VALUE(RIGHT($A2041,1))=2,"gm. w. ",IF(VALUE(RIGHT($A2041,1))=8,"dz. ","gm. m.-w. ")))))&amp;IF(LEN($A2041)=2,TRIM(UPPER(VLOOKUP($A2041,GUS_tabl_1!$A$7:$B$22,2,FALSE))),IF(ISERROR(FIND("..",TRIM(VLOOKUP(IF(AND(LEN($A2041)=4,VALUE(RIGHT($A2041,2))&gt;60),$A2041&amp;"01 1",$A2041),IF(AND(LEN($A2041)=4,VALUE(RIGHT($A2041,2))&lt;60),GUS_tabl_2!$A$8:$B$464,GUS_tabl_21!$A$5:$B$4886),2,FALSE)))),TRIM(VLOOKUP(IF(AND(LEN($A2041)=4,VALUE(RIGHT($A2041,2))&gt;60),$A2041&amp;"01 1",$A2041),IF(AND(LEN($A2041)=4,VALUE(RIGHT($A2041,2))&lt;60),GUS_tabl_2!$A$8:$B$464,GUS_tabl_21!$A$5:$B$4886),2,FALSE)),LEFT(TRIM(VLOOKUP(IF(AND(LEN($A2041)=4,VALUE(RIGHT($A2041,2))&gt;60),$A2041&amp;"01 1",$A2041),IF(AND(LEN($A2041)=4,VALUE(RIGHT($A2041,2))&lt;60),GUS_tabl_2!$A$8:$B$464,GUS_tabl_21!$A$5:$B$4886),2,FALSE)),SUM(FIND("..",TRIM(VLOOKUP(IF(AND(LEN($A2041)=4,VALUE(RIGHT($A2041,2))&gt;60),$A2041&amp;"01 1",$A2041),IF(AND(LEN($A2041)=4,VALUE(RIGHT($A2041,2))&lt;60),GUS_tabl_2!$A$8:$B$464,GUS_tabl_21!$A$5:$B$4886),2,FALSE))),-1)))))</f>
        <v>Powiat starogardzki</v>
      </c>
      <c r="D2041" s="140">
        <f>IF(OR($A2041="",ISERROR(VALUE(LEFT($A2041,6)))),"",IF(LEN($A2041)=2,SUMIF($A2042:$A$2965,$A2041&amp;"??",$D2042:$D$2965),IF(AND(LEN($A2041)=4,VALUE(RIGHT($A2041,2))&lt;=60),SUMIF($A2042:$A$2965,$A2041&amp;"????",$D2042:$D$2965),VLOOKUP(IF(LEN($A2041)=4,$A2041&amp;"01 1",$A2041),GUS_tabl_21!$A$5:$F$4886,6,FALSE))))</f>
        <v>128186</v>
      </c>
      <c r="E2041" s="29"/>
    </row>
    <row r="2042" spans="1:5" ht="12" customHeight="1">
      <c r="A2042" s="155" t="str">
        <f>"221301 3"</f>
        <v>221301 3</v>
      </c>
      <c r="B2042" s="153" t="s">
        <v>33</v>
      </c>
      <c r="C2042" s="159" t="str">
        <f>IF(OR($A2042="",ISERROR(VALUE(LEFT($A2042,6)))),"",IF(LEN($A2042)=2,"WOJ. ",IF(LEN($A2042)=4,IF(VALUE(RIGHT($A2042,2))&gt;60,"","Powiat "),IF(VALUE(RIGHT($A2042,1))=1,"m. ",IF(VALUE(RIGHT($A2042,1))=2,"gm. w. ",IF(VALUE(RIGHT($A2042,1))=8,"dz. ","gm. m.-w. ")))))&amp;IF(LEN($A2042)=2,TRIM(UPPER(VLOOKUP($A2042,GUS_tabl_1!$A$7:$B$22,2,FALSE))),IF(ISERROR(FIND("..",TRIM(VLOOKUP(IF(AND(LEN($A2042)=4,VALUE(RIGHT($A2042,2))&gt;60),$A2042&amp;"01 1",$A2042),IF(AND(LEN($A2042)=4,VALUE(RIGHT($A2042,2))&lt;60),GUS_tabl_2!$A$8:$B$464,GUS_tabl_21!$A$5:$B$4886),2,FALSE)))),TRIM(VLOOKUP(IF(AND(LEN($A2042)=4,VALUE(RIGHT($A2042,2))&gt;60),$A2042&amp;"01 1",$A2042),IF(AND(LEN($A2042)=4,VALUE(RIGHT($A2042,2))&lt;60),GUS_tabl_2!$A$8:$B$464,GUS_tabl_21!$A$5:$B$4886),2,FALSE)),LEFT(TRIM(VLOOKUP(IF(AND(LEN($A2042)=4,VALUE(RIGHT($A2042,2))&gt;60),$A2042&amp;"01 1",$A2042),IF(AND(LEN($A2042)=4,VALUE(RIGHT($A2042,2))&lt;60),GUS_tabl_2!$A$8:$B$464,GUS_tabl_21!$A$5:$B$4886),2,FALSE)),SUM(FIND("..",TRIM(VLOOKUP(IF(AND(LEN($A2042)=4,VALUE(RIGHT($A2042,2))&gt;60),$A2042&amp;"01 1",$A2042),IF(AND(LEN($A2042)=4,VALUE(RIGHT($A2042,2))&lt;60),GUS_tabl_2!$A$8:$B$464,GUS_tabl_21!$A$5:$B$4886),2,FALSE))),-1)))))</f>
        <v>gm. m.-w. Czarna Woda</v>
      </c>
      <c r="D2042" s="141">
        <f>IF(OR($A2042="",ISERROR(VALUE(LEFT($A2042,6)))),"",IF(LEN($A2042)=2,SUMIF($A2043:$A$2965,$A2042&amp;"??",$D2043:$D$2965),IF(AND(LEN($A2042)=4,VALUE(RIGHT($A2042,2))&lt;=60),SUMIF($A2043:$A$2965,$A2042&amp;"????",$D2043:$D$2965),VLOOKUP(IF(LEN($A2042)=4,$A2042&amp;"01 1",$A2042),GUS_tabl_21!$A$5:$F$4886,6,FALSE))))</f>
        <v>3141</v>
      </c>
      <c r="E2042" s="29"/>
    </row>
    <row r="2043" spans="1:5" ht="12" customHeight="1">
      <c r="A2043" s="155" t="str">
        <f>"221302 1"</f>
        <v>221302 1</v>
      </c>
      <c r="B2043" s="153" t="s">
        <v>33</v>
      </c>
      <c r="C2043" s="156" t="str">
        <f>IF(OR($A2043="",ISERROR(VALUE(LEFT($A2043,6)))),"",IF(LEN($A2043)=2,"WOJ. ",IF(LEN($A2043)=4,IF(VALUE(RIGHT($A2043,2))&gt;60,"","Powiat "),IF(VALUE(RIGHT($A2043,1))=1,"m. ",IF(VALUE(RIGHT($A2043,1))=2,"gm. w. ",IF(VALUE(RIGHT($A2043,1))=8,"dz. ","gm. m.-w. ")))))&amp;IF(LEN($A2043)=2,TRIM(UPPER(VLOOKUP($A2043,GUS_tabl_1!$A$7:$B$22,2,FALSE))),IF(ISERROR(FIND("..",TRIM(VLOOKUP(IF(AND(LEN($A2043)=4,VALUE(RIGHT($A2043,2))&gt;60),$A2043&amp;"01 1",$A2043),IF(AND(LEN($A2043)=4,VALUE(RIGHT($A2043,2))&lt;60),GUS_tabl_2!$A$8:$B$464,GUS_tabl_21!$A$5:$B$4886),2,FALSE)))),TRIM(VLOOKUP(IF(AND(LEN($A2043)=4,VALUE(RIGHT($A2043,2))&gt;60),$A2043&amp;"01 1",$A2043),IF(AND(LEN($A2043)=4,VALUE(RIGHT($A2043,2))&lt;60),GUS_tabl_2!$A$8:$B$464,GUS_tabl_21!$A$5:$B$4886),2,FALSE)),LEFT(TRIM(VLOOKUP(IF(AND(LEN($A2043)=4,VALUE(RIGHT($A2043,2))&gt;60),$A2043&amp;"01 1",$A2043),IF(AND(LEN($A2043)=4,VALUE(RIGHT($A2043,2))&lt;60),GUS_tabl_2!$A$8:$B$464,GUS_tabl_21!$A$5:$B$4886),2,FALSE)),SUM(FIND("..",TRIM(VLOOKUP(IF(AND(LEN($A2043)=4,VALUE(RIGHT($A2043,2))&gt;60),$A2043&amp;"01 1",$A2043),IF(AND(LEN($A2043)=4,VALUE(RIGHT($A2043,2))&lt;60),GUS_tabl_2!$A$8:$B$464,GUS_tabl_21!$A$5:$B$4886),2,FALSE))),-1)))))</f>
        <v>m. Skórcz</v>
      </c>
      <c r="D2043" s="141">
        <f>IF(OR($A2043="",ISERROR(VALUE(LEFT($A2043,6)))),"",IF(LEN($A2043)=2,SUMIF($A2044:$A$2965,$A2043&amp;"??",$D2044:$D$2965),IF(AND(LEN($A2043)=4,VALUE(RIGHT($A2043,2))&lt;=60),SUMIF($A2044:$A$2965,$A2043&amp;"????",$D2044:$D$2965),VLOOKUP(IF(LEN($A2043)=4,$A2043&amp;"01 1",$A2043),GUS_tabl_21!$A$5:$F$4886,6,FALSE))))</f>
        <v>3623</v>
      </c>
      <c r="E2043" s="29"/>
    </row>
    <row r="2044" spans="1:5" ht="12" customHeight="1">
      <c r="A2044" s="155" t="str">
        <f>"221303 1"</f>
        <v>221303 1</v>
      </c>
      <c r="B2044" s="153" t="s">
        <v>33</v>
      </c>
      <c r="C2044" s="156" t="str">
        <f>IF(OR($A2044="",ISERROR(VALUE(LEFT($A2044,6)))),"",IF(LEN($A2044)=2,"WOJ. ",IF(LEN($A2044)=4,IF(VALUE(RIGHT($A2044,2))&gt;60,"","Powiat "),IF(VALUE(RIGHT($A2044,1))=1,"m. ",IF(VALUE(RIGHT($A2044,1))=2,"gm. w. ",IF(VALUE(RIGHT($A2044,1))=8,"dz. ","gm. m.-w. ")))))&amp;IF(LEN($A2044)=2,TRIM(UPPER(VLOOKUP($A2044,GUS_tabl_1!$A$7:$B$22,2,FALSE))),IF(ISERROR(FIND("..",TRIM(VLOOKUP(IF(AND(LEN($A2044)=4,VALUE(RIGHT($A2044,2))&gt;60),$A2044&amp;"01 1",$A2044),IF(AND(LEN($A2044)=4,VALUE(RIGHT($A2044,2))&lt;60),GUS_tabl_2!$A$8:$B$464,GUS_tabl_21!$A$5:$B$4886),2,FALSE)))),TRIM(VLOOKUP(IF(AND(LEN($A2044)=4,VALUE(RIGHT($A2044,2))&gt;60),$A2044&amp;"01 1",$A2044),IF(AND(LEN($A2044)=4,VALUE(RIGHT($A2044,2))&lt;60),GUS_tabl_2!$A$8:$B$464,GUS_tabl_21!$A$5:$B$4886),2,FALSE)),LEFT(TRIM(VLOOKUP(IF(AND(LEN($A2044)=4,VALUE(RIGHT($A2044,2))&gt;60),$A2044&amp;"01 1",$A2044),IF(AND(LEN($A2044)=4,VALUE(RIGHT($A2044,2))&lt;60),GUS_tabl_2!$A$8:$B$464,GUS_tabl_21!$A$5:$B$4886),2,FALSE)),SUM(FIND("..",TRIM(VLOOKUP(IF(AND(LEN($A2044)=4,VALUE(RIGHT($A2044,2))&gt;60),$A2044&amp;"01 1",$A2044),IF(AND(LEN($A2044)=4,VALUE(RIGHT($A2044,2))&lt;60),GUS_tabl_2!$A$8:$B$464,GUS_tabl_21!$A$5:$B$4886),2,FALSE))),-1)))))</f>
        <v>m. Starogard Gdański</v>
      </c>
      <c r="D2044" s="141">
        <f>IF(OR($A2044="",ISERROR(VALUE(LEFT($A2044,6)))),"",IF(LEN($A2044)=2,SUMIF($A2045:$A$2965,$A2044&amp;"??",$D2045:$D$2965),IF(AND(LEN($A2044)=4,VALUE(RIGHT($A2044,2))&lt;=60),SUMIF($A2045:$A$2965,$A2044&amp;"????",$D2045:$D$2965),VLOOKUP(IF(LEN($A2044)=4,$A2044&amp;"01 1",$A2044),GUS_tabl_21!$A$5:$F$4886,6,FALSE))))</f>
        <v>47671</v>
      </c>
      <c r="E2044" s="29"/>
    </row>
    <row r="2045" spans="1:5" ht="12" customHeight="1">
      <c r="A2045" s="155" t="str">
        <f>"221304 2"</f>
        <v>221304 2</v>
      </c>
      <c r="B2045" s="153" t="s">
        <v>33</v>
      </c>
      <c r="C2045" s="156" t="str">
        <f>IF(OR($A2045="",ISERROR(VALUE(LEFT($A2045,6)))),"",IF(LEN($A2045)=2,"WOJ. ",IF(LEN($A2045)=4,IF(VALUE(RIGHT($A2045,2))&gt;60,"","Powiat "),IF(VALUE(RIGHT($A2045,1))=1,"m. ",IF(VALUE(RIGHT($A2045,1))=2,"gm. w. ",IF(VALUE(RIGHT($A2045,1))=8,"dz. ","gm. m.-w. ")))))&amp;IF(LEN($A2045)=2,TRIM(UPPER(VLOOKUP($A2045,GUS_tabl_1!$A$7:$B$22,2,FALSE))),IF(ISERROR(FIND("..",TRIM(VLOOKUP(IF(AND(LEN($A2045)=4,VALUE(RIGHT($A2045,2))&gt;60),$A2045&amp;"01 1",$A2045),IF(AND(LEN($A2045)=4,VALUE(RIGHT($A2045,2))&lt;60),GUS_tabl_2!$A$8:$B$464,GUS_tabl_21!$A$5:$B$4886),2,FALSE)))),TRIM(VLOOKUP(IF(AND(LEN($A2045)=4,VALUE(RIGHT($A2045,2))&gt;60),$A2045&amp;"01 1",$A2045),IF(AND(LEN($A2045)=4,VALUE(RIGHT($A2045,2))&lt;60),GUS_tabl_2!$A$8:$B$464,GUS_tabl_21!$A$5:$B$4886),2,FALSE)),LEFT(TRIM(VLOOKUP(IF(AND(LEN($A2045)=4,VALUE(RIGHT($A2045,2))&gt;60),$A2045&amp;"01 1",$A2045),IF(AND(LEN($A2045)=4,VALUE(RIGHT($A2045,2))&lt;60),GUS_tabl_2!$A$8:$B$464,GUS_tabl_21!$A$5:$B$4886),2,FALSE)),SUM(FIND("..",TRIM(VLOOKUP(IF(AND(LEN($A2045)=4,VALUE(RIGHT($A2045,2))&gt;60),$A2045&amp;"01 1",$A2045),IF(AND(LEN($A2045)=4,VALUE(RIGHT($A2045,2))&lt;60),GUS_tabl_2!$A$8:$B$464,GUS_tabl_21!$A$5:$B$4886),2,FALSE))),-1)))))</f>
        <v>gm. w. Bobowo</v>
      </c>
      <c r="D2045" s="141">
        <f>IF(OR($A2045="",ISERROR(VALUE(LEFT($A2045,6)))),"",IF(LEN($A2045)=2,SUMIF($A2046:$A$2965,$A2045&amp;"??",$D2046:$D$2965),IF(AND(LEN($A2045)=4,VALUE(RIGHT($A2045,2))&lt;=60),SUMIF($A2046:$A$2965,$A2045&amp;"????",$D2046:$D$2965),VLOOKUP(IF(LEN($A2045)=4,$A2045&amp;"01 1",$A2045),GUS_tabl_21!$A$5:$F$4886,6,FALSE))))</f>
        <v>3202</v>
      </c>
      <c r="E2045" s="29"/>
    </row>
    <row r="2046" spans="1:5" ht="12" customHeight="1">
      <c r="A2046" s="155" t="str">
        <f>"221305 2"</f>
        <v>221305 2</v>
      </c>
      <c r="B2046" s="153" t="s">
        <v>33</v>
      </c>
      <c r="C2046" s="156" t="str">
        <f>IF(OR($A2046="",ISERROR(VALUE(LEFT($A2046,6)))),"",IF(LEN($A2046)=2,"WOJ. ",IF(LEN($A2046)=4,IF(VALUE(RIGHT($A2046,2))&gt;60,"","Powiat "),IF(VALUE(RIGHT($A2046,1))=1,"m. ",IF(VALUE(RIGHT($A2046,1))=2,"gm. w. ",IF(VALUE(RIGHT($A2046,1))=8,"dz. ","gm. m.-w. ")))))&amp;IF(LEN($A2046)=2,TRIM(UPPER(VLOOKUP($A2046,GUS_tabl_1!$A$7:$B$22,2,FALSE))),IF(ISERROR(FIND("..",TRIM(VLOOKUP(IF(AND(LEN($A2046)=4,VALUE(RIGHT($A2046,2))&gt;60),$A2046&amp;"01 1",$A2046),IF(AND(LEN($A2046)=4,VALUE(RIGHT($A2046,2))&lt;60),GUS_tabl_2!$A$8:$B$464,GUS_tabl_21!$A$5:$B$4886),2,FALSE)))),TRIM(VLOOKUP(IF(AND(LEN($A2046)=4,VALUE(RIGHT($A2046,2))&gt;60),$A2046&amp;"01 1",$A2046),IF(AND(LEN($A2046)=4,VALUE(RIGHT($A2046,2))&lt;60),GUS_tabl_2!$A$8:$B$464,GUS_tabl_21!$A$5:$B$4886),2,FALSE)),LEFT(TRIM(VLOOKUP(IF(AND(LEN($A2046)=4,VALUE(RIGHT($A2046,2))&gt;60),$A2046&amp;"01 1",$A2046),IF(AND(LEN($A2046)=4,VALUE(RIGHT($A2046,2))&lt;60),GUS_tabl_2!$A$8:$B$464,GUS_tabl_21!$A$5:$B$4886),2,FALSE)),SUM(FIND("..",TRIM(VLOOKUP(IF(AND(LEN($A2046)=4,VALUE(RIGHT($A2046,2))&gt;60),$A2046&amp;"01 1",$A2046),IF(AND(LEN($A2046)=4,VALUE(RIGHT($A2046,2))&lt;60),GUS_tabl_2!$A$8:$B$464,GUS_tabl_21!$A$5:$B$4886),2,FALSE))),-1)))))</f>
        <v>gm. w. Kaliska</v>
      </c>
      <c r="D2046" s="141">
        <f>IF(OR($A2046="",ISERROR(VALUE(LEFT($A2046,6)))),"",IF(LEN($A2046)=2,SUMIF($A2047:$A$2965,$A2046&amp;"??",$D2047:$D$2965),IF(AND(LEN($A2046)=4,VALUE(RIGHT($A2046,2))&lt;=60),SUMIF($A2047:$A$2965,$A2046&amp;"????",$D2047:$D$2965),VLOOKUP(IF(LEN($A2046)=4,$A2046&amp;"01 1",$A2046),GUS_tabl_21!$A$5:$F$4886,6,FALSE))))</f>
        <v>5401</v>
      </c>
      <c r="E2046" s="29"/>
    </row>
    <row r="2047" spans="1:5" ht="12" customHeight="1">
      <c r="A2047" s="155" t="str">
        <f>"221306 2"</f>
        <v>221306 2</v>
      </c>
      <c r="B2047" s="153" t="s">
        <v>33</v>
      </c>
      <c r="C2047" s="156" t="str">
        <f>IF(OR($A2047="",ISERROR(VALUE(LEFT($A2047,6)))),"",IF(LEN($A2047)=2,"WOJ. ",IF(LEN($A2047)=4,IF(VALUE(RIGHT($A2047,2))&gt;60,"","Powiat "),IF(VALUE(RIGHT($A2047,1))=1,"m. ",IF(VALUE(RIGHT($A2047,1))=2,"gm. w. ",IF(VALUE(RIGHT($A2047,1))=8,"dz. ","gm. m.-w. ")))))&amp;IF(LEN($A2047)=2,TRIM(UPPER(VLOOKUP($A2047,GUS_tabl_1!$A$7:$B$22,2,FALSE))),IF(ISERROR(FIND("..",TRIM(VLOOKUP(IF(AND(LEN($A2047)=4,VALUE(RIGHT($A2047,2))&gt;60),$A2047&amp;"01 1",$A2047),IF(AND(LEN($A2047)=4,VALUE(RIGHT($A2047,2))&lt;60),GUS_tabl_2!$A$8:$B$464,GUS_tabl_21!$A$5:$B$4886),2,FALSE)))),TRIM(VLOOKUP(IF(AND(LEN($A2047)=4,VALUE(RIGHT($A2047,2))&gt;60),$A2047&amp;"01 1",$A2047),IF(AND(LEN($A2047)=4,VALUE(RIGHT($A2047,2))&lt;60),GUS_tabl_2!$A$8:$B$464,GUS_tabl_21!$A$5:$B$4886),2,FALSE)),LEFT(TRIM(VLOOKUP(IF(AND(LEN($A2047)=4,VALUE(RIGHT($A2047,2))&gt;60),$A2047&amp;"01 1",$A2047),IF(AND(LEN($A2047)=4,VALUE(RIGHT($A2047,2))&lt;60),GUS_tabl_2!$A$8:$B$464,GUS_tabl_21!$A$5:$B$4886),2,FALSE)),SUM(FIND("..",TRIM(VLOOKUP(IF(AND(LEN($A2047)=4,VALUE(RIGHT($A2047,2))&gt;60),$A2047&amp;"01 1",$A2047),IF(AND(LEN($A2047)=4,VALUE(RIGHT($A2047,2))&lt;60),GUS_tabl_2!$A$8:$B$464,GUS_tabl_21!$A$5:$B$4886),2,FALSE))),-1)))))</f>
        <v>gm. w. Lubichowo</v>
      </c>
      <c r="D2047" s="141">
        <f>IF(OR($A2047="",ISERROR(VALUE(LEFT($A2047,6)))),"",IF(LEN($A2047)=2,SUMIF($A2048:$A$2965,$A2047&amp;"??",$D2048:$D$2965),IF(AND(LEN($A2047)=4,VALUE(RIGHT($A2047,2))&lt;=60),SUMIF($A2048:$A$2965,$A2047&amp;"????",$D2048:$D$2965),VLOOKUP(IF(LEN($A2047)=4,$A2047&amp;"01 1",$A2047),GUS_tabl_21!$A$5:$F$4886,6,FALSE))))</f>
        <v>6646</v>
      </c>
      <c r="E2047" s="29"/>
    </row>
    <row r="2048" spans="1:5" ht="12" customHeight="1">
      <c r="A2048" s="155" t="str">
        <f>"221307 2"</f>
        <v>221307 2</v>
      </c>
      <c r="B2048" s="153" t="s">
        <v>33</v>
      </c>
      <c r="C2048" s="156" t="str">
        <f>IF(OR($A2048="",ISERROR(VALUE(LEFT($A2048,6)))),"",IF(LEN($A2048)=2,"WOJ. ",IF(LEN($A2048)=4,IF(VALUE(RIGHT($A2048,2))&gt;60,"","Powiat "),IF(VALUE(RIGHT($A2048,1))=1,"m. ",IF(VALUE(RIGHT($A2048,1))=2,"gm. w. ",IF(VALUE(RIGHT($A2048,1))=8,"dz. ","gm. m.-w. ")))))&amp;IF(LEN($A2048)=2,TRIM(UPPER(VLOOKUP($A2048,GUS_tabl_1!$A$7:$B$22,2,FALSE))),IF(ISERROR(FIND("..",TRIM(VLOOKUP(IF(AND(LEN($A2048)=4,VALUE(RIGHT($A2048,2))&gt;60),$A2048&amp;"01 1",$A2048),IF(AND(LEN($A2048)=4,VALUE(RIGHT($A2048,2))&lt;60),GUS_tabl_2!$A$8:$B$464,GUS_tabl_21!$A$5:$B$4886),2,FALSE)))),TRIM(VLOOKUP(IF(AND(LEN($A2048)=4,VALUE(RIGHT($A2048,2))&gt;60),$A2048&amp;"01 1",$A2048),IF(AND(LEN($A2048)=4,VALUE(RIGHT($A2048,2))&lt;60),GUS_tabl_2!$A$8:$B$464,GUS_tabl_21!$A$5:$B$4886),2,FALSE)),LEFT(TRIM(VLOOKUP(IF(AND(LEN($A2048)=4,VALUE(RIGHT($A2048,2))&gt;60),$A2048&amp;"01 1",$A2048),IF(AND(LEN($A2048)=4,VALUE(RIGHT($A2048,2))&lt;60),GUS_tabl_2!$A$8:$B$464,GUS_tabl_21!$A$5:$B$4886),2,FALSE)),SUM(FIND("..",TRIM(VLOOKUP(IF(AND(LEN($A2048)=4,VALUE(RIGHT($A2048,2))&gt;60),$A2048&amp;"01 1",$A2048),IF(AND(LEN($A2048)=4,VALUE(RIGHT($A2048,2))&lt;60),GUS_tabl_2!$A$8:$B$464,GUS_tabl_21!$A$5:$B$4886),2,FALSE))),-1)))))</f>
        <v>gm. w. Osieczna</v>
      </c>
      <c r="D2048" s="141">
        <f>IF(OR($A2048="",ISERROR(VALUE(LEFT($A2048,6)))),"",IF(LEN($A2048)=2,SUMIF($A2049:$A$2965,$A2048&amp;"??",$D2049:$D$2965),IF(AND(LEN($A2048)=4,VALUE(RIGHT($A2048,2))&lt;=60),SUMIF($A2049:$A$2965,$A2048&amp;"????",$D2049:$D$2965),VLOOKUP(IF(LEN($A2048)=4,$A2048&amp;"01 1",$A2048),GUS_tabl_21!$A$5:$F$4886,6,FALSE))))</f>
        <v>2880</v>
      </c>
      <c r="E2048" s="29"/>
    </row>
    <row r="2049" spans="1:5" ht="12" customHeight="1">
      <c r="A2049" s="155" t="str">
        <f>"221308 2"</f>
        <v>221308 2</v>
      </c>
      <c r="B2049" s="153" t="s">
        <v>33</v>
      </c>
      <c r="C2049" s="156" t="str">
        <f>IF(OR($A2049="",ISERROR(VALUE(LEFT($A2049,6)))),"",IF(LEN($A2049)=2,"WOJ. ",IF(LEN($A2049)=4,IF(VALUE(RIGHT($A2049,2))&gt;60,"","Powiat "),IF(VALUE(RIGHT($A2049,1))=1,"m. ",IF(VALUE(RIGHT($A2049,1))=2,"gm. w. ",IF(VALUE(RIGHT($A2049,1))=8,"dz. ","gm. m.-w. ")))))&amp;IF(LEN($A2049)=2,TRIM(UPPER(VLOOKUP($A2049,GUS_tabl_1!$A$7:$B$22,2,FALSE))),IF(ISERROR(FIND("..",TRIM(VLOOKUP(IF(AND(LEN($A2049)=4,VALUE(RIGHT($A2049,2))&gt;60),$A2049&amp;"01 1",$A2049),IF(AND(LEN($A2049)=4,VALUE(RIGHT($A2049,2))&lt;60),GUS_tabl_2!$A$8:$B$464,GUS_tabl_21!$A$5:$B$4886),2,FALSE)))),TRIM(VLOOKUP(IF(AND(LEN($A2049)=4,VALUE(RIGHT($A2049,2))&gt;60),$A2049&amp;"01 1",$A2049),IF(AND(LEN($A2049)=4,VALUE(RIGHT($A2049,2))&lt;60),GUS_tabl_2!$A$8:$B$464,GUS_tabl_21!$A$5:$B$4886),2,FALSE)),LEFT(TRIM(VLOOKUP(IF(AND(LEN($A2049)=4,VALUE(RIGHT($A2049,2))&gt;60),$A2049&amp;"01 1",$A2049),IF(AND(LEN($A2049)=4,VALUE(RIGHT($A2049,2))&lt;60),GUS_tabl_2!$A$8:$B$464,GUS_tabl_21!$A$5:$B$4886),2,FALSE)),SUM(FIND("..",TRIM(VLOOKUP(IF(AND(LEN($A2049)=4,VALUE(RIGHT($A2049,2))&gt;60),$A2049&amp;"01 1",$A2049),IF(AND(LEN($A2049)=4,VALUE(RIGHT($A2049,2))&lt;60),GUS_tabl_2!$A$8:$B$464,GUS_tabl_21!$A$5:$B$4886),2,FALSE))),-1)))))</f>
        <v>gm. w. Osiek</v>
      </c>
      <c r="D2049" s="141">
        <f>IF(OR($A2049="",ISERROR(VALUE(LEFT($A2049,6)))),"",IF(LEN($A2049)=2,SUMIF($A2050:$A$2965,$A2049&amp;"??",$D2050:$D$2965),IF(AND(LEN($A2049)=4,VALUE(RIGHT($A2049,2))&lt;=60),SUMIF($A2050:$A$2965,$A2049&amp;"????",$D2050:$D$2965),VLOOKUP(IF(LEN($A2049)=4,$A2049&amp;"01 1",$A2049),GUS_tabl_21!$A$5:$F$4886,6,FALSE))))</f>
        <v>2376</v>
      </c>
      <c r="E2049" s="29"/>
    </row>
    <row r="2050" spans="1:5" ht="12" customHeight="1">
      <c r="A2050" s="155" t="str">
        <f>"221309 3"</f>
        <v>221309 3</v>
      </c>
      <c r="B2050" s="153" t="s">
        <v>33</v>
      </c>
      <c r="C2050" s="156" t="str">
        <f>IF(OR($A2050="",ISERROR(VALUE(LEFT($A2050,6)))),"",IF(LEN($A2050)=2,"WOJ. ",IF(LEN($A2050)=4,IF(VALUE(RIGHT($A2050,2))&gt;60,"","Powiat "),IF(VALUE(RIGHT($A2050,1))=1,"m. ",IF(VALUE(RIGHT($A2050,1))=2,"gm. w. ",IF(VALUE(RIGHT($A2050,1))=8,"dz. ","gm. m.-w. ")))))&amp;IF(LEN($A2050)=2,TRIM(UPPER(VLOOKUP($A2050,GUS_tabl_1!$A$7:$B$22,2,FALSE))),IF(ISERROR(FIND("..",TRIM(VLOOKUP(IF(AND(LEN($A2050)=4,VALUE(RIGHT($A2050,2))&gt;60),$A2050&amp;"01 1",$A2050),IF(AND(LEN($A2050)=4,VALUE(RIGHT($A2050,2))&lt;60),GUS_tabl_2!$A$8:$B$464,GUS_tabl_21!$A$5:$B$4886),2,FALSE)))),TRIM(VLOOKUP(IF(AND(LEN($A2050)=4,VALUE(RIGHT($A2050,2))&gt;60),$A2050&amp;"01 1",$A2050),IF(AND(LEN($A2050)=4,VALUE(RIGHT($A2050,2))&lt;60),GUS_tabl_2!$A$8:$B$464,GUS_tabl_21!$A$5:$B$4886),2,FALSE)),LEFT(TRIM(VLOOKUP(IF(AND(LEN($A2050)=4,VALUE(RIGHT($A2050,2))&gt;60),$A2050&amp;"01 1",$A2050),IF(AND(LEN($A2050)=4,VALUE(RIGHT($A2050,2))&lt;60),GUS_tabl_2!$A$8:$B$464,GUS_tabl_21!$A$5:$B$4886),2,FALSE)),SUM(FIND("..",TRIM(VLOOKUP(IF(AND(LEN($A2050)=4,VALUE(RIGHT($A2050,2))&gt;60),$A2050&amp;"01 1",$A2050),IF(AND(LEN($A2050)=4,VALUE(RIGHT($A2050,2))&lt;60),GUS_tabl_2!$A$8:$B$464,GUS_tabl_21!$A$5:$B$4886),2,FALSE))),-1)))))</f>
        <v>gm. m.-w. Skarszewy</v>
      </c>
      <c r="D2050" s="141">
        <f>IF(OR($A2050="",ISERROR(VALUE(LEFT($A2050,6)))),"",IF(LEN($A2050)=2,SUMIF($A2051:$A$2965,$A2050&amp;"??",$D2051:$D$2965),IF(AND(LEN($A2050)=4,VALUE(RIGHT($A2050,2))&lt;=60),SUMIF($A2051:$A$2965,$A2050&amp;"????",$D2051:$D$2965),VLOOKUP(IF(LEN($A2050)=4,$A2050&amp;"01 1",$A2050),GUS_tabl_21!$A$5:$F$4886,6,FALSE))))</f>
        <v>14924</v>
      </c>
      <c r="E2050" s="29"/>
    </row>
    <row r="2051" spans="1:5" ht="12" customHeight="1">
      <c r="A2051" s="155" t="str">
        <f>"221310 2"</f>
        <v>221310 2</v>
      </c>
      <c r="B2051" s="153" t="s">
        <v>33</v>
      </c>
      <c r="C2051" s="156" t="str">
        <f>IF(OR($A2051="",ISERROR(VALUE(LEFT($A2051,6)))),"",IF(LEN($A2051)=2,"WOJ. ",IF(LEN($A2051)=4,IF(VALUE(RIGHT($A2051,2))&gt;60,"","Powiat "),IF(VALUE(RIGHT($A2051,1))=1,"m. ",IF(VALUE(RIGHT($A2051,1))=2,"gm. w. ",IF(VALUE(RIGHT($A2051,1))=8,"dz. ","gm. m.-w. ")))))&amp;IF(LEN($A2051)=2,TRIM(UPPER(VLOOKUP($A2051,GUS_tabl_1!$A$7:$B$22,2,FALSE))),IF(ISERROR(FIND("..",TRIM(VLOOKUP(IF(AND(LEN($A2051)=4,VALUE(RIGHT($A2051,2))&gt;60),$A2051&amp;"01 1",$A2051),IF(AND(LEN($A2051)=4,VALUE(RIGHT($A2051,2))&lt;60),GUS_tabl_2!$A$8:$B$464,GUS_tabl_21!$A$5:$B$4886),2,FALSE)))),TRIM(VLOOKUP(IF(AND(LEN($A2051)=4,VALUE(RIGHT($A2051,2))&gt;60),$A2051&amp;"01 1",$A2051),IF(AND(LEN($A2051)=4,VALUE(RIGHT($A2051,2))&lt;60),GUS_tabl_2!$A$8:$B$464,GUS_tabl_21!$A$5:$B$4886),2,FALSE)),LEFT(TRIM(VLOOKUP(IF(AND(LEN($A2051)=4,VALUE(RIGHT($A2051,2))&gt;60),$A2051&amp;"01 1",$A2051),IF(AND(LEN($A2051)=4,VALUE(RIGHT($A2051,2))&lt;60),GUS_tabl_2!$A$8:$B$464,GUS_tabl_21!$A$5:$B$4886),2,FALSE)),SUM(FIND("..",TRIM(VLOOKUP(IF(AND(LEN($A2051)=4,VALUE(RIGHT($A2051,2))&gt;60),$A2051&amp;"01 1",$A2051),IF(AND(LEN($A2051)=4,VALUE(RIGHT($A2051,2))&lt;60),GUS_tabl_2!$A$8:$B$464,GUS_tabl_21!$A$5:$B$4886),2,FALSE))),-1)))))</f>
        <v>gm. w. Skórcz</v>
      </c>
      <c r="D2051" s="141">
        <f>IF(OR($A2051="",ISERROR(VALUE(LEFT($A2051,6)))),"",IF(LEN($A2051)=2,SUMIF($A2052:$A$2965,$A2051&amp;"??",$D2052:$D$2965),IF(AND(LEN($A2051)=4,VALUE(RIGHT($A2051,2))&lt;=60),SUMIF($A2052:$A$2965,$A2051&amp;"????",$D2052:$D$2965),VLOOKUP(IF(LEN($A2051)=4,$A2051&amp;"01 1",$A2051),GUS_tabl_21!$A$5:$F$4886,6,FALSE))))</f>
        <v>4592</v>
      </c>
      <c r="E2051" s="29"/>
    </row>
    <row r="2052" spans="1:5" ht="12" customHeight="1">
      <c r="A2052" s="155" t="str">
        <f>"221311 2"</f>
        <v>221311 2</v>
      </c>
      <c r="B2052" s="153" t="s">
        <v>33</v>
      </c>
      <c r="C2052" s="156" t="str">
        <f>IF(OR($A2052="",ISERROR(VALUE(LEFT($A2052,6)))),"",IF(LEN($A2052)=2,"WOJ. ",IF(LEN($A2052)=4,IF(VALUE(RIGHT($A2052,2))&gt;60,"","Powiat "),IF(VALUE(RIGHT($A2052,1))=1,"m. ",IF(VALUE(RIGHT($A2052,1))=2,"gm. w. ",IF(VALUE(RIGHT($A2052,1))=8,"dz. ","gm. m.-w. ")))))&amp;IF(LEN($A2052)=2,TRIM(UPPER(VLOOKUP($A2052,GUS_tabl_1!$A$7:$B$22,2,FALSE))),IF(ISERROR(FIND("..",TRIM(VLOOKUP(IF(AND(LEN($A2052)=4,VALUE(RIGHT($A2052,2))&gt;60),$A2052&amp;"01 1",$A2052),IF(AND(LEN($A2052)=4,VALUE(RIGHT($A2052,2))&lt;60),GUS_tabl_2!$A$8:$B$464,GUS_tabl_21!$A$5:$B$4886),2,FALSE)))),TRIM(VLOOKUP(IF(AND(LEN($A2052)=4,VALUE(RIGHT($A2052,2))&gt;60),$A2052&amp;"01 1",$A2052),IF(AND(LEN($A2052)=4,VALUE(RIGHT($A2052,2))&lt;60),GUS_tabl_2!$A$8:$B$464,GUS_tabl_21!$A$5:$B$4886),2,FALSE)),LEFT(TRIM(VLOOKUP(IF(AND(LEN($A2052)=4,VALUE(RIGHT($A2052,2))&gt;60),$A2052&amp;"01 1",$A2052),IF(AND(LEN($A2052)=4,VALUE(RIGHT($A2052,2))&lt;60),GUS_tabl_2!$A$8:$B$464,GUS_tabl_21!$A$5:$B$4886),2,FALSE)),SUM(FIND("..",TRIM(VLOOKUP(IF(AND(LEN($A2052)=4,VALUE(RIGHT($A2052,2))&gt;60),$A2052&amp;"01 1",$A2052),IF(AND(LEN($A2052)=4,VALUE(RIGHT($A2052,2))&lt;60),GUS_tabl_2!$A$8:$B$464,GUS_tabl_21!$A$5:$B$4886),2,FALSE))),-1)))))</f>
        <v>gm. w. Smętowo Graniczne</v>
      </c>
      <c r="D2052" s="141">
        <f>IF(OR($A2052="",ISERROR(VALUE(LEFT($A2052,6)))),"",IF(LEN($A2052)=2,SUMIF($A2053:$A$2965,$A2052&amp;"??",$D2053:$D$2965),IF(AND(LEN($A2052)=4,VALUE(RIGHT($A2052,2))&lt;=60),SUMIF($A2053:$A$2965,$A2052&amp;"????",$D2053:$D$2965),VLOOKUP(IF(LEN($A2052)=4,$A2052&amp;"01 1",$A2052),GUS_tabl_21!$A$5:$F$4886,6,FALSE))))</f>
        <v>5185</v>
      </c>
      <c r="E2052" s="29"/>
    </row>
    <row r="2053" spans="1:5" ht="12" customHeight="1">
      <c r="A2053" s="155" t="str">
        <f>"221312 2"</f>
        <v>221312 2</v>
      </c>
      <c r="B2053" s="153" t="s">
        <v>33</v>
      </c>
      <c r="C2053" s="156" t="str">
        <f>IF(OR($A2053="",ISERROR(VALUE(LEFT($A2053,6)))),"",IF(LEN($A2053)=2,"WOJ. ",IF(LEN($A2053)=4,IF(VALUE(RIGHT($A2053,2))&gt;60,"","Powiat "),IF(VALUE(RIGHT($A2053,1))=1,"m. ",IF(VALUE(RIGHT($A2053,1))=2,"gm. w. ",IF(VALUE(RIGHT($A2053,1))=8,"dz. ","gm. m.-w. ")))))&amp;IF(LEN($A2053)=2,TRIM(UPPER(VLOOKUP($A2053,GUS_tabl_1!$A$7:$B$22,2,FALSE))),IF(ISERROR(FIND("..",TRIM(VLOOKUP(IF(AND(LEN($A2053)=4,VALUE(RIGHT($A2053,2))&gt;60),$A2053&amp;"01 1",$A2053),IF(AND(LEN($A2053)=4,VALUE(RIGHT($A2053,2))&lt;60),GUS_tabl_2!$A$8:$B$464,GUS_tabl_21!$A$5:$B$4886),2,FALSE)))),TRIM(VLOOKUP(IF(AND(LEN($A2053)=4,VALUE(RIGHT($A2053,2))&gt;60),$A2053&amp;"01 1",$A2053),IF(AND(LEN($A2053)=4,VALUE(RIGHT($A2053,2))&lt;60),GUS_tabl_2!$A$8:$B$464,GUS_tabl_21!$A$5:$B$4886),2,FALSE)),LEFT(TRIM(VLOOKUP(IF(AND(LEN($A2053)=4,VALUE(RIGHT($A2053,2))&gt;60),$A2053&amp;"01 1",$A2053),IF(AND(LEN($A2053)=4,VALUE(RIGHT($A2053,2))&lt;60),GUS_tabl_2!$A$8:$B$464,GUS_tabl_21!$A$5:$B$4886),2,FALSE)),SUM(FIND("..",TRIM(VLOOKUP(IF(AND(LEN($A2053)=4,VALUE(RIGHT($A2053,2))&gt;60),$A2053&amp;"01 1",$A2053),IF(AND(LEN($A2053)=4,VALUE(RIGHT($A2053,2))&lt;60),GUS_tabl_2!$A$8:$B$464,GUS_tabl_21!$A$5:$B$4886),2,FALSE))),-1)))))</f>
        <v>gm. w. Starogard Gdański</v>
      </c>
      <c r="D2053" s="141">
        <f>IF(OR($A2053="",ISERROR(VALUE(LEFT($A2053,6)))),"",IF(LEN($A2053)=2,SUMIF($A2054:$A$2965,$A2053&amp;"??",$D2054:$D$2965),IF(AND(LEN($A2053)=4,VALUE(RIGHT($A2053,2))&lt;=60),SUMIF($A2054:$A$2965,$A2053&amp;"????",$D2054:$D$2965),VLOOKUP(IF(LEN($A2053)=4,$A2053&amp;"01 1",$A2053),GUS_tabl_21!$A$5:$F$4886,6,FALSE))))</f>
        <v>16713</v>
      </c>
      <c r="E2053" s="29"/>
    </row>
    <row r="2054" spans="1:5" ht="12" customHeight="1">
      <c r="A2054" s="155" t="str">
        <f>"221313 2"</f>
        <v>221313 2</v>
      </c>
      <c r="B2054" s="153" t="s">
        <v>33</v>
      </c>
      <c r="C2054" s="156" t="str">
        <f>IF(OR($A2054="",ISERROR(VALUE(LEFT($A2054,6)))),"",IF(LEN($A2054)=2,"WOJ. ",IF(LEN($A2054)=4,IF(VALUE(RIGHT($A2054,2))&gt;60,"","Powiat "),IF(VALUE(RIGHT($A2054,1))=1,"m. ",IF(VALUE(RIGHT($A2054,1))=2,"gm. w. ",IF(VALUE(RIGHT($A2054,1))=8,"dz. ","gm. m.-w. ")))))&amp;IF(LEN($A2054)=2,TRIM(UPPER(VLOOKUP($A2054,GUS_tabl_1!$A$7:$B$22,2,FALSE))),IF(ISERROR(FIND("..",TRIM(VLOOKUP(IF(AND(LEN($A2054)=4,VALUE(RIGHT($A2054,2))&gt;60),$A2054&amp;"01 1",$A2054),IF(AND(LEN($A2054)=4,VALUE(RIGHT($A2054,2))&lt;60),GUS_tabl_2!$A$8:$B$464,GUS_tabl_21!$A$5:$B$4886),2,FALSE)))),TRIM(VLOOKUP(IF(AND(LEN($A2054)=4,VALUE(RIGHT($A2054,2))&gt;60),$A2054&amp;"01 1",$A2054),IF(AND(LEN($A2054)=4,VALUE(RIGHT($A2054,2))&lt;60),GUS_tabl_2!$A$8:$B$464,GUS_tabl_21!$A$5:$B$4886),2,FALSE)),LEFT(TRIM(VLOOKUP(IF(AND(LEN($A2054)=4,VALUE(RIGHT($A2054,2))&gt;60),$A2054&amp;"01 1",$A2054),IF(AND(LEN($A2054)=4,VALUE(RIGHT($A2054,2))&lt;60),GUS_tabl_2!$A$8:$B$464,GUS_tabl_21!$A$5:$B$4886),2,FALSE)),SUM(FIND("..",TRIM(VLOOKUP(IF(AND(LEN($A2054)=4,VALUE(RIGHT($A2054,2))&gt;60),$A2054&amp;"01 1",$A2054),IF(AND(LEN($A2054)=4,VALUE(RIGHT($A2054,2))&lt;60),GUS_tabl_2!$A$8:$B$464,GUS_tabl_21!$A$5:$B$4886),2,FALSE))),-1)))))</f>
        <v>gm. w. Zblewo</v>
      </c>
      <c r="D2054" s="141">
        <f>IF(OR($A2054="",ISERROR(VALUE(LEFT($A2054,6)))),"",IF(LEN($A2054)=2,SUMIF($A2055:$A$2965,$A2054&amp;"??",$D2055:$D$2965),IF(AND(LEN($A2054)=4,VALUE(RIGHT($A2054,2))&lt;=60),SUMIF($A2055:$A$2965,$A2054&amp;"????",$D2055:$D$2965),VLOOKUP(IF(LEN($A2054)=4,$A2054&amp;"01 1",$A2054),GUS_tabl_21!$A$5:$F$4886,6,FALSE))))</f>
        <v>11832</v>
      </c>
      <c r="E2054" s="29"/>
    </row>
    <row r="2055" spans="1:5" ht="12" customHeight="1">
      <c r="A2055" s="152" t="str">
        <f>"2216"</f>
        <v>2216</v>
      </c>
      <c r="B2055" s="153" t="s">
        <v>33</v>
      </c>
      <c r="C2055" s="154" t="str">
        <f>IF(OR($A2055="",ISERROR(VALUE(LEFT($A2055,6)))),"",IF(LEN($A2055)=2,"WOJ. ",IF(LEN($A2055)=4,IF(VALUE(RIGHT($A2055,2))&gt;60,"","Powiat "),IF(VALUE(RIGHT($A2055,1))=1,"m. ",IF(VALUE(RIGHT($A2055,1))=2,"gm. w. ",IF(VALUE(RIGHT($A2055,1))=8,"dz. ","gm. m.-w. ")))))&amp;IF(LEN($A2055)=2,TRIM(UPPER(VLOOKUP($A2055,GUS_tabl_1!$A$7:$B$22,2,FALSE))),IF(ISERROR(FIND("..",TRIM(VLOOKUP(IF(AND(LEN($A2055)=4,VALUE(RIGHT($A2055,2))&gt;60),$A2055&amp;"01 1",$A2055),IF(AND(LEN($A2055)=4,VALUE(RIGHT($A2055,2))&lt;60),GUS_tabl_2!$A$8:$B$464,GUS_tabl_21!$A$5:$B$4886),2,FALSE)))),TRIM(VLOOKUP(IF(AND(LEN($A2055)=4,VALUE(RIGHT($A2055,2))&gt;60),$A2055&amp;"01 1",$A2055),IF(AND(LEN($A2055)=4,VALUE(RIGHT($A2055,2))&lt;60),GUS_tabl_2!$A$8:$B$464,GUS_tabl_21!$A$5:$B$4886),2,FALSE)),LEFT(TRIM(VLOOKUP(IF(AND(LEN($A2055)=4,VALUE(RIGHT($A2055,2))&gt;60),$A2055&amp;"01 1",$A2055),IF(AND(LEN($A2055)=4,VALUE(RIGHT($A2055,2))&lt;60),GUS_tabl_2!$A$8:$B$464,GUS_tabl_21!$A$5:$B$4886),2,FALSE)),SUM(FIND("..",TRIM(VLOOKUP(IF(AND(LEN($A2055)=4,VALUE(RIGHT($A2055,2))&gt;60),$A2055&amp;"01 1",$A2055),IF(AND(LEN($A2055)=4,VALUE(RIGHT($A2055,2))&lt;60),GUS_tabl_2!$A$8:$B$464,GUS_tabl_21!$A$5:$B$4886),2,FALSE))),-1)))))</f>
        <v>Powiat sztumski</v>
      </c>
      <c r="D2055" s="140">
        <f>IF(OR($A2055="",ISERROR(VALUE(LEFT($A2055,6)))),"",IF(LEN($A2055)=2,SUMIF($A2056:$A$2965,$A2055&amp;"??",$D2056:$D$2965),IF(AND(LEN($A2055)=4,VALUE(RIGHT($A2055,2))&lt;=60),SUMIF($A2056:$A$2965,$A2055&amp;"????",$D2056:$D$2965),VLOOKUP(IF(LEN($A2055)=4,$A2055&amp;"01 1",$A2055),GUS_tabl_21!$A$5:$F$4886,6,FALSE))))</f>
        <v>41302</v>
      </c>
      <c r="E2055" s="29"/>
    </row>
    <row r="2056" spans="1:5" ht="12" customHeight="1">
      <c r="A2056" s="155" t="str">
        <f>"221601 3"</f>
        <v>221601 3</v>
      </c>
      <c r="B2056" s="153" t="s">
        <v>33</v>
      </c>
      <c r="C2056" s="156" t="str">
        <f>IF(OR($A2056="",ISERROR(VALUE(LEFT($A2056,6)))),"",IF(LEN($A2056)=2,"WOJ. ",IF(LEN($A2056)=4,IF(VALUE(RIGHT($A2056,2))&gt;60,"","Powiat "),IF(VALUE(RIGHT($A2056,1))=1,"m. ",IF(VALUE(RIGHT($A2056,1))=2,"gm. w. ",IF(VALUE(RIGHT($A2056,1))=8,"dz. ","gm. m.-w. ")))))&amp;IF(LEN($A2056)=2,TRIM(UPPER(VLOOKUP($A2056,GUS_tabl_1!$A$7:$B$22,2,FALSE))),IF(ISERROR(FIND("..",TRIM(VLOOKUP(IF(AND(LEN($A2056)=4,VALUE(RIGHT($A2056,2))&gt;60),$A2056&amp;"01 1",$A2056),IF(AND(LEN($A2056)=4,VALUE(RIGHT($A2056,2))&lt;60),GUS_tabl_2!$A$8:$B$464,GUS_tabl_21!$A$5:$B$4886),2,FALSE)))),TRIM(VLOOKUP(IF(AND(LEN($A2056)=4,VALUE(RIGHT($A2056,2))&gt;60),$A2056&amp;"01 1",$A2056),IF(AND(LEN($A2056)=4,VALUE(RIGHT($A2056,2))&lt;60),GUS_tabl_2!$A$8:$B$464,GUS_tabl_21!$A$5:$B$4886),2,FALSE)),LEFT(TRIM(VLOOKUP(IF(AND(LEN($A2056)=4,VALUE(RIGHT($A2056,2))&gt;60),$A2056&amp;"01 1",$A2056),IF(AND(LEN($A2056)=4,VALUE(RIGHT($A2056,2))&lt;60),GUS_tabl_2!$A$8:$B$464,GUS_tabl_21!$A$5:$B$4886),2,FALSE)),SUM(FIND("..",TRIM(VLOOKUP(IF(AND(LEN($A2056)=4,VALUE(RIGHT($A2056,2))&gt;60),$A2056&amp;"01 1",$A2056),IF(AND(LEN($A2056)=4,VALUE(RIGHT($A2056,2))&lt;60),GUS_tabl_2!$A$8:$B$464,GUS_tabl_21!$A$5:$B$4886),2,FALSE))),-1)))))</f>
        <v>gm. m.-w. Dzierzgoń</v>
      </c>
      <c r="D2056" s="141">
        <f>IF(OR($A2056="",ISERROR(VALUE(LEFT($A2056,6)))),"",IF(LEN($A2056)=2,SUMIF($A2057:$A$2965,$A2056&amp;"??",$D2057:$D$2965),IF(AND(LEN($A2056)=4,VALUE(RIGHT($A2056,2))&lt;=60),SUMIF($A2057:$A$2965,$A2056&amp;"????",$D2057:$D$2965),VLOOKUP(IF(LEN($A2056)=4,$A2056&amp;"01 1",$A2056),GUS_tabl_21!$A$5:$F$4886,6,FALSE))))</f>
        <v>9225</v>
      </c>
      <c r="E2056" s="29"/>
    </row>
    <row r="2057" spans="1:5" ht="12" customHeight="1">
      <c r="A2057" s="155" t="str">
        <f>"221602 2"</f>
        <v>221602 2</v>
      </c>
      <c r="B2057" s="153" t="s">
        <v>33</v>
      </c>
      <c r="C2057" s="156" t="str">
        <f>IF(OR($A2057="",ISERROR(VALUE(LEFT($A2057,6)))),"",IF(LEN($A2057)=2,"WOJ. ",IF(LEN($A2057)=4,IF(VALUE(RIGHT($A2057,2))&gt;60,"","Powiat "),IF(VALUE(RIGHT($A2057,1))=1,"m. ",IF(VALUE(RIGHT($A2057,1))=2,"gm. w. ",IF(VALUE(RIGHT($A2057,1))=8,"dz. ","gm. m.-w. ")))))&amp;IF(LEN($A2057)=2,TRIM(UPPER(VLOOKUP($A2057,GUS_tabl_1!$A$7:$B$22,2,FALSE))),IF(ISERROR(FIND("..",TRIM(VLOOKUP(IF(AND(LEN($A2057)=4,VALUE(RIGHT($A2057,2))&gt;60),$A2057&amp;"01 1",$A2057),IF(AND(LEN($A2057)=4,VALUE(RIGHT($A2057,2))&lt;60),GUS_tabl_2!$A$8:$B$464,GUS_tabl_21!$A$5:$B$4886),2,FALSE)))),TRIM(VLOOKUP(IF(AND(LEN($A2057)=4,VALUE(RIGHT($A2057,2))&gt;60),$A2057&amp;"01 1",$A2057),IF(AND(LEN($A2057)=4,VALUE(RIGHT($A2057,2))&lt;60),GUS_tabl_2!$A$8:$B$464,GUS_tabl_21!$A$5:$B$4886),2,FALSE)),LEFT(TRIM(VLOOKUP(IF(AND(LEN($A2057)=4,VALUE(RIGHT($A2057,2))&gt;60),$A2057&amp;"01 1",$A2057),IF(AND(LEN($A2057)=4,VALUE(RIGHT($A2057,2))&lt;60),GUS_tabl_2!$A$8:$B$464,GUS_tabl_21!$A$5:$B$4886),2,FALSE)),SUM(FIND("..",TRIM(VLOOKUP(IF(AND(LEN($A2057)=4,VALUE(RIGHT($A2057,2))&gt;60),$A2057&amp;"01 1",$A2057),IF(AND(LEN($A2057)=4,VALUE(RIGHT($A2057,2))&lt;60),GUS_tabl_2!$A$8:$B$464,GUS_tabl_21!$A$5:$B$4886),2,FALSE))),-1)))))</f>
        <v>gm. w. Mikołajki Pomorskie</v>
      </c>
      <c r="D2057" s="141">
        <f>IF(OR($A2057="",ISERROR(VALUE(LEFT($A2057,6)))),"",IF(LEN($A2057)=2,SUMIF($A2058:$A$2965,$A2057&amp;"??",$D2058:$D$2965),IF(AND(LEN($A2057)=4,VALUE(RIGHT($A2057,2))&lt;=60),SUMIF($A2058:$A$2965,$A2057&amp;"????",$D2058:$D$2965),VLOOKUP(IF(LEN($A2057)=4,$A2057&amp;"01 1",$A2057),GUS_tabl_21!$A$5:$F$4886,6,FALSE))))</f>
        <v>3627</v>
      </c>
      <c r="E2057" s="29"/>
    </row>
    <row r="2058" spans="1:5" ht="12" customHeight="1">
      <c r="A2058" s="155" t="str">
        <f>"221603 2"</f>
        <v>221603 2</v>
      </c>
      <c r="B2058" s="153" t="s">
        <v>33</v>
      </c>
      <c r="C2058" s="156" t="str">
        <f>IF(OR($A2058="",ISERROR(VALUE(LEFT($A2058,6)))),"",IF(LEN($A2058)=2,"WOJ. ",IF(LEN($A2058)=4,IF(VALUE(RIGHT($A2058,2))&gt;60,"","Powiat "),IF(VALUE(RIGHT($A2058,1))=1,"m. ",IF(VALUE(RIGHT($A2058,1))=2,"gm. w. ",IF(VALUE(RIGHT($A2058,1))=8,"dz. ","gm. m.-w. ")))))&amp;IF(LEN($A2058)=2,TRIM(UPPER(VLOOKUP($A2058,GUS_tabl_1!$A$7:$B$22,2,FALSE))),IF(ISERROR(FIND("..",TRIM(VLOOKUP(IF(AND(LEN($A2058)=4,VALUE(RIGHT($A2058,2))&gt;60),$A2058&amp;"01 1",$A2058),IF(AND(LEN($A2058)=4,VALUE(RIGHT($A2058,2))&lt;60),GUS_tabl_2!$A$8:$B$464,GUS_tabl_21!$A$5:$B$4886),2,FALSE)))),TRIM(VLOOKUP(IF(AND(LEN($A2058)=4,VALUE(RIGHT($A2058,2))&gt;60),$A2058&amp;"01 1",$A2058),IF(AND(LEN($A2058)=4,VALUE(RIGHT($A2058,2))&lt;60),GUS_tabl_2!$A$8:$B$464,GUS_tabl_21!$A$5:$B$4886),2,FALSE)),LEFT(TRIM(VLOOKUP(IF(AND(LEN($A2058)=4,VALUE(RIGHT($A2058,2))&gt;60),$A2058&amp;"01 1",$A2058),IF(AND(LEN($A2058)=4,VALUE(RIGHT($A2058,2))&lt;60),GUS_tabl_2!$A$8:$B$464,GUS_tabl_21!$A$5:$B$4886),2,FALSE)),SUM(FIND("..",TRIM(VLOOKUP(IF(AND(LEN($A2058)=4,VALUE(RIGHT($A2058,2))&gt;60),$A2058&amp;"01 1",$A2058),IF(AND(LEN($A2058)=4,VALUE(RIGHT($A2058,2))&lt;60),GUS_tabl_2!$A$8:$B$464,GUS_tabl_21!$A$5:$B$4886),2,FALSE))),-1)))))</f>
        <v>gm. w. Stary Dzierzgoń</v>
      </c>
      <c r="D2058" s="141">
        <f>IF(OR($A2058="",ISERROR(VALUE(LEFT($A2058,6)))),"",IF(LEN($A2058)=2,SUMIF($A2059:$A$2965,$A2058&amp;"??",$D2059:$D$2965),IF(AND(LEN($A2058)=4,VALUE(RIGHT($A2058,2))&lt;=60),SUMIF($A2059:$A$2965,$A2058&amp;"????",$D2059:$D$2965),VLOOKUP(IF(LEN($A2058)=4,$A2058&amp;"01 1",$A2058),GUS_tabl_21!$A$5:$F$4886,6,FALSE))))</f>
        <v>3913</v>
      </c>
      <c r="E2058" s="29"/>
    </row>
    <row r="2059" spans="1:5" ht="12" customHeight="1">
      <c r="A2059" s="155" t="str">
        <f>"221604 2"</f>
        <v>221604 2</v>
      </c>
      <c r="B2059" s="153" t="s">
        <v>33</v>
      </c>
      <c r="C2059" s="156" t="str">
        <f>IF(OR($A2059="",ISERROR(VALUE(LEFT($A2059,6)))),"",IF(LEN($A2059)=2,"WOJ. ",IF(LEN($A2059)=4,IF(VALUE(RIGHT($A2059,2))&gt;60,"","Powiat "),IF(VALUE(RIGHT($A2059,1))=1,"m. ",IF(VALUE(RIGHT($A2059,1))=2,"gm. w. ",IF(VALUE(RIGHT($A2059,1))=8,"dz. ","gm. m.-w. ")))))&amp;IF(LEN($A2059)=2,TRIM(UPPER(VLOOKUP($A2059,GUS_tabl_1!$A$7:$B$22,2,FALSE))),IF(ISERROR(FIND("..",TRIM(VLOOKUP(IF(AND(LEN($A2059)=4,VALUE(RIGHT($A2059,2))&gt;60),$A2059&amp;"01 1",$A2059),IF(AND(LEN($A2059)=4,VALUE(RIGHT($A2059,2))&lt;60),GUS_tabl_2!$A$8:$B$464,GUS_tabl_21!$A$5:$B$4886),2,FALSE)))),TRIM(VLOOKUP(IF(AND(LEN($A2059)=4,VALUE(RIGHT($A2059,2))&gt;60),$A2059&amp;"01 1",$A2059),IF(AND(LEN($A2059)=4,VALUE(RIGHT($A2059,2))&lt;60),GUS_tabl_2!$A$8:$B$464,GUS_tabl_21!$A$5:$B$4886),2,FALSE)),LEFT(TRIM(VLOOKUP(IF(AND(LEN($A2059)=4,VALUE(RIGHT($A2059,2))&gt;60),$A2059&amp;"01 1",$A2059),IF(AND(LEN($A2059)=4,VALUE(RIGHT($A2059,2))&lt;60),GUS_tabl_2!$A$8:$B$464,GUS_tabl_21!$A$5:$B$4886),2,FALSE)),SUM(FIND("..",TRIM(VLOOKUP(IF(AND(LEN($A2059)=4,VALUE(RIGHT($A2059,2))&gt;60),$A2059&amp;"01 1",$A2059),IF(AND(LEN($A2059)=4,VALUE(RIGHT($A2059,2))&lt;60),GUS_tabl_2!$A$8:$B$464,GUS_tabl_21!$A$5:$B$4886),2,FALSE))),-1)))))</f>
        <v>gm. w. Stary Targ</v>
      </c>
      <c r="D2059" s="141">
        <f>IF(OR($A2059="",ISERROR(VALUE(LEFT($A2059,6)))),"",IF(LEN($A2059)=2,SUMIF($A2060:$A$2965,$A2059&amp;"??",$D2060:$D$2965),IF(AND(LEN($A2059)=4,VALUE(RIGHT($A2059,2))&lt;=60),SUMIF($A2060:$A$2965,$A2059&amp;"????",$D2060:$D$2965),VLOOKUP(IF(LEN($A2059)=4,$A2059&amp;"01 1",$A2059),GUS_tabl_21!$A$5:$F$4886,6,FALSE))))</f>
        <v>6246</v>
      </c>
      <c r="E2059" s="29"/>
    </row>
    <row r="2060" spans="1:5" ht="12" customHeight="1">
      <c r="A2060" s="155" t="str">
        <f>"221605 3"</f>
        <v>221605 3</v>
      </c>
      <c r="B2060" s="153" t="s">
        <v>33</v>
      </c>
      <c r="C2060" s="156" t="str">
        <f>IF(OR($A2060="",ISERROR(VALUE(LEFT($A2060,6)))),"",IF(LEN($A2060)=2,"WOJ. ",IF(LEN($A2060)=4,IF(VALUE(RIGHT($A2060,2))&gt;60,"","Powiat "),IF(VALUE(RIGHT($A2060,1))=1,"m. ",IF(VALUE(RIGHT($A2060,1))=2,"gm. w. ",IF(VALUE(RIGHT($A2060,1))=8,"dz. ","gm. m.-w. ")))))&amp;IF(LEN($A2060)=2,TRIM(UPPER(VLOOKUP($A2060,GUS_tabl_1!$A$7:$B$22,2,FALSE))),IF(ISERROR(FIND("..",TRIM(VLOOKUP(IF(AND(LEN($A2060)=4,VALUE(RIGHT($A2060,2))&gt;60),$A2060&amp;"01 1",$A2060),IF(AND(LEN($A2060)=4,VALUE(RIGHT($A2060,2))&lt;60),GUS_tabl_2!$A$8:$B$464,GUS_tabl_21!$A$5:$B$4886),2,FALSE)))),TRIM(VLOOKUP(IF(AND(LEN($A2060)=4,VALUE(RIGHT($A2060,2))&gt;60),$A2060&amp;"01 1",$A2060),IF(AND(LEN($A2060)=4,VALUE(RIGHT($A2060,2))&lt;60),GUS_tabl_2!$A$8:$B$464,GUS_tabl_21!$A$5:$B$4886),2,FALSE)),LEFT(TRIM(VLOOKUP(IF(AND(LEN($A2060)=4,VALUE(RIGHT($A2060,2))&gt;60),$A2060&amp;"01 1",$A2060),IF(AND(LEN($A2060)=4,VALUE(RIGHT($A2060,2))&lt;60),GUS_tabl_2!$A$8:$B$464,GUS_tabl_21!$A$5:$B$4886),2,FALSE)),SUM(FIND("..",TRIM(VLOOKUP(IF(AND(LEN($A2060)=4,VALUE(RIGHT($A2060,2))&gt;60),$A2060&amp;"01 1",$A2060),IF(AND(LEN($A2060)=4,VALUE(RIGHT($A2060,2))&lt;60),GUS_tabl_2!$A$8:$B$464,GUS_tabl_21!$A$5:$B$4886),2,FALSE))),-1)))))</f>
        <v>gm. m.-w. Sztum</v>
      </c>
      <c r="D2060" s="141">
        <f>IF(OR($A2060="",ISERROR(VALUE(LEFT($A2060,6)))),"",IF(LEN($A2060)=2,SUMIF($A2061:$A$2965,$A2060&amp;"??",$D2061:$D$2965),IF(AND(LEN($A2060)=4,VALUE(RIGHT($A2060,2))&lt;=60),SUMIF($A2061:$A$2965,$A2060&amp;"????",$D2061:$D$2965),VLOOKUP(IF(LEN($A2060)=4,$A2060&amp;"01 1",$A2060),GUS_tabl_21!$A$5:$F$4886,6,FALSE))))</f>
        <v>18291</v>
      </c>
      <c r="E2060" s="29"/>
    </row>
    <row r="2061" spans="1:5" ht="12" customHeight="1">
      <c r="A2061" s="152" t="str">
        <f>"2214"</f>
        <v>2214</v>
      </c>
      <c r="B2061" s="153" t="s">
        <v>33</v>
      </c>
      <c r="C2061" s="154" t="str">
        <f>IF(OR($A2061="",ISERROR(VALUE(LEFT($A2061,6)))),"",IF(LEN($A2061)=2,"WOJ. ",IF(LEN($A2061)=4,IF(VALUE(RIGHT($A2061,2))&gt;60,"","Powiat "),IF(VALUE(RIGHT($A2061,1))=1,"m. ",IF(VALUE(RIGHT($A2061,1))=2,"gm. w. ",IF(VALUE(RIGHT($A2061,1))=8,"dz. ","gm. m.-w. ")))))&amp;IF(LEN($A2061)=2,TRIM(UPPER(VLOOKUP($A2061,GUS_tabl_1!$A$7:$B$22,2,FALSE))),IF(ISERROR(FIND("..",TRIM(VLOOKUP(IF(AND(LEN($A2061)=4,VALUE(RIGHT($A2061,2))&gt;60),$A2061&amp;"01 1",$A2061),IF(AND(LEN($A2061)=4,VALUE(RIGHT($A2061,2))&lt;60),GUS_tabl_2!$A$8:$B$464,GUS_tabl_21!$A$5:$B$4886),2,FALSE)))),TRIM(VLOOKUP(IF(AND(LEN($A2061)=4,VALUE(RIGHT($A2061,2))&gt;60),$A2061&amp;"01 1",$A2061),IF(AND(LEN($A2061)=4,VALUE(RIGHT($A2061,2))&lt;60),GUS_tabl_2!$A$8:$B$464,GUS_tabl_21!$A$5:$B$4886),2,FALSE)),LEFT(TRIM(VLOOKUP(IF(AND(LEN($A2061)=4,VALUE(RIGHT($A2061,2))&gt;60),$A2061&amp;"01 1",$A2061),IF(AND(LEN($A2061)=4,VALUE(RIGHT($A2061,2))&lt;60),GUS_tabl_2!$A$8:$B$464,GUS_tabl_21!$A$5:$B$4886),2,FALSE)),SUM(FIND("..",TRIM(VLOOKUP(IF(AND(LEN($A2061)=4,VALUE(RIGHT($A2061,2))&gt;60),$A2061&amp;"01 1",$A2061),IF(AND(LEN($A2061)=4,VALUE(RIGHT($A2061,2))&lt;60),GUS_tabl_2!$A$8:$B$464,GUS_tabl_21!$A$5:$B$4886),2,FALSE))),-1)))))</f>
        <v>Powiat tczewski</v>
      </c>
      <c r="D2061" s="140">
        <f>IF(OR($A2061="",ISERROR(VALUE(LEFT($A2061,6)))),"",IF(LEN($A2061)=2,SUMIF($A2062:$A$2965,$A2061&amp;"??",$D2062:$D$2965),IF(AND(LEN($A2061)=4,VALUE(RIGHT($A2061,2))&lt;=60),SUMIF($A2062:$A$2965,$A2061&amp;"????",$D2062:$D$2965),VLOOKUP(IF(LEN($A2061)=4,$A2061&amp;"01 1",$A2061),GUS_tabl_21!$A$5:$F$4886,6,FALSE))))</f>
        <v>115728</v>
      </c>
      <c r="E2061" s="29"/>
    </row>
    <row r="2062" spans="1:5" ht="12" customHeight="1">
      <c r="A2062" s="155" t="str">
        <f>"221401 1"</f>
        <v>221401 1</v>
      </c>
      <c r="B2062" s="153" t="s">
        <v>33</v>
      </c>
      <c r="C2062" s="156" t="str">
        <f>IF(OR($A2062="",ISERROR(VALUE(LEFT($A2062,6)))),"",IF(LEN($A2062)=2,"WOJ. ",IF(LEN($A2062)=4,IF(VALUE(RIGHT($A2062,2))&gt;60,"","Powiat "),IF(VALUE(RIGHT($A2062,1))=1,"m. ",IF(VALUE(RIGHT($A2062,1))=2,"gm. w. ",IF(VALUE(RIGHT($A2062,1))=8,"dz. ","gm. m.-w. ")))))&amp;IF(LEN($A2062)=2,TRIM(UPPER(VLOOKUP($A2062,GUS_tabl_1!$A$7:$B$22,2,FALSE))),IF(ISERROR(FIND("..",TRIM(VLOOKUP(IF(AND(LEN($A2062)=4,VALUE(RIGHT($A2062,2))&gt;60),$A2062&amp;"01 1",$A2062),IF(AND(LEN($A2062)=4,VALUE(RIGHT($A2062,2))&lt;60),GUS_tabl_2!$A$8:$B$464,GUS_tabl_21!$A$5:$B$4886),2,FALSE)))),TRIM(VLOOKUP(IF(AND(LEN($A2062)=4,VALUE(RIGHT($A2062,2))&gt;60),$A2062&amp;"01 1",$A2062),IF(AND(LEN($A2062)=4,VALUE(RIGHT($A2062,2))&lt;60),GUS_tabl_2!$A$8:$B$464,GUS_tabl_21!$A$5:$B$4886),2,FALSE)),LEFT(TRIM(VLOOKUP(IF(AND(LEN($A2062)=4,VALUE(RIGHT($A2062,2))&gt;60),$A2062&amp;"01 1",$A2062),IF(AND(LEN($A2062)=4,VALUE(RIGHT($A2062,2))&lt;60),GUS_tabl_2!$A$8:$B$464,GUS_tabl_21!$A$5:$B$4886),2,FALSE)),SUM(FIND("..",TRIM(VLOOKUP(IF(AND(LEN($A2062)=4,VALUE(RIGHT($A2062,2))&gt;60),$A2062&amp;"01 1",$A2062),IF(AND(LEN($A2062)=4,VALUE(RIGHT($A2062,2))&lt;60),GUS_tabl_2!$A$8:$B$464,GUS_tabl_21!$A$5:$B$4886),2,FALSE))),-1)))))</f>
        <v>m. Tczew</v>
      </c>
      <c r="D2062" s="141">
        <f>IF(OR($A2062="",ISERROR(VALUE(LEFT($A2062,6)))),"",IF(LEN($A2062)=2,SUMIF($A2063:$A$2965,$A2062&amp;"??",$D2063:$D$2965),IF(AND(LEN($A2062)=4,VALUE(RIGHT($A2062,2))&lt;=60),SUMIF($A2063:$A$2965,$A2062&amp;"????",$D2063:$D$2965),VLOOKUP(IF(LEN($A2062)=4,$A2062&amp;"01 1",$A2062),GUS_tabl_21!$A$5:$F$4886,6,FALSE))))</f>
        <v>59951</v>
      </c>
      <c r="E2062" s="29"/>
    </row>
    <row r="2063" spans="1:5" ht="12" customHeight="1">
      <c r="A2063" s="155" t="str">
        <f>"221402 3"</f>
        <v>221402 3</v>
      </c>
      <c r="B2063" s="153" t="s">
        <v>33</v>
      </c>
      <c r="C2063" s="156" t="str">
        <f>IF(OR($A2063="",ISERROR(VALUE(LEFT($A2063,6)))),"",IF(LEN($A2063)=2,"WOJ. ",IF(LEN($A2063)=4,IF(VALUE(RIGHT($A2063,2))&gt;60,"","Powiat "),IF(VALUE(RIGHT($A2063,1))=1,"m. ",IF(VALUE(RIGHT($A2063,1))=2,"gm. w. ",IF(VALUE(RIGHT($A2063,1))=8,"dz. ","gm. m.-w. ")))))&amp;IF(LEN($A2063)=2,TRIM(UPPER(VLOOKUP($A2063,GUS_tabl_1!$A$7:$B$22,2,FALSE))),IF(ISERROR(FIND("..",TRIM(VLOOKUP(IF(AND(LEN($A2063)=4,VALUE(RIGHT($A2063,2))&gt;60),$A2063&amp;"01 1",$A2063),IF(AND(LEN($A2063)=4,VALUE(RIGHT($A2063,2))&lt;60),GUS_tabl_2!$A$8:$B$464,GUS_tabl_21!$A$5:$B$4886),2,FALSE)))),TRIM(VLOOKUP(IF(AND(LEN($A2063)=4,VALUE(RIGHT($A2063,2))&gt;60),$A2063&amp;"01 1",$A2063),IF(AND(LEN($A2063)=4,VALUE(RIGHT($A2063,2))&lt;60),GUS_tabl_2!$A$8:$B$464,GUS_tabl_21!$A$5:$B$4886),2,FALSE)),LEFT(TRIM(VLOOKUP(IF(AND(LEN($A2063)=4,VALUE(RIGHT($A2063,2))&gt;60),$A2063&amp;"01 1",$A2063),IF(AND(LEN($A2063)=4,VALUE(RIGHT($A2063,2))&lt;60),GUS_tabl_2!$A$8:$B$464,GUS_tabl_21!$A$5:$B$4886),2,FALSE)),SUM(FIND("..",TRIM(VLOOKUP(IF(AND(LEN($A2063)=4,VALUE(RIGHT($A2063,2))&gt;60),$A2063&amp;"01 1",$A2063),IF(AND(LEN($A2063)=4,VALUE(RIGHT($A2063,2))&lt;60),GUS_tabl_2!$A$8:$B$464,GUS_tabl_21!$A$5:$B$4886),2,FALSE))),-1)))))</f>
        <v>gm. m.-w. Gniew</v>
      </c>
      <c r="D2063" s="141">
        <f>IF(OR($A2063="",ISERROR(VALUE(LEFT($A2063,6)))),"",IF(LEN($A2063)=2,SUMIF($A2064:$A$2965,$A2063&amp;"??",$D2064:$D$2965),IF(AND(LEN($A2063)=4,VALUE(RIGHT($A2063,2))&lt;=60),SUMIF($A2064:$A$2965,$A2063&amp;"????",$D2064:$D$2965),VLOOKUP(IF(LEN($A2063)=4,$A2063&amp;"01 1",$A2063),GUS_tabl_21!$A$5:$F$4886,6,FALSE))))</f>
        <v>15443</v>
      </c>
      <c r="E2063" s="29"/>
    </row>
    <row r="2064" spans="1:5" ht="12" customHeight="1">
      <c r="A2064" s="155" t="str">
        <f>"221403 2"</f>
        <v>221403 2</v>
      </c>
      <c r="B2064" s="153" t="s">
        <v>33</v>
      </c>
      <c r="C2064" s="156" t="str">
        <f>IF(OR($A2064="",ISERROR(VALUE(LEFT($A2064,6)))),"",IF(LEN($A2064)=2,"WOJ. ",IF(LEN($A2064)=4,IF(VALUE(RIGHT($A2064,2))&gt;60,"","Powiat "),IF(VALUE(RIGHT($A2064,1))=1,"m. ",IF(VALUE(RIGHT($A2064,1))=2,"gm. w. ",IF(VALUE(RIGHT($A2064,1))=8,"dz. ","gm. m.-w. ")))))&amp;IF(LEN($A2064)=2,TRIM(UPPER(VLOOKUP($A2064,GUS_tabl_1!$A$7:$B$22,2,FALSE))),IF(ISERROR(FIND("..",TRIM(VLOOKUP(IF(AND(LEN($A2064)=4,VALUE(RIGHT($A2064,2))&gt;60),$A2064&amp;"01 1",$A2064),IF(AND(LEN($A2064)=4,VALUE(RIGHT($A2064,2))&lt;60),GUS_tabl_2!$A$8:$B$464,GUS_tabl_21!$A$5:$B$4886),2,FALSE)))),TRIM(VLOOKUP(IF(AND(LEN($A2064)=4,VALUE(RIGHT($A2064,2))&gt;60),$A2064&amp;"01 1",$A2064),IF(AND(LEN($A2064)=4,VALUE(RIGHT($A2064,2))&lt;60),GUS_tabl_2!$A$8:$B$464,GUS_tabl_21!$A$5:$B$4886),2,FALSE)),LEFT(TRIM(VLOOKUP(IF(AND(LEN($A2064)=4,VALUE(RIGHT($A2064,2))&gt;60),$A2064&amp;"01 1",$A2064),IF(AND(LEN($A2064)=4,VALUE(RIGHT($A2064,2))&lt;60),GUS_tabl_2!$A$8:$B$464,GUS_tabl_21!$A$5:$B$4886),2,FALSE)),SUM(FIND("..",TRIM(VLOOKUP(IF(AND(LEN($A2064)=4,VALUE(RIGHT($A2064,2))&gt;60),$A2064&amp;"01 1",$A2064),IF(AND(LEN($A2064)=4,VALUE(RIGHT($A2064,2))&lt;60),GUS_tabl_2!$A$8:$B$464,GUS_tabl_21!$A$5:$B$4886),2,FALSE))),-1)))))</f>
        <v>gm. w. Morzeszczyn</v>
      </c>
      <c r="D2064" s="141">
        <f>IF(OR($A2064="",ISERROR(VALUE(LEFT($A2064,6)))),"",IF(LEN($A2064)=2,SUMIF($A2065:$A$2965,$A2064&amp;"??",$D2065:$D$2965),IF(AND(LEN($A2064)=4,VALUE(RIGHT($A2064,2))&lt;=60),SUMIF($A2065:$A$2965,$A2064&amp;"????",$D2065:$D$2965),VLOOKUP(IF(LEN($A2064)=4,$A2064&amp;"01 1",$A2064),GUS_tabl_21!$A$5:$F$4886,6,FALSE))))</f>
        <v>3649</v>
      </c>
      <c r="E2064" s="29"/>
    </row>
    <row r="2065" spans="1:5" ht="12" customHeight="1">
      <c r="A2065" s="155" t="str">
        <f>"221404 3"</f>
        <v>221404 3</v>
      </c>
      <c r="B2065" s="153" t="s">
        <v>33</v>
      </c>
      <c r="C2065" s="156" t="str">
        <f>IF(OR($A2065="",ISERROR(VALUE(LEFT($A2065,6)))),"",IF(LEN($A2065)=2,"WOJ. ",IF(LEN($A2065)=4,IF(VALUE(RIGHT($A2065,2))&gt;60,"","Powiat "),IF(VALUE(RIGHT($A2065,1))=1,"m. ",IF(VALUE(RIGHT($A2065,1))=2,"gm. w. ",IF(VALUE(RIGHT($A2065,1))=8,"dz. ","gm. m.-w. ")))))&amp;IF(LEN($A2065)=2,TRIM(UPPER(VLOOKUP($A2065,GUS_tabl_1!$A$7:$B$22,2,FALSE))),IF(ISERROR(FIND("..",TRIM(VLOOKUP(IF(AND(LEN($A2065)=4,VALUE(RIGHT($A2065,2))&gt;60),$A2065&amp;"01 1",$A2065),IF(AND(LEN($A2065)=4,VALUE(RIGHT($A2065,2))&lt;60),GUS_tabl_2!$A$8:$B$464,GUS_tabl_21!$A$5:$B$4886),2,FALSE)))),TRIM(VLOOKUP(IF(AND(LEN($A2065)=4,VALUE(RIGHT($A2065,2))&gt;60),$A2065&amp;"01 1",$A2065),IF(AND(LEN($A2065)=4,VALUE(RIGHT($A2065,2))&lt;60),GUS_tabl_2!$A$8:$B$464,GUS_tabl_21!$A$5:$B$4886),2,FALSE)),LEFT(TRIM(VLOOKUP(IF(AND(LEN($A2065)=4,VALUE(RIGHT($A2065,2))&gt;60),$A2065&amp;"01 1",$A2065),IF(AND(LEN($A2065)=4,VALUE(RIGHT($A2065,2))&lt;60),GUS_tabl_2!$A$8:$B$464,GUS_tabl_21!$A$5:$B$4886),2,FALSE)),SUM(FIND("..",TRIM(VLOOKUP(IF(AND(LEN($A2065)=4,VALUE(RIGHT($A2065,2))&gt;60),$A2065&amp;"01 1",$A2065),IF(AND(LEN($A2065)=4,VALUE(RIGHT($A2065,2))&lt;60),GUS_tabl_2!$A$8:$B$464,GUS_tabl_21!$A$5:$B$4886),2,FALSE))),-1)))))</f>
        <v>gm. m.-w. Pelplin</v>
      </c>
      <c r="D2065" s="141">
        <f>IF(OR($A2065="",ISERROR(VALUE(LEFT($A2065,6)))),"",IF(LEN($A2065)=2,SUMIF($A2066:$A$2965,$A2065&amp;"??",$D2066:$D$2965),IF(AND(LEN($A2065)=4,VALUE(RIGHT($A2065,2))&lt;=60),SUMIF($A2066:$A$2965,$A2065&amp;"????",$D2066:$D$2965),VLOOKUP(IF(LEN($A2065)=4,$A2065&amp;"01 1",$A2065),GUS_tabl_21!$A$5:$F$4886,6,FALSE))))</f>
        <v>16166</v>
      </c>
      <c r="E2065" s="29"/>
    </row>
    <row r="2066" spans="1:5" ht="12" customHeight="1">
      <c r="A2066" s="155" t="str">
        <f>"221405 2"</f>
        <v>221405 2</v>
      </c>
      <c r="B2066" s="153" t="s">
        <v>33</v>
      </c>
      <c r="C2066" s="156" t="str">
        <f>IF(OR($A2066="",ISERROR(VALUE(LEFT($A2066,6)))),"",IF(LEN($A2066)=2,"WOJ. ",IF(LEN($A2066)=4,IF(VALUE(RIGHT($A2066,2))&gt;60,"","Powiat "),IF(VALUE(RIGHT($A2066,1))=1,"m. ",IF(VALUE(RIGHT($A2066,1))=2,"gm. w. ",IF(VALUE(RIGHT($A2066,1))=8,"dz. ","gm. m.-w. ")))))&amp;IF(LEN($A2066)=2,TRIM(UPPER(VLOOKUP($A2066,GUS_tabl_1!$A$7:$B$22,2,FALSE))),IF(ISERROR(FIND("..",TRIM(VLOOKUP(IF(AND(LEN($A2066)=4,VALUE(RIGHT($A2066,2))&gt;60),$A2066&amp;"01 1",$A2066),IF(AND(LEN($A2066)=4,VALUE(RIGHT($A2066,2))&lt;60),GUS_tabl_2!$A$8:$B$464,GUS_tabl_21!$A$5:$B$4886),2,FALSE)))),TRIM(VLOOKUP(IF(AND(LEN($A2066)=4,VALUE(RIGHT($A2066,2))&gt;60),$A2066&amp;"01 1",$A2066),IF(AND(LEN($A2066)=4,VALUE(RIGHT($A2066,2))&lt;60),GUS_tabl_2!$A$8:$B$464,GUS_tabl_21!$A$5:$B$4886),2,FALSE)),LEFT(TRIM(VLOOKUP(IF(AND(LEN($A2066)=4,VALUE(RIGHT($A2066,2))&gt;60),$A2066&amp;"01 1",$A2066),IF(AND(LEN($A2066)=4,VALUE(RIGHT($A2066,2))&lt;60),GUS_tabl_2!$A$8:$B$464,GUS_tabl_21!$A$5:$B$4886),2,FALSE)),SUM(FIND("..",TRIM(VLOOKUP(IF(AND(LEN($A2066)=4,VALUE(RIGHT($A2066,2))&gt;60),$A2066&amp;"01 1",$A2066),IF(AND(LEN($A2066)=4,VALUE(RIGHT($A2066,2))&lt;60),GUS_tabl_2!$A$8:$B$464,GUS_tabl_21!$A$5:$B$4886),2,FALSE))),-1)))))</f>
        <v>gm. w. Subkowy</v>
      </c>
      <c r="D2066" s="141">
        <f>IF(OR($A2066="",ISERROR(VALUE(LEFT($A2066,6)))),"",IF(LEN($A2066)=2,SUMIF($A2067:$A$2965,$A2066&amp;"??",$D2067:$D$2965),IF(AND(LEN($A2066)=4,VALUE(RIGHT($A2066,2))&lt;=60),SUMIF($A2067:$A$2965,$A2066&amp;"????",$D2067:$D$2965),VLOOKUP(IF(LEN($A2066)=4,$A2066&amp;"01 1",$A2066),GUS_tabl_21!$A$5:$F$4886,6,FALSE))))</f>
        <v>5484</v>
      </c>
      <c r="E2066" s="29"/>
    </row>
    <row r="2067" spans="1:5" ht="12" customHeight="1">
      <c r="A2067" s="155" t="str">
        <f>"221406 2"</f>
        <v>221406 2</v>
      </c>
      <c r="B2067" s="153" t="s">
        <v>33</v>
      </c>
      <c r="C2067" s="156" t="str">
        <f>IF(OR($A2067="",ISERROR(VALUE(LEFT($A2067,6)))),"",IF(LEN($A2067)=2,"WOJ. ",IF(LEN($A2067)=4,IF(VALUE(RIGHT($A2067,2))&gt;60,"","Powiat "),IF(VALUE(RIGHT($A2067,1))=1,"m. ",IF(VALUE(RIGHT($A2067,1))=2,"gm. w. ",IF(VALUE(RIGHT($A2067,1))=8,"dz. ","gm. m.-w. ")))))&amp;IF(LEN($A2067)=2,TRIM(UPPER(VLOOKUP($A2067,GUS_tabl_1!$A$7:$B$22,2,FALSE))),IF(ISERROR(FIND("..",TRIM(VLOOKUP(IF(AND(LEN($A2067)=4,VALUE(RIGHT($A2067,2))&gt;60),$A2067&amp;"01 1",$A2067),IF(AND(LEN($A2067)=4,VALUE(RIGHT($A2067,2))&lt;60),GUS_tabl_2!$A$8:$B$464,GUS_tabl_21!$A$5:$B$4886),2,FALSE)))),TRIM(VLOOKUP(IF(AND(LEN($A2067)=4,VALUE(RIGHT($A2067,2))&gt;60),$A2067&amp;"01 1",$A2067),IF(AND(LEN($A2067)=4,VALUE(RIGHT($A2067,2))&lt;60),GUS_tabl_2!$A$8:$B$464,GUS_tabl_21!$A$5:$B$4886),2,FALSE)),LEFT(TRIM(VLOOKUP(IF(AND(LEN($A2067)=4,VALUE(RIGHT($A2067,2))&gt;60),$A2067&amp;"01 1",$A2067),IF(AND(LEN($A2067)=4,VALUE(RIGHT($A2067,2))&lt;60),GUS_tabl_2!$A$8:$B$464,GUS_tabl_21!$A$5:$B$4886),2,FALSE)),SUM(FIND("..",TRIM(VLOOKUP(IF(AND(LEN($A2067)=4,VALUE(RIGHT($A2067,2))&gt;60),$A2067&amp;"01 1",$A2067),IF(AND(LEN($A2067)=4,VALUE(RIGHT($A2067,2))&lt;60),GUS_tabl_2!$A$8:$B$464,GUS_tabl_21!$A$5:$B$4886),2,FALSE))),-1)))))</f>
        <v>gm. w. Tczew</v>
      </c>
      <c r="D2067" s="141">
        <f>IF(OR($A2067="",ISERROR(VALUE(LEFT($A2067,6)))),"",IF(LEN($A2067)=2,SUMIF($A2068:$A$2965,$A2067&amp;"??",$D2068:$D$2965),IF(AND(LEN($A2067)=4,VALUE(RIGHT($A2067,2))&lt;=60),SUMIF($A2068:$A$2965,$A2067&amp;"????",$D2068:$D$2965),VLOOKUP(IF(LEN($A2067)=4,$A2067&amp;"01 1",$A2067),GUS_tabl_21!$A$5:$F$4886,6,FALSE))))</f>
        <v>15035</v>
      </c>
      <c r="E2067" s="29"/>
    </row>
    <row r="2068" spans="1:5" ht="12" customHeight="1">
      <c r="A2068" s="152" t="str">
        <f>"2215"</f>
        <v>2215</v>
      </c>
      <c r="B2068" s="153" t="s">
        <v>33</v>
      </c>
      <c r="C2068" s="154" t="str">
        <f>IF(OR($A2068="",ISERROR(VALUE(LEFT($A2068,6)))),"",IF(LEN($A2068)=2,"WOJ. ",IF(LEN($A2068)=4,IF(VALUE(RIGHT($A2068,2))&gt;60,"","Powiat "),IF(VALUE(RIGHT($A2068,1))=1,"m. ",IF(VALUE(RIGHT($A2068,1))=2,"gm. w. ",IF(VALUE(RIGHT($A2068,1))=8,"dz. ","gm. m.-w. ")))))&amp;IF(LEN($A2068)=2,TRIM(UPPER(VLOOKUP($A2068,GUS_tabl_1!$A$7:$B$22,2,FALSE))),IF(ISERROR(FIND("..",TRIM(VLOOKUP(IF(AND(LEN($A2068)=4,VALUE(RIGHT($A2068,2))&gt;60),$A2068&amp;"01 1",$A2068),IF(AND(LEN($A2068)=4,VALUE(RIGHT($A2068,2))&lt;60),GUS_tabl_2!$A$8:$B$464,GUS_tabl_21!$A$5:$B$4886),2,FALSE)))),TRIM(VLOOKUP(IF(AND(LEN($A2068)=4,VALUE(RIGHT($A2068,2))&gt;60),$A2068&amp;"01 1",$A2068),IF(AND(LEN($A2068)=4,VALUE(RIGHT($A2068,2))&lt;60),GUS_tabl_2!$A$8:$B$464,GUS_tabl_21!$A$5:$B$4886),2,FALSE)),LEFT(TRIM(VLOOKUP(IF(AND(LEN($A2068)=4,VALUE(RIGHT($A2068,2))&gt;60),$A2068&amp;"01 1",$A2068),IF(AND(LEN($A2068)=4,VALUE(RIGHT($A2068,2))&lt;60),GUS_tabl_2!$A$8:$B$464,GUS_tabl_21!$A$5:$B$4886),2,FALSE)),SUM(FIND("..",TRIM(VLOOKUP(IF(AND(LEN($A2068)=4,VALUE(RIGHT($A2068,2))&gt;60),$A2068&amp;"01 1",$A2068),IF(AND(LEN($A2068)=4,VALUE(RIGHT($A2068,2))&lt;60),GUS_tabl_2!$A$8:$B$464,GUS_tabl_21!$A$5:$B$4886),2,FALSE))),-1)))))</f>
        <v>Powiat wejherowski</v>
      </c>
      <c r="D2068" s="140">
        <f>IF(OR($A2068="",ISERROR(VALUE(LEFT($A2068,6)))),"",IF(LEN($A2068)=2,SUMIF($A2069:$A$2965,$A2068&amp;"??",$D2069:$D$2965),IF(AND(LEN($A2068)=4,VALUE(RIGHT($A2068,2))&lt;=60),SUMIF($A2069:$A$2965,$A2068&amp;"????",$D2069:$D$2965),VLOOKUP(IF(LEN($A2068)=4,$A2068&amp;"01 1",$A2068),GUS_tabl_21!$A$5:$F$4886,6,FALSE))))</f>
        <v>217846</v>
      </c>
      <c r="E2068" s="29"/>
    </row>
    <row r="2069" spans="1:5" ht="12" customHeight="1">
      <c r="A2069" s="155" t="str">
        <f>"221501 1"</f>
        <v>221501 1</v>
      </c>
      <c r="B2069" s="153" t="s">
        <v>33</v>
      </c>
      <c r="C2069" s="156" t="str">
        <f>IF(OR($A2069="",ISERROR(VALUE(LEFT($A2069,6)))),"",IF(LEN($A2069)=2,"WOJ. ",IF(LEN($A2069)=4,IF(VALUE(RIGHT($A2069,2))&gt;60,"","Powiat "),IF(VALUE(RIGHT($A2069,1))=1,"m. ",IF(VALUE(RIGHT($A2069,1))=2,"gm. w. ",IF(VALUE(RIGHT($A2069,1))=8,"dz. ","gm. m.-w. ")))))&amp;IF(LEN($A2069)=2,TRIM(UPPER(VLOOKUP($A2069,GUS_tabl_1!$A$7:$B$22,2,FALSE))),IF(ISERROR(FIND("..",TRIM(VLOOKUP(IF(AND(LEN($A2069)=4,VALUE(RIGHT($A2069,2))&gt;60),$A2069&amp;"01 1",$A2069),IF(AND(LEN($A2069)=4,VALUE(RIGHT($A2069,2))&lt;60),GUS_tabl_2!$A$8:$B$464,GUS_tabl_21!$A$5:$B$4886),2,FALSE)))),TRIM(VLOOKUP(IF(AND(LEN($A2069)=4,VALUE(RIGHT($A2069,2))&gt;60),$A2069&amp;"01 1",$A2069),IF(AND(LEN($A2069)=4,VALUE(RIGHT($A2069,2))&lt;60),GUS_tabl_2!$A$8:$B$464,GUS_tabl_21!$A$5:$B$4886),2,FALSE)),LEFT(TRIM(VLOOKUP(IF(AND(LEN($A2069)=4,VALUE(RIGHT($A2069,2))&gt;60),$A2069&amp;"01 1",$A2069),IF(AND(LEN($A2069)=4,VALUE(RIGHT($A2069,2))&lt;60),GUS_tabl_2!$A$8:$B$464,GUS_tabl_21!$A$5:$B$4886),2,FALSE)),SUM(FIND("..",TRIM(VLOOKUP(IF(AND(LEN($A2069)=4,VALUE(RIGHT($A2069,2))&gt;60),$A2069&amp;"01 1",$A2069),IF(AND(LEN($A2069)=4,VALUE(RIGHT($A2069,2))&lt;60),GUS_tabl_2!$A$8:$B$464,GUS_tabl_21!$A$5:$B$4886),2,FALSE))),-1)))))</f>
        <v>m. Reda</v>
      </c>
      <c r="D2069" s="141">
        <f>IF(OR($A2069="",ISERROR(VALUE(LEFT($A2069,6)))),"",IF(LEN($A2069)=2,SUMIF($A2070:$A$2965,$A2069&amp;"??",$D2070:$D$2965),IF(AND(LEN($A2069)=4,VALUE(RIGHT($A2069,2))&lt;=60),SUMIF($A2070:$A$2965,$A2069&amp;"????",$D2070:$D$2965),VLOOKUP(IF(LEN($A2069)=4,$A2069&amp;"01 1",$A2069),GUS_tabl_21!$A$5:$F$4886,6,FALSE))))</f>
        <v>26307</v>
      </c>
      <c r="E2069" s="29"/>
    </row>
    <row r="2070" spans="1:5" ht="12" customHeight="1">
      <c r="A2070" s="155" t="str">
        <f>"221502 1"</f>
        <v>221502 1</v>
      </c>
      <c r="B2070" s="153" t="s">
        <v>33</v>
      </c>
      <c r="C2070" s="156" t="str">
        <f>IF(OR($A2070="",ISERROR(VALUE(LEFT($A2070,6)))),"",IF(LEN($A2070)=2,"WOJ. ",IF(LEN($A2070)=4,IF(VALUE(RIGHT($A2070,2))&gt;60,"","Powiat "),IF(VALUE(RIGHT($A2070,1))=1,"m. ",IF(VALUE(RIGHT($A2070,1))=2,"gm. w. ",IF(VALUE(RIGHT($A2070,1))=8,"dz. ","gm. m.-w. ")))))&amp;IF(LEN($A2070)=2,TRIM(UPPER(VLOOKUP($A2070,GUS_tabl_1!$A$7:$B$22,2,FALSE))),IF(ISERROR(FIND("..",TRIM(VLOOKUP(IF(AND(LEN($A2070)=4,VALUE(RIGHT($A2070,2))&gt;60),$A2070&amp;"01 1",$A2070),IF(AND(LEN($A2070)=4,VALUE(RIGHT($A2070,2))&lt;60),GUS_tabl_2!$A$8:$B$464,GUS_tabl_21!$A$5:$B$4886),2,FALSE)))),TRIM(VLOOKUP(IF(AND(LEN($A2070)=4,VALUE(RIGHT($A2070,2))&gt;60),$A2070&amp;"01 1",$A2070),IF(AND(LEN($A2070)=4,VALUE(RIGHT($A2070,2))&lt;60),GUS_tabl_2!$A$8:$B$464,GUS_tabl_21!$A$5:$B$4886),2,FALSE)),LEFT(TRIM(VLOOKUP(IF(AND(LEN($A2070)=4,VALUE(RIGHT($A2070,2))&gt;60),$A2070&amp;"01 1",$A2070),IF(AND(LEN($A2070)=4,VALUE(RIGHT($A2070,2))&lt;60),GUS_tabl_2!$A$8:$B$464,GUS_tabl_21!$A$5:$B$4886),2,FALSE)),SUM(FIND("..",TRIM(VLOOKUP(IF(AND(LEN($A2070)=4,VALUE(RIGHT($A2070,2))&gt;60),$A2070&amp;"01 1",$A2070),IF(AND(LEN($A2070)=4,VALUE(RIGHT($A2070,2))&lt;60),GUS_tabl_2!$A$8:$B$464,GUS_tabl_21!$A$5:$B$4886),2,FALSE))),-1)))))</f>
        <v>m. Rumia</v>
      </c>
      <c r="D2070" s="141">
        <f>IF(OR($A2070="",ISERROR(VALUE(LEFT($A2070,6)))),"",IF(LEN($A2070)=2,SUMIF($A2071:$A$2965,$A2070&amp;"??",$D2071:$D$2965),IF(AND(LEN($A2070)=4,VALUE(RIGHT($A2070,2))&lt;=60),SUMIF($A2071:$A$2965,$A2070&amp;"????",$D2071:$D$2965),VLOOKUP(IF(LEN($A2070)=4,$A2070&amp;"01 1",$A2070),GUS_tabl_21!$A$5:$F$4886,6,FALSE))))</f>
        <v>49230</v>
      </c>
      <c r="E2070" s="29"/>
    </row>
    <row r="2071" spans="1:5" ht="12" customHeight="1">
      <c r="A2071" s="155" t="str">
        <f>"221503 1"</f>
        <v>221503 1</v>
      </c>
      <c r="B2071" s="153" t="s">
        <v>33</v>
      </c>
      <c r="C2071" s="156" t="str">
        <f>IF(OR($A2071="",ISERROR(VALUE(LEFT($A2071,6)))),"",IF(LEN($A2071)=2,"WOJ. ",IF(LEN($A2071)=4,IF(VALUE(RIGHT($A2071,2))&gt;60,"","Powiat "),IF(VALUE(RIGHT($A2071,1))=1,"m. ",IF(VALUE(RIGHT($A2071,1))=2,"gm. w. ",IF(VALUE(RIGHT($A2071,1))=8,"dz. ","gm. m.-w. ")))))&amp;IF(LEN($A2071)=2,TRIM(UPPER(VLOOKUP($A2071,GUS_tabl_1!$A$7:$B$22,2,FALSE))),IF(ISERROR(FIND("..",TRIM(VLOOKUP(IF(AND(LEN($A2071)=4,VALUE(RIGHT($A2071,2))&gt;60),$A2071&amp;"01 1",$A2071),IF(AND(LEN($A2071)=4,VALUE(RIGHT($A2071,2))&lt;60),GUS_tabl_2!$A$8:$B$464,GUS_tabl_21!$A$5:$B$4886),2,FALSE)))),TRIM(VLOOKUP(IF(AND(LEN($A2071)=4,VALUE(RIGHT($A2071,2))&gt;60),$A2071&amp;"01 1",$A2071),IF(AND(LEN($A2071)=4,VALUE(RIGHT($A2071,2))&lt;60),GUS_tabl_2!$A$8:$B$464,GUS_tabl_21!$A$5:$B$4886),2,FALSE)),LEFT(TRIM(VLOOKUP(IF(AND(LEN($A2071)=4,VALUE(RIGHT($A2071,2))&gt;60),$A2071&amp;"01 1",$A2071),IF(AND(LEN($A2071)=4,VALUE(RIGHT($A2071,2))&lt;60),GUS_tabl_2!$A$8:$B$464,GUS_tabl_21!$A$5:$B$4886),2,FALSE)),SUM(FIND("..",TRIM(VLOOKUP(IF(AND(LEN($A2071)=4,VALUE(RIGHT($A2071,2))&gt;60),$A2071&amp;"01 1",$A2071),IF(AND(LEN($A2071)=4,VALUE(RIGHT($A2071,2))&lt;60),GUS_tabl_2!$A$8:$B$464,GUS_tabl_21!$A$5:$B$4886),2,FALSE))),-1)))))</f>
        <v>m. Wejherowo</v>
      </c>
      <c r="D2071" s="141">
        <f>IF(OR($A2071="",ISERROR(VALUE(LEFT($A2071,6)))),"",IF(LEN($A2071)=2,SUMIF($A2072:$A$2965,$A2071&amp;"??",$D2072:$D$2965),IF(AND(LEN($A2071)=4,VALUE(RIGHT($A2071,2))&lt;=60),SUMIF($A2072:$A$2965,$A2071&amp;"????",$D2072:$D$2965),VLOOKUP(IF(LEN($A2071)=4,$A2071&amp;"01 1",$A2071),GUS_tabl_21!$A$5:$F$4886,6,FALSE))))</f>
        <v>49505</v>
      </c>
      <c r="E2071" s="29"/>
    </row>
    <row r="2072" spans="1:5" ht="12" customHeight="1">
      <c r="A2072" s="155" t="str">
        <f>"221504 2"</f>
        <v>221504 2</v>
      </c>
      <c r="B2072" s="153" t="s">
        <v>33</v>
      </c>
      <c r="C2072" s="156" t="str">
        <f>IF(OR($A2072="",ISERROR(VALUE(LEFT($A2072,6)))),"",IF(LEN($A2072)=2,"WOJ. ",IF(LEN($A2072)=4,IF(VALUE(RIGHT($A2072,2))&gt;60,"","Powiat "),IF(VALUE(RIGHT($A2072,1))=1,"m. ",IF(VALUE(RIGHT($A2072,1))=2,"gm. w. ",IF(VALUE(RIGHT($A2072,1))=8,"dz. ","gm. m.-w. ")))))&amp;IF(LEN($A2072)=2,TRIM(UPPER(VLOOKUP($A2072,GUS_tabl_1!$A$7:$B$22,2,FALSE))),IF(ISERROR(FIND("..",TRIM(VLOOKUP(IF(AND(LEN($A2072)=4,VALUE(RIGHT($A2072,2))&gt;60),$A2072&amp;"01 1",$A2072),IF(AND(LEN($A2072)=4,VALUE(RIGHT($A2072,2))&lt;60),GUS_tabl_2!$A$8:$B$464,GUS_tabl_21!$A$5:$B$4886),2,FALSE)))),TRIM(VLOOKUP(IF(AND(LEN($A2072)=4,VALUE(RIGHT($A2072,2))&gt;60),$A2072&amp;"01 1",$A2072),IF(AND(LEN($A2072)=4,VALUE(RIGHT($A2072,2))&lt;60),GUS_tabl_2!$A$8:$B$464,GUS_tabl_21!$A$5:$B$4886),2,FALSE)),LEFT(TRIM(VLOOKUP(IF(AND(LEN($A2072)=4,VALUE(RIGHT($A2072,2))&gt;60),$A2072&amp;"01 1",$A2072),IF(AND(LEN($A2072)=4,VALUE(RIGHT($A2072,2))&lt;60),GUS_tabl_2!$A$8:$B$464,GUS_tabl_21!$A$5:$B$4886),2,FALSE)),SUM(FIND("..",TRIM(VLOOKUP(IF(AND(LEN($A2072)=4,VALUE(RIGHT($A2072,2))&gt;60),$A2072&amp;"01 1",$A2072),IF(AND(LEN($A2072)=4,VALUE(RIGHT($A2072,2))&lt;60),GUS_tabl_2!$A$8:$B$464,GUS_tabl_21!$A$5:$B$4886),2,FALSE))),-1)))))</f>
        <v>gm. w. Choczewo</v>
      </c>
      <c r="D2072" s="141">
        <f>IF(OR($A2072="",ISERROR(VALUE(LEFT($A2072,6)))),"",IF(LEN($A2072)=2,SUMIF($A2073:$A$2965,$A2072&amp;"??",$D2073:$D$2965),IF(AND(LEN($A2072)=4,VALUE(RIGHT($A2072,2))&lt;=60),SUMIF($A2073:$A$2965,$A2072&amp;"????",$D2073:$D$2965),VLOOKUP(IF(LEN($A2072)=4,$A2072&amp;"01 1",$A2072),GUS_tabl_21!$A$5:$F$4886,6,FALSE))))</f>
        <v>5495</v>
      </c>
      <c r="E2072" s="29"/>
    </row>
    <row r="2073" spans="1:5" ht="12" customHeight="1">
      <c r="A2073" s="155" t="str">
        <f>"221505 2"</f>
        <v>221505 2</v>
      </c>
      <c r="B2073" s="153" t="s">
        <v>33</v>
      </c>
      <c r="C2073" s="156" t="str">
        <f>IF(OR($A2073="",ISERROR(VALUE(LEFT($A2073,6)))),"",IF(LEN($A2073)=2,"WOJ. ",IF(LEN($A2073)=4,IF(VALUE(RIGHT($A2073,2))&gt;60,"","Powiat "),IF(VALUE(RIGHT($A2073,1))=1,"m. ",IF(VALUE(RIGHT($A2073,1))=2,"gm. w. ",IF(VALUE(RIGHT($A2073,1))=8,"dz. ","gm. m.-w. ")))))&amp;IF(LEN($A2073)=2,TRIM(UPPER(VLOOKUP($A2073,GUS_tabl_1!$A$7:$B$22,2,FALSE))),IF(ISERROR(FIND("..",TRIM(VLOOKUP(IF(AND(LEN($A2073)=4,VALUE(RIGHT($A2073,2))&gt;60),$A2073&amp;"01 1",$A2073),IF(AND(LEN($A2073)=4,VALUE(RIGHT($A2073,2))&lt;60),GUS_tabl_2!$A$8:$B$464,GUS_tabl_21!$A$5:$B$4886),2,FALSE)))),TRIM(VLOOKUP(IF(AND(LEN($A2073)=4,VALUE(RIGHT($A2073,2))&gt;60),$A2073&amp;"01 1",$A2073),IF(AND(LEN($A2073)=4,VALUE(RIGHT($A2073,2))&lt;60),GUS_tabl_2!$A$8:$B$464,GUS_tabl_21!$A$5:$B$4886),2,FALSE)),LEFT(TRIM(VLOOKUP(IF(AND(LEN($A2073)=4,VALUE(RIGHT($A2073,2))&gt;60),$A2073&amp;"01 1",$A2073),IF(AND(LEN($A2073)=4,VALUE(RIGHT($A2073,2))&lt;60),GUS_tabl_2!$A$8:$B$464,GUS_tabl_21!$A$5:$B$4886),2,FALSE)),SUM(FIND("..",TRIM(VLOOKUP(IF(AND(LEN($A2073)=4,VALUE(RIGHT($A2073,2))&gt;60),$A2073&amp;"01 1",$A2073),IF(AND(LEN($A2073)=4,VALUE(RIGHT($A2073,2))&lt;60),GUS_tabl_2!$A$8:$B$464,GUS_tabl_21!$A$5:$B$4886),2,FALSE))),-1)))))</f>
        <v>gm. w. Gniewino</v>
      </c>
      <c r="D2073" s="141">
        <f>IF(OR($A2073="",ISERROR(VALUE(LEFT($A2073,6)))),"",IF(LEN($A2073)=2,SUMIF($A2074:$A$2965,$A2073&amp;"??",$D2074:$D$2965),IF(AND(LEN($A2073)=4,VALUE(RIGHT($A2073,2))&lt;=60),SUMIF($A2074:$A$2965,$A2073&amp;"????",$D2074:$D$2965),VLOOKUP(IF(LEN($A2073)=4,$A2073&amp;"01 1",$A2073),GUS_tabl_21!$A$5:$F$4886,6,FALSE))))</f>
        <v>7436</v>
      </c>
      <c r="E2073" s="29"/>
    </row>
    <row r="2074" spans="1:5" ht="12" customHeight="1">
      <c r="A2074" s="155" t="str">
        <f>"221506 2"</f>
        <v>221506 2</v>
      </c>
      <c r="B2074" s="153" t="s">
        <v>33</v>
      </c>
      <c r="C2074" s="156" t="str">
        <f>IF(OR($A2074="",ISERROR(VALUE(LEFT($A2074,6)))),"",IF(LEN($A2074)=2,"WOJ. ",IF(LEN($A2074)=4,IF(VALUE(RIGHT($A2074,2))&gt;60,"","Powiat "),IF(VALUE(RIGHT($A2074,1))=1,"m. ",IF(VALUE(RIGHT($A2074,1))=2,"gm. w. ",IF(VALUE(RIGHT($A2074,1))=8,"dz. ","gm. m.-w. ")))))&amp;IF(LEN($A2074)=2,TRIM(UPPER(VLOOKUP($A2074,GUS_tabl_1!$A$7:$B$22,2,FALSE))),IF(ISERROR(FIND("..",TRIM(VLOOKUP(IF(AND(LEN($A2074)=4,VALUE(RIGHT($A2074,2))&gt;60),$A2074&amp;"01 1",$A2074),IF(AND(LEN($A2074)=4,VALUE(RIGHT($A2074,2))&lt;60),GUS_tabl_2!$A$8:$B$464,GUS_tabl_21!$A$5:$B$4886),2,FALSE)))),TRIM(VLOOKUP(IF(AND(LEN($A2074)=4,VALUE(RIGHT($A2074,2))&gt;60),$A2074&amp;"01 1",$A2074),IF(AND(LEN($A2074)=4,VALUE(RIGHT($A2074,2))&lt;60),GUS_tabl_2!$A$8:$B$464,GUS_tabl_21!$A$5:$B$4886),2,FALSE)),LEFT(TRIM(VLOOKUP(IF(AND(LEN($A2074)=4,VALUE(RIGHT($A2074,2))&gt;60),$A2074&amp;"01 1",$A2074),IF(AND(LEN($A2074)=4,VALUE(RIGHT($A2074,2))&lt;60),GUS_tabl_2!$A$8:$B$464,GUS_tabl_21!$A$5:$B$4886),2,FALSE)),SUM(FIND("..",TRIM(VLOOKUP(IF(AND(LEN($A2074)=4,VALUE(RIGHT($A2074,2))&gt;60),$A2074&amp;"01 1",$A2074),IF(AND(LEN($A2074)=4,VALUE(RIGHT($A2074,2))&lt;60),GUS_tabl_2!$A$8:$B$464,GUS_tabl_21!$A$5:$B$4886),2,FALSE))),-1)))))</f>
        <v>gm. w. Linia</v>
      </c>
      <c r="D2074" s="141">
        <f>IF(OR($A2074="",ISERROR(VALUE(LEFT($A2074,6)))),"",IF(LEN($A2074)=2,SUMIF($A2075:$A$2965,$A2074&amp;"??",$D2075:$D$2965),IF(AND(LEN($A2074)=4,VALUE(RIGHT($A2074,2))&lt;=60),SUMIF($A2075:$A$2965,$A2074&amp;"????",$D2075:$D$2965),VLOOKUP(IF(LEN($A2074)=4,$A2074&amp;"01 1",$A2074),GUS_tabl_21!$A$5:$F$4886,6,FALSE))))</f>
        <v>6432</v>
      </c>
      <c r="E2074" s="29"/>
    </row>
    <row r="2075" spans="1:5" ht="12" customHeight="1">
      <c r="A2075" s="155" t="str">
        <f>"221507 2"</f>
        <v>221507 2</v>
      </c>
      <c r="B2075" s="153" t="s">
        <v>33</v>
      </c>
      <c r="C2075" s="156" t="str">
        <f>IF(OR($A2075="",ISERROR(VALUE(LEFT($A2075,6)))),"",IF(LEN($A2075)=2,"WOJ. ",IF(LEN($A2075)=4,IF(VALUE(RIGHT($A2075,2))&gt;60,"","Powiat "),IF(VALUE(RIGHT($A2075,1))=1,"m. ",IF(VALUE(RIGHT($A2075,1))=2,"gm. w. ",IF(VALUE(RIGHT($A2075,1))=8,"dz. ","gm. m.-w. ")))))&amp;IF(LEN($A2075)=2,TRIM(UPPER(VLOOKUP($A2075,GUS_tabl_1!$A$7:$B$22,2,FALSE))),IF(ISERROR(FIND("..",TRIM(VLOOKUP(IF(AND(LEN($A2075)=4,VALUE(RIGHT($A2075,2))&gt;60),$A2075&amp;"01 1",$A2075),IF(AND(LEN($A2075)=4,VALUE(RIGHT($A2075,2))&lt;60),GUS_tabl_2!$A$8:$B$464,GUS_tabl_21!$A$5:$B$4886),2,FALSE)))),TRIM(VLOOKUP(IF(AND(LEN($A2075)=4,VALUE(RIGHT($A2075,2))&gt;60),$A2075&amp;"01 1",$A2075),IF(AND(LEN($A2075)=4,VALUE(RIGHT($A2075,2))&lt;60),GUS_tabl_2!$A$8:$B$464,GUS_tabl_21!$A$5:$B$4886),2,FALSE)),LEFT(TRIM(VLOOKUP(IF(AND(LEN($A2075)=4,VALUE(RIGHT($A2075,2))&gt;60),$A2075&amp;"01 1",$A2075),IF(AND(LEN($A2075)=4,VALUE(RIGHT($A2075,2))&lt;60),GUS_tabl_2!$A$8:$B$464,GUS_tabl_21!$A$5:$B$4886),2,FALSE)),SUM(FIND("..",TRIM(VLOOKUP(IF(AND(LEN($A2075)=4,VALUE(RIGHT($A2075,2))&gt;60),$A2075&amp;"01 1",$A2075),IF(AND(LEN($A2075)=4,VALUE(RIGHT($A2075,2))&lt;60),GUS_tabl_2!$A$8:$B$464,GUS_tabl_21!$A$5:$B$4886),2,FALSE))),-1)))))</f>
        <v>gm. w. Luzino</v>
      </c>
      <c r="D2075" s="141">
        <f>IF(OR($A2075="",ISERROR(VALUE(LEFT($A2075,6)))),"",IF(LEN($A2075)=2,SUMIF($A2076:$A$2965,$A2075&amp;"??",$D2076:$D$2965),IF(AND(LEN($A2075)=4,VALUE(RIGHT($A2075,2))&lt;=60),SUMIF($A2076:$A$2965,$A2075&amp;"????",$D2076:$D$2965),VLOOKUP(IF(LEN($A2075)=4,$A2075&amp;"01 1",$A2075),GUS_tabl_21!$A$5:$F$4886,6,FALSE))))</f>
        <v>16539</v>
      </c>
      <c r="E2075" s="29"/>
    </row>
    <row r="2076" spans="1:5" ht="12" customHeight="1">
      <c r="A2076" s="155" t="str">
        <f>"221508 2"</f>
        <v>221508 2</v>
      </c>
      <c r="B2076" s="153" t="s">
        <v>33</v>
      </c>
      <c r="C2076" s="156" t="str">
        <f>IF(OR($A2076="",ISERROR(VALUE(LEFT($A2076,6)))),"",IF(LEN($A2076)=2,"WOJ. ",IF(LEN($A2076)=4,IF(VALUE(RIGHT($A2076,2))&gt;60,"","Powiat "),IF(VALUE(RIGHT($A2076,1))=1,"m. ",IF(VALUE(RIGHT($A2076,1))=2,"gm. w. ",IF(VALUE(RIGHT($A2076,1))=8,"dz. ","gm. m.-w. ")))))&amp;IF(LEN($A2076)=2,TRIM(UPPER(VLOOKUP($A2076,GUS_tabl_1!$A$7:$B$22,2,FALSE))),IF(ISERROR(FIND("..",TRIM(VLOOKUP(IF(AND(LEN($A2076)=4,VALUE(RIGHT($A2076,2))&gt;60),$A2076&amp;"01 1",$A2076),IF(AND(LEN($A2076)=4,VALUE(RIGHT($A2076,2))&lt;60),GUS_tabl_2!$A$8:$B$464,GUS_tabl_21!$A$5:$B$4886),2,FALSE)))),TRIM(VLOOKUP(IF(AND(LEN($A2076)=4,VALUE(RIGHT($A2076,2))&gt;60),$A2076&amp;"01 1",$A2076),IF(AND(LEN($A2076)=4,VALUE(RIGHT($A2076,2))&lt;60),GUS_tabl_2!$A$8:$B$464,GUS_tabl_21!$A$5:$B$4886),2,FALSE)),LEFT(TRIM(VLOOKUP(IF(AND(LEN($A2076)=4,VALUE(RIGHT($A2076,2))&gt;60),$A2076&amp;"01 1",$A2076),IF(AND(LEN($A2076)=4,VALUE(RIGHT($A2076,2))&lt;60),GUS_tabl_2!$A$8:$B$464,GUS_tabl_21!$A$5:$B$4886),2,FALSE)),SUM(FIND("..",TRIM(VLOOKUP(IF(AND(LEN($A2076)=4,VALUE(RIGHT($A2076,2))&gt;60),$A2076&amp;"01 1",$A2076),IF(AND(LEN($A2076)=4,VALUE(RIGHT($A2076,2))&lt;60),GUS_tabl_2!$A$8:$B$464,GUS_tabl_21!$A$5:$B$4886),2,FALSE))),-1)))))</f>
        <v>gm. w. Łęczyce</v>
      </c>
      <c r="D2076" s="141">
        <f>IF(OR($A2076="",ISERROR(VALUE(LEFT($A2076,6)))),"",IF(LEN($A2076)=2,SUMIF($A2077:$A$2965,$A2076&amp;"??",$D2077:$D$2965),IF(AND(LEN($A2076)=4,VALUE(RIGHT($A2076,2))&lt;=60),SUMIF($A2077:$A$2965,$A2076&amp;"????",$D2077:$D$2965),VLOOKUP(IF(LEN($A2076)=4,$A2076&amp;"01 1",$A2076),GUS_tabl_21!$A$5:$F$4886,6,FALSE))))</f>
        <v>12084</v>
      </c>
      <c r="E2076" s="29"/>
    </row>
    <row r="2077" spans="1:5" ht="12" customHeight="1">
      <c r="A2077" s="155" t="str">
        <f>"221509 2"</f>
        <v>221509 2</v>
      </c>
      <c r="B2077" s="153" t="s">
        <v>33</v>
      </c>
      <c r="C2077" s="156" t="str">
        <f>IF(OR($A2077="",ISERROR(VALUE(LEFT($A2077,6)))),"",IF(LEN($A2077)=2,"WOJ. ",IF(LEN($A2077)=4,IF(VALUE(RIGHT($A2077,2))&gt;60,"","Powiat "),IF(VALUE(RIGHT($A2077,1))=1,"m. ",IF(VALUE(RIGHT($A2077,1))=2,"gm. w. ",IF(VALUE(RIGHT($A2077,1))=8,"dz. ","gm. m.-w. ")))))&amp;IF(LEN($A2077)=2,TRIM(UPPER(VLOOKUP($A2077,GUS_tabl_1!$A$7:$B$22,2,FALSE))),IF(ISERROR(FIND("..",TRIM(VLOOKUP(IF(AND(LEN($A2077)=4,VALUE(RIGHT($A2077,2))&gt;60),$A2077&amp;"01 1",$A2077),IF(AND(LEN($A2077)=4,VALUE(RIGHT($A2077,2))&lt;60),GUS_tabl_2!$A$8:$B$464,GUS_tabl_21!$A$5:$B$4886),2,FALSE)))),TRIM(VLOOKUP(IF(AND(LEN($A2077)=4,VALUE(RIGHT($A2077,2))&gt;60),$A2077&amp;"01 1",$A2077),IF(AND(LEN($A2077)=4,VALUE(RIGHT($A2077,2))&lt;60),GUS_tabl_2!$A$8:$B$464,GUS_tabl_21!$A$5:$B$4886),2,FALSE)),LEFT(TRIM(VLOOKUP(IF(AND(LEN($A2077)=4,VALUE(RIGHT($A2077,2))&gt;60),$A2077&amp;"01 1",$A2077),IF(AND(LEN($A2077)=4,VALUE(RIGHT($A2077,2))&lt;60),GUS_tabl_2!$A$8:$B$464,GUS_tabl_21!$A$5:$B$4886),2,FALSE)),SUM(FIND("..",TRIM(VLOOKUP(IF(AND(LEN($A2077)=4,VALUE(RIGHT($A2077,2))&gt;60),$A2077&amp;"01 1",$A2077),IF(AND(LEN($A2077)=4,VALUE(RIGHT($A2077,2))&lt;60),GUS_tabl_2!$A$8:$B$464,GUS_tabl_21!$A$5:$B$4886),2,FALSE))),-1)))))</f>
        <v>gm. w. Szemud</v>
      </c>
      <c r="D2077" s="141">
        <f>IF(OR($A2077="",ISERROR(VALUE(LEFT($A2077,6)))),"",IF(LEN($A2077)=2,SUMIF($A2078:$A$2965,$A2077&amp;"??",$D2078:$D$2965),IF(AND(LEN($A2077)=4,VALUE(RIGHT($A2077,2))&lt;=60),SUMIF($A2078:$A$2965,$A2077&amp;"????",$D2078:$D$2965),VLOOKUP(IF(LEN($A2077)=4,$A2077&amp;"01 1",$A2077),GUS_tabl_21!$A$5:$F$4886,6,FALSE))))</f>
        <v>18240</v>
      </c>
      <c r="E2077" s="29"/>
    </row>
    <row r="2078" spans="1:5" ht="12" customHeight="1">
      <c r="A2078" s="155" t="str">
        <f>"221510 2"</f>
        <v>221510 2</v>
      </c>
      <c r="B2078" s="153" t="s">
        <v>33</v>
      </c>
      <c r="C2078" s="156" t="str">
        <f>IF(OR($A2078="",ISERROR(VALUE(LEFT($A2078,6)))),"",IF(LEN($A2078)=2,"WOJ. ",IF(LEN($A2078)=4,IF(VALUE(RIGHT($A2078,2))&gt;60,"","Powiat "),IF(VALUE(RIGHT($A2078,1))=1,"m. ",IF(VALUE(RIGHT($A2078,1))=2,"gm. w. ",IF(VALUE(RIGHT($A2078,1))=8,"dz. ","gm. m.-w. ")))))&amp;IF(LEN($A2078)=2,TRIM(UPPER(VLOOKUP($A2078,GUS_tabl_1!$A$7:$B$22,2,FALSE))),IF(ISERROR(FIND("..",TRIM(VLOOKUP(IF(AND(LEN($A2078)=4,VALUE(RIGHT($A2078,2))&gt;60),$A2078&amp;"01 1",$A2078),IF(AND(LEN($A2078)=4,VALUE(RIGHT($A2078,2))&lt;60),GUS_tabl_2!$A$8:$B$464,GUS_tabl_21!$A$5:$B$4886),2,FALSE)))),TRIM(VLOOKUP(IF(AND(LEN($A2078)=4,VALUE(RIGHT($A2078,2))&gt;60),$A2078&amp;"01 1",$A2078),IF(AND(LEN($A2078)=4,VALUE(RIGHT($A2078,2))&lt;60),GUS_tabl_2!$A$8:$B$464,GUS_tabl_21!$A$5:$B$4886),2,FALSE)),LEFT(TRIM(VLOOKUP(IF(AND(LEN($A2078)=4,VALUE(RIGHT($A2078,2))&gt;60),$A2078&amp;"01 1",$A2078),IF(AND(LEN($A2078)=4,VALUE(RIGHT($A2078,2))&lt;60),GUS_tabl_2!$A$8:$B$464,GUS_tabl_21!$A$5:$B$4886),2,FALSE)),SUM(FIND("..",TRIM(VLOOKUP(IF(AND(LEN($A2078)=4,VALUE(RIGHT($A2078,2))&gt;60),$A2078&amp;"01 1",$A2078),IF(AND(LEN($A2078)=4,VALUE(RIGHT($A2078,2))&lt;60),GUS_tabl_2!$A$8:$B$464,GUS_tabl_21!$A$5:$B$4886),2,FALSE))),-1)))))</f>
        <v>gm. w. Wejherowo</v>
      </c>
      <c r="D2078" s="141">
        <f>IF(OR($A2078="",ISERROR(VALUE(LEFT($A2078,6)))),"",IF(LEN($A2078)=2,SUMIF($A2079:$A$2965,$A2078&amp;"??",$D2079:$D$2965),IF(AND(LEN($A2078)=4,VALUE(RIGHT($A2078,2))&lt;=60),SUMIF($A2079:$A$2965,$A2078&amp;"????",$D2079:$D$2965),VLOOKUP(IF(LEN($A2078)=4,$A2078&amp;"01 1",$A2078),GUS_tabl_21!$A$5:$F$4886,6,FALSE))))</f>
        <v>26578</v>
      </c>
      <c r="E2078" s="29"/>
    </row>
    <row r="2079" spans="1:5" ht="12" customHeight="1">
      <c r="A2079" s="152"/>
      <c r="B2079" s="153" t="s">
        <v>33</v>
      </c>
      <c r="C2079" s="154" t="s">
        <v>0</v>
      </c>
      <c r="D2079" s="140" t="str">
        <f>IF(OR($A2079="",ISERROR(VALUE(LEFT($A2079,6)))),"",IF(LEN($A2079)=2,SUMIF($A2080:$A$2965,$A2079&amp;"??",$D2080:$D$2965),IF(AND(LEN($A2079)=4,VALUE(RIGHT($A2079,2))&lt;=60),SUMIF($A2080:$A$2965,$A2079&amp;"????",$D2080:$D$2965),VLOOKUP(IF(LEN($A2079)=4,$A2079&amp;"01 1",$A2079),GUS_tabl_21!$A$5:$F$4886,6,FALSE))))</f>
        <v/>
      </c>
      <c r="E2079" s="29"/>
    </row>
    <row r="2080" spans="1:5" ht="12" customHeight="1">
      <c r="A2080" s="152"/>
      <c r="B2080" s="153" t="s">
        <v>33</v>
      </c>
      <c r="C2080" s="162" t="s">
        <v>1</v>
      </c>
      <c r="D2080" s="140" t="str">
        <f>IF(OR($A2080="",ISERROR(VALUE(LEFT($A2080,6)))),"",IF(LEN($A2080)=2,SUMIF($A2081:$A$2965,$A2080&amp;"??",$D2081:$D$2965),IF(AND(LEN($A2080)=4,VALUE(RIGHT($A2080,2))&lt;=60),SUMIF($A2081:$A$2965,$A2080&amp;"????",$D2081:$D$2965),VLOOKUP(IF(LEN($A2080)=4,$A2080&amp;"01 1",$A2080),GUS_tabl_21!$A$5:$F$4886,6,FALSE))))</f>
        <v/>
      </c>
      <c r="E2080" s="29"/>
    </row>
    <row r="2081" spans="1:5" ht="12" customHeight="1">
      <c r="A2081" s="152" t="str">
        <f>"2261"</f>
        <v>2261</v>
      </c>
      <c r="B2081" s="153" t="s">
        <v>33</v>
      </c>
      <c r="C2081" s="154" t="str">
        <f>IF(OR($A2081="",ISERROR(VALUE(LEFT($A2081,6)))),"",IF(LEN($A2081)=2,"WOJ. ",IF(LEN($A2081)=4,IF(VALUE(RIGHT($A2081,2))&gt;60,"","Powiat "),IF(VALUE(RIGHT($A2081,1))=1,"m. ",IF(VALUE(RIGHT($A2081,1))=2,"gm. w. ",IF(VALUE(RIGHT($A2081,1))=8,"dz. ","gm. m.-w. ")))))&amp;IF(LEN($A2081)=2,TRIM(UPPER(VLOOKUP($A2081,GUS_tabl_1!$A$7:$B$22,2,FALSE))),IF(ISERROR(FIND("..",TRIM(VLOOKUP(IF(AND(LEN($A2081)=4,VALUE(RIGHT($A2081,2))&gt;60),$A2081&amp;"01 1",$A2081),IF(AND(LEN($A2081)=4,VALUE(RIGHT($A2081,2))&lt;60),GUS_tabl_2!$A$8:$B$464,GUS_tabl_21!$A$5:$B$4886),2,FALSE)))),TRIM(VLOOKUP(IF(AND(LEN($A2081)=4,VALUE(RIGHT($A2081,2))&gt;60),$A2081&amp;"01 1",$A2081),IF(AND(LEN($A2081)=4,VALUE(RIGHT($A2081,2))&lt;60),GUS_tabl_2!$A$8:$B$464,GUS_tabl_21!$A$5:$B$4886),2,FALSE)),LEFT(TRIM(VLOOKUP(IF(AND(LEN($A2081)=4,VALUE(RIGHT($A2081,2))&gt;60),$A2081&amp;"01 1",$A2081),IF(AND(LEN($A2081)=4,VALUE(RIGHT($A2081,2))&lt;60),GUS_tabl_2!$A$8:$B$464,GUS_tabl_21!$A$5:$B$4886),2,FALSE)),SUM(FIND("..",TRIM(VLOOKUP(IF(AND(LEN($A2081)=4,VALUE(RIGHT($A2081,2))&gt;60),$A2081&amp;"01 1",$A2081),IF(AND(LEN($A2081)=4,VALUE(RIGHT($A2081,2))&lt;60),GUS_tabl_2!$A$8:$B$464,GUS_tabl_21!$A$5:$B$4886),2,FALSE))),-1)))))</f>
        <v>Gdańsk (ab)</v>
      </c>
      <c r="D2081" s="140">
        <f>IF(OR($A2081="",ISERROR(VALUE(LEFT($A2081,6)))),"",IF(LEN($A2081)=2,SUMIF($A2082:$A$2965,$A2081&amp;"??",$D2082:$D$2965),IF(AND(LEN($A2081)=4,VALUE(RIGHT($A2081,2))&lt;=60),SUMIF($A2082:$A$2965,$A2081&amp;"????",$D2082:$D$2965),VLOOKUP(IF(LEN($A2081)=4,$A2081&amp;"01 1",$A2081),GUS_tabl_21!$A$5:$F$4886,6,FALSE))))</f>
        <v>470907</v>
      </c>
      <c r="E2081" s="29"/>
    </row>
    <row r="2082" spans="1:5" ht="12" customHeight="1">
      <c r="A2082" s="152" t="str">
        <f>"2262"</f>
        <v>2262</v>
      </c>
      <c r="B2082" s="153" t="s">
        <v>33</v>
      </c>
      <c r="C2082" s="154" t="str">
        <f>IF(OR($A2082="",ISERROR(VALUE(LEFT($A2082,6)))),"",IF(LEN($A2082)=2,"WOJ. ",IF(LEN($A2082)=4,IF(VALUE(RIGHT($A2082,2))&gt;60,"","Powiat "),IF(VALUE(RIGHT($A2082,1))=1,"m. ",IF(VALUE(RIGHT($A2082,1))=2,"gm. w. ",IF(VALUE(RIGHT($A2082,1))=8,"dz. ","gm. m.-w. ")))))&amp;IF(LEN($A2082)=2,TRIM(UPPER(VLOOKUP($A2082,GUS_tabl_1!$A$7:$B$22,2,FALSE))),IF(ISERROR(FIND("..",TRIM(VLOOKUP(IF(AND(LEN($A2082)=4,VALUE(RIGHT($A2082,2))&gt;60),$A2082&amp;"01 1",$A2082),IF(AND(LEN($A2082)=4,VALUE(RIGHT($A2082,2))&lt;60),GUS_tabl_2!$A$8:$B$464,GUS_tabl_21!$A$5:$B$4886),2,FALSE)))),TRIM(VLOOKUP(IF(AND(LEN($A2082)=4,VALUE(RIGHT($A2082,2))&gt;60),$A2082&amp;"01 1",$A2082),IF(AND(LEN($A2082)=4,VALUE(RIGHT($A2082,2))&lt;60),GUS_tabl_2!$A$8:$B$464,GUS_tabl_21!$A$5:$B$4886),2,FALSE)),LEFT(TRIM(VLOOKUP(IF(AND(LEN($A2082)=4,VALUE(RIGHT($A2082,2))&gt;60),$A2082&amp;"01 1",$A2082),IF(AND(LEN($A2082)=4,VALUE(RIGHT($A2082,2))&lt;60),GUS_tabl_2!$A$8:$B$464,GUS_tabl_21!$A$5:$B$4886),2,FALSE)),SUM(FIND("..",TRIM(VLOOKUP(IF(AND(LEN($A2082)=4,VALUE(RIGHT($A2082,2))&gt;60),$A2082&amp;"01 1",$A2082),IF(AND(LEN($A2082)=4,VALUE(RIGHT($A2082,2))&lt;60),GUS_tabl_2!$A$8:$B$464,GUS_tabl_21!$A$5:$B$4886),2,FALSE))),-1)))))</f>
        <v>Gdynia (b)</v>
      </c>
      <c r="D2082" s="140">
        <f>IF(OR($A2082="",ISERROR(VALUE(LEFT($A2082,6)))),"",IF(LEN($A2082)=2,SUMIF($A2083:$A$2965,$A2082&amp;"??",$D2083:$D$2965),IF(AND(LEN($A2082)=4,VALUE(RIGHT($A2082,2))&lt;=60),SUMIF($A2083:$A$2965,$A2082&amp;"????",$D2083:$D$2965),VLOOKUP(IF(LEN($A2082)=4,$A2082&amp;"01 1",$A2082),GUS_tabl_21!$A$5:$F$4886,6,FALSE))))</f>
        <v>246348</v>
      </c>
      <c r="E2082" s="29"/>
    </row>
    <row r="2083" spans="1:5" ht="12" customHeight="1">
      <c r="A2083" s="152" t="str">
        <f>"2263"</f>
        <v>2263</v>
      </c>
      <c r="B2083" s="153" t="s">
        <v>33</v>
      </c>
      <c r="C2083" s="154" t="str">
        <f>IF(OR($A2083="",ISERROR(VALUE(LEFT($A2083,6)))),"",IF(LEN($A2083)=2,"WOJ. ",IF(LEN($A2083)=4,IF(VALUE(RIGHT($A2083,2))&gt;60,"","Powiat "),IF(VALUE(RIGHT($A2083,1))=1,"m. ",IF(VALUE(RIGHT($A2083,1))=2,"gm. w. ",IF(VALUE(RIGHT($A2083,1))=8,"dz. ","gm. m.-w. ")))))&amp;IF(LEN($A2083)=2,TRIM(UPPER(VLOOKUP($A2083,GUS_tabl_1!$A$7:$B$22,2,FALSE))),IF(ISERROR(FIND("..",TRIM(VLOOKUP(IF(AND(LEN($A2083)=4,VALUE(RIGHT($A2083,2))&gt;60),$A2083&amp;"01 1",$A2083),IF(AND(LEN($A2083)=4,VALUE(RIGHT($A2083,2))&lt;60),GUS_tabl_2!$A$8:$B$464,GUS_tabl_21!$A$5:$B$4886),2,FALSE)))),TRIM(VLOOKUP(IF(AND(LEN($A2083)=4,VALUE(RIGHT($A2083,2))&gt;60),$A2083&amp;"01 1",$A2083),IF(AND(LEN($A2083)=4,VALUE(RIGHT($A2083,2))&lt;60),GUS_tabl_2!$A$8:$B$464,GUS_tabl_21!$A$5:$B$4886),2,FALSE)),LEFT(TRIM(VLOOKUP(IF(AND(LEN($A2083)=4,VALUE(RIGHT($A2083,2))&gt;60),$A2083&amp;"01 1",$A2083),IF(AND(LEN($A2083)=4,VALUE(RIGHT($A2083,2))&lt;60),GUS_tabl_2!$A$8:$B$464,GUS_tabl_21!$A$5:$B$4886),2,FALSE)),SUM(FIND("..",TRIM(VLOOKUP(IF(AND(LEN($A2083)=4,VALUE(RIGHT($A2083,2))&gt;60),$A2083&amp;"01 1",$A2083),IF(AND(LEN($A2083)=4,VALUE(RIGHT($A2083,2))&lt;60),GUS_tabl_2!$A$8:$B$464,GUS_tabl_21!$A$5:$B$4886),2,FALSE))),-1)))))</f>
        <v>Słupsk</v>
      </c>
      <c r="D2083" s="140">
        <f>IF(OR($A2083="",ISERROR(VALUE(LEFT($A2083,6)))),"",IF(LEN($A2083)=2,SUMIF($A2084:$A$2965,$A2083&amp;"??",$D2084:$D$2965),IF(AND(LEN($A2083)=4,VALUE(RIGHT($A2083,2))&lt;=60),SUMIF($A2084:$A$2965,$A2083&amp;"????",$D2084:$D$2965),VLOOKUP(IF(LEN($A2083)=4,$A2083&amp;"01 1",$A2083),GUS_tabl_21!$A$5:$F$4886,6,FALSE))))</f>
        <v>90681</v>
      </c>
      <c r="E2083" s="29"/>
    </row>
    <row r="2084" spans="1:5" ht="12" customHeight="1">
      <c r="A2084" s="152" t="str">
        <f>"2264"</f>
        <v>2264</v>
      </c>
      <c r="B2084" s="153" t="s">
        <v>33</v>
      </c>
      <c r="C2084" s="154" t="str">
        <f>IF(OR($A2084="",ISERROR(VALUE(LEFT($A2084,6)))),"",IF(LEN($A2084)=2,"WOJ. ",IF(LEN($A2084)=4,IF(VALUE(RIGHT($A2084,2))&gt;60,"","Powiat "),IF(VALUE(RIGHT($A2084,1))=1,"m. ",IF(VALUE(RIGHT($A2084,1))=2,"gm. w. ",IF(VALUE(RIGHT($A2084,1))=8,"dz. ","gm. m.-w. ")))))&amp;IF(LEN($A2084)=2,TRIM(UPPER(VLOOKUP($A2084,GUS_tabl_1!$A$7:$B$22,2,FALSE))),IF(ISERROR(FIND("..",TRIM(VLOOKUP(IF(AND(LEN($A2084)=4,VALUE(RIGHT($A2084,2))&gt;60),$A2084&amp;"01 1",$A2084),IF(AND(LEN($A2084)=4,VALUE(RIGHT($A2084,2))&lt;60),GUS_tabl_2!$A$8:$B$464,GUS_tabl_21!$A$5:$B$4886),2,FALSE)))),TRIM(VLOOKUP(IF(AND(LEN($A2084)=4,VALUE(RIGHT($A2084,2))&gt;60),$A2084&amp;"01 1",$A2084),IF(AND(LEN($A2084)=4,VALUE(RIGHT($A2084,2))&lt;60),GUS_tabl_2!$A$8:$B$464,GUS_tabl_21!$A$5:$B$4886),2,FALSE)),LEFT(TRIM(VLOOKUP(IF(AND(LEN($A2084)=4,VALUE(RIGHT($A2084,2))&gt;60),$A2084&amp;"01 1",$A2084),IF(AND(LEN($A2084)=4,VALUE(RIGHT($A2084,2))&lt;60),GUS_tabl_2!$A$8:$B$464,GUS_tabl_21!$A$5:$B$4886),2,FALSE)),SUM(FIND("..",TRIM(VLOOKUP(IF(AND(LEN($A2084)=4,VALUE(RIGHT($A2084,2))&gt;60),$A2084&amp;"01 1",$A2084),IF(AND(LEN($A2084)=4,VALUE(RIGHT($A2084,2))&lt;60),GUS_tabl_2!$A$8:$B$464,GUS_tabl_21!$A$5:$B$4886),2,FALSE))),-1)))))</f>
        <v>Sopot</v>
      </c>
      <c r="D2084" s="140">
        <f>IF(OR($A2084="",ISERROR(VALUE(LEFT($A2084,6)))),"",IF(LEN($A2084)=2,SUMIF($A2085:$A$2965,$A2084&amp;"??",$D2085:$D$2965),IF(AND(LEN($A2084)=4,VALUE(RIGHT($A2084,2))&lt;=60),SUMIF($A2085:$A$2965,$A2084&amp;"????",$D2085:$D$2965),VLOOKUP(IF(LEN($A2084)=4,$A2084&amp;"01 1",$A2084),GUS_tabl_21!$A$5:$F$4886,6,FALSE))))</f>
        <v>35719</v>
      </c>
      <c r="E2084" s="29"/>
    </row>
    <row r="2085" spans="1:5" ht="12" customHeight="1">
      <c r="B2085" s="143"/>
    </row>
    <row r="2086" spans="1:5" ht="12" customHeight="1" thickBot="1">
      <c r="B2086" s="143"/>
    </row>
    <row r="2087" spans="1:5" ht="30.75" customHeight="1" thickTop="1">
      <c r="A2087" s="241" t="s">
        <v>97</v>
      </c>
      <c r="B2087" s="247" t="s">
        <v>60</v>
      </c>
      <c r="C2087" s="243" t="s">
        <v>7311</v>
      </c>
      <c r="D2087" s="251" t="s">
        <v>6</v>
      </c>
    </row>
    <row r="2088" spans="1:5" ht="25.5" customHeight="1" thickBot="1">
      <c r="A2088" s="242"/>
      <c r="B2088" s="253"/>
      <c r="C2088" s="244"/>
      <c r="D2088" s="252"/>
    </row>
    <row r="2089" spans="1:5" ht="12" customHeight="1" thickTop="1">
      <c r="A2089" s="158"/>
      <c r="B2089" s="153"/>
      <c r="C2089" s="156" t="str">
        <f>IF(OR($A2089="",ISERROR(VALUE(LEFT($A2089,6)))),"",IF(LEN($A2089)=2,"WOJ. ",IF(LEN($A2089)=4,IF(VALUE(RIGHT($A2089,2))&gt;60,"","Powiat "),IF(VALUE(RIGHT($A2089,1))=1,"m. ",IF(VALUE(RIGHT($A2089,1))=2,"gm. w. ",IF(VALUE(RIGHT($A2089,1))=8,"dz. ","gm. m.-w. ")))))&amp;IF(LEN($A2089)=2,TRIM(UPPER(VLOOKUP($A2089,GUS_tabl_1!$A$7:$B$22,2,FALSE))),IF(ISERROR(FIND("..",TRIM(VLOOKUP(IF(AND(LEN($A2089)=4,VALUE(RIGHT($A2089,2))&gt;60),$A2089&amp;"01 1",$A2089),IF(AND(LEN($A2089)=4,VALUE(RIGHT($A2089,2))&lt;60),GUS_tabl_2!$A$8:$B$464,GUS_tabl_21!$A$5:$B$4886),2,FALSE)))),TRIM(VLOOKUP(IF(AND(LEN($A2089)=4,VALUE(RIGHT($A2089,2))&gt;60),$A2089&amp;"01 1",$A2089),IF(AND(LEN($A2089)=4,VALUE(RIGHT($A2089,2))&lt;60),GUS_tabl_2!$A$8:$B$464,GUS_tabl_21!$A$5:$B$4886),2,FALSE)),LEFT(TRIM(VLOOKUP(IF(AND(LEN($A2089)=4,VALUE(RIGHT($A2089,2))&gt;60),$A2089&amp;"01 1",$A2089),IF(AND(LEN($A2089)=4,VALUE(RIGHT($A2089,2))&lt;60),GUS_tabl_2!$A$8:$B$464,GUS_tabl_21!$A$5:$B$4886),2,FALSE)),SUM(FIND("..",TRIM(VLOOKUP(IF(AND(LEN($A2089)=4,VALUE(RIGHT($A2089,2))&gt;60),$A2089&amp;"01 1",$A2089),IF(AND(LEN($A2089)=4,VALUE(RIGHT($A2089,2))&lt;60),GUS_tabl_2!$A$8:$B$464,GUS_tabl_21!$A$5:$B$4886),2,FALSE))),-1)))))</f>
        <v/>
      </c>
      <c r="D2089" s="140" t="str">
        <f>IF(OR($A2089="",ISERROR(VALUE(LEFT($A2089,6)))),"",IF(LEN($A2089)=2,SUMIF($A2090:$A$2965,$A2089&amp;"??",$D2090:$D$2965),IF(AND(LEN($A2089)=4,VALUE(RIGHT($A2089,2))&lt;=60),SUMIF($A2090:$A$2965,$A2089&amp;"????",$D2090:$D$2965),VLOOKUP(IF(LEN($A2089)=4,$A2089&amp;"01 1",$A2089),GUS_tabl_21!$A$5:$F$4886,6,FALSE))))</f>
        <v/>
      </c>
      <c r="E2089" s="29"/>
    </row>
    <row r="2090" spans="1:5" ht="12" customHeight="1">
      <c r="A2090" s="152" t="str">
        <f>"24"</f>
        <v>24</v>
      </c>
      <c r="B2090" s="153" t="s">
        <v>80</v>
      </c>
      <c r="C2090" s="154" t="str">
        <f>IF(OR($A2090="",ISERROR(VALUE(LEFT($A2090,6)))),"",IF(LEN($A2090)=2,"WOJ. ",IF(LEN($A2090)=4,IF(VALUE(RIGHT($A2090,2))&gt;60,"","Powiat "),IF(VALUE(RIGHT($A2090,1))=1,"m. ",IF(VALUE(RIGHT($A2090,1))=2,"gm. w. ",IF(VALUE(RIGHT($A2090,1))=8,"dz. ","gm. m.-w. ")))))&amp;IF(LEN($A2090)=2,TRIM(UPPER(VLOOKUP($A2090,GUS_tabl_1!$A$7:$B$22,2,FALSE))),IF(ISERROR(FIND("..",TRIM(VLOOKUP(IF(AND(LEN($A2090)=4,VALUE(RIGHT($A2090,2))&gt;60),$A2090&amp;"01 1",$A2090),IF(AND(LEN($A2090)=4,VALUE(RIGHT($A2090,2))&lt;60),GUS_tabl_2!$A$8:$B$464,GUS_tabl_21!$A$5:$B$4886),2,FALSE)))),TRIM(VLOOKUP(IF(AND(LEN($A2090)=4,VALUE(RIGHT($A2090,2))&gt;60),$A2090&amp;"01 1",$A2090),IF(AND(LEN($A2090)=4,VALUE(RIGHT($A2090,2))&lt;60),GUS_tabl_2!$A$8:$B$464,GUS_tabl_21!$A$5:$B$4886),2,FALSE)),LEFT(TRIM(VLOOKUP(IF(AND(LEN($A2090)=4,VALUE(RIGHT($A2090,2))&gt;60),$A2090&amp;"01 1",$A2090),IF(AND(LEN($A2090)=4,VALUE(RIGHT($A2090,2))&lt;60),GUS_tabl_2!$A$8:$B$464,GUS_tabl_21!$A$5:$B$4886),2,FALSE)),SUM(FIND("..",TRIM(VLOOKUP(IF(AND(LEN($A2090)=4,VALUE(RIGHT($A2090,2))&gt;60),$A2090&amp;"01 1",$A2090),IF(AND(LEN($A2090)=4,VALUE(RIGHT($A2090,2))&lt;60),GUS_tabl_2!$A$8:$B$464,GUS_tabl_21!$A$5:$B$4886),2,FALSE))),-1)))))</f>
        <v>WOJ. ŚLĄSKIE</v>
      </c>
      <c r="D2090" s="140">
        <f>IF(OR($A2090="",ISERROR(VALUE(LEFT($A2090,6)))),"",IF(LEN($A2090)=2,SUMIF($A2091:$A$2965,$A2090&amp;"??",$D2091:$D$2965),IF(AND(LEN($A2090)=4,VALUE(RIGHT($A2090,2))&lt;=60),SUMIF($A2091:$A$2965,$A2090&amp;"????",$D2091:$D$2965),VLOOKUP(IF(LEN($A2090)=4,$A2090&amp;"01 1",$A2090),GUS_tabl_21!$A$5:$F$4886,6,FALSE))))</f>
        <v>4517635</v>
      </c>
      <c r="E2090" s="29"/>
    </row>
    <row r="2091" spans="1:5" ht="12" customHeight="1">
      <c r="A2091" s="152"/>
      <c r="B2091" s="153" t="s">
        <v>80</v>
      </c>
      <c r="C2091" s="156" t="str">
        <f>IF(OR($A2091="",ISERROR(VALUE(LEFT($A2091,6)))),"",IF(LEN($A2091)=2,"WOJ. ",IF(LEN($A2091)=4,IF(VALUE(RIGHT($A2091,2))&gt;60,"","Powiat "),IF(VALUE(RIGHT($A2091,1))=1,"m. ",IF(VALUE(RIGHT($A2091,1))=2,"gm. w. ",IF(VALUE(RIGHT($A2091,1))=8,"dz. ","gm. m.-w. ")))))&amp;IF(LEN($A2091)=2,TRIM(UPPER(VLOOKUP($A2091,GUS_tabl_1!$A$7:$B$22,2,FALSE))),IF(ISERROR(FIND("..",TRIM(VLOOKUP(IF(AND(LEN($A2091)=4,VALUE(RIGHT($A2091,2))&gt;60),$A2091&amp;"01 1",$A2091),IF(AND(LEN($A2091)=4,VALUE(RIGHT($A2091,2))&lt;60),GUS_tabl_2!$A$8:$B$464,GUS_tabl_21!$A$5:$B$4886),2,FALSE)))),TRIM(VLOOKUP(IF(AND(LEN($A2091)=4,VALUE(RIGHT($A2091,2))&gt;60),$A2091&amp;"01 1",$A2091),IF(AND(LEN($A2091)=4,VALUE(RIGHT($A2091,2))&lt;60),GUS_tabl_2!$A$8:$B$464,GUS_tabl_21!$A$5:$B$4886),2,FALSE)),LEFT(TRIM(VLOOKUP(IF(AND(LEN($A2091)=4,VALUE(RIGHT($A2091,2))&gt;60),$A2091&amp;"01 1",$A2091),IF(AND(LEN($A2091)=4,VALUE(RIGHT($A2091,2))&lt;60),GUS_tabl_2!$A$8:$B$464,GUS_tabl_21!$A$5:$B$4886),2,FALSE)),SUM(FIND("..",TRIM(VLOOKUP(IF(AND(LEN($A2091)=4,VALUE(RIGHT($A2091,2))&gt;60),$A2091&amp;"01 1",$A2091),IF(AND(LEN($A2091)=4,VALUE(RIGHT($A2091,2))&lt;60),GUS_tabl_2!$A$8:$B$464,GUS_tabl_21!$A$5:$B$4886),2,FALSE))),-1)))))</f>
        <v/>
      </c>
      <c r="D2091" s="140" t="str">
        <f>IF(OR($A2091="",ISERROR(VALUE(LEFT($A2091,6)))),"",IF(LEN($A2091)=2,SUMIF($A2092:$A$2965,$A2091&amp;"??",$D2092:$D$2965),IF(AND(LEN($A2091)=4,VALUE(RIGHT($A2091,2))&lt;=60),SUMIF($A2092:$A$2965,$A2091&amp;"????",$D2092:$D$2965),VLOOKUP(IF(LEN($A2091)=4,$A2091&amp;"01 1",$A2091),GUS_tabl_21!$A$5:$F$4886,6,FALSE))))</f>
        <v/>
      </c>
      <c r="E2091" s="29"/>
    </row>
    <row r="2092" spans="1:5" ht="12" customHeight="1">
      <c r="A2092" s="152" t="str">
        <f>"2401"</f>
        <v>2401</v>
      </c>
      <c r="B2092" s="153" t="s">
        <v>80</v>
      </c>
      <c r="C2092" s="154" t="str">
        <f>IF(OR($A2092="",ISERROR(VALUE(LEFT($A2092,6)))),"",IF(LEN($A2092)=2,"WOJ. ",IF(LEN($A2092)=4,IF(VALUE(RIGHT($A2092,2))&gt;60,"","Powiat "),IF(VALUE(RIGHT($A2092,1))=1,"m. ",IF(VALUE(RIGHT($A2092,1))=2,"gm. w. ",IF(VALUE(RIGHT($A2092,1))=8,"dz. ","gm. m.-w. ")))))&amp;IF(LEN($A2092)=2,TRIM(UPPER(VLOOKUP($A2092,GUS_tabl_1!$A$7:$B$22,2,FALSE))),IF(ISERROR(FIND("..",TRIM(VLOOKUP(IF(AND(LEN($A2092)=4,VALUE(RIGHT($A2092,2))&gt;60),$A2092&amp;"01 1",$A2092),IF(AND(LEN($A2092)=4,VALUE(RIGHT($A2092,2))&lt;60),GUS_tabl_2!$A$8:$B$464,GUS_tabl_21!$A$5:$B$4886),2,FALSE)))),TRIM(VLOOKUP(IF(AND(LEN($A2092)=4,VALUE(RIGHT($A2092,2))&gt;60),$A2092&amp;"01 1",$A2092),IF(AND(LEN($A2092)=4,VALUE(RIGHT($A2092,2))&lt;60),GUS_tabl_2!$A$8:$B$464,GUS_tabl_21!$A$5:$B$4886),2,FALSE)),LEFT(TRIM(VLOOKUP(IF(AND(LEN($A2092)=4,VALUE(RIGHT($A2092,2))&gt;60),$A2092&amp;"01 1",$A2092),IF(AND(LEN($A2092)=4,VALUE(RIGHT($A2092,2))&lt;60),GUS_tabl_2!$A$8:$B$464,GUS_tabl_21!$A$5:$B$4886),2,FALSE)),SUM(FIND("..",TRIM(VLOOKUP(IF(AND(LEN($A2092)=4,VALUE(RIGHT($A2092,2))&gt;60),$A2092&amp;"01 1",$A2092),IF(AND(LEN($A2092)=4,VALUE(RIGHT($A2092,2))&lt;60),GUS_tabl_2!$A$8:$B$464,GUS_tabl_21!$A$5:$B$4886),2,FALSE))),-1)))))</f>
        <v>Powiat będziński</v>
      </c>
      <c r="D2092" s="140">
        <f>IF(OR($A2092="",ISERROR(VALUE(LEFT($A2092,6)))),"",IF(LEN($A2092)=2,SUMIF($A2093:$A$2965,$A2092&amp;"??",$D2093:$D$2965),IF(AND(LEN($A2092)=4,VALUE(RIGHT($A2092,2))&lt;=60),SUMIF($A2093:$A$2965,$A2092&amp;"????",$D2093:$D$2965),VLOOKUP(IF(LEN($A2092)=4,$A2092&amp;"01 1",$A2092),GUS_tabl_21!$A$5:$F$4886,6,FALSE))))</f>
        <v>148089</v>
      </c>
      <c r="E2092" s="29"/>
    </row>
    <row r="2093" spans="1:5" ht="12" customHeight="1">
      <c r="A2093" s="155" t="str">
        <f>"240101 1"</f>
        <v>240101 1</v>
      </c>
      <c r="B2093" s="153" t="s">
        <v>80</v>
      </c>
      <c r="C2093" s="156" t="str">
        <f>IF(OR($A2093="",ISERROR(VALUE(LEFT($A2093,6)))),"",IF(LEN($A2093)=2,"WOJ. ",IF(LEN($A2093)=4,IF(VALUE(RIGHT($A2093,2))&gt;60,"","Powiat "),IF(VALUE(RIGHT($A2093,1))=1,"m. ",IF(VALUE(RIGHT($A2093,1))=2,"gm. w. ",IF(VALUE(RIGHT($A2093,1))=8,"dz. ","gm. m.-w. ")))))&amp;IF(LEN($A2093)=2,TRIM(UPPER(VLOOKUP($A2093,GUS_tabl_1!$A$7:$B$22,2,FALSE))),IF(ISERROR(FIND("..",TRIM(VLOOKUP(IF(AND(LEN($A2093)=4,VALUE(RIGHT($A2093,2))&gt;60),$A2093&amp;"01 1",$A2093),IF(AND(LEN($A2093)=4,VALUE(RIGHT($A2093,2))&lt;60),GUS_tabl_2!$A$8:$B$464,GUS_tabl_21!$A$5:$B$4886),2,FALSE)))),TRIM(VLOOKUP(IF(AND(LEN($A2093)=4,VALUE(RIGHT($A2093,2))&gt;60),$A2093&amp;"01 1",$A2093),IF(AND(LEN($A2093)=4,VALUE(RIGHT($A2093,2))&lt;60),GUS_tabl_2!$A$8:$B$464,GUS_tabl_21!$A$5:$B$4886),2,FALSE)),LEFT(TRIM(VLOOKUP(IF(AND(LEN($A2093)=4,VALUE(RIGHT($A2093,2))&gt;60),$A2093&amp;"01 1",$A2093),IF(AND(LEN($A2093)=4,VALUE(RIGHT($A2093,2))&lt;60),GUS_tabl_2!$A$8:$B$464,GUS_tabl_21!$A$5:$B$4886),2,FALSE)),SUM(FIND("..",TRIM(VLOOKUP(IF(AND(LEN($A2093)=4,VALUE(RIGHT($A2093,2))&gt;60),$A2093&amp;"01 1",$A2093),IF(AND(LEN($A2093)=4,VALUE(RIGHT($A2093,2))&lt;60),GUS_tabl_2!$A$8:$B$464,GUS_tabl_21!$A$5:$B$4886),2,FALSE))),-1)))))</f>
        <v>m. Będzin</v>
      </c>
      <c r="D2093" s="141">
        <f>IF(OR($A2093="",ISERROR(VALUE(LEFT($A2093,6)))),"",IF(LEN($A2093)=2,SUMIF($A2094:$A$2965,$A2093&amp;"??",$D2094:$D$2965),IF(AND(LEN($A2093)=4,VALUE(RIGHT($A2093,2))&lt;=60),SUMIF($A2094:$A$2965,$A2093&amp;"????",$D2094:$D$2965),VLOOKUP(IF(LEN($A2093)=4,$A2093&amp;"01 1",$A2093),GUS_tabl_21!$A$5:$F$4886,6,FALSE))))</f>
        <v>56354</v>
      </c>
      <c r="E2093" s="29"/>
    </row>
    <row r="2094" spans="1:5" ht="12" customHeight="1">
      <c r="A2094" s="155" t="str">
        <f>"240102 1"</f>
        <v>240102 1</v>
      </c>
      <c r="B2094" s="153" t="s">
        <v>80</v>
      </c>
      <c r="C2094" s="156" t="str">
        <f>IF(OR($A2094="",ISERROR(VALUE(LEFT($A2094,6)))),"",IF(LEN($A2094)=2,"WOJ. ",IF(LEN($A2094)=4,IF(VALUE(RIGHT($A2094,2))&gt;60,"","Powiat "),IF(VALUE(RIGHT($A2094,1))=1,"m. ",IF(VALUE(RIGHT($A2094,1))=2,"gm. w. ",IF(VALUE(RIGHT($A2094,1))=8,"dz. ","gm. m.-w. ")))))&amp;IF(LEN($A2094)=2,TRIM(UPPER(VLOOKUP($A2094,GUS_tabl_1!$A$7:$B$22,2,FALSE))),IF(ISERROR(FIND("..",TRIM(VLOOKUP(IF(AND(LEN($A2094)=4,VALUE(RIGHT($A2094,2))&gt;60),$A2094&amp;"01 1",$A2094),IF(AND(LEN($A2094)=4,VALUE(RIGHT($A2094,2))&lt;60),GUS_tabl_2!$A$8:$B$464,GUS_tabl_21!$A$5:$B$4886),2,FALSE)))),TRIM(VLOOKUP(IF(AND(LEN($A2094)=4,VALUE(RIGHT($A2094,2))&gt;60),$A2094&amp;"01 1",$A2094),IF(AND(LEN($A2094)=4,VALUE(RIGHT($A2094,2))&lt;60),GUS_tabl_2!$A$8:$B$464,GUS_tabl_21!$A$5:$B$4886),2,FALSE)),LEFT(TRIM(VLOOKUP(IF(AND(LEN($A2094)=4,VALUE(RIGHT($A2094,2))&gt;60),$A2094&amp;"01 1",$A2094),IF(AND(LEN($A2094)=4,VALUE(RIGHT($A2094,2))&lt;60),GUS_tabl_2!$A$8:$B$464,GUS_tabl_21!$A$5:$B$4886),2,FALSE)),SUM(FIND("..",TRIM(VLOOKUP(IF(AND(LEN($A2094)=4,VALUE(RIGHT($A2094,2))&gt;60),$A2094&amp;"01 1",$A2094),IF(AND(LEN($A2094)=4,VALUE(RIGHT($A2094,2))&lt;60),GUS_tabl_2!$A$8:$B$464,GUS_tabl_21!$A$5:$B$4886),2,FALSE))),-1)))))</f>
        <v>m. Czeladź</v>
      </c>
      <c r="D2094" s="141">
        <f>IF(OR($A2094="",ISERROR(VALUE(LEFT($A2094,6)))),"",IF(LEN($A2094)=2,SUMIF($A2095:$A$2965,$A2094&amp;"??",$D2095:$D$2965),IF(AND(LEN($A2094)=4,VALUE(RIGHT($A2094,2))&lt;=60),SUMIF($A2095:$A$2965,$A2094&amp;"????",$D2095:$D$2965),VLOOKUP(IF(LEN($A2094)=4,$A2094&amp;"01 1",$A2094),GUS_tabl_21!$A$5:$F$4886,6,FALSE))))</f>
        <v>31405</v>
      </c>
      <c r="E2094" s="29"/>
    </row>
    <row r="2095" spans="1:5" ht="12" customHeight="1">
      <c r="A2095" s="155" t="str">
        <f>"240103 1"</f>
        <v>240103 1</v>
      </c>
      <c r="B2095" s="153" t="s">
        <v>80</v>
      </c>
      <c r="C2095" s="156" t="str">
        <f>IF(OR($A2095="",ISERROR(VALUE(LEFT($A2095,6)))),"",IF(LEN($A2095)=2,"WOJ. ",IF(LEN($A2095)=4,IF(VALUE(RIGHT($A2095,2))&gt;60,"","Powiat "),IF(VALUE(RIGHT($A2095,1))=1,"m. ",IF(VALUE(RIGHT($A2095,1))=2,"gm. w. ",IF(VALUE(RIGHT($A2095,1))=8,"dz. ","gm. m.-w. ")))))&amp;IF(LEN($A2095)=2,TRIM(UPPER(VLOOKUP($A2095,GUS_tabl_1!$A$7:$B$22,2,FALSE))),IF(ISERROR(FIND("..",TRIM(VLOOKUP(IF(AND(LEN($A2095)=4,VALUE(RIGHT($A2095,2))&gt;60),$A2095&amp;"01 1",$A2095),IF(AND(LEN($A2095)=4,VALUE(RIGHT($A2095,2))&lt;60),GUS_tabl_2!$A$8:$B$464,GUS_tabl_21!$A$5:$B$4886),2,FALSE)))),TRIM(VLOOKUP(IF(AND(LEN($A2095)=4,VALUE(RIGHT($A2095,2))&gt;60),$A2095&amp;"01 1",$A2095),IF(AND(LEN($A2095)=4,VALUE(RIGHT($A2095,2))&lt;60),GUS_tabl_2!$A$8:$B$464,GUS_tabl_21!$A$5:$B$4886),2,FALSE)),LEFT(TRIM(VLOOKUP(IF(AND(LEN($A2095)=4,VALUE(RIGHT($A2095,2))&gt;60),$A2095&amp;"01 1",$A2095),IF(AND(LEN($A2095)=4,VALUE(RIGHT($A2095,2))&lt;60),GUS_tabl_2!$A$8:$B$464,GUS_tabl_21!$A$5:$B$4886),2,FALSE)),SUM(FIND("..",TRIM(VLOOKUP(IF(AND(LEN($A2095)=4,VALUE(RIGHT($A2095,2))&gt;60),$A2095&amp;"01 1",$A2095),IF(AND(LEN($A2095)=4,VALUE(RIGHT($A2095,2))&lt;60),GUS_tabl_2!$A$8:$B$464,GUS_tabl_21!$A$5:$B$4886),2,FALSE))),-1)))))</f>
        <v>m. Wojkowice</v>
      </c>
      <c r="D2095" s="141">
        <f>IF(OR($A2095="",ISERROR(VALUE(LEFT($A2095,6)))),"",IF(LEN($A2095)=2,SUMIF($A2096:$A$2965,$A2095&amp;"??",$D2096:$D$2965),IF(AND(LEN($A2095)=4,VALUE(RIGHT($A2095,2))&lt;=60),SUMIF($A2096:$A$2965,$A2095&amp;"????",$D2096:$D$2965),VLOOKUP(IF(LEN($A2095)=4,$A2095&amp;"01 1",$A2095),GUS_tabl_21!$A$5:$F$4886,6,FALSE))))</f>
        <v>8942</v>
      </c>
      <c r="E2095" s="29"/>
    </row>
    <row r="2096" spans="1:5" ht="12" customHeight="1">
      <c r="A2096" s="155" t="str">
        <f>"240104 2"</f>
        <v>240104 2</v>
      </c>
      <c r="B2096" s="153" t="s">
        <v>80</v>
      </c>
      <c r="C2096" s="156" t="str">
        <f>IF(OR($A2096="",ISERROR(VALUE(LEFT($A2096,6)))),"",IF(LEN($A2096)=2,"WOJ. ",IF(LEN($A2096)=4,IF(VALUE(RIGHT($A2096,2))&gt;60,"","Powiat "),IF(VALUE(RIGHT($A2096,1))=1,"m. ",IF(VALUE(RIGHT($A2096,1))=2,"gm. w. ",IF(VALUE(RIGHT($A2096,1))=8,"dz. ","gm. m.-w. ")))))&amp;IF(LEN($A2096)=2,TRIM(UPPER(VLOOKUP($A2096,GUS_tabl_1!$A$7:$B$22,2,FALSE))),IF(ISERROR(FIND("..",TRIM(VLOOKUP(IF(AND(LEN($A2096)=4,VALUE(RIGHT($A2096,2))&gt;60),$A2096&amp;"01 1",$A2096),IF(AND(LEN($A2096)=4,VALUE(RIGHT($A2096,2))&lt;60),GUS_tabl_2!$A$8:$B$464,GUS_tabl_21!$A$5:$B$4886),2,FALSE)))),TRIM(VLOOKUP(IF(AND(LEN($A2096)=4,VALUE(RIGHT($A2096,2))&gt;60),$A2096&amp;"01 1",$A2096),IF(AND(LEN($A2096)=4,VALUE(RIGHT($A2096,2))&lt;60),GUS_tabl_2!$A$8:$B$464,GUS_tabl_21!$A$5:$B$4886),2,FALSE)),LEFT(TRIM(VLOOKUP(IF(AND(LEN($A2096)=4,VALUE(RIGHT($A2096,2))&gt;60),$A2096&amp;"01 1",$A2096),IF(AND(LEN($A2096)=4,VALUE(RIGHT($A2096,2))&lt;60),GUS_tabl_2!$A$8:$B$464,GUS_tabl_21!$A$5:$B$4886),2,FALSE)),SUM(FIND("..",TRIM(VLOOKUP(IF(AND(LEN($A2096)=4,VALUE(RIGHT($A2096,2))&gt;60),$A2096&amp;"01 1",$A2096),IF(AND(LEN($A2096)=4,VALUE(RIGHT($A2096,2))&lt;60),GUS_tabl_2!$A$8:$B$464,GUS_tabl_21!$A$5:$B$4886),2,FALSE))),-1)))))</f>
        <v>gm. w. Bobrowniki</v>
      </c>
      <c r="D2096" s="141">
        <f>IF(OR($A2096="",ISERROR(VALUE(LEFT($A2096,6)))),"",IF(LEN($A2096)=2,SUMIF($A2097:$A$2965,$A2096&amp;"??",$D2097:$D$2965),IF(AND(LEN($A2096)=4,VALUE(RIGHT($A2096,2))&lt;=60),SUMIF($A2097:$A$2965,$A2096&amp;"????",$D2097:$D$2965),VLOOKUP(IF(LEN($A2096)=4,$A2096&amp;"01 1",$A2096),GUS_tabl_21!$A$5:$F$4886,6,FALSE))))</f>
        <v>12132</v>
      </c>
      <c r="E2096" s="29"/>
    </row>
    <row r="2097" spans="1:5" ht="12" customHeight="1">
      <c r="A2097" s="155" t="str">
        <f>"240105 2"</f>
        <v>240105 2</v>
      </c>
      <c r="B2097" s="153" t="s">
        <v>80</v>
      </c>
      <c r="C2097" s="156" t="str">
        <f>IF(OR($A2097="",ISERROR(VALUE(LEFT($A2097,6)))),"",IF(LEN($A2097)=2,"WOJ. ",IF(LEN($A2097)=4,IF(VALUE(RIGHT($A2097,2))&gt;60,"","Powiat "),IF(VALUE(RIGHT($A2097,1))=1,"m. ",IF(VALUE(RIGHT($A2097,1))=2,"gm. w. ",IF(VALUE(RIGHT($A2097,1))=8,"dz. ","gm. m.-w. ")))))&amp;IF(LEN($A2097)=2,TRIM(UPPER(VLOOKUP($A2097,GUS_tabl_1!$A$7:$B$22,2,FALSE))),IF(ISERROR(FIND("..",TRIM(VLOOKUP(IF(AND(LEN($A2097)=4,VALUE(RIGHT($A2097,2))&gt;60),$A2097&amp;"01 1",$A2097),IF(AND(LEN($A2097)=4,VALUE(RIGHT($A2097,2))&lt;60),GUS_tabl_2!$A$8:$B$464,GUS_tabl_21!$A$5:$B$4886),2,FALSE)))),TRIM(VLOOKUP(IF(AND(LEN($A2097)=4,VALUE(RIGHT($A2097,2))&gt;60),$A2097&amp;"01 1",$A2097),IF(AND(LEN($A2097)=4,VALUE(RIGHT($A2097,2))&lt;60),GUS_tabl_2!$A$8:$B$464,GUS_tabl_21!$A$5:$B$4886),2,FALSE)),LEFT(TRIM(VLOOKUP(IF(AND(LEN($A2097)=4,VALUE(RIGHT($A2097,2))&gt;60),$A2097&amp;"01 1",$A2097),IF(AND(LEN($A2097)=4,VALUE(RIGHT($A2097,2))&lt;60),GUS_tabl_2!$A$8:$B$464,GUS_tabl_21!$A$5:$B$4886),2,FALSE)),SUM(FIND("..",TRIM(VLOOKUP(IF(AND(LEN($A2097)=4,VALUE(RIGHT($A2097,2))&gt;60),$A2097&amp;"01 1",$A2097),IF(AND(LEN($A2097)=4,VALUE(RIGHT($A2097,2))&lt;60),GUS_tabl_2!$A$8:$B$464,GUS_tabl_21!$A$5:$B$4886),2,FALSE))),-1)))))</f>
        <v>gm. w. Mierzęcice</v>
      </c>
      <c r="D2097" s="141">
        <f>IF(OR($A2097="",ISERROR(VALUE(LEFT($A2097,6)))),"",IF(LEN($A2097)=2,SUMIF($A2098:$A$2965,$A2097&amp;"??",$D2098:$D$2965),IF(AND(LEN($A2097)=4,VALUE(RIGHT($A2097,2))&lt;=60),SUMIF($A2098:$A$2965,$A2097&amp;"????",$D2098:$D$2965),VLOOKUP(IF(LEN($A2097)=4,$A2097&amp;"01 1",$A2097),GUS_tabl_21!$A$5:$F$4886,6,FALSE))))</f>
        <v>7635</v>
      </c>
      <c r="E2097" s="29"/>
    </row>
    <row r="2098" spans="1:5" ht="12" customHeight="1">
      <c r="A2098" s="155" t="str">
        <f>"240106 2"</f>
        <v>240106 2</v>
      </c>
      <c r="B2098" s="153" t="s">
        <v>80</v>
      </c>
      <c r="C2098" s="156" t="str">
        <f>IF(OR($A2098="",ISERROR(VALUE(LEFT($A2098,6)))),"",IF(LEN($A2098)=2,"WOJ. ",IF(LEN($A2098)=4,IF(VALUE(RIGHT($A2098,2))&gt;60,"","Powiat "),IF(VALUE(RIGHT($A2098,1))=1,"m. ",IF(VALUE(RIGHT($A2098,1))=2,"gm. w. ",IF(VALUE(RIGHT($A2098,1))=8,"dz. ","gm. m.-w. ")))))&amp;IF(LEN($A2098)=2,TRIM(UPPER(VLOOKUP($A2098,GUS_tabl_1!$A$7:$B$22,2,FALSE))),IF(ISERROR(FIND("..",TRIM(VLOOKUP(IF(AND(LEN($A2098)=4,VALUE(RIGHT($A2098,2))&gt;60),$A2098&amp;"01 1",$A2098),IF(AND(LEN($A2098)=4,VALUE(RIGHT($A2098,2))&lt;60),GUS_tabl_2!$A$8:$B$464,GUS_tabl_21!$A$5:$B$4886),2,FALSE)))),TRIM(VLOOKUP(IF(AND(LEN($A2098)=4,VALUE(RIGHT($A2098,2))&gt;60),$A2098&amp;"01 1",$A2098),IF(AND(LEN($A2098)=4,VALUE(RIGHT($A2098,2))&lt;60),GUS_tabl_2!$A$8:$B$464,GUS_tabl_21!$A$5:$B$4886),2,FALSE)),LEFT(TRIM(VLOOKUP(IF(AND(LEN($A2098)=4,VALUE(RIGHT($A2098,2))&gt;60),$A2098&amp;"01 1",$A2098),IF(AND(LEN($A2098)=4,VALUE(RIGHT($A2098,2))&lt;60),GUS_tabl_2!$A$8:$B$464,GUS_tabl_21!$A$5:$B$4886),2,FALSE)),SUM(FIND("..",TRIM(VLOOKUP(IF(AND(LEN($A2098)=4,VALUE(RIGHT($A2098,2))&gt;60),$A2098&amp;"01 1",$A2098),IF(AND(LEN($A2098)=4,VALUE(RIGHT($A2098,2))&lt;60),GUS_tabl_2!$A$8:$B$464,GUS_tabl_21!$A$5:$B$4886),2,FALSE))),-1)))))</f>
        <v>gm. w. Psary</v>
      </c>
      <c r="D2098" s="141">
        <f>IF(OR($A2098="",ISERROR(VALUE(LEFT($A2098,6)))),"",IF(LEN($A2098)=2,SUMIF($A2099:$A$2965,$A2098&amp;"??",$D2099:$D$2965),IF(AND(LEN($A2098)=4,VALUE(RIGHT($A2098,2))&lt;=60),SUMIF($A2099:$A$2965,$A2098&amp;"????",$D2099:$D$2965),VLOOKUP(IF(LEN($A2098)=4,$A2098&amp;"01 1",$A2098),GUS_tabl_21!$A$5:$F$4886,6,FALSE))))</f>
        <v>12221</v>
      </c>
      <c r="E2098" s="29"/>
    </row>
    <row r="2099" spans="1:5" ht="12" customHeight="1">
      <c r="A2099" s="155" t="str">
        <f>"240107 3"</f>
        <v>240107 3</v>
      </c>
      <c r="B2099" s="153" t="s">
        <v>80</v>
      </c>
      <c r="C2099" s="156" t="str">
        <f>IF(OR($A2099="",ISERROR(VALUE(LEFT($A2099,6)))),"",IF(LEN($A2099)=2,"WOJ. ",IF(LEN($A2099)=4,IF(VALUE(RIGHT($A2099,2))&gt;60,"","Powiat "),IF(VALUE(RIGHT($A2099,1))=1,"m. ",IF(VALUE(RIGHT($A2099,1))=2,"gm. w. ",IF(VALUE(RIGHT($A2099,1))=8,"dz. ","gm. m.-w. ")))))&amp;IF(LEN($A2099)=2,TRIM(UPPER(VLOOKUP($A2099,GUS_tabl_1!$A$7:$B$22,2,FALSE))),IF(ISERROR(FIND("..",TRIM(VLOOKUP(IF(AND(LEN($A2099)=4,VALUE(RIGHT($A2099,2))&gt;60),$A2099&amp;"01 1",$A2099),IF(AND(LEN($A2099)=4,VALUE(RIGHT($A2099,2))&lt;60),GUS_tabl_2!$A$8:$B$464,GUS_tabl_21!$A$5:$B$4886),2,FALSE)))),TRIM(VLOOKUP(IF(AND(LEN($A2099)=4,VALUE(RIGHT($A2099,2))&gt;60),$A2099&amp;"01 1",$A2099),IF(AND(LEN($A2099)=4,VALUE(RIGHT($A2099,2))&lt;60),GUS_tabl_2!$A$8:$B$464,GUS_tabl_21!$A$5:$B$4886),2,FALSE)),LEFT(TRIM(VLOOKUP(IF(AND(LEN($A2099)=4,VALUE(RIGHT($A2099,2))&gt;60),$A2099&amp;"01 1",$A2099),IF(AND(LEN($A2099)=4,VALUE(RIGHT($A2099,2))&lt;60),GUS_tabl_2!$A$8:$B$464,GUS_tabl_21!$A$5:$B$4886),2,FALSE)),SUM(FIND("..",TRIM(VLOOKUP(IF(AND(LEN($A2099)=4,VALUE(RIGHT($A2099,2))&gt;60),$A2099&amp;"01 1",$A2099),IF(AND(LEN($A2099)=4,VALUE(RIGHT($A2099,2))&lt;60),GUS_tabl_2!$A$8:$B$464,GUS_tabl_21!$A$5:$B$4886),2,FALSE))),-1)))))</f>
        <v>gm. m.-w. Siewierz</v>
      </c>
      <c r="D2099" s="141">
        <f>IF(OR($A2099="",ISERROR(VALUE(LEFT($A2099,6)))),"",IF(LEN($A2099)=2,SUMIF($A2100:$A$2965,$A2099&amp;"??",$D2100:$D$2965),IF(AND(LEN($A2099)=4,VALUE(RIGHT($A2099,2))&lt;=60),SUMIF($A2100:$A$2965,$A2099&amp;"????",$D2100:$D$2965),VLOOKUP(IF(LEN($A2099)=4,$A2099&amp;"01 1",$A2099),GUS_tabl_21!$A$5:$F$4886,6,FALSE))))</f>
        <v>12417</v>
      </c>
      <c r="E2099" s="29"/>
    </row>
    <row r="2100" spans="1:5" ht="12" customHeight="1">
      <c r="A2100" s="155" t="str">
        <f>"240108 1"</f>
        <v>240108 1</v>
      </c>
      <c r="B2100" s="153" t="s">
        <v>80</v>
      </c>
      <c r="C2100" s="156" t="str">
        <f>IF(OR($A2100="",ISERROR(VALUE(LEFT($A2100,6)))),"",IF(LEN($A2100)=2,"WOJ. ",IF(LEN($A2100)=4,IF(VALUE(RIGHT($A2100,2))&gt;60,"","Powiat "),IF(VALUE(RIGHT($A2100,1))=1,"m. ",IF(VALUE(RIGHT($A2100,1))=2,"gm. w. ",IF(VALUE(RIGHT($A2100,1))=8,"dz. ","gm. m.-w. ")))))&amp;IF(LEN($A2100)=2,TRIM(UPPER(VLOOKUP($A2100,GUS_tabl_1!$A$7:$B$22,2,FALSE))),IF(ISERROR(FIND("..",TRIM(VLOOKUP(IF(AND(LEN($A2100)=4,VALUE(RIGHT($A2100,2))&gt;60),$A2100&amp;"01 1",$A2100),IF(AND(LEN($A2100)=4,VALUE(RIGHT($A2100,2))&lt;60),GUS_tabl_2!$A$8:$B$464,GUS_tabl_21!$A$5:$B$4886),2,FALSE)))),TRIM(VLOOKUP(IF(AND(LEN($A2100)=4,VALUE(RIGHT($A2100,2))&gt;60),$A2100&amp;"01 1",$A2100),IF(AND(LEN($A2100)=4,VALUE(RIGHT($A2100,2))&lt;60),GUS_tabl_2!$A$8:$B$464,GUS_tabl_21!$A$5:$B$4886),2,FALSE)),LEFT(TRIM(VLOOKUP(IF(AND(LEN($A2100)=4,VALUE(RIGHT($A2100,2))&gt;60),$A2100&amp;"01 1",$A2100),IF(AND(LEN($A2100)=4,VALUE(RIGHT($A2100,2))&lt;60),GUS_tabl_2!$A$8:$B$464,GUS_tabl_21!$A$5:$B$4886),2,FALSE)),SUM(FIND("..",TRIM(VLOOKUP(IF(AND(LEN($A2100)=4,VALUE(RIGHT($A2100,2))&gt;60),$A2100&amp;"01 1",$A2100),IF(AND(LEN($A2100)=4,VALUE(RIGHT($A2100,2))&lt;60),GUS_tabl_2!$A$8:$B$464,GUS_tabl_21!$A$5:$B$4886),2,FALSE))),-1)))))</f>
        <v>m. Sławków</v>
      </c>
      <c r="D2100" s="141">
        <f>IF(OR($A2100="",ISERROR(VALUE(LEFT($A2100,6)))),"",IF(LEN($A2100)=2,SUMIF($A2101:$A$2965,$A2100&amp;"??",$D2101:$D$2965),IF(AND(LEN($A2100)=4,VALUE(RIGHT($A2100,2))&lt;=60),SUMIF($A2101:$A$2965,$A2100&amp;"????",$D2101:$D$2965),VLOOKUP(IF(LEN($A2100)=4,$A2100&amp;"01 1",$A2100),GUS_tabl_21!$A$5:$F$4886,6,FALSE))))</f>
        <v>6983</v>
      </c>
      <c r="E2100" s="29"/>
    </row>
    <row r="2101" spans="1:5" ht="12" customHeight="1">
      <c r="A2101" s="152" t="str">
        <f>"2402"</f>
        <v>2402</v>
      </c>
      <c r="B2101" s="153" t="s">
        <v>80</v>
      </c>
      <c r="C2101" s="154" t="str">
        <f>IF(OR($A2101="",ISERROR(VALUE(LEFT($A2101,6)))),"",IF(LEN($A2101)=2,"WOJ. ",IF(LEN($A2101)=4,IF(VALUE(RIGHT($A2101,2))&gt;60,"","Powiat "),IF(VALUE(RIGHT($A2101,1))=1,"m. ",IF(VALUE(RIGHT($A2101,1))=2,"gm. w. ",IF(VALUE(RIGHT($A2101,1))=8,"dz. ","gm. m.-w. ")))))&amp;IF(LEN($A2101)=2,TRIM(UPPER(VLOOKUP($A2101,GUS_tabl_1!$A$7:$B$22,2,FALSE))),IF(ISERROR(FIND("..",TRIM(VLOOKUP(IF(AND(LEN($A2101)=4,VALUE(RIGHT($A2101,2))&gt;60),$A2101&amp;"01 1",$A2101),IF(AND(LEN($A2101)=4,VALUE(RIGHT($A2101,2))&lt;60),GUS_tabl_2!$A$8:$B$464,GUS_tabl_21!$A$5:$B$4886),2,FALSE)))),TRIM(VLOOKUP(IF(AND(LEN($A2101)=4,VALUE(RIGHT($A2101,2))&gt;60),$A2101&amp;"01 1",$A2101),IF(AND(LEN($A2101)=4,VALUE(RIGHT($A2101,2))&lt;60),GUS_tabl_2!$A$8:$B$464,GUS_tabl_21!$A$5:$B$4886),2,FALSE)),LEFT(TRIM(VLOOKUP(IF(AND(LEN($A2101)=4,VALUE(RIGHT($A2101,2))&gt;60),$A2101&amp;"01 1",$A2101),IF(AND(LEN($A2101)=4,VALUE(RIGHT($A2101,2))&lt;60),GUS_tabl_2!$A$8:$B$464,GUS_tabl_21!$A$5:$B$4886),2,FALSE)),SUM(FIND("..",TRIM(VLOOKUP(IF(AND(LEN($A2101)=4,VALUE(RIGHT($A2101,2))&gt;60),$A2101&amp;"01 1",$A2101),IF(AND(LEN($A2101)=4,VALUE(RIGHT($A2101,2))&lt;60),GUS_tabl_2!$A$8:$B$464,GUS_tabl_21!$A$5:$B$4886),2,FALSE))),-1)))))</f>
        <v>Powiat bielski</v>
      </c>
      <c r="D2101" s="140">
        <f>IF(OR($A2101="",ISERROR(VALUE(LEFT($A2101,6)))),"",IF(LEN($A2101)=2,SUMIF($A2102:$A$2965,$A2101&amp;"??",$D2102:$D$2965),IF(AND(LEN($A2101)=4,VALUE(RIGHT($A2101,2))&lt;=60),SUMIF($A2102:$A$2965,$A2101&amp;"????",$D2102:$D$2965),VLOOKUP(IF(LEN($A2101)=4,$A2101&amp;"01 1",$A2101),GUS_tabl_21!$A$5:$F$4886,6,FALSE))))</f>
        <v>165960</v>
      </c>
      <c r="E2101" s="29"/>
    </row>
    <row r="2102" spans="1:5" ht="12" customHeight="1">
      <c r="A2102" s="155" t="str">
        <f>"240201 1"</f>
        <v>240201 1</v>
      </c>
      <c r="B2102" s="153" t="s">
        <v>80</v>
      </c>
      <c r="C2102" s="156" t="str">
        <f>IF(OR($A2102="",ISERROR(VALUE(LEFT($A2102,6)))),"",IF(LEN($A2102)=2,"WOJ. ",IF(LEN($A2102)=4,IF(VALUE(RIGHT($A2102,2))&gt;60,"","Powiat "),IF(VALUE(RIGHT($A2102,1))=1,"m. ",IF(VALUE(RIGHT($A2102,1))=2,"gm. w. ",IF(VALUE(RIGHT($A2102,1))=8,"dz. ","gm. m.-w. ")))))&amp;IF(LEN($A2102)=2,TRIM(UPPER(VLOOKUP($A2102,GUS_tabl_1!$A$7:$B$22,2,FALSE))),IF(ISERROR(FIND("..",TRIM(VLOOKUP(IF(AND(LEN($A2102)=4,VALUE(RIGHT($A2102,2))&gt;60),$A2102&amp;"01 1",$A2102),IF(AND(LEN($A2102)=4,VALUE(RIGHT($A2102,2))&lt;60),GUS_tabl_2!$A$8:$B$464,GUS_tabl_21!$A$5:$B$4886),2,FALSE)))),TRIM(VLOOKUP(IF(AND(LEN($A2102)=4,VALUE(RIGHT($A2102,2))&gt;60),$A2102&amp;"01 1",$A2102),IF(AND(LEN($A2102)=4,VALUE(RIGHT($A2102,2))&lt;60),GUS_tabl_2!$A$8:$B$464,GUS_tabl_21!$A$5:$B$4886),2,FALSE)),LEFT(TRIM(VLOOKUP(IF(AND(LEN($A2102)=4,VALUE(RIGHT($A2102,2))&gt;60),$A2102&amp;"01 1",$A2102),IF(AND(LEN($A2102)=4,VALUE(RIGHT($A2102,2))&lt;60),GUS_tabl_2!$A$8:$B$464,GUS_tabl_21!$A$5:$B$4886),2,FALSE)),SUM(FIND("..",TRIM(VLOOKUP(IF(AND(LEN($A2102)=4,VALUE(RIGHT($A2102,2))&gt;60),$A2102&amp;"01 1",$A2102),IF(AND(LEN($A2102)=4,VALUE(RIGHT($A2102,2))&lt;60),GUS_tabl_2!$A$8:$B$464,GUS_tabl_21!$A$5:$B$4886),2,FALSE))),-1)))))</f>
        <v>m. Szczyrk</v>
      </c>
      <c r="D2102" s="141">
        <f>IF(OR($A2102="",ISERROR(VALUE(LEFT($A2102,6)))),"",IF(LEN($A2102)=2,SUMIF($A2103:$A$2965,$A2102&amp;"??",$D2103:$D$2965),IF(AND(LEN($A2102)=4,VALUE(RIGHT($A2102,2))&lt;=60),SUMIF($A2103:$A$2965,$A2102&amp;"????",$D2103:$D$2965),VLOOKUP(IF(LEN($A2102)=4,$A2102&amp;"01 1",$A2102),GUS_tabl_21!$A$5:$F$4886,6,FALSE))))</f>
        <v>5751</v>
      </c>
      <c r="E2102" s="29"/>
    </row>
    <row r="2103" spans="1:5" ht="12" customHeight="1">
      <c r="A2103" s="155" t="str">
        <f>"240202 2"</f>
        <v>240202 2</v>
      </c>
      <c r="B2103" s="153" t="s">
        <v>80</v>
      </c>
      <c r="C2103" s="156" t="str">
        <f>IF(OR($A2103="",ISERROR(VALUE(LEFT($A2103,6)))),"",IF(LEN($A2103)=2,"WOJ. ",IF(LEN($A2103)=4,IF(VALUE(RIGHT($A2103,2))&gt;60,"","Powiat "),IF(VALUE(RIGHT($A2103,1))=1,"m. ",IF(VALUE(RIGHT($A2103,1))=2,"gm. w. ",IF(VALUE(RIGHT($A2103,1))=8,"dz. ","gm. m.-w. ")))))&amp;IF(LEN($A2103)=2,TRIM(UPPER(VLOOKUP($A2103,GUS_tabl_1!$A$7:$B$22,2,FALSE))),IF(ISERROR(FIND("..",TRIM(VLOOKUP(IF(AND(LEN($A2103)=4,VALUE(RIGHT($A2103,2))&gt;60),$A2103&amp;"01 1",$A2103),IF(AND(LEN($A2103)=4,VALUE(RIGHT($A2103,2))&lt;60),GUS_tabl_2!$A$8:$B$464,GUS_tabl_21!$A$5:$B$4886),2,FALSE)))),TRIM(VLOOKUP(IF(AND(LEN($A2103)=4,VALUE(RIGHT($A2103,2))&gt;60),$A2103&amp;"01 1",$A2103),IF(AND(LEN($A2103)=4,VALUE(RIGHT($A2103,2))&lt;60),GUS_tabl_2!$A$8:$B$464,GUS_tabl_21!$A$5:$B$4886),2,FALSE)),LEFT(TRIM(VLOOKUP(IF(AND(LEN($A2103)=4,VALUE(RIGHT($A2103,2))&gt;60),$A2103&amp;"01 1",$A2103),IF(AND(LEN($A2103)=4,VALUE(RIGHT($A2103,2))&lt;60),GUS_tabl_2!$A$8:$B$464,GUS_tabl_21!$A$5:$B$4886),2,FALSE)),SUM(FIND("..",TRIM(VLOOKUP(IF(AND(LEN($A2103)=4,VALUE(RIGHT($A2103,2))&gt;60),$A2103&amp;"01 1",$A2103),IF(AND(LEN($A2103)=4,VALUE(RIGHT($A2103,2))&lt;60),GUS_tabl_2!$A$8:$B$464,GUS_tabl_21!$A$5:$B$4886),2,FALSE))),-1)))))</f>
        <v>gm. w. Bestwina</v>
      </c>
      <c r="D2103" s="141">
        <f>IF(OR($A2103="",ISERROR(VALUE(LEFT($A2103,6)))),"",IF(LEN($A2103)=2,SUMIF($A2104:$A$2965,$A2103&amp;"??",$D2104:$D$2965),IF(AND(LEN($A2103)=4,VALUE(RIGHT($A2103,2))&lt;=60),SUMIF($A2104:$A$2965,$A2103&amp;"????",$D2104:$D$2965),VLOOKUP(IF(LEN($A2103)=4,$A2103&amp;"01 1",$A2103),GUS_tabl_21!$A$5:$F$4886,6,FALSE))))</f>
        <v>11909</v>
      </c>
      <c r="E2103" s="29"/>
    </row>
    <row r="2104" spans="1:5" ht="12" customHeight="1">
      <c r="A2104" s="155" t="str">
        <f>"240203 2"</f>
        <v>240203 2</v>
      </c>
      <c r="B2104" s="153" t="s">
        <v>80</v>
      </c>
      <c r="C2104" s="156" t="str">
        <f>IF(OR($A2104="",ISERROR(VALUE(LEFT($A2104,6)))),"",IF(LEN($A2104)=2,"WOJ. ",IF(LEN($A2104)=4,IF(VALUE(RIGHT($A2104,2))&gt;60,"","Powiat "),IF(VALUE(RIGHT($A2104,1))=1,"m. ",IF(VALUE(RIGHT($A2104,1))=2,"gm. w. ",IF(VALUE(RIGHT($A2104,1))=8,"dz. ","gm. m.-w. ")))))&amp;IF(LEN($A2104)=2,TRIM(UPPER(VLOOKUP($A2104,GUS_tabl_1!$A$7:$B$22,2,FALSE))),IF(ISERROR(FIND("..",TRIM(VLOOKUP(IF(AND(LEN($A2104)=4,VALUE(RIGHT($A2104,2))&gt;60),$A2104&amp;"01 1",$A2104),IF(AND(LEN($A2104)=4,VALUE(RIGHT($A2104,2))&lt;60),GUS_tabl_2!$A$8:$B$464,GUS_tabl_21!$A$5:$B$4886),2,FALSE)))),TRIM(VLOOKUP(IF(AND(LEN($A2104)=4,VALUE(RIGHT($A2104,2))&gt;60),$A2104&amp;"01 1",$A2104),IF(AND(LEN($A2104)=4,VALUE(RIGHT($A2104,2))&lt;60),GUS_tabl_2!$A$8:$B$464,GUS_tabl_21!$A$5:$B$4886),2,FALSE)),LEFT(TRIM(VLOOKUP(IF(AND(LEN($A2104)=4,VALUE(RIGHT($A2104,2))&gt;60),$A2104&amp;"01 1",$A2104),IF(AND(LEN($A2104)=4,VALUE(RIGHT($A2104,2))&lt;60),GUS_tabl_2!$A$8:$B$464,GUS_tabl_21!$A$5:$B$4886),2,FALSE)),SUM(FIND("..",TRIM(VLOOKUP(IF(AND(LEN($A2104)=4,VALUE(RIGHT($A2104,2))&gt;60),$A2104&amp;"01 1",$A2104),IF(AND(LEN($A2104)=4,VALUE(RIGHT($A2104,2))&lt;60),GUS_tabl_2!$A$8:$B$464,GUS_tabl_21!$A$5:$B$4886),2,FALSE))),-1)))))</f>
        <v>gm. w. Buczkowice</v>
      </c>
      <c r="D2104" s="141">
        <f>IF(OR($A2104="",ISERROR(VALUE(LEFT($A2104,6)))),"",IF(LEN($A2104)=2,SUMIF($A2105:$A$2965,$A2104&amp;"??",$D2105:$D$2965),IF(AND(LEN($A2104)=4,VALUE(RIGHT($A2104,2))&lt;=60),SUMIF($A2105:$A$2965,$A2104&amp;"????",$D2105:$D$2965),VLOOKUP(IF(LEN($A2104)=4,$A2104&amp;"01 1",$A2104),GUS_tabl_21!$A$5:$F$4886,6,FALSE))))</f>
        <v>11227</v>
      </c>
      <c r="E2104" s="29"/>
    </row>
    <row r="2105" spans="1:5" ht="12" customHeight="1">
      <c r="A2105" s="155" t="str">
        <f>"240204 3"</f>
        <v>240204 3</v>
      </c>
      <c r="B2105" s="153" t="s">
        <v>80</v>
      </c>
      <c r="C2105" s="156" t="str">
        <f>IF(OR($A2105="",ISERROR(VALUE(LEFT($A2105,6)))),"",IF(LEN($A2105)=2,"WOJ. ",IF(LEN($A2105)=4,IF(VALUE(RIGHT($A2105,2))&gt;60,"","Powiat "),IF(VALUE(RIGHT($A2105,1))=1,"m. ",IF(VALUE(RIGHT($A2105,1))=2,"gm. w. ",IF(VALUE(RIGHT($A2105,1))=8,"dz. ","gm. m.-w. ")))))&amp;IF(LEN($A2105)=2,TRIM(UPPER(VLOOKUP($A2105,GUS_tabl_1!$A$7:$B$22,2,FALSE))),IF(ISERROR(FIND("..",TRIM(VLOOKUP(IF(AND(LEN($A2105)=4,VALUE(RIGHT($A2105,2))&gt;60),$A2105&amp;"01 1",$A2105),IF(AND(LEN($A2105)=4,VALUE(RIGHT($A2105,2))&lt;60),GUS_tabl_2!$A$8:$B$464,GUS_tabl_21!$A$5:$B$4886),2,FALSE)))),TRIM(VLOOKUP(IF(AND(LEN($A2105)=4,VALUE(RIGHT($A2105,2))&gt;60),$A2105&amp;"01 1",$A2105),IF(AND(LEN($A2105)=4,VALUE(RIGHT($A2105,2))&lt;60),GUS_tabl_2!$A$8:$B$464,GUS_tabl_21!$A$5:$B$4886),2,FALSE)),LEFT(TRIM(VLOOKUP(IF(AND(LEN($A2105)=4,VALUE(RIGHT($A2105,2))&gt;60),$A2105&amp;"01 1",$A2105),IF(AND(LEN($A2105)=4,VALUE(RIGHT($A2105,2))&lt;60),GUS_tabl_2!$A$8:$B$464,GUS_tabl_21!$A$5:$B$4886),2,FALSE)),SUM(FIND("..",TRIM(VLOOKUP(IF(AND(LEN($A2105)=4,VALUE(RIGHT($A2105,2))&gt;60),$A2105&amp;"01 1",$A2105),IF(AND(LEN($A2105)=4,VALUE(RIGHT($A2105,2))&lt;60),GUS_tabl_2!$A$8:$B$464,GUS_tabl_21!$A$5:$B$4886),2,FALSE))),-1)))))</f>
        <v>gm. m.-w. Czechowice-Dziedzice</v>
      </c>
      <c r="D2105" s="141">
        <f>IF(OR($A2105="",ISERROR(VALUE(LEFT($A2105,6)))),"",IF(LEN($A2105)=2,SUMIF($A2106:$A$2965,$A2105&amp;"??",$D2106:$D$2965),IF(AND(LEN($A2105)=4,VALUE(RIGHT($A2105,2))&lt;=60),SUMIF($A2106:$A$2965,$A2105&amp;"????",$D2106:$D$2965),VLOOKUP(IF(LEN($A2105)=4,$A2105&amp;"01 1",$A2105),GUS_tabl_21!$A$5:$F$4886,6,FALSE))))</f>
        <v>45489</v>
      </c>
      <c r="E2105" s="29"/>
    </row>
    <row r="2106" spans="1:5" ht="12" customHeight="1">
      <c r="A2106" s="155" t="str">
        <f>"240205 2"</f>
        <v>240205 2</v>
      </c>
      <c r="B2106" s="153" t="s">
        <v>80</v>
      </c>
      <c r="C2106" s="156" t="str">
        <f>IF(OR($A2106="",ISERROR(VALUE(LEFT($A2106,6)))),"",IF(LEN($A2106)=2,"WOJ. ",IF(LEN($A2106)=4,IF(VALUE(RIGHT($A2106,2))&gt;60,"","Powiat "),IF(VALUE(RIGHT($A2106,1))=1,"m. ",IF(VALUE(RIGHT($A2106,1))=2,"gm. w. ",IF(VALUE(RIGHT($A2106,1))=8,"dz. ","gm. m.-w. ")))))&amp;IF(LEN($A2106)=2,TRIM(UPPER(VLOOKUP($A2106,GUS_tabl_1!$A$7:$B$22,2,FALSE))),IF(ISERROR(FIND("..",TRIM(VLOOKUP(IF(AND(LEN($A2106)=4,VALUE(RIGHT($A2106,2))&gt;60),$A2106&amp;"01 1",$A2106),IF(AND(LEN($A2106)=4,VALUE(RIGHT($A2106,2))&lt;60),GUS_tabl_2!$A$8:$B$464,GUS_tabl_21!$A$5:$B$4886),2,FALSE)))),TRIM(VLOOKUP(IF(AND(LEN($A2106)=4,VALUE(RIGHT($A2106,2))&gt;60),$A2106&amp;"01 1",$A2106),IF(AND(LEN($A2106)=4,VALUE(RIGHT($A2106,2))&lt;60),GUS_tabl_2!$A$8:$B$464,GUS_tabl_21!$A$5:$B$4886),2,FALSE)),LEFT(TRIM(VLOOKUP(IF(AND(LEN($A2106)=4,VALUE(RIGHT($A2106,2))&gt;60),$A2106&amp;"01 1",$A2106),IF(AND(LEN($A2106)=4,VALUE(RIGHT($A2106,2))&lt;60),GUS_tabl_2!$A$8:$B$464,GUS_tabl_21!$A$5:$B$4886),2,FALSE)),SUM(FIND("..",TRIM(VLOOKUP(IF(AND(LEN($A2106)=4,VALUE(RIGHT($A2106,2))&gt;60),$A2106&amp;"01 1",$A2106),IF(AND(LEN($A2106)=4,VALUE(RIGHT($A2106,2))&lt;60),GUS_tabl_2!$A$8:$B$464,GUS_tabl_21!$A$5:$B$4886),2,FALSE))),-1)))))</f>
        <v>gm. w. Jasienica</v>
      </c>
      <c r="D2106" s="141">
        <f>IF(OR($A2106="",ISERROR(VALUE(LEFT($A2106,6)))),"",IF(LEN($A2106)=2,SUMIF($A2107:$A$2965,$A2106&amp;"??",$D2107:$D$2965),IF(AND(LEN($A2106)=4,VALUE(RIGHT($A2106,2))&lt;=60),SUMIF($A2107:$A$2965,$A2106&amp;"????",$D2107:$D$2965),VLOOKUP(IF(LEN($A2106)=4,$A2106&amp;"01 1",$A2106),GUS_tabl_21!$A$5:$F$4886,6,FALSE))))</f>
        <v>24419</v>
      </c>
      <c r="E2106" s="29"/>
    </row>
    <row r="2107" spans="1:5" ht="12" customHeight="1">
      <c r="A2107" s="155" t="str">
        <f>"240206 2"</f>
        <v>240206 2</v>
      </c>
      <c r="B2107" s="153" t="s">
        <v>80</v>
      </c>
      <c r="C2107" s="156" t="str">
        <f>IF(OR($A2107="",ISERROR(VALUE(LEFT($A2107,6)))),"",IF(LEN($A2107)=2,"WOJ. ",IF(LEN($A2107)=4,IF(VALUE(RIGHT($A2107,2))&gt;60,"","Powiat "),IF(VALUE(RIGHT($A2107,1))=1,"m. ",IF(VALUE(RIGHT($A2107,1))=2,"gm. w. ",IF(VALUE(RIGHT($A2107,1))=8,"dz. ","gm. m.-w. ")))))&amp;IF(LEN($A2107)=2,TRIM(UPPER(VLOOKUP($A2107,GUS_tabl_1!$A$7:$B$22,2,FALSE))),IF(ISERROR(FIND("..",TRIM(VLOOKUP(IF(AND(LEN($A2107)=4,VALUE(RIGHT($A2107,2))&gt;60),$A2107&amp;"01 1",$A2107),IF(AND(LEN($A2107)=4,VALUE(RIGHT($A2107,2))&lt;60),GUS_tabl_2!$A$8:$B$464,GUS_tabl_21!$A$5:$B$4886),2,FALSE)))),TRIM(VLOOKUP(IF(AND(LEN($A2107)=4,VALUE(RIGHT($A2107,2))&gt;60),$A2107&amp;"01 1",$A2107),IF(AND(LEN($A2107)=4,VALUE(RIGHT($A2107,2))&lt;60),GUS_tabl_2!$A$8:$B$464,GUS_tabl_21!$A$5:$B$4886),2,FALSE)),LEFT(TRIM(VLOOKUP(IF(AND(LEN($A2107)=4,VALUE(RIGHT($A2107,2))&gt;60),$A2107&amp;"01 1",$A2107),IF(AND(LEN($A2107)=4,VALUE(RIGHT($A2107,2))&lt;60),GUS_tabl_2!$A$8:$B$464,GUS_tabl_21!$A$5:$B$4886),2,FALSE)),SUM(FIND("..",TRIM(VLOOKUP(IF(AND(LEN($A2107)=4,VALUE(RIGHT($A2107,2))&gt;60),$A2107&amp;"01 1",$A2107),IF(AND(LEN($A2107)=4,VALUE(RIGHT($A2107,2))&lt;60),GUS_tabl_2!$A$8:$B$464,GUS_tabl_21!$A$5:$B$4886),2,FALSE))),-1)))))</f>
        <v>gm. w. Jaworze</v>
      </c>
      <c r="D2107" s="141">
        <f>IF(OR($A2107="",ISERROR(VALUE(LEFT($A2107,6)))),"",IF(LEN($A2107)=2,SUMIF($A2108:$A$2965,$A2107&amp;"??",$D2108:$D$2965),IF(AND(LEN($A2107)=4,VALUE(RIGHT($A2107,2))&lt;=60),SUMIF($A2108:$A$2965,$A2107&amp;"????",$D2108:$D$2965),VLOOKUP(IF(LEN($A2107)=4,$A2107&amp;"01 1",$A2107),GUS_tabl_21!$A$5:$F$4886,6,FALSE))))</f>
        <v>7395</v>
      </c>
      <c r="E2107" s="29"/>
    </row>
    <row r="2108" spans="1:5" ht="12" customHeight="1">
      <c r="A2108" s="155" t="str">
        <f>"240207 2"</f>
        <v>240207 2</v>
      </c>
      <c r="B2108" s="153" t="s">
        <v>80</v>
      </c>
      <c r="C2108" s="156" t="str">
        <f>IF(OR($A2108="",ISERROR(VALUE(LEFT($A2108,6)))),"",IF(LEN($A2108)=2,"WOJ. ",IF(LEN($A2108)=4,IF(VALUE(RIGHT($A2108,2))&gt;60,"","Powiat "),IF(VALUE(RIGHT($A2108,1))=1,"m. ",IF(VALUE(RIGHT($A2108,1))=2,"gm. w. ",IF(VALUE(RIGHT($A2108,1))=8,"dz. ","gm. m.-w. ")))))&amp;IF(LEN($A2108)=2,TRIM(UPPER(VLOOKUP($A2108,GUS_tabl_1!$A$7:$B$22,2,FALSE))),IF(ISERROR(FIND("..",TRIM(VLOOKUP(IF(AND(LEN($A2108)=4,VALUE(RIGHT($A2108,2))&gt;60),$A2108&amp;"01 1",$A2108),IF(AND(LEN($A2108)=4,VALUE(RIGHT($A2108,2))&lt;60),GUS_tabl_2!$A$8:$B$464,GUS_tabl_21!$A$5:$B$4886),2,FALSE)))),TRIM(VLOOKUP(IF(AND(LEN($A2108)=4,VALUE(RIGHT($A2108,2))&gt;60),$A2108&amp;"01 1",$A2108),IF(AND(LEN($A2108)=4,VALUE(RIGHT($A2108,2))&lt;60),GUS_tabl_2!$A$8:$B$464,GUS_tabl_21!$A$5:$B$4886),2,FALSE)),LEFT(TRIM(VLOOKUP(IF(AND(LEN($A2108)=4,VALUE(RIGHT($A2108,2))&gt;60),$A2108&amp;"01 1",$A2108),IF(AND(LEN($A2108)=4,VALUE(RIGHT($A2108,2))&lt;60),GUS_tabl_2!$A$8:$B$464,GUS_tabl_21!$A$5:$B$4886),2,FALSE)),SUM(FIND("..",TRIM(VLOOKUP(IF(AND(LEN($A2108)=4,VALUE(RIGHT($A2108,2))&gt;60),$A2108&amp;"01 1",$A2108),IF(AND(LEN($A2108)=4,VALUE(RIGHT($A2108,2))&lt;60),GUS_tabl_2!$A$8:$B$464,GUS_tabl_21!$A$5:$B$4886),2,FALSE))),-1)))))</f>
        <v>gm. w. Kozy</v>
      </c>
      <c r="D2108" s="141">
        <f>IF(OR($A2108="",ISERROR(VALUE(LEFT($A2108,6)))),"",IF(LEN($A2108)=2,SUMIF($A2109:$A$2965,$A2108&amp;"??",$D2109:$D$2965),IF(AND(LEN($A2108)=4,VALUE(RIGHT($A2108,2))&lt;=60),SUMIF($A2109:$A$2965,$A2108&amp;"????",$D2109:$D$2965),VLOOKUP(IF(LEN($A2108)=4,$A2108&amp;"01 1",$A2108),GUS_tabl_21!$A$5:$F$4886,6,FALSE))))</f>
        <v>13024</v>
      </c>
      <c r="E2108" s="29"/>
    </row>
    <row r="2109" spans="1:5" ht="12" customHeight="1">
      <c r="A2109" s="155" t="str">
        <f>"240208 2"</f>
        <v>240208 2</v>
      </c>
      <c r="B2109" s="153" t="s">
        <v>80</v>
      </c>
      <c r="C2109" s="156" t="str">
        <f>IF(OR($A2109="",ISERROR(VALUE(LEFT($A2109,6)))),"",IF(LEN($A2109)=2,"WOJ. ",IF(LEN($A2109)=4,IF(VALUE(RIGHT($A2109,2))&gt;60,"","Powiat "),IF(VALUE(RIGHT($A2109,1))=1,"m. ",IF(VALUE(RIGHT($A2109,1))=2,"gm. w. ",IF(VALUE(RIGHT($A2109,1))=8,"dz. ","gm. m.-w. ")))))&amp;IF(LEN($A2109)=2,TRIM(UPPER(VLOOKUP($A2109,GUS_tabl_1!$A$7:$B$22,2,FALSE))),IF(ISERROR(FIND("..",TRIM(VLOOKUP(IF(AND(LEN($A2109)=4,VALUE(RIGHT($A2109,2))&gt;60),$A2109&amp;"01 1",$A2109),IF(AND(LEN($A2109)=4,VALUE(RIGHT($A2109,2))&lt;60),GUS_tabl_2!$A$8:$B$464,GUS_tabl_21!$A$5:$B$4886),2,FALSE)))),TRIM(VLOOKUP(IF(AND(LEN($A2109)=4,VALUE(RIGHT($A2109,2))&gt;60),$A2109&amp;"01 1",$A2109),IF(AND(LEN($A2109)=4,VALUE(RIGHT($A2109,2))&lt;60),GUS_tabl_2!$A$8:$B$464,GUS_tabl_21!$A$5:$B$4886),2,FALSE)),LEFT(TRIM(VLOOKUP(IF(AND(LEN($A2109)=4,VALUE(RIGHT($A2109,2))&gt;60),$A2109&amp;"01 1",$A2109),IF(AND(LEN($A2109)=4,VALUE(RIGHT($A2109,2))&lt;60),GUS_tabl_2!$A$8:$B$464,GUS_tabl_21!$A$5:$B$4886),2,FALSE)),SUM(FIND("..",TRIM(VLOOKUP(IF(AND(LEN($A2109)=4,VALUE(RIGHT($A2109,2))&gt;60),$A2109&amp;"01 1",$A2109),IF(AND(LEN($A2109)=4,VALUE(RIGHT($A2109,2))&lt;60),GUS_tabl_2!$A$8:$B$464,GUS_tabl_21!$A$5:$B$4886),2,FALSE))),-1)))))</f>
        <v>gm. w. Porąbka</v>
      </c>
      <c r="D2109" s="141">
        <f>IF(OR($A2109="",ISERROR(VALUE(LEFT($A2109,6)))),"",IF(LEN($A2109)=2,SUMIF($A2110:$A$2965,$A2109&amp;"??",$D2110:$D$2965),IF(AND(LEN($A2109)=4,VALUE(RIGHT($A2109,2))&lt;=60),SUMIF($A2110:$A$2965,$A2109&amp;"????",$D2110:$D$2965),VLOOKUP(IF(LEN($A2109)=4,$A2109&amp;"01 1",$A2109),GUS_tabl_21!$A$5:$F$4886,6,FALSE))))</f>
        <v>15630</v>
      </c>
      <c r="E2109" s="29"/>
    </row>
    <row r="2110" spans="1:5" ht="12" customHeight="1">
      <c r="A2110" s="155" t="str">
        <f>"240209 3"</f>
        <v>240209 3</v>
      </c>
      <c r="B2110" s="153" t="s">
        <v>80</v>
      </c>
      <c r="C2110" s="156" t="str">
        <f>IF(OR($A2110="",ISERROR(VALUE(LEFT($A2110,6)))),"",IF(LEN($A2110)=2,"WOJ. ",IF(LEN($A2110)=4,IF(VALUE(RIGHT($A2110,2))&gt;60,"","Powiat "),IF(VALUE(RIGHT($A2110,1))=1,"m. ",IF(VALUE(RIGHT($A2110,1))=2,"gm. w. ",IF(VALUE(RIGHT($A2110,1))=8,"dz. ","gm. m.-w. ")))))&amp;IF(LEN($A2110)=2,TRIM(UPPER(VLOOKUP($A2110,GUS_tabl_1!$A$7:$B$22,2,FALSE))),IF(ISERROR(FIND("..",TRIM(VLOOKUP(IF(AND(LEN($A2110)=4,VALUE(RIGHT($A2110,2))&gt;60),$A2110&amp;"01 1",$A2110),IF(AND(LEN($A2110)=4,VALUE(RIGHT($A2110,2))&lt;60),GUS_tabl_2!$A$8:$B$464,GUS_tabl_21!$A$5:$B$4886),2,FALSE)))),TRIM(VLOOKUP(IF(AND(LEN($A2110)=4,VALUE(RIGHT($A2110,2))&gt;60),$A2110&amp;"01 1",$A2110),IF(AND(LEN($A2110)=4,VALUE(RIGHT($A2110,2))&lt;60),GUS_tabl_2!$A$8:$B$464,GUS_tabl_21!$A$5:$B$4886),2,FALSE)),LEFT(TRIM(VLOOKUP(IF(AND(LEN($A2110)=4,VALUE(RIGHT($A2110,2))&gt;60),$A2110&amp;"01 1",$A2110),IF(AND(LEN($A2110)=4,VALUE(RIGHT($A2110,2))&lt;60),GUS_tabl_2!$A$8:$B$464,GUS_tabl_21!$A$5:$B$4886),2,FALSE)),SUM(FIND("..",TRIM(VLOOKUP(IF(AND(LEN($A2110)=4,VALUE(RIGHT($A2110,2))&gt;60),$A2110&amp;"01 1",$A2110),IF(AND(LEN($A2110)=4,VALUE(RIGHT($A2110,2))&lt;60),GUS_tabl_2!$A$8:$B$464,GUS_tabl_21!$A$5:$B$4886),2,FALSE))),-1)))))</f>
        <v>gm. m.-w. Wilamowice</v>
      </c>
      <c r="D2110" s="141">
        <f>IF(OR($A2110="",ISERROR(VALUE(LEFT($A2110,6)))),"",IF(LEN($A2110)=2,SUMIF($A2111:$A$2965,$A2110&amp;"??",$D2111:$D$2965),IF(AND(LEN($A2110)=4,VALUE(RIGHT($A2110,2))&lt;=60),SUMIF($A2111:$A$2965,$A2110&amp;"????",$D2111:$D$2965),VLOOKUP(IF(LEN($A2110)=4,$A2110&amp;"01 1",$A2110),GUS_tabl_21!$A$5:$F$4886,6,FALSE))))</f>
        <v>17695</v>
      </c>
      <c r="E2110" s="29"/>
    </row>
    <row r="2111" spans="1:5" ht="12" customHeight="1">
      <c r="A2111" s="155" t="str">
        <f>"240210 2"</f>
        <v>240210 2</v>
      </c>
      <c r="B2111" s="153" t="s">
        <v>80</v>
      </c>
      <c r="C2111" s="156" t="str">
        <f>IF(OR($A2111="",ISERROR(VALUE(LEFT($A2111,6)))),"",IF(LEN($A2111)=2,"WOJ. ",IF(LEN($A2111)=4,IF(VALUE(RIGHT($A2111,2))&gt;60,"","Powiat "),IF(VALUE(RIGHT($A2111,1))=1,"m. ",IF(VALUE(RIGHT($A2111,1))=2,"gm. w. ",IF(VALUE(RIGHT($A2111,1))=8,"dz. ","gm. m.-w. ")))))&amp;IF(LEN($A2111)=2,TRIM(UPPER(VLOOKUP($A2111,GUS_tabl_1!$A$7:$B$22,2,FALSE))),IF(ISERROR(FIND("..",TRIM(VLOOKUP(IF(AND(LEN($A2111)=4,VALUE(RIGHT($A2111,2))&gt;60),$A2111&amp;"01 1",$A2111),IF(AND(LEN($A2111)=4,VALUE(RIGHT($A2111,2))&lt;60),GUS_tabl_2!$A$8:$B$464,GUS_tabl_21!$A$5:$B$4886),2,FALSE)))),TRIM(VLOOKUP(IF(AND(LEN($A2111)=4,VALUE(RIGHT($A2111,2))&gt;60),$A2111&amp;"01 1",$A2111),IF(AND(LEN($A2111)=4,VALUE(RIGHT($A2111,2))&lt;60),GUS_tabl_2!$A$8:$B$464,GUS_tabl_21!$A$5:$B$4886),2,FALSE)),LEFT(TRIM(VLOOKUP(IF(AND(LEN($A2111)=4,VALUE(RIGHT($A2111,2))&gt;60),$A2111&amp;"01 1",$A2111),IF(AND(LEN($A2111)=4,VALUE(RIGHT($A2111,2))&lt;60),GUS_tabl_2!$A$8:$B$464,GUS_tabl_21!$A$5:$B$4886),2,FALSE)),SUM(FIND("..",TRIM(VLOOKUP(IF(AND(LEN($A2111)=4,VALUE(RIGHT($A2111,2))&gt;60),$A2111&amp;"01 1",$A2111),IF(AND(LEN($A2111)=4,VALUE(RIGHT($A2111,2))&lt;60),GUS_tabl_2!$A$8:$B$464,GUS_tabl_21!$A$5:$B$4886),2,FALSE))),-1)))))</f>
        <v>gm. w. Wilkowice</v>
      </c>
      <c r="D2111" s="141">
        <f>IF(OR($A2111="",ISERROR(VALUE(LEFT($A2111,6)))),"",IF(LEN($A2111)=2,SUMIF($A2112:$A$2965,$A2111&amp;"??",$D2112:$D$2965),IF(AND(LEN($A2111)=4,VALUE(RIGHT($A2111,2))&lt;=60),SUMIF($A2112:$A$2965,$A2111&amp;"????",$D2112:$D$2965),VLOOKUP(IF(LEN($A2111)=4,$A2111&amp;"01 1",$A2111),GUS_tabl_21!$A$5:$F$4886,6,FALSE))))</f>
        <v>13421</v>
      </c>
      <c r="E2111" s="29"/>
    </row>
    <row r="2112" spans="1:5" ht="12" customHeight="1">
      <c r="A2112" s="152" t="str">
        <f>"2414"</f>
        <v>2414</v>
      </c>
      <c r="B2112" s="153" t="s">
        <v>80</v>
      </c>
      <c r="C2112" s="154" t="str">
        <f>IF(OR($A2112="",ISERROR(VALUE(LEFT($A2112,6)))),"",IF(LEN($A2112)=2,"WOJ. ",IF(LEN($A2112)=4,IF(VALUE(RIGHT($A2112,2))&gt;60,"","Powiat "),IF(VALUE(RIGHT($A2112,1))=1,"m. ",IF(VALUE(RIGHT($A2112,1))=2,"gm. w. ",IF(VALUE(RIGHT($A2112,1))=8,"dz. ","gm. m.-w. ")))))&amp;IF(LEN($A2112)=2,TRIM(UPPER(VLOOKUP($A2112,GUS_tabl_1!$A$7:$B$22,2,FALSE))),IF(ISERROR(FIND("..",TRIM(VLOOKUP(IF(AND(LEN($A2112)=4,VALUE(RIGHT($A2112,2))&gt;60),$A2112&amp;"01 1",$A2112),IF(AND(LEN($A2112)=4,VALUE(RIGHT($A2112,2))&lt;60),GUS_tabl_2!$A$8:$B$464,GUS_tabl_21!$A$5:$B$4886),2,FALSE)))),TRIM(VLOOKUP(IF(AND(LEN($A2112)=4,VALUE(RIGHT($A2112,2))&gt;60),$A2112&amp;"01 1",$A2112),IF(AND(LEN($A2112)=4,VALUE(RIGHT($A2112,2))&lt;60),GUS_tabl_2!$A$8:$B$464,GUS_tabl_21!$A$5:$B$4886),2,FALSE)),LEFT(TRIM(VLOOKUP(IF(AND(LEN($A2112)=4,VALUE(RIGHT($A2112,2))&gt;60),$A2112&amp;"01 1",$A2112),IF(AND(LEN($A2112)=4,VALUE(RIGHT($A2112,2))&lt;60),GUS_tabl_2!$A$8:$B$464,GUS_tabl_21!$A$5:$B$4886),2,FALSE)),SUM(FIND("..",TRIM(VLOOKUP(IF(AND(LEN($A2112)=4,VALUE(RIGHT($A2112,2))&gt;60),$A2112&amp;"01 1",$A2112),IF(AND(LEN($A2112)=4,VALUE(RIGHT($A2112,2))&lt;60),GUS_tabl_2!$A$8:$B$464,GUS_tabl_21!$A$5:$B$4886),2,FALSE))),-1)))))</f>
        <v>Powiat bieruńsko-lędziński</v>
      </c>
      <c r="D2112" s="140">
        <f>IF(OR($A2112="",ISERROR(VALUE(LEFT($A2112,6)))),"",IF(LEN($A2112)=2,SUMIF($A2113:$A$2965,$A2112&amp;"??",$D2113:$D$2965),IF(AND(LEN($A2112)=4,VALUE(RIGHT($A2112,2))&lt;=60),SUMIF($A2113:$A$2965,$A2112&amp;"????",$D2113:$D$2965),VLOOKUP(IF(LEN($A2112)=4,$A2112&amp;"01 1",$A2112),GUS_tabl_21!$A$5:$F$4886,6,FALSE))))</f>
        <v>59776</v>
      </c>
      <c r="E2112" s="29"/>
    </row>
    <row r="2113" spans="1:5" ht="12" customHeight="1">
      <c r="A2113" s="155" t="str">
        <f>"241401 1"</f>
        <v>241401 1</v>
      </c>
      <c r="B2113" s="153" t="s">
        <v>80</v>
      </c>
      <c r="C2113" s="156" t="str">
        <f>IF(OR($A2113="",ISERROR(VALUE(LEFT($A2113,6)))),"",IF(LEN($A2113)=2,"WOJ. ",IF(LEN($A2113)=4,IF(VALUE(RIGHT($A2113,2))&gt;60,"","Powiat "),IF(VALUE(RIGHT($A2113,1))=1,"m. ",IF(VALUE(RIGHT($A2113,1))=2,"gm. w. ",IF(VALUE(RIGHT($A2113,1))=8,"dz. ","gm. m.-w. ")))))&amp;IF(LEN($A2113)=2,TRIM(UPPER(VLOOKUP($A2113,GUS_tabl_1!$A$7:$B$22,2,FALSE))),IF(ISERROR(FIND("..",TRIM(VLOOKUP(IF(AND(LEN($A2113)=4,VALUE(RIGHT($A2113,2))&gt;60),$A2113&amp;"01 1",$A2113),IF(AND(LEN($A2113)=4,VALUE(RIGHT($A2113,2))&lt;60),GUS_tabl_2!$A$8:$B$464,GUS_tabl_21!$A$5:$B$4886),2,FALSE)))),TRIM(VLOOKUP(IF(AND(LEN($A2113)=4,VALUE(RIGHT($A2113,2))&gt;60),$A2113&amp;"01 1",$A2113),IF(AND(LEN($A2113)=4,VALUE(RIGHT($A2113,2))&lt;60),GUS_tabl_2!$A$8:$B$464,GUS_tabl_21!$A$5:$B$4886),2,FALSE)),LEFT(TRIM(VLOOKUP(IF(AND(LEN($A2113)=4,VALUE(RIGHT($A2113,2))&gt;60),$A2113&amp;"01 1",$A2113),IF(AND(LEN($A2113)=4,VALUE(RIGHT($A2113,2))&lt;60),GUS_tabl_2!$A$8:$B$464,GUS_tabl_21!$A$5:$B$4886),2,FALSE)),SUM(FIND("..",TRIM(VLOOKUP(IF(AND(LEN($A2113)=4,VALUE(RIGHT($A2113,2))&gt;60),$A2113&amp;"01 1",$A2113),IF(AND(LEN($A2113)=4,VALUE(RIGHT($A2113,2))&lt;60),GUS_tabl_2!$A$8:$B$464,GUS_tabl_21!$A$5:$B$4886),2,FALSE))),-1)))))</f>
        <v>m. Bieruń</v>
      </c>
      <c r="D2113" s="141">
        <f>IF(OR($A2113="",ISERROR(VALUE(LEFT($A2113,6)))),"",IF(LEN($A2113)=2,SUMIF($A2114:$A$2965,$A2113&amp;"??",$D2114:$D$2965),IF(AND(LEN($A2113)=4,VALUE(RIGHT($A2113,2))&lt;=60),SUMIF($A2114:$A$2965,$A2113&amp;"????",$D2114:$D$2965),VLOOKUP(IF(LEN($A2113)=4,$A2113&amp;"01 1",$A2113),GUS_tabl_21!$A$5:$F$4886,6,FALSE))))</f>
        <v>19507</v>
      </c>
      <c r="E2113" s="29"/>
    </row>
    <row r="2114" spans="1:5" ht="12" customHeight="1">
      <c r="A2114" s="155" t="str">
        <f>"241402 1"</f>
        <v>241402 1</v>
      </c>
      <c r="B2114" s="153" t="s">
        <v>80</v>
      </c>
      <c r="C2114" s="156" t="str">
        <f>IF(OR($A2114="",ISERROR(VALUE(LEFT($A2114,6)))),"",IF(LEN($A2114)=2,"WOJ. ",IF(LEN($A2114)=4,IF(VALUE(RIGHT($A2114,2))&gt;60,"","Powiat "),IF(VALUE(RIGHT($A2114,1))=1,"m. ",IF(VALUE(RIGHT($A2114,1))=2,"gm. w. ",IF(VALUE(RIGHT($A2114,1))=8,"dz. ","gm. m.-w. ")))))&amp;IF(LEN($A2114)=2,TRIM(UPPER(VLOOKUP($A2114,GUS_tabl_1!$A$7:$B$22,2,FALSE))),IF(ISERROR(FIND("..",TRIM(VLOOKUP(IF(AND(LEN($A2114)=4,VALUE(RIGHT($A2114,2))&gt;60),$A2114&amp;"01 1",$A2114),IF(AND(LEN($A2114)=4,VALUE(RIGHT($A2114,2))&lt;60),GUS_tabl_2!$A$8:$B$464,GUS_tabl_21!$A$5:$B$4886),2,FALSE)))),TRIM(VLOOKUP(IF(AND(LEN($A2114)=4,VALUE(RIGHT($A2114,2))&gt;60),$A2114&amp;"01 1",$A2114),IF(AND(LEN($A2114)=4,VALUE(RIGHT($A2114,2))&lt;60),GUS_tabl_2!$A$8:$B$464,GUS_tabl_21!$A$5:$B$4886),2,FALSE)),LEFT(TRIM(VLOOKUP(IF(AND(LEN($A2114)=4,VALUE(RIGHT($A2114,2))&gt;60),$A2114&amp;"01 1",$A2114),IF(AND(LEN($A2114)=4,VALUE(RIGHT($A2114,2))&lt;60),GUS_tabl_2!$A$8:$B$464,GUS_tabl_21!$A$5:$B$4886),2,FALSE)),SUM(FIND("..",TRIM(VLOOKUP(IF(AND(LEN($A2114)=4,VALUE(RIGHT($A2114,2))&gt;60),$A2114&amp;"01 1",$A2114),IF(AND(LEN($A2114)=4,VALUE(RIGHT($A2114,2))&lt;60),GUS_tabl_2!$A$8:$B$464,GUS_tabl_21!$A$5:$B$4886),2,FALSE))),-1)))))</f>
        <v>m. Imielin</v>
      </c>
      <c r="D2114" s="141">
        <f>IF(OR($A2114="",ISERROR(VALUE(LEFT($A2114,6)))),"",IF(LEN($A2114)=2,SUMIF($A2115:$A$2965,$A2114&amp;"??",$D2115:$D$2965),IF(AND(LEN($A2114)=4,VALUE(RIGHT($A2114,2))&lt;=60),SUMIF($A2115:$A$2965,$A2114&amp;"????",$D2115:$D$2965),VLOOKUP(IF(LEN($A2114)=4,$A2114&amp;"01 1",$A2114),GUS_tabl_21!$A$5:$F$4886,6,FALSE))))</f>
        <v>9189</v>
      </c>
      <c r="E2114" s="29"/>
    </row>
    <row r="2115" spans="1:5" ht="12" customHeight="1">
      <c r="A2115" s="155" t="str">
        <f>"241403 1"</f>
        <v>241403 1</v>
      </c>
      <c r="B2115" s="153" t="s">
        <v>80</v>
      </c>
      <c r="C2115" s="156" t="str">
        <f>IF(OR($A2115="",ISERROR(VALUE(LEFT($A2115,6)))),"",IF(LEN($A2115)=2,"WOJ. ",IF(LEN($A2115)=4,IF(VALUE(RIGHT($A2115,2))&gt;60,"","Powiat "),IF(VALUE(RIGHT($A2115,1))=1,"m. ",IF(VALUE(RIGHT($A2115,1))=2,"gm. w. ",IF(VALUE(RIGHT($A2115,1))=8,"dz. ","gm. m.-w. ")))))&amp;IF(LEN($A2115)=2,TRIM(UPPER(VLOOKUP($A2115,GUS_tabl_1!$A$7:$B$22,2,FALSE))),IF(ISERROR(FIND("..",TRIM(VLOOKUP(IF(AND(LEN($A2115)=4,VALUE(RIGHT($A2115,2))&gt;60),$A2115&amp;"01 1",$A2115),IF(AND(LEN($A2115)=4,VALUE(RIGHT($A2115,2))&lt;60),GUS_tabl_2!$A$8:$B$464,GUS_tabl_21!$A$5:$B$4886),2,FALSE)))),TRIM(VLOOKUP(IF(AND(LEN($A2115)=4,VALUE(RIGHT($A2115,2))&gt;60),$A2115&amp;"01 1",$A2115),IF(AND(LEN($A2115)=4,VALUE(RIGHT($A2115,2))&lt;60),GUS_tabl_2!$A$8:$B$464,GUS_tabl_21!$A$5:$B$4886),2,FALSE)),LEFT(TRIM(VLOOKUP(IF(AND(LEN($A2115)=4,VALUE(RIGHT($A2115,2))&gt;60),$A2115&amp;"01 1",$A2115),IF(AND(LEN($A2115)=4,VALUE(RIGHT($A2115,2))&lt;60),GUS_tabl_2!$A$8:$B$464,GUS_tabl_21!$A$5:$B$4886),2,FALSE)),SUM(FIND("..",TRIM(VLOOKUP(IF(AND(LEN($A2115)=4,VALUE(RIGHT($A2115,2))&gt;60),$A2115&amp;"01 1",$A2115),IF(AND(LEN($A2115)=4,VALUE(RIGHT($A2115,2))&lt;60),GUS_tabl_2!$A$8:$B$464,GUS_tabl_21!$A$5:$B$4886),2,FALSE))),-1)))))</f>
        <v>m. Lędziny</v>
      </c>
      <c r="D2115" s="141">
        <f>IF(OR($A2115="",ISERROR(VALUE(LEFT($A2115,6)))),"",IF(LEN($A2115)=2,SUMIF($A2116:$A$2965,$A2115&amp;"??",$D2116:$D$2965),IF(AND(LEN($A2115)=4,VALUE(RIGHT($A2115,2))&lt;=60),SUMIF($A2116:$A$2965,$A2115&amp;"????",$D2116:$D$2965),VLOOKUP(IF(LEN($A2115)=4,$A2115&amp;"01 1",$A2115),GUS_tabl_21!$A$5:$F$4886,6,FALSE))))</f>
        <v>16798</v>
      </c>
      <c r="E2115" s="29"/>
    </row>
    <row r="2116" spans="1:5" ht="12" customHeight="1">
      <c r="A2116" s="155" t="str">
        <f>"241404 2"</f>
        <v>241404 2</v>
      </c>
      <c r="B2116" s="153" t="s">
        <v>80</v>
      </c>
      <c r="C2116" s="156" t="str">
        <f>IF(OR($A2116="",ISERROR(VALUE(LEFT($A2116,6)))),"",IF(LEN($A2116)=2,"WOJ. ",IF(LEN($A2116)=4,IF(VALUE(RIGHT($A2116,2))&gt;60,"","Powiat "),IF(VALUE(RIGHT($A2116,1))=1,"m. ",IF(VALUE(RIGHT($A2116,1))=2,"gm. w. ",IF(VALUE(RIGHT($A2116,1))=8,"dz. ","gm. m.-w. ")))))&amp;IF(LEN($A2116)=2,TRIM(UPPER(VLOOKUP($A2116,GUS_tabl_1!$A$7:$B$22,2,FALSE))),IF(ISERROR(FIND("..",TRIM(VLOOKUP(IF(AND(LEN($A2116)=4,VALUE(RIGHT($A2116,2))&gt;60),$A2116&amp;"01 1",$A2116),IF(AND(LEN($A2116)=4,VALUE(RIGHT($A2116,2))&lt;60),GUS_tabl_2!$A$8:$B$464,GUS_tabl_21!$A$5:$B$4886),2,FALSE)))),TRIM(VLOOKUP(IF(AND(LEN($A2116)=4,VALUE(RIGHT($A2116,2))&gt;60),$A2116&amp;"01 1",$A2116),IF(AND(LEN($A2116)=4,VALUE(RIGHT($A2116,2))&lt;60),GUS_tabl_2!$A$8:$B$464,GUS_tabl_21!$A$5:$B$4886),2,FALSE)),LEFT(TRIM(VLOOKUP(IF(AND(LEN($A2116)=4,VALUE(RIGHT($A2116,2))&gt;60),$A2116&amp;"01 1",$A2116),IF(AND(LEN($A2116)=4,VALUE(RIGHT($A2116,2))&lt;60),GUS_tabl_2!$A$8:$B$464,GUS_tabl_21!$A$5:$B$4886),2,FALSE)),SUM(FIND("..",TRIM(VLOOKUP(IF(AND(LEN($A2116)=4,VALUE(RIGHT($A2116,2))&gt;60),$A2116&amp;"01 1",$A2116),IF(AND(LEN($A2116)=4,VALUE(RIGHT($A2116,2))&lt;60),GUS_tabl_2!$A$8:$B$464,GUS_tabl_21!$A$5:$B$4886),2,FALSE))),-1)))))</f>
        <v>gm. w. Bojszowy</v>
      </c>
      <c r="D2116" s="141">
        <f>IF(OR($A2116="",ISERROR(VALUE(LEFT($A2116,6)))),"",IF(LEN($A2116)=2,SUMIF($A2117:$A$2965,$A2116&amp;"??",$D2117:$D$2965),IF(AND(LEN($A2116)=4,VALUE(RIGHT($A2116,2))&lt;=60),SUMIF($A2117:$A$2965,$A2116&amp;"????",$D2117:$D$2965),VLOOKUP(IF(LEN($A2116)=4,$A2116&amp;"01 1",$A2116),GUS_tabl_21!$A$5:$F$4886,6,FALSE))))</f>
        <v>7924</v>
      </c>
      <c r="E2116" s="29"/>
    </row>
    <row r="2117" spans="1:5" ht="12" customHeight="1">
      <c r="A2117" s="155" t="str">
        <f>"241405 2"</f>
        <v>241405 2</v>
      </c>
      <c r="B2117" s="153" t="s">
        <v>80</v>
      </c>
      <c r="C2117" s="156" t="str">
        <f>IF(OR($A2117="",ISERROR(VALUE(LEFT($A2117,6)))),"",IF(LEN($A2117)=2,"WOJ. ",IF(LEN($A2117)=4,IF(VALUE(RIGHT($A2117,2))&gt;60,"","Powiat "),IF(VALUE(RIGHT($A2117,1))=1,"m. ",IF(VALUE(RIGHT($A2117,1))=2,"gm. w. ",IF(VALUE(RIGHT($A2117,1))=8,"dz. ","gm. m.-w. ")))))&amp;IF(LEN($A2117)=2,TRIM(UPPER(VLOOKUP($A2117,GUS_tabl_1!$A$7:$B$22,2,FALSE))),IF(ISERROR(FIND("..",TRIM(VLOOKUP(IF(AND(LEN($A2117)=4,VALUE(RIGHT($A2117,2))&gt;60),$A2117&amp;"01 1",$A2117),IF(AND(LEN($A2117)=4,VALUE(RIGHT($A2117,2))&lt;60),GUS_tabl_2!$A$8:$B$464,GUS_tabl_21!$A$5:$B$4886),2,FALSE)))),TRIM(VLOOKUP(IF(AND(LEN($A2117)=4,VALUE(RIGHT($A2117,2))&gt;60),$A2117&amp;"01 1",$A2117),IF(AND(LEN($A2117)=4,VALUE(RIGHT($A2117,2))&lt;60),GUS_tabl_2!$A$8:$B$464,GUS_tabl_21!$A$5:$B$4886),2,FALSE)),LEFT(TRIM(VLOOKUP(IF(AND(LEN($A2117)=4,VALUE(RIGHT($A2117,2))&gt;60),$A2117&amp;"01 1",$A2117),IF(AND(LEN($A2117)=4,VALUE(RIGHT($A2117,2))&lt;60),GUS_tabl_2!$A$8:$B$464,GUS_tabl_21!$A$5:$B$4886),2,FALSE)),SUM(FIND("..",TRIM(VLOOKUP(IF(AND(LEN($A2117)=4,VALUE(RIGHT($A2117,2))&gt;60),$A2117&amp;"01 1",$A2117),IF(AND(LEN($A2117)=4,VALUE(RIGHT($A2117,2))&lt;60),GUS_tabl_2!$A$8:$B$464,GUS_tabl_21!$A$5:$B$4886),2,FALSE))),-1)))))</f>
        <v>gm. w. Chełm Śląski</v>
      </c>
      <c r="D2117" s="141">
        <f>IF(OR($A2117="",ISERROR(VALUE(LEFT($A2117,6)))),"",IF(LEN($A2117)=2,SUMIF($A2118:$A$2965,$A2117&amp;"??",$D2118:$D$2965),IF(AND(LEN($A2117)=4,VALUE(RIGHT($A2117,2))&lt;=60),SUMIF($A2118:$A$2965,$A2117&amp;"????",$D2118:$D$2965),VLOOKUP(IF(LEN($A2117)=4,$A2117&amp;"01 1",$A2117),GUS_tabl_21!$A$5:$F$4886,6,FALSE))))</f>
        <v>6358</v>
      </c>
      <c r="E2117" s="29"/>
    </row>
    <row r="2118" spans="1:5" ht="12" customHeight="1">
      <c r="A2118" s="152" t="str">
        <f>"2403"</f>
        <v>2403</v>
      </c>
      <c r="B2118" s="153" t="s">
        <v>80</v>
      </c>
      <c r="C2118" s="154" t="str">
        <f>IF(OR($A2118="",ISERROR(VALUE(LEFT($A2118,6)))),"",IF(LEN($A2118)=2,"WOJ. ",IF(LEN($A2118)=4,IF(VALUE(RIGHT($A2118,2))&gt;60,"","Powiat "),IF(VALUE(RIGHT($A2118,1))=1,"m. ",IF(VALUE(RIGHT($A2118,1))=2,"gm. w. ",IF(VALUE(RIGHT($A2118,1))=8,"dz. ","gm. m.-w. ")))))&amp;IF(LEN($A2118)=2,TRIM(UPPER(VLOOKUP($A2118,GUS_tabl_1!$A$7:$B$22,2,FALSE))),IF(ISERROR(FIND("..",TRIM(VLOOKUP(IF(AND(LEN($A2118)=4,VALUE(RIGHT($A2118,2))&gt;60),$A2118&amp;"01 1",$A2118),IF(AND(LEN($A2118)=4,VALUE(RIGHT($A2118,2))&lt;60),GUS_tabl_2!$A$8:$B$464,GUS_tabl_21!$A$5:$B$4886),2,FALSE)))),TRIM(VLOOKUP(IF(AND(LEN($A2118)=4,VALUE(RIGHT($A2118,2))&gt;60),$A2118&amp;"01 1",$A2118),IF(AND(LEN($A2118)=4,VALUE(RIGHT($A2118,2))&lt;60),GUS_tabl_2!$A$8:$B$464,GUS_tabl_21!$A$5:$B$4886),2,FALSE)),LEFT(TRIM(VLOOKUP(IF(AND(LEN($A2118)=4,VALUE(RIGHT($A2118,2))&gt;60),$A2118&amp;"01 1",$A2118),IF(AND(LEN($A2118)=4,VALUE(RIGHT($A2118,2))&lt;60),GUS_tabl_2!$A$8:$B$464,GUS_tabl_21!$A$5:$B$4886),2,FALSE)),SUM(FIND("..",TRIM(VLOOKUP(IF(AND(LEN($A2118)=4,VALUE(RIGHT($A2118,2))&gt;60),$A2118&amp;"01 1",$A2118),IF(AND(LEN($A2118)=4,VALUE(RIGHT($A2118,2))&lt;60),GUS_tabl_2!$A$8:$B$464,GUS_tabl_21!$A$5:$B$4886),2,FALSE))),-1)))))</f>
        <v>Powiat cieszyński</v>
      </c>
      <c r="D2118" s="140">
        <f>IF(OR($A2118="",ISERROR(VALUE(LEFT($A2118,6)))),"",IF(LEN($A2118)=2,SUMIF($A2119:$A$2965,$A2118&amp;"??",$D2119:$D$2965),IF(AND(LEN($A2118)=4,VALUE(RIGHT($A2118,2))&lt;=60),SUMIF($A2119:$A$2965,$A2118&amp;"????",$D2119:$D$2965),VLOOKUP(IF(LEN($A2118)=4,$A2118&amp;"01 1",$A2118),GUS_tabl_21!$A$5:$F$4886,6,FALSE))))</f>
        <v>178191</v>
      </c>
      <c r="E2118" s="29"/>
    </row>
    <row r="2119" spans="1:5" ht="12" customHeight="1">
      <c r="A2119" s="155" t="str">
        <f>"240301 1"</f>
        <v>240301 1</v>
      </c>
      <c r="B2119" s="153" t="s">
        <v>80</v>
      </c>
      <c r="C2119" s="156" t="str">
        <f>IF(OR($A2119="",ISERROR(VALUE(LEFT($A2119,6)))),"",IF(LEN($A2119)=2,"WOJ. ",IF(LEN($A2119)=4,IF(VALUE(RIGHT($A2119,2))&gt;60,"","Powiat "),IF(VALUE(RIGHT($A2119,1))=1,"m. ",IF(VALUE(RIGHT($A2119,1))=2,"gm. w. ",IF(VALUE(RIGHT($A2119,1))=8,"dz. ","gm. m.-w. ")))))&amp;IF(LEN($A2119)=2,TRIM(UPPER(VLOOKUP($A2119,GUS_tabl_1!$A$7:$B$22,2,FALSE))),IF(ISERROR(FIND("..",TRIM(VLOOKUP(IF(AND(LEN($A2119)=4,VALUE(RIGHT($A2119,2))&gt;60),$A2119&amp;"01 1",$A2119),IF(AND(LEN($A2119)=4,VALUE(RIGHT($A2119,2))&lt;60),GUS_tabl_2!$A$8:$B$464,GUS_tabl_21!$A$5:$B$4886),2,FALSE)))),TRIM(VLOOKUP(IF(AND(LEN($A2119)=4,VALUE(RIGHT($A2119,2))&gt;60),$A2119&amp;"01 1",$A2119),IF(AND(LEN($A2119)=4,VALUE(RIGHT($A2119,2))&lt;60),GUS_tabl_2!$A$8:$B$464,GUS_tabl_21!$A$5:$B$4886),2,FALSE)),LEFT(TRIM(VLOOKUP(IF(AND(LEN($A2119)=4,VALUE(RIGHT($A2119,2))&gt;60),$A2119&amp;"01 1",$A2119),IF(AND(LEN($A2119)=4,VALUE(RIGHT($A2119,2))&lt;60),GUS_tabl_2!$A$8:$B$464,GUS_tabl_21!$A$5:$B$4886),2,FALSE)),SUM(FIND("..",TRIM(VLOOKUP(IF(AND(LEN($A2119)=4,VALUE(RIGHT($A2119,2))&gt;60),$A2119&amp;"01 1",$A2119),IF(AND(LEN($A2119)=4,VALUE(RIGHT($A2119,2))&lt;60),GUS_tabl_2!$A$8:$B$464,GUS_tabl_21!$A$5:$B$4886),2,FALSE))),-1)))))</f>
        <v>m. Cieszyn</v>
      </c>
      <c r="D2119" s="141">
        <f>IF(OR($A2119="",ISERROR(VALUE(LEFT($A2119,6)))),"",IF(LEN($A2119)=2,SUMIF($A2120:$A$2965,$A2119&amp;"??",$D2120:$D$2965),IF(AND(LEN($A2119)=4,VALUE(RIGHT($A2119,2))&lt;=60),SUMIF($A2120:$A$2965,$A2119&amp;"????",$D2120:$D$2965),VLOOKUP(IF(LEN($A2119)=4,$A2119&amp;"01 1",$A2119),GUS_tabl_21!$A$5:$F$4886,6,FALSE))))</f>
        <v>34424</v>
      </c>
      <c r="E2119" s="29"/>
    </row>
    <row r="2120" spans="1:5" ht="12" customHeight="1">
      <c r="A2120" s="155" t="str">
        <f>"240302 1"</f>
        <v>240302 1</v>
      </c>
      <c r="B2120" s="153" t="s">
        <v>80</v>
      </c>
      <c r="C2120" s="156" t="str">
        <f>IF(OR($A2120="",ISERROR(VALUE(LEFT($A2120,6)))),"",IF(LEN($A2120)=2,"WOJ. ",IF(LEN($A2120)=4,IF(VALUE(RIGHT($A2120,2))&gt;60,"","Powiat "),IF(VALUE(RIGHT($A2120,1))=1,"m. ",IF(VALUE(RIGHT($A2120,1))=2,"gm. w. ",IF(VALUE(RIGHT($A2120,1))=8,"dz. ","gm. m.-w. ")))))&amp;IF(LEN($A2120)=2,TRIM(UPPER(VLOOKUP($A2120,GUS_tabl_1!$A$7:$B$22,2,FALSE))),IF(ISERROR(FIND("..",TRIM(VLOOKUP(IF(AND(LEN($A2120)=4,VALUE(RIGHT($A2120,2))&gt;60),$A2120&amp;"01 1",$A2120),IF(AND(LEN($A2120)=4,VALUE(RIGHT($A2120,2))&lt;60),GUS_tabl_2!$A$8:$B$464,GUS_tabl_21!$A$5:$B$4886),2,FALSE)))),TRIM(VLOOKUP(IF(AND(LEN($A2120)=4,VALUE(RIGHT($A2120,2))&gt;60),$A2120&amp;"01 1",$A2120),IF(AND(LEN($A2120)=4,VALUE(RIGHT($A2120,2))&lt;60),GUS_tabl_2!$A$8:$B$464,GUS_tabl_21!$A$5:$B$4886),2,FALSE)),LEFT(TRIM(VLOOKUP(IF(AND(LEN($A2120)=4,VALUE(RIGHT($A2120,2))&gt;60),$A2120&amp;"01 1",$A2120),IF(AND(LEN($A2120)=4,VALUE(RIGHT($A2120,2))&lt;60),GUS_tabl_2!$A$8:$B$464,GUS_tabl_21!$A$5:$B$4886),2,FALSE)),SUM(FIND("..",TRIM(VLOOKUP(IF(AND(LEN($A2120)=4,VALUE(RIGHT($A2120,2))&gt;60),$A2120&amp;"01 1",$A2120),IF(AND(LEN($A2120)=4,VALUE(RIGHT($A2120,2))&lt;60),GUS_tabl_2!$A$8:$B$464,GUS_tabl_21!$A$5:$B$4886),2,FALSE))),-1)))))</f>
        <v>m. Ustroń</v>
      </c>
      <c r="D2120" s="141">
        <f>IF(OR($A2120="",ISERROR(VALUE(LEFT($A2120,6)))),"",IF(LEN($A2120)=2,SUMIF($A2121:$A$2965,$A2120&amp;"??",$D2121:$D$2965),IF(AND(LEN($A2120)=4,VALUE(RIGHT($A2120,2))&lt;=60),SUMIF($A2121:$A$2965,$A2120&amp;"????",$D2121:$D$2965),VLOOKUP(IF(LEN($A2120)=4,$A2120&amp;"01 1",$A2120),GUS_tabl_21!$A$5:$F$4886,6,FALSE))))</f>
        <v>16067</v>
      </c>
      <c r="E2120" s="29"/>
    </row>
    <row r="2121" spans="1:5" ht="12" customHeight="1">
      <c r="A2121" s="155" t="str">
        <f>"240303 1"</f>
        <v>240303 1</v>
      </c>
      <c r="B2121" s="153" t="s">
        <v>80</v>
      </c>
      <c r="C2121" s="156" t="str">
        <f>IF(OR($A2121="",ISERROR(VALUE(LEFT($A2121,6)))),"",IF(LEN($A2121)=2,"WOJ. ",IF(LEN($A2121)=4,IF(VALUE(RIGHT($A2121,2))&gt;60,"","Powiat "),IF(VALUE(RIGHT($A2121,1))=1,"m. ",IF(VALUE(RIGHT($A2121,1))=2,"gm. w. ",IF(VALUE(RIGHT($A2121,1))=8,"dz. ","gm. m.-w. ")))))&amp;IF(LEN($A2121)=2,TRIM(UPPER(VLOOKUP($A2121,GUS_tabl_1!$A$7:$B$22,2,FALSE))),IF(ISERROR(FIND("..",TRIM(VLOOKUP(IF(AND(LEN($A2121)=4,VALUE(RIGHT($A2121,2))&gt;60),$A2121&amp;"01 1",$A2121),IF(AND(LEN($A2121)=4,VALUE(RIGHT($A2121,2))&lt;60),GUS_tabl_2!$A$8:$B$464,GUS_tabl_21!$A$5:$B$4886),2,FALSE)))),TRIM(VLOOKUP(IF(AND(LEN($A2121)=4,VALUE(RIGHT($A2121,2))&gt;60),$A2121&amp;"01 1",$A2121),IF(AND(LEN($A2121)=4,VALUE(RIGHT($A2121,2))&lt;60),GUS_tabl_2!$A$8:$B$464,GUS_tabl_21!$A$5:$B$4886),2,FALSE)),LEFT(TRIM(VLOOKUP(IF(AND(LEN($A2121)=4,VALUE(RIGHT($A2121,2))&gt;60),$A2121&amp;"01 1",$A2121),IF(AND(LEN($A2121)=4,VALUE(RIGHT($A2121,2))&lt;60),GUS_tabl_2!$A$8:$B$464,GUS_tabl_21!$A$5:$B$4886),2,FALSE)),SUM(FIND("..",TRIM(VLOOKUP(IF(AND(LEN($A2121)=4,VALUE(RIGHT($A2121,2))&gt;60),$A2121&amp;"01 1",$A2121),IF(AND(LEN($A2121)=4,VALUE(RIGHT($A2121,2))&lt;60),GUS_tabl_2!$A$8:$B$464,GUS_tabl_21!$A$5:$B$4886),2,FALSE))),-1)))))</f>
        <v>m. Wisła</v>
      </c>
      <c r="D2121" s="141">
        <f>IF(OR($A2121="",ISERROR(VALUE(LEFT($A2121,6)))),"",IF(LEN($A2121)=2,SUMIF($A2122:$A$2965,$A2121&amp;"??",$D2122:$D$2965),IF(AND(LEN($A2121)=4,VALUE(RIGHT($A2121,2))&lt;=60),SUMIF($A2122:$A$2965,$A2121&amp;"????",$D2122:$D$2965),VLOOKUP(IF(LEN($A2121)=4,$A2121&amp;"01 1",$A2121),GUS_tabl_21!$A$5:$F$4886,6,FALSE))))</f>
        <v>11096</v>
      </c>
      <c r="E2121" s="29"/>
    </row>
    <row r="2122" spans="1:5" ht="12" customHeight="1">
      <c r="A2122" s="155" t="str">
        <f>"240304 2"</f>
        <v>240304 2</v>
      </c>
      <c r="B2122" s="153" t="s">
        <v>80</v>
      </c>
      <c r="C2122" s="156" t="str">
        <f>IF(OR($A2122="",ISERROR(VALUE(LEFT($A2122,6)))),"",IF(LEN($A2122)=2,"WOJ. ",IF(LEN($A2122)=4,IF(VALUE(RIGHT($A2122,2))&gt;60,"","Powiat "),IF(VALUE(RIGHT($A2122,1))=1,"m. ",IF(VALUE(RIGHT($A2122,1))=2,"gm. w. ",IF(VALUE(RIGHT($A2122,1))=8,"dz. ","gm. m.-w. ")))))&amp;IF(LEN($A2122)=2,TRIM(UPPER(VLOOKUP($A2122,GUS_tabl_1!$A$7:$B$22,2,FALSE))),IF(ISERROR(FIND("..",TRIM(VLOOKUP(IF(AND(LEN($A2122)=4,VALUE(RIGHT($A2122,2))&gt;60),$A2122&amp;"01 1",$A2122),IF(AND(LEN($A2122)=4,VALUE(RIGHT($A2122,2))&lt;60),GUS_tabl_2!$A$8:$B$464,GUS_tabl_21!$A$5:$B$4886),2,FALSE)))),TRIM(VLOOKUP(IF(AND(LEN($A2122)=4,VALUE(RIGHT($A2122,2))&gt;60),$A2122&amp;"01 1",$A2122),IF(AND(LEN($A2122)=4,VALUE(RIGHT($A2122,2))&lt;60),GUS_tabl_2!$A$8:$B$464,GUS_tabl_21!$A$5:$B$4886),2,FALSE)),LEFT(TRIM(VLOOKUP(IF(AND(LEN($A2122)=4,VALUE(RIGHT($A2122,2))&gt;60),$A2122&amp;"01 1",$A2122),IF(AND(LEN($A2122)=4,VALUE(RIGHT($A2122,2))&lt;60),GUS_tabl_2!$A$8:$B$464,GUS_tabl_21!$A$5:$B$4886),2,FALSE)),SUM(FIND("..",TRIM(VLOOKUP(IF(AND(LEN($A2122)=4,VALUE(RIGHT($A2122,2))&gt;60),$A2122&amp;"01 1",$A2122),IF(AND(LEN($A2122)=4,VALUE(RIGHT($A2122,2))&lt;60),GUS_tabl_2!$A$8:$B$464,GUS_tabl_21!$A$5:$B$4886),2,FALSE))),-1)))))</f>
        <v>gm. w. Brenna</v>
      </c>
      <c r="D2122" s="141">
        <f>IF(OR($A2122="",ISERROR(VALUE(LEFT($A2122,6)))),"",IF(LEN($A2122)=2,SUMIF($A2123:$A$2965,$A2122&amp;"??",$D2123:$D$2965),IF(AND(LEN($A2122)=4,VALUE(RIGHT($A2122,2))&lt;=60),SUMIF($A2123:$A$2965,$A2122&amp;"????",$D2123:$D$2965),VLOOKUP(IF(LEN($A2122)=4,$A2122&amp;"01 1",$A2122),GUS_tabl_21!$A$5:$F$4886,6,FALSE))))</f>
        <v>11285</v>
      </c>
      <c r="E2122" s="29"/>
    </row>
    <row r="2123" spans="1:5" ht="12" customHeight="1">
      <c r="A2123" s="155" t="str">
        <f>"240305 2"</f>
        <v>240305 2</v>
      </c>
      <c r="B2123" s="153" t="s">
        <v>80</v>
      </c>
      <c r="C2123" s="156" t="str">
        <f>IF(OR($A2123="",ISERROR(VALUE(LEFT($A2123,6)))),"",IF(LEN($A2123)=2,"WOJ. ",IF(LEN($A2123)=4,IF(VALUE(RIGHT($A2123,2))&gt;60,"","Powiat "),IF(VALUE(RIGHT($A2123,1))=1,"m. ",IF(VALUE(RIGHT($A2123,1))=2,"gm. w. ",IF(VALUE(RIGHT($A2123,1))=8,"dz. ","gm. m.-w. ")))))&amp;IF(LEN($A2123)=2,TRIM(UPPER(VLOOKUP($A2123,GUS_tabl_1!$A$7:$B$22,2,FALSE))),IF(ISERROR(FIND("..",TRIM(VLOOKUP(IF(AND(LEN($A2123)=4,VALUE(RIGHT($A2123,2))&gt;60),$A2123&amp;"01 1",$A2123),IF(AND(LEN($A2123)=4,VALUE(RIGHT($A2123,2))&lt;60),GUS_tabl_2!$A$8:$B$464,GUS_tabl_21!$A$5:$B$4886),2,FALSE)))),TRIM(VLOOKUP(IF(AND(LEN($A2123)=4,VALUE(RIGHT($A2123,2))&gt;60),$A2123&amp;"01 1",$A2123),IF(AND(LEN($A2123)=4,VALUE(RIGHT($A2123,2))&lt;60),GUS_tabl_2!$A$8:$B$464,GUS_tabl_21!$A$5:$B$4886),2,FALSE)),LEFT(TRIM(VLOOKUP(IF(AND(LEN($A2123)=4,VALUE(RIGHT($A2123,2))&gt;60),$A2123&amp;"01 1",$A2123),IF(AND(LEN($A2123)=4,VALUE(RIGHT($A2123,2))&lt;60),GUS_tabl_2!$A$8:$B$464,GUS_tabl_21!$A$5:$B$4886),2,FALSE)),SUM(FIND("..",TRIM(VLOOKUP(IF(AND(LEN($A2123)=4,VALUE(RIGHT($A2123,2))&gt;60),$A2123&amp;"01 1",$A2123),IF(AND(LEN($A2123)=4,VALUE(RIGHT($A2123,2))&lt;60),GUS_tabl_2!$A$8:$B$464,GUS_tabl_21!$A$5:$B$4886),2,FALSE))),-1)))))</f>
        <v>gm. w. Chybie</v>
      </c>
      <c r="D2123" s="141">
        <f>IF(OR($A2123="",ISERROR(VALUE(LEFT($A2123,6)))),"",IF(LEN($A2123)=2,SUMIF($A2124:$A$2965,$A2123&amp;"??",$D2124:$D$2965),IF(AND(LEN($A2123)=4,VALUE(RIGHT($A2123,2))&lt;=60),SUMIF($A2124:$A$2965,$A2123&amp;"????",$D2124:$D$2965),VLOOKUP(IF(LEN($A2123)=4,$A2123&amp;"01 1",$A2123),GUS_tabl_21!$A$5:$F$4886,6,FALSE))))</f>
        <v>9825</v>
      </c>
      <c r="E2123" s="29"/>
    </row>
    <row r="2124" spans="1:5" ht="12" customHeight="1">
      <c r="A2124" s="155" t="str">
        <f>"240306 2"</f>
        <v>240306 2</v>
      </c>
      <c r="B2124" s="153" t="s">
        <v>80</v>
      </c>
      <c r="C2124" s="156" t="str">
        <f>IF(OR($A2124="",ISERROR(VALUE(LEFT($A2124,6)))),"",IF(LEN($A2124)=2,"WOJ. ",IF(LEN($A2124)=4,IF(VALUE(RIGHT($A2124,2))&gt;60,"","Powiat "),IF(VALUE(RIGHT($A2124,1))=1,"m. ",IF(VALUE(RIGHT($A2124,1))=2,"gm. w. ",IF(VALUE(RIGHT($A2124,1))=8,"dz. ","gm. m.-w. ")))))&amp;IF(LEN($A2124)=2,TRIM(UPPER(VLOOKUP($A2124,GUS_tabl_1!$A$7:$B$22,2,FALSE))),IF(ISERROR(FIND("..",TRIM(VLOOKUP(IF(AND(LEN($A2124)=4,VALUE(RIGHT($A2124,2))&gt;60),$A2124&amp;"01 1",$A2124),IF(AND(LEN($A2124)=4,VALUE(RIGHT($A2124,2))&lt;60),GUS_tabl_2!$A$8:$B$464,GUS_tabl_21!$A$5:$B$4886),2,FALSE)))),TRIM(VLOOKUP(IF(AND(LEN($A2124)=4,VALUE(RIGHT($A2124,2))&gt;60),$A2124&amp;"01 1",$A2124),IF(AND(LEN($A2124)=4,VALUE(RIGHT($A2124,2))&lt;60),GUS_tabl_2!$A$8:$B$464,GUS_tabl_21!$A$5:$B$4886),2,FALSE)),LEFT(TRIM(VLOOKUP(IF(AND(LEN($A2124)=4,VALUE(RIGHT($A2124,2))&gt;60),$A2124&amp;"01 1",$A2124),IF(AND(LEN($A2124)=4,VALUE(RIGHT($A2124,2))&lt;60),GUS_tabl_2!$A$8:$B$464,GUS_tabl_21!$A$5:$B$4886),2,FALSE)),SUM(FIND("..",TRIM(VLOOKUP(IF(AND(LEN($A2124)=4,VALUE(RIGHT($A2124,2))&gt;60),$A2124&amp;"01 1",$A2124),IF(AND(LEN($A2124)=4,VALUE(RIGHT($A2124,2))&lt;60),GUS_tabl_2!$A$8:$B$464,GUS_tabl_21!$A$5:$B$4886),2,FALSE))),-1)))))</f>
        <v>gm. w. Dębowiec</v>
      </c>
      <c r="D2124" s="141">
        <f>IF(OR($A2124="",ISERROR(VALUE(LEFT($A2124,6)))),"",IF(LEN($A2124)=2,SUMIF($A2125:$A$2965,$A2124&amp;"??",$D2125:$D$2965),IF(AND(LEN($A2124)=4,VALUE(RIGHT($A2124,2))&lt;=60),SUMIF($A2125:$A$2965,$A2124&amp;"????",$D2125:$D$2965),VLOOKUP(IF(LEN($A2124)=4,$A2124&amp;"01 1",$A2124),GUS_tabl_21!$A$5:$F$4886,6,FALSE))))</f>
        <v>5833</v>
      </c>
      <c r="E2124" s="29"/>
    </row>
    <row r="2125" spans="1:5" ht="12" customHeight="1">
      <c r="A2125" s="155" t="str">
        <f>"240307 2"</f>
        <v>240307 2</v>
      </c>
      <c r="B2125" s="153" t="s">
        <v>80</v>
      </c>
      <c r="C2125" s="156" t="str">
        <f>IF(OR($A2125="",ISERROR(VALUE(LEFT($A2125,6)))),"",IF(LEN($A2125)=2,"WOJ. ",IF(LEN($A2125)=4,IF(VALUE(RIGHT($A2125,2))&gt;60,"","Powiat "),IF(VALUE(RIGHT($A2125,1))=1,"m. ",IF(VALUE(RIGHT($A2125,1))=2,"gm. w. ",IF(VALUE(RIGHT($A2125,1))=8,"dz. ","gm. m.-w. ")))))&amp;IF(LEN($A2125)=2,TRIM(UPPER(VLOOKUP($A2125,GUS_tabl_1!$A$7:$B$22,2,FALSE))),IF(ISERROR(FIND("..",TRIM(VLOOKUP(IF(AND(LEN($A2125)=4,VALUE(RIGHT($A2125,2))&gt;60),$A2125&amp;"01 1",$A2125),IF(AND(LEN($A2125)=4,VALUE(RIGHT($A2125,2))&lt;60),GUS_tabl_2!$A$8:$B$464,GUS_tabl_21!$A$5:$B$4886),2,FALSE)))),TRIM(VLOOKUP(IF(AND(LEN($A2125)=4,VALUE(RIGHT($A2125,2))&gt;60),$A2125&amp;"01 1",$A2125),IF(AND(LEN($A2125)=4,VALUE(RIGHT($A2125,2))&lt;60),GUS_tabl_2!$A$8:$B$464,GUS_tabl_21!$A$5:$B$4886),2,FALSE)),LEFT(TRIM(VLOOKUP(IF(AND(LEN($A2125)=4,VALUE(RIGHT($A2125,2))&gt;60),$A2125&amp;"01 1",$A2125),IF(AND(LEN($A2125)=4,VALUE(RIGHT($A2125,2))&lt;60),GUS_tabl_2!$A$8:$B$464,GUS_tabl_21!$A$5:$B$4886),2,FALSE)),SUM(FIND("..",TRIM(VLOOKUP(IF(AND(LEN($A2125)=4,VALUE(RIGHT($A2125,2))&gt;60),$A2125&amp;"01 1",$A2125),IF(AND(LEN($A2125)=4,VALUE(RIGHT($A2125,2))&lt;60),GUS_tabl_2!$A$8:$B$464,GUS_tabl_21!$A$5:$B$4886),2,FALSE))),-1)))))</f>
        <v>gm. w. Goleszów</v>
      </c>
      <c r="D2125" s="141">
        <f>IF(OR($A2125="",ISERROR(VALUE(LEFT($A2125,6)))),"",IF(LEN($A2125)=2,SUMIF($A2126:$A$2965,$A2125&amp;"??",$D2126:$D$2965),IF(AND(LEN($A2125)=4,VALUE(RIGHT($A2125,2))&lt;=60),SUMIF($A2126:$A$2965,$A2125&amp;"????",$D2126:$D$2965),VLOOKUP(IF(LEN($A2125)=4,$A2125&amp;"01 1",$A2125),GUS_tabl_21!$A$5:$F$4886,6,FALSE))))</f>
        <v>13142</v>
      </c>
      <c r="E2125" s="29"/>
    </row>
    <row r="2126" spans="1:5" ht="12" customHeight="1">
      <c r="A2126" s="155" t="str">
        <f>"240308 2"</f>
        <v>240308 2</v>
      </c>
      <c r="B2126" s="153" t="s">
        <v>80</v>
      </c>
      <c r="C2126" s="156" t="str">
        <f>IF(OR($A2126="",ISERROR(VALUE(LEFT($A2126,6)))),"",IF(LEN($A2126)=2,"WOJ. ",IF(LEN($A2126)=4,IF(VALUE(RIGHT($A2126,2))&gt;60,"","Powiat "),IF(VALUE(RIGHT($A2126,1))=1,"m. ",IF(VALUE(RIGHT($A2126,1))=2,"gm. w. ",IF(VALUE(RIGHT($A2126,1))=8,"dz. ","gm. m.-w. ")))))&amp;IF(LEN($A2126)=2,TRIM(UPPER(VLOOKUP($A2126,GUS_tabl_1!$A$7:$B$22,2,FALSE))),IF(ISERROR(FIND("..",TRIM(VLOOKUP(IF(AND(LEN($A2126)=4,VALUE(RIGHT($A2126,2))&gt;60),$A2126&amp;"01 1",$A2126),IF(AND(LEN($A2126)=4,VALUE(RIGHT($A2126,2))&lt;60),GUS_tabl_2!$A$8:$B$464,GUS_tabl_21!$A$5:$B$4886),2,FALSE)))),TRIM(VLOOKUP(IF(AND(LEN($A2126)=4,VALUE(RIGHT($A2126,2))&gt;60),$A2126&amp;"01 1",$A2126),IF(AND(LEN($A2126)=4,VALUE(RIGHT($A2126,2))&lt;60),GUS_tabl_2!$A$8:$B$464,GUS_tabl_21!$A$5:$B$4886),2,FALSE)),LEFT(TRIM(VLOOKUP(IF(AND(LEN($A2126)=4,VALUE(RIGHT($A2126,2))&gt;60),$A2126&amp;"01 1",$A2126),IF(AND(LEN($A2126)=4,VALUE(RIGHT($A2126,2))&lt;60),GUS_tabl_2!$A$8:$B$464,GUS_tabl_21!$A$5:$B$4886),2,FALSE)),SUM(FIND("..",TRIM(VLOOKUP(IF(AND(LEN($A2126)=4,VALUE(RIGHT($A2126,2))&gt;60),$A2126&amp;"01 1",$A2126),IF(AND(LEN($A2126)=4,VALUE(RIGHT($A2126,2))&lt;60),GUS_tabl_2!$A$8:$B$464,GUS_tabl_21!$A$5:$B$4886),2,FALSE))),-1)))))</f>
        <v>gm. w. Hażlach</v>
      </c>
      <c r="D2126" s="141">
        <f>IF(OR($A2126="",ISERROR(VALUE(LEFT($A2126,6)))),"",IF(LEN($A2126)=2,SUMIF($A2127:$A$2965,$A2126&amp;"??",$D2127:$D$2965),IF(AND(LEN($A2126)=4,VALUE(RIGHT($A2126,2))&lt;=60),SUMIF($A2127:$A$2965,$A2126&amp;"????",$D2127:$D$2965),VLOOKUP(IF(LEN($A2126)=4,$A2126&amp;"01 1",$A2126),GUS_tabl_21!$A$5:$F$4886,6,FALSE))))</f>
        <v>10915</v>
      </c>
      <c r="E2126" s="29"/>
    </row>
    <row r="2127" spans="1:5" ht="12" customHeight="1">
      <c r="A2127" s="155" t="str">
        <f>"240309 2"</f>
        <v>240309 2</v>
      </c>
      <c r="B2127" s="153" t="s">
        <v>80</v>
      </c>
      <c r="C2127" s="156" t="str">
        <f>IF(OR($A2127="",ISERROR(VALUE(LEFT($A2127,6)))),"",IF(LEN($A2127)=2,"WOJ. ",IF(LEN($A2127)=4,IF(VALUE(RIGHT($A2127,2))&gt;60,"","Powiat "),IF(VALUE(RIGHT($A2127,1))=1,"m. ",IF(VALUE(RIGHT($A2127,1))=2,"gm. w. ",IF(VALUE(RIGHT($A2127,1))=8,"dz. ","gm. m.-w. ")))))&amp;IF(LEN($A2127)=2,TRIM(UPPER(VLOOKUP($A2127,GUS_tabl_1!$A$7:$B$22,2,FALSE))),IF(ISERROR(FIND("..",TRIM(VLOOKUP(IF(AND(LEN($A2127)=4,VALUE(RIGHT($A2127,2))&gt;60),$A2127&amp;"01 1",$A2127),IF(AND(LEN($A2127)=4,VALUE(RIGHT($A2127,2))&lt;60),GUS_tabl_2!$A$8:$B$464,GUS_tabl_21!$A$5:$B$4886),2,FALSE)))),TRIM(VLOOKUP(IF(AND(LEN($A2127)=4,VALUE(RIGHT($A2127,2))&gt;60),$A2127&amp;"01 1",$A2127),IF(AND(LEN($A2127)=4,VALUE(RIGHT($A2127,2))&lt;60),GUS_tabl_2!$A$8:$B$464,GUS_tabl_21!$A$5:$B$4886),2,FALSE)),LEFT(TRIM(VLOOKUP(IF(AND(LEN($A2127)=4,VALUE(RIGHT($A2127,2))&gt;60),$A2127&amp;"01 1",$A2127),IF(AND(LEN($A2127)=4,VALUE(RIGHT($A2127,2))&lt;60),GUS_tabl_2!$A$8:$B$464,GUS_tabl_21!$A$5:$B$4886),2,FALSE)),SUM(FIND("..",TRIM(VLOOKUP(IF(AND(LEN($A2127)=4,VALUE(RIGHT($A2127,2))&gt;60),$A2127&amp;"01 1",$A2127),IF(AND(LEN($A2127)=4,VALUE(RIGHT($A2127,2))&lt;60),GUS_tabl_2!$A$8:$B$464,GUS_tabl_21!$A$5:$B$4886),2,FALSE))),-1)))))</f>
        <v>gm. w. Istebna</v>
      </c>
      <c r="D2127" s="141">
        <f>IF(OR($A2127="",ISERROR(VALUE(LEFT($A2127,6)))),"",IF(LEN($A2127)=2,SUMIF($A2128:$A$2965,$A2127&amp;"??",$D2128:$D$2965),IF(AND(LEN($A2127)=4,VALUE(RIGHT($A2127,2))&lt;=60),SUMIF($A2128:$A$2965,$A2127&amp;"????",$D2128:$D$2965),VLOOKUP(IF(LEN($A2127)=4,$A2127&amp;"01 1",$A2127),GUS_tabl_21!$A$5:$F$4886,6,FALSE))))</f>
        <v>12159</v>
      </c>
      <c r="E2127" s="29"/>
    </row>
    <row r="2128" spans="1:5" ht="12" customHeight="1">
      <c r="A2128" s="155" t="str">
        <f>"240310 3"</f>
        <v>240310 3</v>
      </c>
      <c r="B2128" s="153" t="s">
        <v>80</v>
      </c>
      <c r="C2128" s="156" t="str">
        <f>IF(OR($A2128="",ISERROR(VALUE(LEFT($A2128,6)))),"",IF(LEN($A2128)=2,"WOJ. ",IF(LEN($A2128)=4,IF(VALUE(RIGHT($A2128,2))&gt;60,"","Powiat "),IF(VALUE(RIGHT($A2128,1))=1,"m. ",IF(VALUE(RIGHT($A2128,1))=2,"gm. w. ",IF(VALUE(RIGHT($A2128,1))=8,"dz. ","gm. m.-w. ")))))&amp;IF(LEN($A2128)=2,TRIM(UPPER(VLOOKUP($A2128,GUS_tabl_1!$A$7:$B$22,2,FALSE))),IF(ISERROR(FIND("..",TRIM(VLOOKUP(IF(AND(LEN($A2128)=4,VALUE(RIGHT($A2128,2))&gt;60),$A2128&amp;"01 1",$A2128),IF(AND(LEN($A2128)=4,VALUE(RIGHT($A2128,2))&lt;60),GUS_tabl_2!$A$8:$B$464,GUS_tabl_21!$A$5:$B$4886),2,FALSE)))),TRIM(VLOOKUP(IF(AND(LEN($A2128)=4,VALUE(RIGHT($A2128,2))&gt;60),$A2128&amp;"01 1",$A2128),IF(AND(LEN($A2128)=4,VALUE(RIGHT($A2128,2))&lt;60),GUS_tabl_2!$A$8:$B$464,GUS_tabl_21!$A$5:$B$4886),2,FALSE)),LEFT(TRIM(VLOOKUP(IF(AND(LEN($A2128)=4,VALUE(RIGHT($A2128,2))&gt;60),$A2128&amp;"01 1",$A2128),IF(AND(LEN($A2128)=4,VALUE(RIGHT($A2128,2))&lt;60),GUS_tabl_2!$A$8:$B$464,GUS_tabl_21!$A$5:$B$4886),2,FALSE)),SUM(FIND("..",TRIM(VLOOKUP(IF(AND(LEN($A2128)=4,VALUE(RIGHT($A2128,2))&gt;60),$A2128&amp;"01 1",$A2128),IF(AND(LEN($A2128)=4,VALUE(RIGHT($A2128,2))&lt;60),GUS_tabl_2!$A$8:$B$464,GUS_tabl_21!$A$5:$B$4886),2,FALSE))),-1)))))</f>
        <v>gm. m.-w. Skoczów</v>
      </c>
      <c r="D2128" s="141">
        <f>IF(OR($A2128="",ISERROR(VALUE(LEFT($A2128,6)))),"",IF(LEN($A2128)=2,SUMIF($A2129:$A$2965,$A2128&amp;"??",$D2129:$D$2965),IF(AND(LEN($A2128)=4,VALUE(RIGHT($A2128,2))&lt;=60),SUMIF($A2129:$A$2965,$A2128&amp;"????",$D2129:$D$2965),VLOOKUP(IF(LEN($A2128)=4,$A2128&amp;"01 1",$A2128),GUS_tabl_21!$A$5:$F$4886,6,FALSE))))</f>
        <v>26910</v>
      </c>
      <c r="E2128" s="29"/>
    </row>
    <row r="2129" spans="1:5" ht="12" customHeight="1">
      <c r="A2129" s="155" t="str">
        <f>"240311 3"</f>
        <v>240311 3</v>
      </c>
      <c r="B2129" s="153" t="s">
        <v>80</v>
      </c>
      <c r="C2129" s="156" t="str">
        <f>IF(OR($A2129="",ISERROR(VALUE(LEFT($A2129,6)))),"",IF(LEN($A2129)=2,"WOJ. ",IF(LEN($A2129)=4,IF(VALUE(RIGHT($A2129,2))&gt;60,"","Powiat "),IF(VALUE(RIGHT($A2129,1))=1,"m. ",IF(VALUE(RIGHT($A2129,1))=2,"gm. w. ",IF(VALUE(RIGHT($A2129,1))=8,"dz. ","gm. m.-w. ")))))&amp;IF(LEN($A2129)=2,TRIM(UPPER(VLOOKUP($A2129,GUS_tabl_1!$A$7:$B$22,2,FALSE))),IF(ISERROR(FIND("..",TRIM(VLOOKUP(IF(AND(LEN($A2129)=4,VALUE(RIGHT($A2129,2))&gt;60),$A2129&amp;"01 1",$A2129),IF(AND(LEN($A2129)=4,VALUE(RIGHT($A2129,2))&lt;60),GUS_tabl_2!$A$8:$B$464,GUS_tabl_21!$A$5:$B$4886),2,FALSE)))),TRIM(VLOOKUP(IF(AND(LEN($A2129)=4,VALUE(RIGHT($A2129,2))&gt;60),$A2129&amp;"01 1",$A2129),IF(AND(LEN($A2129)=4,VALUE(RIGHT($A2129,2))&lt;60),GUS_tabl_2!$A$8:$B$464,GUS_tabl_21!$A$5:$B$4886),2,FALSE)),LEFT(TRIM(VLOOKUP(IF(AND(LEN($A2129)=4,VALUE(RIGHT($A2129,2))&gt;60),$A2129&amp;"01 1",$A2129),IF(AND(LEN($A2129)=4,VALUE(RIGHT($A2129,2))&lt;60),GUS_tabl_2!$A$8:$B$464,GUS_tabl_21!$A$5:$B$4886),2,FALSE)),SUM(FIND("..",TRIM(VLOOKUP(IF(AND(LEN($A2129)=4,VALUE(RIGHT($A2129,2))&gt;60),$A2129&amp;"01 1",$A2129),IF(AND(LEN($A2129)=4,VALUE(RIGHT($A2129,2))&lt;60),GUS_tabl_2!$A$8:$B$464,GUS_tabl_21!$A$5:$B$4886),2,FALSE))),-1)))))</f>
        <v>gm. m.-w. Strumień</v>
      </c>
      <c r="D2129" s="141">
        <f>IF(OR($A2129="",ISERROR(VALUE(LEFT($A2129,6)))),"",IF(LEN($A2129)=2,SUMIF($A2130:$A$2965,$A2129&amp;"??",$D2130:$D$2965),IF(AND(LEN($A2129)=4,VALUE(RIGHT($A2129,2))&lt;=60),SUMIF($A2130:$A$2965,$A2129&amp;"????",$D2130:$D$2965),VLOOKUP(IF(LEN($A2129)=4,$A2129&amp;"01 1",$A2129),GUS_tabl_21!$A$5:$F$4886,6,FALSE))))</f>
        <v>13272</v>
      </c>
      <c r="E2129" s="29"/>
    </row>
    <row r="2130" spans="1:5" ht="12" customHeight="1">
      <c r="A2130" s="155" t="str">
        <f>"240312 2"</f>
        <v>240312 2</v>
      </c>
      <c r="B2130" s="153" t="s">
        <v>80</v>
      </c>
      <c r="C2130" s="156" t="str">
        <f>IF(OR($A2130="",ISERROR(VALUE(LEFT($A2130,6)))),"",IF(LEN($A2130)=2,"WOJ. ",IF(LEN($A2130)=4,IF(VALUE(RIGHT($A2130,2))&gt;60,"","Powiat "),IF(VALUE(RIGHT($A2130,1))=1,"m. ",IF(VALUE(RIGHT($A2130,1))=2,"gm. w. ",IF(VALUE(RIGHT($A2130,1))=8,"dz. ","gm. m.-w. ")))))&amp;IF(LEN($A2130)=2,TRIM(UPPER(VLOOKUP($A2130,GUS_tabl_1!$A$7:$B$22,2,FALSE))),IF(ISERROR(FIND("..",TRIM(VLOOKUP(IF(AND(LEN($A2130)=4,VALUE(RIGHT($A2130,2))&gt;60),$A2130&amp;"01 1",$A2130),IF(AND(LEN($A2130)=4,VALUE(RIGHT($A2130,2))&lt;60),GUS_tabl_2!$A$8:$B$464,GUS_tabl_21!$A$5:$B$4886),2,FALSE)))),TRIM(VLOOKUP(IF(AND(LEN($A2130)=4,VALUE(RIGHT($A2130,2))&gt;60),$A2130&amp;"01 1",$A2130),IF(AND(LEN($A2130)=4,VALUE(RIGHT($A2130,2))&lt;60),GUS_tabl_2!$A$8:$B$464,GUS_tabl_21!$A$5:$B$4886),2,FALSE)),LEFT(TRIM(VLOOKUP(IF(AND(LEN($A2130)=4,VALUE(RIGHT($A2130,2))&gt;60),$A2130&amp;"01 1",$A2130),IF(AND(LEN($A2130)=4,VALUE(RIGHT($A2130,2))&lt;60),GUS_tabl_2!$A$8:$B$464,GUS_tabl_21!$A$5:$B$4886),2,FALSE)),SUM(FIND("..",TRIM(VLOOKUP(IF(AND(LEN($A2130)=4,VALUE(RIGHT($A2130,2))&gt;60),$A2130&amp;"01 1",$A2130),IF(AND(LEN($A2130)=4,VALUE(RIGHT($A2130,2))&lt;60),GUS_tabl_2!$A$8:$B$464,GUS_tabl_21!$A$5:$B$4886),2,FALSE))),-1)))))</f>
        <v>gm. w. Zebrzydowice</v>
      </c>
      <c r="D2130" s="141">
        <f>IF(OR($A2130="",ISERROR(VALUE(LEFT($A2130,6)))),"",IF(LEN($A2130)=2,SUMIF($A2131:$A$2965,$A2130&amp;"??",$D2131:$D$2965),IF(AND(LEN($A2130)=4,VALUE(RIGHT($A2130,2))&lt;=60),SUMIF($A2131:$A$2965,$A2130&amp;"????",$D2131:$D$2965),VLOOKUP(IF(LEN($A2130)=4,$A2130&amp;"01 1",$A2130),GUS_tabl_21!$A$5:$F$4886,6,FALSE))))</f>
        <v>13263</v>
      </c>
      <c r="E2130" s="29"/>
    </row>
    <row r="2131" spans="1:5" ht="12" customHeight="1">
      <c r="A2131" s="152" t="str">
        <f>"2404"</f>
        <v>2404</v>
      </c>
      <c r="B2131" s="153" t="s">
        <v>80</v>
      </c>
      <c r="C2131" s="154" t="str">
        <f>IF(OR($A2131="",ISERROR(VALUE(LEFT($A2131,6)))),"",IF(LEN($A2131)=2,"WOJ. ",IF(LEN($A2131)=4,IF(VALUE(RIGHT($A2131,2))&gt;60,"","Powiat "),IF(VALUE(RIGHT($A2131,1))=1,"m. ",IF(VALUE(RIGHT($A2131,1))=2,"gm. w. ",IF(VALUE(RIGHT($A2131,1))=8,"dz. ","gm. m.-w. ")))))&amp;IF(LEN($A2131)=2,TRIM(UPPER(VLOOKUP($A2131,GUS_tabl_1!$A$7:$B$22,2,FALSE))),IF(ISERROR(FIND("..",TRIM(VLOOKUP(IF(AND(LEN($A2131)=4,VALUE(RIGHT($A2131,2))&gt;60),$A2131&amp;"01 1",$A2131),IF(AND(LEN($A2131)=4,VALUE(RIGHT($A2131,2))&lt;60),GUS_tabl_2!$A$8:$B$464,GUS_tabl_21!$A$5:$B$4886),2,FALSE)))),TRIM(VLOOKUP(IF(AND(LEN($A2131)=4,VALUE(RIGHT($A2131,2))&gt;60),$A2131&amp;"01 1",$A2131),IF(AND(LEN($A2131)=4,VALUE(RIGHT($A2131,2))&lt;60),GUS_tabl_2!$A$8:$B$464,GUS_tabl_21!$A$5:$B$4886),2,FALSE)),LEFT(TRIM(VLOOKUP(IF(AND(LEN($A2131)=4,VALUE(RIGHT($A2131,2))&gt;60),$A2131&amp;"01 1",$A2131),IF(AND(LEN($A2131)=4,VALUE(RIGHT($A2131,2))&lt;60),GUS_tabl_2!$A$8:$B$464,GUS_tabl_21!$A$5:$B$4886),2,FALSE)),SUM(FIND("..",TRIM(VLOOKUP(IF(AND(LEN($A2131)=4,VALUE(RIGHT($A2131,2))&gt;60),$A2131&amp;"01 1",$A2131),IF(AND(LEN($A2131)=4,VALUE(RIGHT($A2131,2))&lt;60),GUS_tabl_2!$A$8:$B$464,GUS_tabl_21!$A$5:$B$4886),2,FALSE))),-1)))))</f>
        <v>Powiat częstochowski</v>
      </c>
      <c r="D2131" s="140">
        <f>IF(OR($A2131="",ISERROR(VALUE(LEFT($A2131,6)))),"",IF(LEN($A2131)=2,SUMIF($A2132:$A$2965,$A2131&amp;"??",$D2132:$D$2965),IF(AND(LEN($A2131)=4,VALUE(RIGHT($A2131,2))&lt;=60),SUMIF($A2132:$A$2965,$A2131&amp;"????",$D2132:$D$2965),VLOOKUP(IF(LEN($A2131)=4,$A2131&amp;"01 1",$A2131),GUS_tabl_21!$A$5:$F$4886,6,FALSE))))</f>
        <v>134555</v>
      </c>
      <c r="E2131" s="29"/>
    </row>
    <row r="2132" spans="1:5" ht="12" customHeight="1">
      <c r="A2132" s="155" t="str">
        <f>"240401 3"</f>
        <v>240401 3</v>
      </c>
      <c r="B2132" s="153" t="s">
        <v>80</v>
      </c>
      <c r="C2132" s="156" t="str">
        <f>IF(OR($A2132="",ISERROR(VALUE(LEFT($A2132,6)))),"",IF(LEN($A2132)=2,"WOJ. ",IF(LEN($A2132)=4,IF(VALUE(RIGHT($A2132,2))&gt;60,"","Powiat "),IF(VALUE(RIGHT($A2132,1))=1,"m. ",IF(VALUE(RIGHT($A2132,1))=2,"gm. w. ",IF(VALUE(RIGHT($A2132,1))=8,"dz. ","gm. m.-w. ")))))&amp;IF(LEN($A2132)=2,TRIM(UPPER(VLOOKUP($A2132,GUS_tabl_1!$A$7:$B$22,2,FALSE))),IF(ISERROR(FIND("..",TRIM(VLOOKUP(IF(AND(LEN($A2132)=4,VALUE(RIGHT($A2132,2))&gt;60),$A2132&amp;"01 1",$A2132),IF(AND(LEN($A2132)=4,VALUE(RIGHT($A2132,2))&lt;60),GUS_tabl_2!$A$8:$B$464,GUS_tabl_21!$A$5:$B$4886),2,FALSE)))),TRIM(VLOOKUP(IF(AND(LEN($A2132)=4,VALUE(RIGHT($A2132,2))&gt;60),$A2132&amp;"01 1",$A2132),IF(AND(LEN($A2132)=4,VALUE(RIGHT($A2132,2))&lt;60),GUS_tabl_2!$A$8:$B$464,GUS_tabl_21!$A$5:$B$4886),2,FALSE)),LEFT(TRIM(VLOOKUP(IF(AND(LEN($A2132)=4,VALUE(RIGHT($A2132,2))&gt;60),$A2132&amp;"01 1",$A2132),IF(AND(LEN($A2132)=4,VALUE(RIGHT($A2132,2))&lt;60),GUS_tabl_2!$A$8:$B$464,GUS_tabl_21!$A$5:$B$4886),2,FALSE)),SUM(FIND("..",TRIM(VLOOKUP(IF(AND(LEN($A2132)=4,VALUE(RIGHT($A2132,2))&gt;60),$A2132&amp;"01 1",$A2132),IF(AND(LEN($A2132)=4,VALUE(RIGHT($A2132,2))&lt;60),GUS_tabl_2!$A$8:$B$464,GUS_tabl_21!$A$5:$B$4886),2,FALSE))),-1)))))</f>
        <v>gm. m.-w. Blachownia</v>
      </c>
      <c r="D2132" s="141">
        <f>IF(OR($A2132="",ISERROR(VALUE(LEFT($A2132,6)))),"",IF(LEN($A2132)=2,SUMIF($A2133:$A$2965,$A2132&amp;"??",$D2133:$D$2965),IF(AND(LEN($A2132)=4,VALUE(RIGHT($A2132,2))&lt;=60),SUMIF($A2133:$A$2965,$A2132&amp;"????",$D2133:$D$2965),VLOOKUP(IF(LEN($A2132)=4,$A2132&amp;"01 1",$A2132),GUS_tabl_21!$A$5:$F$4886,6,FALSE))))</f>
        <v>12930</v>
      </c>
      <c r="E2132" s="29"/>
    </row>
    <row r="2133" spans="1:5" ht="12" customHeight="1">
      <c r="A2133" s="155" t="str">
        <f>"240402 2"</f>
        <v>240402 2</v>
      </c>
      <c r="B2133" s="153" t="s">
        <v>80</v>
      </c>
      <c r="C2133" s="156" t="str">
        <f>IF(OR($A2133="",ISERROR(VALUE(LEFT($A2133,6)))),"",IF(LEN($A2133)=2,"WOJ. ",IF(LEN($A2133)=4,IF(VALUE(RIGHT($A2133,2))&gt;60,"","Powiat "),IF(VALUE(RIGHT($A2133,1))=1,"m. ",IF(VALUE(RIGHT($A2133,1))=2,"gm. w. ",IF(VALUE(RIGHT($A2133,1))=8,"dz. ","gm. m.-w. ")))))&amp;IF(LEN($A2133)=2,TRIM(UPPER(VLOOKUP($A2133,GUS_tabl_1!$A$7:$B$22,2,FALSE))),IF(ISERROR(FIND("..",TRIM(VLOOKUP(IF(AND(LEN($A2133)=4,VALUE(RIGHT($A2133,2))&gt;60),$A2133&amp;"01 1",$A2133),IF(AND(LEN($A2133)=4,VALUE(RIGHT($A2133,2))&lt;60),GUS_tabl_2!$A$8:$B$464,GUS_tabl_21!$A$5:$B$4886),2,FALSE)))),TRIM(VLOOKUP(IF(AND(LEN($A2133)=4,VALUE(RIGHT($A2133,2))&gt;60),$A2133&amp;"01 1",$A2133),IF(AND(LEN($A2133)=4,VALUE(RIGHT($A2133,2))&lt;60),GUS_tabl_2!$A$8:$B$464,GUS_tabl_21!$A$5:$B$4886),2,FALSE)),LEFT(TRIM(VLOOKUP(IF(AND(LEN($A2133)=4,VALUE(RIGHT($A2133,2))&gt;60),$A2133&amp;"01 1",$A2133),IF(AND(LEN($A2133)=4,VALUE(RIGHT($A2133,2))&lt;60),GUS_tabl_2!$A$8:$B$464,GUS_tabl_21!$A$5:$B$4886),2,FALSE)),SUM(FIND("..",TRIM(VLOOKUP(IF(AND(LEN($A2133)=4,VALUE(RIGHT($A2133,2))&gt;60),$A2133&amp;"01 1",$A2133),IF(AND(LEN($A2133)=4,VALUE(RIGHT($A2133,2))&lt;60),GUS_tabl_2!$A$8:$B$464,GUS_tabl_21!$A$5:$B$4886),2,FALSE))),-1)))))</f>
        <v>gm. w. Dąbrowa Zielona</v>
      </c>
      <c r="D2133" s="141">
        <f>IF(OR($A2133="",ISERROR(VALUE(LEFT($A2133,6)))),"",IF(LEN($A2133)=2,SUMIF($A2134:$A$2965,$A2133&amp;"??",$D2134:$D$2965),IF(AND(LEN($A2133)=4,VALUE(RIGHT($A2133,2))&lt;=60),SUMIF($A2134:$A$2965,$A2133&amp;"????",$D2134:$D$2965),VLOOKUP(IF(LEN($A2133)=4,$A2133&amp;"01 1",$A2133),GUS_tabl_21!$A$5:$F$4886,6,FALSE))))</f>
        <v>3860</v>
      </c>
      <c r="E2133" s="29"/>
    </row>
    <row r="2134" spans="1:5" ht="12" customHeight="1">
      <c r="A2134" s="155" t="str">
        <f>"240403 2"</f>
        <v>240403 2</v>
      </c>
      <c r="B2134" s="153" t="s">
        <v>80</v>
      </c>
      <c r="C2134" s="156" t="str">
        <f>IF(OR($A2134="",ISERROR(VALUE(LEFT($A2134,6)))),"",IF(LEN($A2134)=2,"WOJ. ",IF(LEN($A2134)=4,IF(VALUE(RIGHT($A2134,2))&gt;60,"","Powiat "),IF(VALUE(RIGHT($A2134,1))=1,"m. ",IF(VALUE(RIGHT($A2134,1))=2,"gm. w. ",IF(VALUE(RIGHT($A2134,1))=8,"dz. ","gm. m.-w. ")))))&amp;IF(LEN($A2134)=2,TRIM(UPPER(VLOOKUP($A2134,GUS_tabl_1!$A$7:$B$22,2,FALSE))),IF(ISERROR(FIND("..",TRIM(VLOOKUP(IF(AND(LEN($A2134)=4,VALUE(RIGHT($A2134,2))&gt;60),$A2134&amp;"01 1",$A2134),IF(AND(LEN($A2134)=4,VALUE(RIGHT($A2134,2))&lt;60),GUS_tabl_2!$A$8:$B$464,GUS_tabl_21!$A$5:$B$4886),2,FALSE)))),TRIM(VLOOKUP(IF(AND(LEN($A2134)=4,VALUE(RIGHT($A2134,2))&gt;60),$A2134&amp;"01 1",$A2134),IF(AND(LEN($A2134)=4,VALUE(RIGHT($A2134,2))&lt;60),GUS_tabl_2!$A$8:$B$464,GUS_tabl_21!$A$5:$B$4886),2,FALSE)),LEFT(TRIM(VLOOKUP(IF(AND(LEN($A2134)=4,VALUE(RIGHT($A2134,2))&gt;60),$A2134&amp;"01 1",$A2134),IF(AND(LEN($A2134)=4,VALUE(RIGHT($A2134,2))&lt;60),GUS_tabl_2!$A$8:$B$464,GUS_tabl_21!$A$5:$B$4886),2,FALSE)),SUM(FIND("..",TRIM(VLOOKUP(IF(AND(LEN($A2134)=4,VALUE(RIGHT($A2134,2))&gt;60),$A2134&amp;"01 1",$A2134),IF(AND(LEN($A2134)=4,VALUE(RIGHT($A2134,2))&lt;60),GUS_tabl_2!$A$8:$B$464,GUS_tabl_21!$A$5:$B$4886),2,FALSE))),-1)))))</f>
        <v>gm. w. Janów</v>
      </c>
      <c r="D2134" s="141">
        <f>IF(OR($A2134="",ISERROR(VALUE(LEFT($A2134,6)))),"",IF(LEN($A2134)=2,SUMIF($A2135:$A$2965,$A2134&amp;"??",$D2135:$D$2965),IF(AND(LEN($A2134)=4,VALUE(RIGHT($A2134,2))&lt;=60),SUMIF($A2135:$A$2965,$A2134&amp;"????",$D2135:$D$2965),VLOOKUP(IF(LEN($A2134)=4,$A2134&amp;"01 1",$A2134),GUS_tabl_21!$A$5:$F$4886,6,FALSE))))</f>
        <v>5984</v>
      </c>
      <c r="E2134" s="29"/>
    </row>
    <row r="2135" spans="1:5" ht="12" customHeight="1">
      <c r="A2135" s="155" t="str">
        <f>"240404 2"</f>
        <v>240404 2</v>
      </c>
      <c r="B2135" s="153" t="s">
        <v>80</v>
      </c>
      <c r="C2135" s="156" t="str">
        <f>IF(OR($A2135="",ISERROR(VALUE(LEFT($A2135,6)))),"",IF(LEN($A2135)=2,"WOJ. ",IF(LEN($A2135)=4,IF(VALUE(RIGHT($A2135,2))&gt;60,"","Powiat "),IF(VALUE(RIGHT($A2135,1))=1,"m. ",IF(VALUE(RIGHT($A2135,1))=2,"gm. w. ",IF(VALUE(RIGHT($A2135,1))=8,"dz. ","gm. m.-w. ")))))&amp;IF(LEN($A2135)=2,TRIM(UPPER(VLOOKUP($A2135,GUS_tabl_1!$A$7:$B$22,2,FALSE))),IF(ISERROR(FIND("..",TRIM(VLOOKUP(IF(AND(LEN($A2135)=4,VALUE(RIGHT($A2135,2))&gt;60),$A2135&amp;"01 1",$A2135),IF(AND(LEN($A2135)=4,VALUE(RIGHT($A2135,2))&lt;60),GUS_tabl_2!$A$8:$B$464,GUS_tabl_21!$A$5:$B$4886),2,FALSE)))),TRIM(VLOOKUP(IF(AND(LEN($A2135)=4,VALUE(RIGHT($A2135,2))&gt;60),$A2135&amp;"01 1",$A2135),IF(AND(LEN($A2135)=4,VALUE(RIGHT($A2135,2))&lt;60),GUS_tabl_2!$A$8:$B$464,GUS_tabl_21!$A$5:$B$4886),2,FALSE)),LEFT(TRIM(VLOOKUP(IF(AND(LEN($A2135)=4,VALUE(RIGHT($A2135,2))&gt;60),$A2135&amp;"01 1",$A2135),IF(AND(LEN($A2135)=4,VALUE(RIGHT($A2135,2))&lt;60),GUS_tabl_2!$A$8:$B$464,GUS_tabl_21!$A$5:$B$4886),2,FALSE)),SUM(FIND("..",TRIM(VLOOKUP(IF(AND(LEN($A2135)=4,VALUE(RIGHT($A2135,2))&gt;60),$A2135&amp;"01 1",$A2135),IF(AND(LEN($A2135)=4,VALUE(RIGHT($A2135,2))&lt;60),GUS_tabl_2!$A$8:$B$464,GUS_tabl_21!$A$5:$B$4886),2,FALSE))),-1)))))</f>
        <v>gm. w. Kamienica Polska</v>
      </c>
      <c r="D2135" s="141">
        <f>IF(OR($A2135="",ISERROR(VALUE(LEFT($A2135,6)))),"",IF(LEN($A2135)=2,SUMIF($A2136:$A$2965,$A2135&amp;"??",$D2136:$D$2965),IF(AND(LEN($A2135)=4,VALUE(RIGHT($A2135,2))&lt;=60),SUMIF($A2136:$A$2965,$A2135&amp;"????",$D2136:$D$2965),VLOOKUP(IF(LEN($A2135)=4,$A2135&amp;"01 1",$A2135),GUS_tabl_21!$A$5:$F$4886,6,FALSE))))</f>
        <v>5567</v>
      </c>
      <c r="E2135" s="29"/>
    </row>
    <row r="2136" spans="1:5" ht="12" customHeight="1">
      <c r="A2136" s="155" t="str">
        <f>"240405 2"</f>
        <v>240405 2</v>
      </c>
      <c r="B2136" s="153" t="s">
        <v>80</v>
      </c>
      <c r="C2136" s="156" t="str">
        <f>IF(OR($A2136="",ISERROR(VALUE(LEFT($A2136,6)))),"",IF(LEN($A2136)=2,"WOJ. ",IF(LEN($A2136)=4,IF(VALUE(RIGHT($A2136,2))&gt;60,"","Powiat "),IF(VALUE(RIGHT($A2136,1))=1,"m. ",IF(VALUE(RIGHT($A2136,1))=2,"gm. w. ",IF(VALUE(RIGHT($A2136,1))=8,"dz. ","gm. m.-w. ")))))&amp;IF(LEN($A2136)=2,TRIM(UPPER(VLOOKUP($A2136,GUS_tabl_1!$A$7:$B$22,2,FALSE))),IF(ISERROR(FIND("..",TRIM(VLOOKUP(IF(AND(LEN($A2136)=4,VALUE(RIGHT($A2136,2))&gt;60),$A2136&amp;"01 1",$A2136),IF(AND(LEN($A2136)=4,VALUE(RIGHT($A2136,2))&lt;60),GUS_tabl_2!$A$8:$B$464,GUS_tabl_21!$A$5:$B$4886),2,FALSE)))),TRIM(VLOOKUP(IF(AND(LEN($A2136)=4,VALUE(RIGHT($A2136,2))&gt;60),$A2136&amp;"01 1",$A2136),IF(AND(LEN($A2136)=4,VALUE(RIGHT($A2136,2))&lt;60),GUS_tabl_2!$A$8:$B$464,GUS_tabl_21!$A$5:$B$4886),2,FALSE)),LEFT(TRIM(VLOOKUP(IF(AND(LEN($A2136)=4,VALUE(RIGHT($A2136,2))&gt;60),$A2136&amp;"01 1",$A2136),IF(AND(LEN($A2136)=4,VALUE(RIGHT($A2136,2))&lt;60),GUS_tabl_2!$A$8:$B$464,GUS_tabl_21!$A$5:$B$4886),2,FALSE)),SUM(FIND("..",TRIM(VLOOKUP(IF(AND(LEN($A2136)=4,VALUE(RIGHT($A2136,2))&gt;60),$A2136&amp;"01 1",$A2136),IF(AND(LEN($A2136)=4,VALUE(RIGHT($A2136,2))&lt;60),GUS_tabl_2!$A$8:$B$464,GUS_tabl_21!$A$5:$B$4886),2,FALSE))),-1)))))</f>
        <v>gm. w. Kłomnice</v>
      </c>
      <c r="D2136" s="141">
        <f>IF(OR($A2136="",ISERROR(VALUE(LEFT($A2136,6)))),"",IF(LEN($A2136)=2,SUMIF($A2137:$A$2965,$A2136&amp;"??",$D2137:$D$2965),IF(AND(LEN($A2136)=4,VALUE(RIGHT($A2136,2))&lt;=60),SUMIF($A2137:$A$2965,$A2136&amp;"????",$D2137:$D$2965),VLOOKUP(IF(LEN($A2136)=4,$A2136&amp;"01 1",$A2136),GUS_tabl_21!$A$5:$F$4886,6,FALSE))))</f>
        <v>13471</v>
      </c>
      <c r="E2136" s="29"/>
    </row>
    <row r="2137" spans="1:5" ht="12" customHeight="1">
      <c r="A2137" s="155" t="str">
        <f>"240406 3"</f>
        <v>240406 3</v>
      </c>
      <c r="B2137" s="153" t="s">
        <v>80</v>
      </c>
      <c r="C2137" s="156" t="str">
        <f>IF(OR($A2137="",ISERROR(VALUE(LEFT($A2137,6)))),"",IF(LEN($A2137)=2,"WOJ. ",IF(LEN($A2137)=4,IF(VALUE(RIGHT($A2137,2))&gt;60,"","Powiat "),IF(VALUE(RIGHT($A2137,1))=1,"m. ",IF(VALUE(RIGHT($A2137,1))=2,"gm. w. ",IF(VALUE(RIGHT($A2137,1))=8,"dz. ","gm. m.-w. ")))))&amp;IF(LEN($A2137)=2,TRIM(UPPER(VLOOKUP($A2137,GUS_tabl_1!$A$7:$B$22,2,FALSE))),IF(ISERROR(FIND("..",TRIM(VLOOKUP(IF(AND(LEN($A2137)=4,VALUE(RIGHT($A2137,2))&gt;60),$A2137&amp;"01 1",$A2137),IF(AND(LEN($A2137)=4,VALUE(RIGHT($A2137,2))&lt;60),GUS_tabl_2!$A$8:$B$464,GUS_tabl_21!$A$5:$B$4886),2,FALSE)))),TRIM(VLOOKUP(IF(AND(LEN($A2137)=4,VALUE(RIGHT($A2137,2))&gt;60),$A2137&amp;"01 1",$A2137),IF(AND(LEN($A2137)=4,VALUE(RIGHT($A2137,2))&lt;60),GUS_tabl_2!$A$8:$B$464,GUS_tabl_21!$A$5:$B$4886),2,FALSE)),LEFT(TRIM(VLOOKUP(IF(AND(LEN($A2137)=4,VALUE(RIGHT($A2137,2))&gt;60),$A2137&amp;"01 1",$A2137),IF(AND(LEN($A2137)=4,VALUE(RIGHT($A2137,2))&lt;60),GUS_tabl_2!$A$8:$B$464,GUS_tabl_21!$A$5:$B$4886),2,FALSE)),SUM(FIND("..",TRIM(VLOOKUP(IF(AND(LEN($A2137)=4,VALUE(RIGHT($A2137,2))&gt;60),$A2137&amp;"01 1",$A2137),IF(AND(LEN($A2137)=4,VALUE(RIGHT($A2137,2))&lt;60),GUS_tabl_2!$A$8:$B$464,GUS_tabl_21!$A$5:$B$4886),2,FALSE))),-1)))))</f>
        <v>gm. m.-w. Koniecpol</v>
      </c>
      <c r="D2137" s="141">
        <f>IF(OR($A2137="",ISERROR(VALUE(LEFT($A2137,6)))),"",IF(LEN($A2137)=2,SUMIF($A2138:$A$2965,$A2137&amp;"??",$D2138:$D$2965),IF(AND(LEN($A2137)=4,VALUE(RIGHT($A2137,2))&lt;=60),SUMIF($A2138:$A$2965,$A2137&amp;"????",$D2138:$D$2965),VLOOKUP(IF(LEN($A2137)=4,$A2137&amp;"01 1",$A2137),GUS_tabl_21!$A$5:$F$4886,6,FALSE))))</f>
        <v>9408</v>
      </c>
      <c r="E2137" s="29"/>
    </row>
    <row r="2138" spans="1:5" ht="12" customHeight="1">
      <c r="A2138" s="155" t="str">
        <f>"240407 2"</f>
        <v>240407 2</v>
      </c>
      <c r="B2138" s="153" t="s">
        <v>80</v>
      </c>
      <c r="C2138" s="156" t="str">
        <f>IF(OR($A2138="",ISERROR(VALUE(LEFT($A2138,6)))),"",IF(LEN($A2138)=2,"WOJ. ",IF(LEN($A2138)=4,IF(VALUE(RIGHT($A2138,2))&gt;60,"","Powiat "),IF(VALUE(RIGHT($A2138,1))=1,"m. ",IF(VALUE(RIGHT($A2138,1))=2,"gm. w. ",IF(VALUE(RIGHT($A2138,1))=8,"dz. ","gm. m.-w. ")))))&amp;IF(LEN($A2138)=2,TRIM(UPPER(VLOOKUP($A2138,GUS_tabl_1!$A$7:$B$22,2,FALSE))),IF(ISERROR(FIND("..",TRIM(VLOOKUP(IF(AND(LEN($A2138)=4,VALUE(RIGHT($A2138,2))&gt;60),$A2138&amp;"01 1",$A2138),IF(AND(LEN($A2138)=4,VALUE(RIGHT($A2138,2))&lt;60),GUS_tabl_2!$A$8:$B$464,GUS_tabl_21!$A$5:$B$4886),2,FALSE)))),TRIM(VLOOKUP(IF(AND(LEN($A2138)=4,VALUE(RIGHT($A2138,2))&gt;60),$A2138&amp;"01 1",$A2138),IF(AND(LEN($A2138)=4,VALUE(RIGHT($A2138,2))&lt;60),GUS_tabl_2!$A$8:$B$464,GUS_tabl_21!$A$5:$B$4886),2,FALSE)),LEFT(TRIM(VLOOKUP(IF(AND(LEN($A2138)=4,VALUE(RIGHT($A2138,2))&gt;60),$A2138&amp;"01 1",$A2138),IF(AND(LEN($A2138)=4,VALUE(RIGHT($A2138,2))&lt;60),GUS_tabl_2!$A$8:$B$464,GUS_tabl_21!$A$5:$B$4886),2,FALSE)),SUM(FIND("..",TRIM(VLOOKUP(IF(AND(LEN($A2138)=4,VALUE(RIGHT($A2138,2))&gt;60),$A2138&amp;"01 1",$A2138),IF(AND(LEN($A2138)=4,VALUE(RIGHT($A2138,2))&lt;60),GUS_tabl_2!$A$8:$B$464,GUS_tabl_21!$A$5:$B$4886),2,FALSE))),-1)))))</f>
        <v>gm. w. Konopiska</v>
      </c>
      <c r="D2138" s="141">
        <f>IF(OR($A2138="",ISERROR(VALUE(LEFT($A2138,6)))),"",IF(LEN($A2138)=2,SUMIF($A2139:$A$2965,$A2138&amp;"??",$D2139:$D$2965),IF(AND(LEN($A2138)=4,VALUE(RIGHT($A2138,2))&lt;=60),SUMIF($A2139:$A$2965,$A2138&amp;"????",$D2139:$D$2965),VLOOKUP(IF(LEN($A2138)=4,$A2138&amp;"01 1",$A2138),GUS_tabl_21!$A$5:$F$4886,6,FALSE))))</f>
        <v>10736</v>
      </c>
      <c r="E2138" s="29"/>
    </row>
    <row r="2139" spans="1:5" ht="12" customHeight="1">
      <c r="A2139" s="155" t="str">
        <f>"240408 2"</f>
        <v>240408 2</v>
      </c>
      <c r="B2139" s="153" t="s">
        <v>80</v>
      </c>
      <c r="C2139" s="156" t="str">
        <f>IF(OR($A2139="",ISERROR(VALUE(LEFT($A2139,6)))),"",IF(LEN($A2139)=2,"WOJ. ",IF(LEN($A2139)=4,IF(VALUE(RIGHT($A2139,2))&gt;60,"","Powiat "),IF(VALUE(RIGHT($A2139,1))=1,"m. ",IF(VALUE(RIGHT($A2139,1))=2,"gm. w. ",IF(VALUE(RIGHT($A2139,1))=8,"dz. ","gm. m.-w. ")))))&amp;IF(LEN($A2139)=2,TRIM(UPPER(VLOOKUP($A2139,GUS_tabl_1!$A$7:$B$22,2,FALSE))),IF(ISERROR(FIND("..",TRIM(VLOOKUP(IF(AND(LEN($A2139)=4,VALUE(RIGHT($A2139,2))&gt;60),$A2139&amp;"01 1",$A2139),IF(AND(LEN($A2139)=4,VALUE(RIGHT($A2139,2))&lt;60),GUS_tabl_2!$A$8:$B$464,GUS_tabl_21!$A$5:$B$4886),2,FALSE)))),TRIM(VLOOKUP(IF(AND(LEN($A2139)=4,VALUE(RIGHT($A2139,2))&gt;60),$A2139&amp;"01 1",$A2139),IF(AND(LEN($A2139)=4,VALUE(RIGHT($A2139,2))&lt;60),GUS_tabl_2!$A$8:$B$464,GUS_tabl_21!$A$5:$B$4886),2,FALSE)),LEFT(TRIM(VLOOKUP(IF(AND(LEN($A2139)=4,VALUE(RIGHT($A2139,2))&gt;60),$A2139&amp;"01 1",$A2139),IF(AND(LEN($A2139)=4,VALUE(RIGHT($A2139,2))&lt;60),GUS_tabl_2!$A$8:$B$464,GUS_tabl_21!$A$5:$B$4886),2,FALSE)),SUM(FIND("..",TRIM(VLOOKUP(IF(AND(LEN($A2139)=4,VALUE(RIGHT($A2139,2))&gt;60),$A2139&amp;"01 1",$A2139),IF(AND(LEN($A2139)=4,VALUE(RIGHT($A2139,2))&lt;60),GUS_tabl_2!$A$8:$B$464,GUS_tabl_21!$A$5:$B$4886),2,FALSE))),-1)))))</f>
        <v>gm. w. Kruszyna</v>
      </c>
      <c r="D2139" s="141">
        <f>IF(OR($A2139="",ISERROR(VALUE(LEFT($A2139,6)))),"",IF(LEN($A2139)=2,SUMIF($A2140:$A$2965,$A2139&amp;"??",$D2140:$D$2965),IF(AND(LEN($A2139)=4,VALUE(RIGHT($A2139,2))&lt;=60),SUMIF($A2140:$A$2965,$A2139&amp;"????",$D2140:$D$2965),VLOOKUP(IF(LEN($A2139)=4,$A2139&amp;"01 1",$A2139),GUS_tabl_21!$A$5:$F$4886,6,FALSE))))</f>
        <v>4806</v>
      </c>
      <c r="E2139" s="29"/>
    </row>
    <row r="2140" spans="1:5" ht="12" customHeight="1">
      <c r="A2140" s="155" t="str">
        <f>"240409 2"</f>
        <v>240409 2</v>
      </c>
      <c r="B2140" s="153" t="s">
        <v>80</v>
      </c>
      <c r="C2140" s="156" t="str">
        <f>IF(OR($A2140="",ISERROR(VALUE(LEFT($A2140,6)))),"",IF(LEN($A2140)=2,"WOJ. ",IF(LEN($A2140)=4,IF(VALUE(RIGHT($A2140,2))&gt;60,"","Powiat "),IF(VALUE(RIGHT($A2140,1))=1,"m. ",IF(VALUE(RIGHT($A2140,1))=2,"gm. w. ",IF(VALUE(RIGHT($A2140,1))=8,"dz. ","gm. m.-w. ")))))&amp;IF(LEN($A2140)=2,TRIM(UPPER(VLOOKUP($A2140,GUS_tabl_1!$A$7:$B$22,2,FALSE))),IF(ISERROR(FIND("..",TRIM(VLOOKUP(IF(AND(LEN($A2140)=4,VALUE(RIGHT($A2140,2))&gt;60),$A2140&amp;"01 1",$A2140),IF(AND(LEN($A2140)=4,VALUE(RIGHT($A2140,2))&lt;60),GUS_tabl_2!$A$8:$B$464,GUS_tabl_21!$A$5:$B$4886),2,FALSE)))),TRIM(VLOOKUP(IF(AND(LEN($A2140)=4,VALUE(RIGHT($A2140,2))&gt;60),$A2140&amp;"01 1",$A2140),IF(AND(LEN($A2140)=4,VALUE(RIGHT($A2140,2))&lt;60),GUS_tabl_2!$A$8:$B$464,GUS_tabl_21!$A$5:$B$4886),2,FALSE)),LEFT(TRIM(VLOOKUP(IF(AND(LEN($A2140)=4,VALUE(RIGHT($A2140,2))&gt;60),$A2140&amp;"01 1",$A2140),IF(AND(LEN($A2140)=4,VALUE(RIGHT($A2140,2))&lt;60),GUS_tabl_2!$A$8:$B$464,GUS_tabl_21!$A$5:$B$4886),2,FALSE)),SUM(FIND("..",TRIM(VLOOKUP(IF(AND(LEN($A2140)=4,VALUE(RIGHT($A2140,2))&gt;60),$A2140&amp;"01 1",$A2140),IF(AND(LEN($A2140)=4,VALUE(RIGHT($A2140,2))&lt;60),GUS_tabl_2!$A$8:$B$464,GUS_tabl_21!$A$5:$B$4886),2,FALSE))),-1)))))</f>
        <v>gm. w. Lelów</v>
      </c>
      <c r="D2140" s="141">
        <f>IF(OR($A2140="",ISERROR(VALUE(LEFT($A2140,6)))),"",IF(LEN($A2140)=2,SUMIF($A2141:$A$2965,$A2140&amp;"??",$D2141:$D$2965),IF(AND(LEN($A2140)=4,VALUE(RIGHT($A2140,2))&lt;=60),SUMIF($A2141:$A$2965,$A2140&amp;"????",$D2141:$D$2965),VLOOKUP(IF(LEN($A2140)=4,$A2140&amp;"01 1",$A2140),GUS_tabl_21!$A$5:$F$4886,6,FALSE))))</f>
        <v>4824</v>
      </c>
      <c r="E2140" s="29"/>
    </row>
    <row r="2141" spans="1:5" ht="12" customHeight="1">
      <c r="A2141" s="155" t="str">
        <f>"240410 2"</f>
        <v>240410 2</v>
      </c>
      <c r="B2141" s="153" t="s">
        <v>80</v>
      </c>
      <c r="C2141" s="156" t="str">
        <f>IF(OR($A2141="",ISERROR(VALUE(LEFT($A2141,6)))),"",IF(LEN($A2141)=2,"WOJ. ",IF(LEN($A2141)=4,IF(VALUE(RIGHT($A2141,2))&gt;60,"","Powiat "),IF(VALUE(RIGHT($A2141,1))=1,"m. ",IF(VALUE(RIGHT($A2141,1))=2,"gm. w. ",IF(VALUE(RIGHT($A2141,1))=8,"dz. ","gm. m.-w. ")))))&amp;IF(LEN($A2141)=2,TRIM(UPPER(VLOOKUP($A2141,GUS_tabl_1!$A$7:$B$22,2,FALSE))),IF(ISERROR(FIND("..",TRIM(VLOOKUP(IF(AND(LEN($A2141)=4,VALUE(RIGHT($A2141,2))&gt;60),$A2141&amp;"01 1",$A2141),IF(AND(LEN($A2141)=4,VALUE(RIGHT($A2141,2))&lt;60),GUS_tabl_2!$A$8:$B$464,GUS_tabl_21!$A$5:$B$4886),2,FALSE)))),TRIM(VLOOKUP(IF(AND(LEN($A2141)=4,VALUE(RIGHT($A2141,2))&gt;60),$A2141&amp;"01 1",$A2141),IF(AND(LEN($A2141)=4,VALUE(RIGHT($A2141,2))&lt;60),GUS_tabl_2!$A$8:$B$464,GUS_tabl_21!$A$5:$B$4886),2,FALSE)),LEFT(TRIM(VLOOKUP(IF(AND(LEN($A2141)=4,VALUE(RIGHT($A2141,2))&gt;60),$A2141&amp;"01 1",$A2141),IF(AND(LEN($A2141)=4,VALUE(RIGHT($A2141,2))&lt;60),GUS_tabl_2!$A$8:$B$464,GUS_tabl_21!$A$5:$B$4886),2,FALSE)),SUM(FIND("..",TRIM(VLOOKUP(IF(AND(LEN($A2141)=4,VALUE(RIGHT($A2141,2))&gt;60),$A2141&amp;"01 1",$A2141),IF(AND(LEN($A2141)=4,VALUE(RIGHT($A2141,2))&lt;60),GUS_tabl_2!$A$8:$B$464,GUS_tabl_21!$A$5:$B$4886),2,FALSE))),-1)))))</f>
        <v>gm. w. Mstów</v>
      </c>
      <c r="D2141" s="141">
        <f>IF(OR($A2141="",ISERROR(VALUE(LEFT($A2141,6)))),"",IF(LEN($A2141)=2,SUMIF($A2142:$A$2965,$A2141&amp;"??",$D2142:$D$2965),IF(AND(LEN($A2141)=4,VALUE(RIGHT($A2141,2))&lt;=60),SUMIF($A2142:$A$2965,$A2141&amp;"????",$D2142:$D$2965),VLOOKUP(IF(LEN($A2141)=4,$A2141&amp;"01 1",$A2141),GUS_tabl_21!$A$5:$F$4886,6,FALSE))))</f>
        <v>10834</v>
      </c>
      <c r="E2141" s="29"/>
    </row>
    <row r="2142" spans="1:5" ht="12" customHeight="1">
      <c r="A2142" s="155" t="str">
        <f>"240411 2"</f>
        <v>240411 2</v>
      </c>
      <c r="B2142" s="153" t="s">
        <v>80</v>
      </c>
      <c r="C2142" s="156" t="str">
        <f>IF(OR($A2142="",ISERROR(VALUE(LEFT($A2142,6)))),"",IF(LEN($A2142)=2,"WOJ. ",IF(LEN($A2142)=4,IF(VALUE(RIGHT($A2142,2))&gt;60,"","Powiat "),IF(VALUE(RIGHT($A2142,1))=1,"m. ",IF(VALUE(RIGHT($A2142,1))=2,"gm. w. ",IF(VALUE(RIGHT($A2142,1))=8,"dz. ","gm. m.-w. ")))))&amp;IF(LEN($A2142)=2,TRIM(UPPER(VLOOKUP($A2142,GUS_tabl_1!$A$7:$B$22,2,FALSE))),IF(ISERROR(FIND("..",TRIM(VLOOKUP(IF(AND(LEN($A2142)=4,VALUE(RIGHT($A2142,2))&gt;60),$A2142&amp;"01 1",$A2142),IF(AND(LEN($A2142)=4,VALUE(RIGHT($A2142,2))&lt;60),GUS_tabl_2!$A$8:$B$464,GUS_tabl_21!$A$5:$B$4886),2,FALSE)))),TRIM(VLOOKUP(IF(AND(LEN($A2142)=4,VALUE(RIGHT($A2142,2))&gt;60),$A2142&amp;"01 1",$A2142),IF(AND(LEN($A2142)=4,VALUE(RIGHT($A2142,2))&lt;60),GUS_tabl_2!$A$8:$B$464,GUS_tabl_21!$A$5:$B$4886),2,FALSE)),LEFT(TRIM(VLOOKUP(IF(AND(LEN($A2142)=4,VALUE(RIGHT($A2142,2))&gt;60),$A2142&amp;"01 1",$A2142),IF(AND(LEN($A2142)=4,VALUE(RIGHT($A2142,2))&lt;60),GUS_tabl_2!$A$8:$B$464,GUS_tabl_21!$A$5:$B$4886),2,FALSE)),SUM(FIND("..",TRIM(VLOOKUP(IF(AND(LEN($A2142)=4,VALUE(RIGHT($A2142,2))&gt;60),$A2142&amp;"01 1",$A2142),IF(AND(LEN($A2142)=4,VALUE(RIGHT($A2142,2))&lt;60),GUS_tabl_2!$A$8:$B$464,GUS_tabl_21!$A$5:$B$4886),2,FALSE))),-1)))))</f>
        <v>gm. w. Mykanów</v>
      </c>
      <c r="D2142" s="141">
        <f>IF(OR($A2142="",ISERROR(VALUE(LEFT($A2142,6)))),"",IF(LEN($A2142)=2,SUMIF($A2143:$A$2965,$A2142&amp;"??",$D2143:$D$2965),IF(AND(LEN($A2142)=4,VALUE(RIGHT($A2142,2))&lt;=60),SUMIF($A2143:$A$2965,$A2142&amp;"????",$D2143:$D$2965),VLOOKUP(IF(LEN($A2142)=4,$A2142&amp;"01 1",$A2142),GUS_tabl_21!$A$5:$F$4886,6,FALSE))))</f>
        <v>15104</v>
      </c>
      <c r="E2142" s="29"/>
    </row>
    <row r="2143" spans="1:5" ht="12" customHeight="1">
      <c r="A2143" s="155" t="str">
        <f>"240412 2"</f>
        <v>240412 2</v>
      </c>
      <c r="B2143" s="153" t="s">
        <v>80</v>
      </c>
      <c r="C2143" s="156" t="str">
        <f>IF(OR($A2143="",ISERROR(VALUE(LEFT($A2143,6)))),"",IF(LEN($A2143)=2,"WOJ. ",IF(LEN($A2143)=4,IF(VALUE(RIGHT($A2143,2))&gt;60,"","Powiat "),IF(VALUE(RIGHT($A2143,1))=1,"m. ",IF(VALUE(RIGHT($A2143,1))=2,"gm. w. ",IF(VALUE(RIGHT($A2143,1))=8,"dz. ","gm. m.-w. ")))))&amp;IF(LEN($A2143)=2,TRIM(UPPER(VLOOKUP($A2143,GUS_tabl_1!$A$7:$B$22,2,FALSE))),IF(ISERROR(FIND("..",TRIM(VLOOKUP(IF(AND(LEN($A2143)=4,VALUE(RIGHT($A2143,2))&gt;60),$A2143&amp;"01 1",$A2143),IF(AND(LEN($A2143)=4,VALUE(RIGHT($A2143,2))&lt;60),GUS_tabl_2!$A$8:$B$464,GUS_tabl_21!$A$5:$B$4886),2,FALSE)))),TRIM(VLOOKUP(IF(AND(LEN($A2143)=4,VALUE(RIGHT($A2143,2))&gt;60),$A2143&amp;"01 1",$A2143),IF(AND(LEN($A2143)=4,VALUE(RIGHT($A2143,2))&lt;60),GUS_tabl_2!$A$8:$B$464,GUS_tabl_21!$A$5:$B$4886),2,FALSE)),LEFT(TRIM(VLOOKUP(IF(AND(LEN($A2143)=4,VALUE(RIGHT($A2143,2))&gt;60),$A2143&amp;"01 1",$A2143),IF(AND(LEN($A2143)=4,VALUE(RIGHT($A2143,2))&lt;60),GUS_tabl_2!$A$8:$B$464,GUS_tabl_21!$A$5:$B$4886),2,FALSE)),SUM(FIND("..",TRIM(VLOOKUP(IF(AND(LEN($A2143)=4,VALUE(RIGHT($A2143,2))&gt;60),$A2143&amp;"01 1",$A2143),IF(AND(LEN($A2143)=4,VALUE(RIGHT($A2143,2))&lt;60),GUS_tabl_2!$A$8:$B$464,GUS_tabl_21!$A$5:$B$4886),2,FALSE))),-1)))))</f>
        <v>gm. w. Olsztyn</v>
      </c>
      <c r="D2143" s="141">
        <f>IF(OR($A2143="",ISERROR(VALUE(LEFT($A2143,6)))),"",IF(LEN($A2143)=2,SUMIF($A2144:$A$2965,$A2143&amp;"??",$D2144:$D$2965),IF(AND(LEN($A2143)=4,VALUE(RIGHT($A2143,2))&lt;=60),SUMIF($A2144:$A$2965,$A2143&amp;"????",$D2144:$D$2965),VLOOKUP(IF(LEN($A2143)=4,$A2143&amp;"01 1",$A2143),GUS_tabl_21!$A$5:$F$4886,6,FALSE))))</f>
        <v>7810</v>
      </c>
      <c r="E2143" s="29"/>
    </row>
    <row r="2144" spans="1:5" ht="12" customHeight="1">
      <c r="A2144" s="155" t="str">
        <f>"240413 2"</f>
        <v>240413 2</v>
      </c>
      <c r="B2144" s="153" t="s">
        <v>80</v>
      </c>
      <c r="C2144" s="156" t="str">
        <f>IF(OR($A2144="",ISERROR(VALUE(LEFT($A2144,6)))),"",IF(LEN($A2144)=2,"WOJ. ",IF(LEN($A2144)=4,IF(VALUE(RIGHT($A2144,2))&gt;60,"","Powiat "),IF(VALUE(RIGHT($A2144,1))=1,"m. ",IF(VALUE(RIGHT($A2144,1))=2,"gm. w. ",IF(VALUE(RIGHT($A2144,1))=8,"dz. ","gm. m.-w. ")))))&amp;IF(LEN($A2144)=2,TRIM(UPPER(VLOOKUP($A2144,GUS_tabl_1!$A$7:$B$22,2,FALSE))),IF(ISERROR(FIND("..",TRIM(VLOOKUP(IF(AND(LEN($A2144)=4,VALUE(RIGHT($A2144,2))&gt;60),$A2144&amp;"01 1",$A2144),IF(AND(LEN($A2144)=4,VALUE(RIGHT($A2144,2))&lt;60),GUS_tabl_2!$A$8:$B$464,GUS_tabl_21!$A$5:$B$4886),2,FALSE)))),TRIM(VLOOKUP(IF(AND(LEN($A2144)=4,VALUE(RIGHT($A2144,2))&gt;60),$A2144&amp;"01 1",$A2144),IF(AND(LEN($A2144)=4,VALUE(RIGHT($A2144,2))&lt;60),GUS_tabl_2!$A$8:$B$464,GUS_tabl_21!$A$5:$B$4886),2,FALSE)),LEFT(TRIM(VLOOKUP(IF(AND(LEN($A2144)=4,VALUE(RIGHT($A2144,2))&gt;60),$A2144&amp;"01 1",$A2144),IF(AND(LEN($A2144)=4,VALUE(RIGHT($A2144,2))&lt;60),GUS_tabl_2!$A$8:$B$464,GUS_tabl_21!$A$5:$B$4886),2,FALSE)),SUM(FIND("..",TRIM(VLOOKUP(IF(AND(LEN($A2144)=4,VALUE(RIGHT($A2144,2))&gt;60),$A2144&amp;"01 1",$A2144),IF(AND(LEN($A2144)=4,VALUE(RIGHT($A2144,2))&lt;60),GUS_tabl_2!$A$8:$B$464,GUS_tabl_21!$A$5:$B$4886),2,FALSE))),-1)))))</f>
        <v>gm. w. Poczesna</v>
      </c>
      <c r="D2144" s="141">
        <f>IF(OR($A2144="",ISERROR(VALUE(LEFT($A2144,6)))),"",IF(LEN($A2144)=2,SUMIF($A2145:$A$2965,$A2144&amp;"??",$D2145:$D$2965),IF(AND(LEN($A2144)=4,VALUE(RIGHT($A2144,2))&lt;=60),SUMIF($A2145:$A$2965,$A2144&amp;"????",$D2145:$D$2965),VLOOKUP(IF(LEN($A2144)=4,$A2144&amp;"01 1",$A2144),GUS_tabl_21!$A$5:$F$4886,6,FALSE))))</f>
        <v>12707</v>
      </c>
      <c r="E2144" s="29"/>
    </row>
    <row r="2145" spans="1:5" ht="12" customHeight="1">
      <c r="A2145" s="155" t="str">
        <f>"240414 2"</f>
        <v>240414 2</v>
      </c>
      <c r="B2145" s="153" t="s">
        <v>80</v>
      </c>
      <c r="C2145" s="156" t="str">
        <f>IF(OR($A2145="",ISERROR(VALUE(LEFT($A2145,6)))),"",IF(LEN($A2145)=2,"WOJ. ",IF(LEN($A2145)=4,IF(VALUE(RIGHT($A2145,2))&gt;60,"","Powiat "),IF(VALUE(RIGHT($A2145,1))=1,"m. ",IF(VALUE(RIGHT($A2145,1))=2,"gm. w. ",IF(VALUE(RIGHT($A2145,1))=8,"dz. ","gm. m.-w. ")))))&amp;IF(LEN($A2145)=2,TRIM(UPPER(VLOOKUP($A2145,GUS_tabl_1!$A$7:$B$22,2,FALSE))),IF(ISERROR(FIND("..",TRIM(VLOOKUP(IF(AND(LEN($A2145)=4,VALUE(RIGHT($A2145,2))&gt;60),$A2145&amp;"01 1",$A2145),IF(AND(LEN($A2145)=4,VALUE(RIGHT($A2145,2))&lt;60),GUS_tabl_2!$A$8:$B$464,GUS_tabl_21!$A$5:$B$4886),2,FALSE)))),TRIM(VLOOKUP(IF(AND(LEN($A2145)=4,VALUE(RIGHT($A2145,2))&gt;60),$A2145&amp;"01 1",$A2145),IF(AND(LEN($A2145)=4,VALUE(RIGHT($A2145,2))&lt;60),GUS_tabl_2!$A$8:$B$464,GUS_tabl_21!$A$5:$B$4886),2,FALSE)),LEFT(TRIM(VLOOKUP(IF(AND(LEN($A2145)=4,VALUE(RIGHT($A2145,2))&gt;60),$A2145&amp;"01 1",$A2145),IF(AND(LEN($A2145)=4,VALUE(RIGHT($A2145,2))&lt;60),GUS_tabl_2!$A$8:$B$464,GUS_tabl_21!$A$5:$B$4886),2,FALSE)),SUM(FIND("..",TRIM(VLOOKUP(IF(AND(LEN($A2145)=4,VALUE(RIGHT($A2145,2))&gt;60),$A2145&amp;"01 1",$A2145),IF(AND(LEN($A2145)=4,VALUE(RIGHT($A2145,2))&lt;60),GUS_tabl_2!$A$8:$B$464,GUS_tabl_21!$A$5:$B$4886),2,FALSE))),-1)))))</f>
        <v>gm. w. Przyrów</v>
      </c>
      <c r="D2145" s="141">
        <f>IF(OR($A2145="",ISERROR(VALUE(LEFT($A2145,6)))),"",IF(LEN($A2145)=2,SUMIF($A2146:$A$2965,$A2145&amp;"??",$D2146:$D$2965),IF(AND(LEN($A2145)=4,VALUE(RIGHT($A2145,2))&lt;=60),SUMIF($A2146:$A$2965,$A2145&amp;"????",$D2146:$D$2965),VLOOKUP(IF(LEN($A2145)=4,$A2145&amp;"01 1",$A2145),GUS_tabl_21!$A$5:$F$4886,6,FALSE))))</f>
        <v>3752</v>
      </c>
      <c r="E2145" s="29"/>
    </row>
    <row r="2146" spans="1:5" ht="12" customHeight="1">
      <c r="A2146" s="155" t="str">
        <f>"240415 2"</f>
        <v>240415 2</v>
      </c>
      <c r="B2146" s="153" t="s">
        <v>80</v>
      </c>
      <c r="C2146" s="156" t="str">
        <f>IF(OR($A2146="",ISERROR(VALUE(LEFT($A2146,6)))),"",IF(LEN($A2146)=2,"WOJ. ",IF(LEN($A2146)=4,IF(VALUE(RIGHT($A2146,2))&gt;60,"","Powiat "),IF(VALUE(RIGHT($A2146,1))=1,"m. ",IF(VALUE(RIGHT($A2146,1))=2,"gm. w. ",IF(VALUE(RIGHT($A2146,1))=8,"dz. ","gm. m.-w. ")))))&amp;IF(LEN($A2146)=2,TRIM(UPPER(VLOOKUP($A2146,GUS_tabl_1!$A$7:$B$22,2,FALSE))),IF(ISERROR(FIND("..",TRIM(VLOOKUP(IF(AND(LEN($A2146)=4,VALUE(RIGHT($A2146,2))&gt;60),$A2146&amp;"01 1",$A2146),IF(AND(LEN($A2146)=4,VALUE(RIGHT($A2146,2))&lt;60),GUS_tabl_2!$A$8:$B$464,GUS_tabl_21!$A$5:$B$4886),2,FALSE)))),TRIM(VLOOKUP(IF(AND(LEN($A2146)=4,VALUE(RIGHT($A2146,2))&gt;60),$A2146&amp;"01 1",$A2146),IF(AND(LEN($A2146)=4,VALUE(RIGHT($A2146,2))&lt;60),GUS_tabl_2!$A$8:$B$464,GUS_tabl_21!$A$5:$B$4886),2,FALSE)),LEFT(TRIM(VLOOKUP(IF(AND(LEN($A2146)=4,VALUE(RIGHT($A2146,2))&gt;60),$A2146&amp;"01 1",$A2146),IF(AND(LEN($A2146)=4,VALUE(RIGHT($A2146,2))&lt;60),GUS_tabl_2!$A$8:$B$464,GUS_tabl_21!$A$5:$B$4886),2,FALSE)),SUM(FIND("..",TRIM(VLOOKUP(IF(AND(LEN($A2146)=4,VALUE(RIGHT($A2146,2))&gt;60),$A2146&amp;"01 1",$A2146),IF(AND(LEN($A2146)=4,VALUE(RIGHT($A2146,2))&lt;60),GUS_tabl_2!$A$8:$B$464,GUS_tabl_21!$A$5:$B$4886),2,FALSE))),-1)))))</f>
        <v>gm. w. Rędziny</v>
      </c>
      <c r="D2146" s="141">
        <f>IF(OR($A2146="",ISERROR(VALUE(LEFT($A2146,6)))),"",IF(LEN($A2146)=2,SUMIF($A2147:$A$2965,$A2146&amp;"??",$D2147:$D$2965),IF(AND(LEN($A2146)=4,VALUE(RIGHT($A2146,2))&lt;=60),SUMIF($A2147:$A$2965,$A2146&amp;"????",$D2147:$D$2965),VLOOKUP(IF(LEN($A2146)=4,$A2146&amp;"01 1",$A2146),GUS_tabl_21!$A$5:$F$4886,6,FALSE))))</f>
        <v>9933</v>
      </c>
      <c r="E2146" s="29"/>
    </row>
    <row r="2147" spans="1:5" ht="12" customHeight="1">
      <c r="A2147" s="155" t="str">
        <f>"240416 2"</f>
        <v>240416 2</v>
      </c>
      <c r="B2147" s="153" t="s">
        <v>80</v>
      </c>
      <c r="C2147" s="156" t="str">
        <f>IF(OR($A2147="",ISERROR(VALUE(LEFT($A2147,6)))),"",IF(LEN($A2147)=2,"WOJ. ",IF(LEN($A2147)=4,IF(VALUE(RIGHT($A2147,2))&gt;60,"","Powiat "),IF(VALUE(RIGHT($A2147,1))=1,"m. ",IF(VALUE(RIGHT($A2147,1))=2,"gm. w. ",IF(VALUE(RIGHT($A2147,1))=8,"dz. ","gm. m.-w. ")))))&amp;IF(LEN($A2147)=2,TRIM(UPPER(VLOOKUP($A2147,GUS_tabl_1!$A$7:$B$22,2,FALSE))),IF(ISERROR(FIND("..",TRIM(VLOOKUP(IF(AND(LEN($A2147)=4,VALUE(RIGHT($A2147,2))&gt;60),$A2147&amp;"01 1",$A2147),IF(AND(LEN($A2147)=4,VALUE(RIGHT($A2147,2))&lt;60),GUS_tabl_2!$A$8:$B$464,GUS_tabl_21!$A$5:$B$4886),2,FALSE)))),TRIM(VLOOKUP(IF(AND(LEN($A2147)=4,VALUE(RIGHT($A2147,2))&gt;60),$A2147&amp;"01 1",$A2147),IF(AND(LEN($A2147)=4,VALUE(RIGHT($A2147,2))&lt;60),GUS_tabl_2!$A$8:$B$464,GUS_tabl_21!$A$5:$B$4886),2,FALSE)),LEFT(TRIM(VLOOKUP(IF(AND(LEN($A2147)=4,VALUE(RIGHT($A2147,2))&gt;60),$A2147&amp;"01 1",$A2147),IF(AND(LEN($A2147)=4,VALUE(RIGHT($A2147,2))&lt;60),GUS_tabl_2!$A$8:$B$464,GUS_tabl_21!$A$5:$B$4886),2,FALSE)),SUM(FIND("..",TRIM(VLOOKUP(IF(AND(LEN($A2147)=4,VALUE(RIGHT($A2147,2))&gt;60),$A2147&amp;"01 1",$A2147),IF(AND(LEN($A2147)=4,VALUE(RIGHT($A2147,2))&lt;60),GUS_tabl_2!$A$8:$B$464,GUS_tabl_21!$A$5:$B$4886),2,FALSE))),-1)))))</f>
        <v>gm. w. Starcza</v>
      </c>
      <c r="D2147" s="141">
        <f>IF(OR($A2147="",ISERROR(VALUE(LEFT($A2147,6)))),"",IF(LEN($A2147)=2,SUMIF($A2148:$A$2965,$A2147&amp;"??",$D2148:$D$2965),IF(AND(LEN($A2147)=4,VALUE(RIGHT($A2147,2))&lt;=60),SUMIF($A2148:$A$2965,$A2147&amp;"????",$D2148:$D$2965),VLOOKUP(IF(LEN($A2147)=4,$A2147&amp;"01 1",$A2147),GUS_tabl_21!$A$5:$F$4886,6,FALSE))))</f>
        <v>2829</v>
      </c>
      <c r="E2147" s="29"/>
    </row>
    <row r="2148" spans="1:5" ht="12" customHeight="1">
      <c r="A2148" s="152" t="str">
        <f>"2405"</f>
        <v>2405</v>
      </c>
      <c r="B2148" s="153" t="s">
        <v>80</v>
      </c>
      <c r="C2148" s="154" t="str">
        <f>IF(OR($A2148="",ISERROR(VALUE(LEFT($A2148,6)))),"",IF(LEN($A2148)=2,"WOJ. ",IF(LEN($A2148)=4,IF(VALUE(RIGHT($A2148,2))&gt;60,"","Powiat "),IF(VALUE(RIGHT($A2148,1))=1,"m. ",IF(VALUE(RIGHT($A2148,1))=2,"gm. w. ",IF(VALUE(RIGHT($A2148,1))=8,"dz. ","gm. m.-w. ")))))&amp;IF(LEN($A2148)=2,TRIM(UPPER(VLOOKUP($A2148,GUS_tabl_1!$A$7:$B$22,2,FALSE))),IF(ISERROR(FIND("..",TRIM(VLOOKUP(IF(AND(LEN($A2148)=4,VALUE(RIGHT($A2148,2))&gt;60),$A2148&amp;"01 1",$A2148),IF(AND(LEN($A2148)=4,VALUE(RIGHT($A2148,2))&lt;60),GUS_tabl_2!$A$8:$B$464,GUS_tabl_21!$A$5:$B$4886),2,FALSE)))),TRIM(VLOOKUP(IF(AND(LEN($A2148)=4,VALUE(RIGHT($A2148,2))&gt;60),$A2148&amp;"01 1",$A2148),IF(AND(LEN($A2148)=4,VALUE(RIGHT($A2148,2))&lt;60),GUS_tabl_2!$A$8:$B$464,GUS_tabl_21!$A$5:$B$4886),2,FALSE)),LEFT(TRIM(VLOOKUP(IF(AND(LEN($A2148)=4,VALUE(RIGHT($A2148,2))&gt;60),$A2148&amp;"01 1",$A2148),IF(AND(LEN($A2148)=4,VALUE(RIGHT($A2148,2))&lt;60),GUS_tabl_2!$A$8:$B$464,GUS_tabl_21!$A$5:$B$4886),2,FALSE)),SUM(FIND("..",TRIM(VLOOKUP(IF(AND(LEN($A2148)=4,VALUE(RIGHT($A2148,2))&gt;60),$A2148&amp;"01 1",$A2148),IF(AND(LEN($A2148)=4,VALUE(RIGHT($A2148,2))&lt;60),GUS_tabl_2!$A$8:$B$464,GUS_tabl_21!$A$5:$B$4886),2,FALSE))),-1)))))</f>
        <v>Powiat gliwicki</v>
      </c>
      <c r="D2148" s="140">
        <f>IF(OR($A2148="",ISERROR(VALUE(LEFT($A2148,6)))),"",IF(LEN($A2148)=2,SUMIF($A2149:$A$2965,$A2148&amp;"??",$D2149:$D$2965),IF(AND(LEN($A2148)=4,VALUE(RIGHT($A2148,2))&lt;=60),SUMIF($A2149:$A$2965,$A2148&amp;"????",$D2149:$D$2965),VLOOKUP(IF(LEN($A2148)=4,$A2148&amp;"01 1",$A2148),GUS_tabl_21!$A$5:$F$4886,6,FALSE))))</f>
        <v>115528</v>
      </c>
      <c r="E2148" s="29"/>
    </row>
    <row r="2149" spans="1:5" ht="12" customHeight="1">
      <c r="A2149" s="155" t="str">
        <f>"240501 1"</f>
        <v>240501 1</v>
      </c>
      <c r="B2149" s="153" t="s">
        <v>80</v>
      </c>
      <c r="C2149" s="156" t="str">
        <f>IF(OR($A2149="",ISERROR(VALUE(LEFT($A2149,6)))),"",IF(LEN($A2149)=2,"WOJ. ",IF(LEN($A2149)=4,IF(VALUE(RIGHT($A2149,2))&gt;60,"","Powiat "),IF(VALUE(RIGHT($A2149,1))=1,"m. ",IF(VALUE(RIGHT($A2149,1))=2,"gm. w. ",IF(VALUE(RIGHT($A2149,1))=8,"dz. ","gm. m.-w. ")))))&amp;IF(LEN($A2149)=2,TRIM(UPPER(VLOOKUP($A2149,GUS_tabl_1!$A$7:$B$22,2,FALSE))),IF(ISERROR(FIND("..",TRIM(VLOOKUP(IF(AND(LEN($A2149)=4,VALUE(RIGHT($A2149,2))&gt;60),$A2149&amp;"01 1",$A2149),IF(AND(LEN($A2149)=4,VALUE(RIGHT($A2149,2))&lt;60),GUS_tabl_2!$A$8:$B$464,GUS_tabl_21!$A$5:$B$4886),2,FALSE)))),TRIM(VLOOKUP(IF(AND(LEN($A2149)=4,VALUE(RIGHT($A2149,2))&gt;60),$A2149&amp;"01 1",$A2149),IF(AND(LEN($A2149)=4,VALUE(RIGHT($A2149,2))&lt;60),GUS_tabl_2!$A$8:$B$464,GUS_tabl_21!$A$5:$B$4886),2,FALSE)),LEFT(TRIM(VLOOKUP(IF(AND(LEN($A2149)=4,VALUE(RIGHT($A2149,2))&gt;60),$A2149&amp;"01 1",$A2149),IF(AND(LEN($A2149)=4,VALUE(RIGHT($A2149,2))&lt;60),GUS_tabl_2!$A$8:$B$464,GUS_tabl_21!$A$5:$B$4886),2,FALSE)),SUM(FIND("..",TRIM(VLOOKUP(IF(AND(LEN($A2149)=4,VALUE(RIGHT($A2149,2))&gt;60),$A2149&amp;"01 1",$A2149),IF(AND(LEN($A2149)=4,VALUE(RIGHT($A2149,2))&lt;60),GUS_tabl_2!$A$8:$B$464,GUS_tabl_21!$A$5:$B$4886),2,FALSE))),-1)))))</f>
        <v>m. Knurów</v>
      </c>
      <c r="D2149" s="141">
        <f>IF(OR($A2149="",ISERROR(VALUE(LEFT($A2149,6)))),"",IF(LEN($A2149)=2,SUMIF($A2150:$A$2965,$A2149&amp;"??",$D2150:$D$2965),IF(AND(LEN($A2149)=4,VALUE(RIGHT($A2149,2))&lt;=60),SUMIF($A2150:$A$2965,$A2149&amp;"????",$D2150:$D$2965),VLOOKUP(IF(LEN($A2149)=4,$A2149&amp;"01 1",$A2149),GUS_tabl_21!$A$5:$F$4886,6,FALSE))))</f>
        <v>38112</v>
      </c>
      <c r="E2149" s="29"/>
    </row>
    <row r="2150" spans="1:5" ht="12" customHeight="1">
      <c r="A2150" s="155" t="str">
        <f>"240502 1"</f>
        <v>240502 1</v>
      </c>
      <c r="B2150" s="153" t="s">
        <v>80</v>
      </c>
      <c r="C2150" s="156" t="str">
        <f>IF(OR($A2150="",ISERROR(VALUE(LEFT($A2150,6)))),"",IF(LEN($A2150)=2,"WOJ. ",IF(LEN($A2150)=4,IF(VALUE(RIGHT($A2150,2))&gt;60,"","Powiat "),IF(VALUE(RIGHT($A2150,1))=1,"m. ",IF(VALUE(RIGHT($A2150,1))=2,"gm. w. ",IF(VALUE(RIGHT($A2150,1))=8,"dz. ","gm. m.-w. ")))))&amp;IF(LEN($A2150)=2,TRIM(UPPER(VLOOKUP($A2150,GUS_tabl_1!$A$7:$B$22,2,FALSE))),IF(ISERROR(FIND("..",TRIM(VLOOKUP(IF(AND(LEN($A2150)=4,VALUE(RIGHT($A2150,2))&gt;60),$A2150&amp;"01 1",$A2150),IF(AND(LEN($A2150)=4,VALUE(RIGHT($A2150,2))&lt;60),GUS_tabl_2!$A$8:$B$464,GUS_tabl_21!$A$5:$B$4886),2,FALSE)))),TRIM(VLOOKUP(IF(AND(LEN($A2150)=4,VALUE(RIGHT($A2150,2))&gt;60),$A2150&amp;"01 1",$A2150),IF(AND(LEN($A2150)=4,VALUE(RIGHT($A2150,2))&lt;60),GUS_tabl_2!$A$8:$B$464,GUS_tabl_21!$A$5:$B$4886),2,FALSE)),LEFT(TRIM(VLOOKUP(IF(AND(LEN($A2150)=4,VALUE(RIGHT($A2150,2))&gt;60),$A2150&amp;"01 1",$A2150),IF(AND(LEN($A2150)=4,VALUE(RIGHT($A2150,2))&lt;60),GUS_tabl_2!$A$8:$B$464,GUS_tabl_21!$A$5:$B$4886),2,FALSE)),SUM(FIND("..",TRIM(VLOOKUP(IF(AND(LEN($A2150)=4,VALUE(RIGHT($A2150,2))&gt;60),$A2150&amp;"01 1",$A2150),IF(AND(LEN($A2150)=4,VALUE(RIGHT($A2150,2))&lt;60),GUS_tabl_2!$A$8:$B$464,GUS_tabl_21!$A$5:$B$4886),2,FALSE))),-1)))))</f>
        <v>m. Pyskowice</v>
      </c>
      <c r="D2150" s="141">
        <f>IF(OR($A2150="",ISERROR(VALUE(LEFT($A2150,6)))),"",IF(LEN($A2150)=2,SUMIF($A2151:$A$2965,$A2150&amp;"??",$D2151:$D$2965),IF(AND(LEN($A2150)=4,VALUE(RIGHT($A2150,2))&lt;=60),SUMIF($A2151:$A$2965,$A2150&amp;"????",$D2151:$D$2965),VLOOKUP(IF(LEN($A2150)=4,$A2150&amp;"01 1",$A2150),GUS_tabl_21!$A$5:$F$4886,6,FALSE))))</f>
        <v>18429</v>
      </c>
      <c r="E2150" s="29"/>
    </row>
    <row r="2151" spans="1:5" ht="12" customHeight="1">
      <c r="A2151" s="155" t="str">
        <f>"240503 2"</f>
        <v>240503 2</v>
      </c>
      <c r="B2151" s="153" t="s">
        <v>80</v>
      </c>
      <c r="C2151" s="156" t="str">
        <f>IF(OR($A2151="",ISERROR(VALUE(LEFT($A2151,6)))),"",IF(LEN($A2151)=2,"WOJ. ",IF(LEN($A2151)=4,IF(VALUE(RIGHT($A2151,2))&gt;60,"","Powiat "),IF(VALUE(RIGHT($A2151,1))=1,"m. ",IF(VALUE(RIGHT($A2151,1))=2,"gm. w. ",IF(VALUE(RIGHT($A2151,1))=8,"dz. ","gm. m.-w. ")))))&amp;IF(LEN($A2151)=2,TRIM(UPPER(VLOOKUP($A2151,GUS_tabl_1!$A$7:$B$22,2,FALSE))),IF(ISERROR(FIND("..",TRIM(VLOOKUP(IF(AND(LEN($A2151)=4,VALUE(RIGHT($A2151,2))&gt;60),$A2151&amp;"01 1",$A2151),IF(AND(LEN($A2151)=4,VALUE(RIGHT($A2151,2))&lt;60),GUS_tabl_2!$A$8:$B$464,GUS_tabl_21!$A$5:$B$4886),2,FALSE)))),TRIM(VLOOKUP(IF(AND(LEN($A2151)=4,VALUE(RIGHT($A2151,2))&gt;60),$A2151&amp;"01 1",$A2151),IF(AND(LEN($A2151)=4,VALUE(RIGHT($A2151,2))&lt;60),GUS_tabl_2!$A$8:$B$464,GUS_tabl_21!$A$5:$B$4886),2,FALSE)),LEFT(TRIM(VLOOKUP(IF(AND(LEN($A2151)=4,VALUE(RIGHT($A2151,2))&gt;60),$A2151&amp;"01 1",$A2151),IF(AND(LEN($A2151)=4,VALUE(RIGHT($A2151,2))&lt;60),GUS_tabl_2!$A$8:$B$464,GUS_tabl_21!$A$5:$B$4886),2,FALSE)),SUM(FIND("..",TRIM(VLOOKUP(IF(AND(LEN($A2151)=4,VALUE(RIGHT($A2151,2))&gt;60),$A2151&amp;"01 1",$A2151),IF(AND(LEN($A2151)=4,VALUE(RIGHT($A2151,2))&lt;60),GUS_tabl_2!$A$8:$B$464,GUS_tabl_21!$A$5:$B$4886),2,FALSE))),-1)))))</f>
        <v>gm. w. Gierałtowice</v>
      </c>
      <c r="D2151" s="141">
        <f>IF(OR($A2151="",ISERROR(VALUE(LEFT($A2151,6)))),"",IF(LEN($A2151)=2,SUMIF($A2152:$A$2965,$A2151&amp;"??",$D2152:$D$2965),IF(AND(LEN($A2151)=4,VALUE(RIGHT($A2151,2))&lt;=60),SUMIF($A2152:$A$2965,$A2151&amp;"????",$D2152:$D$2965),VLOOKUP(IF(LEN($A2151)=4,$A2151&amp;"01 1",$A2151),GUS_tabl_21!$A$5:$F$4886,6,FALSE))))</f>
        <v>12183</v>
      </c>
      <c r="E2151" s="29"/>
    </row>
    <row r="2152" spans="1:5" ht="12" customHeight="1">
      <c r="A2152" s="155" t="str">
        <f>"240504 2"</f>
        <v>240504 2</v>
      </c>
      <c r="B2152" s="153" t="s">
        <v>80</v>
      </c>
      <c r="C2152" s="156" t="str">
        <f>IF(OR($A2152="",ISERROR(VALUE(LEFT($A2152,6)))),"",IF(LEN($A2152)=2,"WOJ. ",IF(LEN($A2152)=4,IF(VALUE(RIGHT($A2152,2))&gt;60,"","Powiat "),IF(VALUE(RIGHT($A2152,1))=1,"m. ",IF(VALUE(RIGHT($A2152,1))=2,"gm. w. ",IF(VALUE(RIGHT($A2152,1))=8,"dz. ","gm. m.-w. ")))))&amp;IF(LEN($A2152)=2,TRIM(UPPER(VLOOKUP($A2152,GUS_tabl_1!$A$7:$B$22,2,FALSE))),IF(ISERROR(FIND("..",TRIM(VLOOKUP(IF(AND(LEN($A2152)=4,VALUE(RIGHT($A2152,2))&gt;60),$A2152&amp;"01 1",$A2152),IF(AND(LEN($A2152)=4,VALUE(RIGHT($A2152,2))&lt;60),GUS_tabl_2!$A$8:$B$464,GUS_tabl_21!$A$5:$B$4886),2,FALSE)))),TRIM(VLOOKUP(IF(AND(LEN($A2152)=4,VALUE(RIGHT($A2152,2))&gt;60),$A2152&amp;"01 1",$A2152),IF(AND(LEN($A2152)=4,VALUE(RIGHT($A2152,2))&lt;60),GUS_tabl_2!$A$8:$B$464,GUS_tabl_21!$A$5:$B$4886),2,FALSE)),LEFT(TRIM(VLOOKUP(IF(AND(LEN($A2152)=4,VALUE(RIGHT($A2152,2))&gt;60),$A2152&amp;"01 1",$A2152),IF(AND(LEN($A2152)=4,VALUE(RIGHT($A2152,2))&lt;60),GUS_tabl_2!$A$8:$B$464,GUS_tabl_21!$A$5:$B$4886),2,FALSE)),SUM(FIND("..",TRIM(VLOOKUP(IF(AND(LEN($A2152)=4,VALUE(RIGHT($A2152,2))&gt;60),$A2152&amp;"01 1",$A2152),IF(AND(LEN($A2152)=4,VALUE(RIGHT($A2152,2))&lt;60),GUS_tabl_2!$A$8:$B$464,GUS_tabl_21!$A$5:$B$4886),2,FALSE))),-1)))))</f>
        <v>gm. w. Pilchowice</v>
      </c>
      <c r="D2152" s="141">
        <f>IF(OR($A2152="",ISERROR(VALUE(LEFT($A2152,6)))),"",IF(LEN($A2152)=2,SUMIF($A2153:$A$2965,$A2152&amp;"??",$D2153:$D$2965),IF(AND(LEN($A2152)=4,VALUE(RIGHT($A2152,2))&lt;=60),SUMIF($A2153:$A$2965,$A2152&amp;"????",$D2153:$D$2965),VLOOKUP(IF(LEN($A2152)=4,$A2152&amp;"01 1",$A2152),GUS_tabl_21!$A$5:$F$4886,6,FALSE))))</f>
        <v>12013</v>
      </c>
      <c r="E2152" s="29"/>
    </row>
    <row r="2153" spans="1:5" ht="12" customHeight="1">
      <c r="A2153" s="155" t="str">
        <f>"240505 2"</f>
        <v>240505 2</v>
      </c>
      <c r="B2153" s="153" t="s">
        <v>80</v>
      </c>
      <c r="C2153" s="156" t="str">
        <f>IF(OR($A2153="",ISERROR(VALUE(LEFT($A2153,6)))),"",IF(LEN($A2153)=2,"WOJ. ",IF(LEN($A2153)=4,IF(VALUE(RIGHT($A2153,2))&gt;60,"","Powiat "),IF(VALUE(RIGHT($A2153,1))=1,"m. ",IF(VALUE(RIGHT($A2153,1))=2,"gm. w. ",IF(VALUE(RIGHT($A2153,1))=8,"dz. ","gm. m.-w. ")))))&amp;IF(LEN($A2153)=2,TRIM(UPPER(VLOOKUP($A2153,GUS_tabl_1!$A$7:$B$22,2,FALSE))),IF(ISERROR(FIND("..",TRIM(VLOOKUP(IF(AND(LEN($A2153)=4,VALUE(RIGHT($A2153,2))&gt;60),$A2153&amp;"01 1",$A2153),IF(AND(LEN($A2153)=4,VALUE(RIGHT($A2153,2))&lt;60),GUS_tabl_2!$A$8:$B$464,GUS_tabl_21!$A$5:$B$4886),2,FALSE)))),TRIM(VLOOKUP(IF(AND(LEN($A2153)=4,VALUE(RIGHT($A2153,2))&gt;60),$A2153&amp;"01 1",$A2153),IF(AND(LEN($A2153)=4,VALUE(RIGHT($A2153,2))&lt;60),GUS_tabl_2!$A$8:$B$464,GUS_tabl_21!$A$5:$B$4886),2,FALSE)),LEFT(TRIM(VLOOKUP(IF(AND(LEN($A2153)=4,VALUE(RIGHT($A2153,2))&gt;60),$A2153&amp;"01 1",$A2153),IF(AND(LEN($A2153)=4,VALUE(RIGHT($A2153,2))&lt;60),GUS_tabl_2!$A$8:$B$464,GUS_tabl_21!$A$5:$B$4886),2,FALSE)),SUM(FIND("..",TRIM(VLOOKUP(IF(AND(LEN($A2153)=4,VALUE(RIGHT($A2153,2))&gt;60),$A2153&amp;"01 1",$A2153),IF(AND(LEN($A2153)=4,VALUE(RIGHT($A2153,2))&lt;60),GUS_tabl_2!$A$8:$B$464,GUS_tabl_21!$A$5:$B$4886),2,FALSE))),-1)))))</f>
        <v>gm. w. Rudziniec</v>
      </c>
      <c r="D2153" s="141">
        <f>IF(OR($A2153="",ISERROR(VALUE(LEFT($A2153,6)))),"",IF(LEN($A2153)=2,SUMIF($A2154:$A$2965,$A2153&amp;"??",$D2154:$D$2965),IF(AND(LEN($A2153)=4,VALUE(RIGHT($A2153,2))&lt;=60),SUMIF($A2154:$A$2965,$A2153&amp;"????",$D2154:$D$2965),VLOOKUP(IF(LEN($A2153)=4,$A2153&amp;"01 1",$A2153),GUS_tabl_21!$A$5:$F$4886,6,FALSE))))</f>
        <v>10643</v>
      </c>
      <c r="E2153" s="29"/>
    </row>
    <row r="2154" spans="1:5" ht="12" customHeight="1">
      <c r="A2154" s="155" t="str">
        <f>"240506 3"</f>
        <v>240506 3</v>
      </c>
      <c r="B2154" s="153" t="s">
        <v>80</v>
      </c>
      <c r="C2154" s="156" t="str">
        <f>IF(OR($A2154="",ISERROR(VALUE(LEFT($A2154,6)))),"",IF(LEN($A2154)=2,"WOJ. ",IF(LEN($A2154)=4,IF(VALUE(RIGHT($A2154,2))&gt;60,"","Powiat "),IF(VALUE(RIGHT($A2154,1))=1,"m. ",IF(VALUE(RIGHT($A2154,1))=2,"gm. w. ",IF(VALUE(RIGHT($A2154,1))=8,"dz. ","gm. m.-w. ")))))&amp;IF(LEN($A2154)=2,TRIM(UPPER(VLOOKUP($A2154,GUS_tabl_1!$A$7:$B$22,2,FALSE))),IF(ISERROR(FIND("..",TRIM(VLOOKUP(IF(AND(LEN($A2154)=4,VALUE(RIGHT($A2154,2))&gt;60),$A2154&amp;"01 1",$A2154),IF(AND(LEN($A2154)=4,VALUE(RIGHT($A2154,2))&lt;60),GUS_tabl_2!$A$8:$B$464,GUS_tabl_21!$A$5:$B$4886),2,FALSE)))),TRIM(VLOOKUP(IF(AND(LEN($A2154)=4,VALUE(RIGHT($A2154,2))&gt;60),$A2154&amp;"01 1",$A2154),IF(AND(LEN($A2154)=4,VALUE(RIGHT($A2154,2))&lt;60),GUS_tabl_2!$A$8:$B$464,GUS_tabl_21!$A$5:$B$4886),2,FALSE)),LEFT(TRIM(VLOOKUP(IF(AND(LEN($A2154)=4,VALUE(RIGHT($A2154,2))&gt;60),$A2154&amp;"01 1",$A2154),IF(AND(LEN($A2154)=4,VALUE(RIGHT($A2154,2))&lt;60),GUS_tabl_2!$A$8:$B$464,GUS_tabl_21!$A$5:$B$4886),2,FALSE)),SUM(FIND("..",TRIM(VLOOKUP(IF(AND(LEN($A2154)=4,VALUE(RIGHT($A2154,2))&gt;60),$A2154&amp;"01 1",$A2154),IF(AND(LEN($A2154)=4,VALUE(RIGHT($A2154,2))&lt;60),GUS_tabl_2!$A$8:$B$464,GUS_tabl_21!$A$5:$B$4886),2,FALSE))),-1)))))</f>
        <v>gm. m.-w. Sośnicowice</v>
      </c>
      <c r="D2154" s="141">
        <f>IF(OR($A2154="",ISERROR(VALUE(LEFT($A2154,6)))),"",IF(LEN($A2154)=2,SUMIF($A2155:$A$2965,$A2154&amp;"??",$D2155:$D$2965),IF(AND(LEN($A2154)=4,VALUE(RIGHT($A2154,2))&lt;=60),SUMIF($A2155:$A$2965,$A2154&amp;"????",$D2155:$D$2965),VLOOKUP(IF(LEN($A2154)=4,$A2154&amp;"01 1",$A2154),GUS_tabl_21!$A$5:$F$4886,6,FALSE))))</f>
        <v>8909</v>
      </c>
      <c r="E2154" s="29"/>
    </row>
    <row r="2155" spans="1:5" ht="12" customHeight="1">
      <c r="A2155" s="155" t="str">
        <f>"240507 3"</f>
        <v>240507 3</v>
      </c>
      <c r="B2155" s="153" t="s">
        <v>80</v>
      </c>
      <c r="C2155" s="156" t="str">
        <f>IF(OR($A2155="",ISERROR(VALUE(LEFT($A2155,6)))),"",IF(LEN($A2155)=2,"WOJ. ",IF(LEN($A2155)=4,IF(VALUE(RIGHT($A2155,2))&gt;60,"","Powiat "),IF(VALUE(RIGHT($A2155,1))=1,"m. ",IF(VALUE(RIGHT($A2155,1))=2,"gm. w. ",IF(VALUE(RIGHT($A2155,1))=8,"dz. ","gm. m.-w. ")))))&amp;IF(LEN($A2155)=2,TRIM(UPPER(VLOOKUP($A2155,GUS_tabl_1!$A$7:$B$22,2,FALSE))),IF(ISERROR(FIND("..",TRIM(VLOOKUP(IF(AND(LEN($A2155)=4,VALUE(RIGHT($A2155,2))&gt;60),$A2155&amp;"01 1",$A2155),IF(AND(LEN($A2155)=4,VALUE(RIGHT($A2155,2))&lt;60),GUS_tabl_2!$A$8:$B$464,GUS_tabl_21!$A$5:$B$4886),2,FALSE)))),TRIM(VLOOKUP(IF(AND(LEN($A2155)=4,VALUE(RIGHT($A2155,2))&gt;60),$A2155&amp;"01 1",$A2155),IF(AND(LEN($A2155)=4,VALUE(RIGHT($A2155,2))&lt;60),GUS_tabl_2!$A$8:$B$464,GUS_tabl_21!$A$5:$B$4886),2,FALSE)),LEFT(TRIM(VLOOKUP(IF(AND(LEN($A2155)=4,VALUE(RIGHT($A2155,2))&gt;60),$A2155&amp;"01 1",$A2155),IF(AND(LEN($A2155)=4,VALUE(RIGHT($A2155,2))&lt;60),GUS_tabl_2!$A$8:$B$464,GUS_tabl_21!$A$5:$B$4886),2,FALSE)),SUM(FIND("..",TRIM(VLOOKUP(IF(AND(LEN($A2155)=4,VALUE(RIGHT($A2155,2))&gt;60),$A2155&amp;"01 1",$A2155),IF(AND(LEN($A2155)=4,VALUE(RIGHT($A2155,2))&lt;60),GUS_tabl_2!$A$8:$B$464,GUS_tabl_21!$A$5:$B$4886),2,FALSE))),-1)))))</f>
        <v>gm. m.-w. Toszek</v>
      </c>
      <c r="D2155" s="141">
        <f>IF(OR($A2155="",ISERROR(VALUE(LEFT($A2155,6)))),"",IF(LEN($A2155)=2,SUMIF($A2156:$A$2965,$A2155&amp;"??",$D2156:$D$2965),IF(AND(LEN($A2155)=4,VALUE(RIGHT($A2155,2))&lt;=60),SUMIF($A2156:$A$2965,$A2155&amp;"????",$D2156:$D$2965),VLOOKUP(IF(LEN($A2155)=4,$A2155&amp;"01 1",$A2155),GUS_tabl_21!$A$5:$F$4886,6,FALSE))))</f>
        <v>9383</v>
      </c>
      <c r="E2155" s="29"/>
    </row>
    <row r="2156" spans="1:5" ht="12" customHeight="1">
      <c r="A2156" s="155" t="str">
        <f>"240508 2"</f>
        <v>240508 2</v>
      </c>
      <c r="B2156" s="153" t="s">
        <v>80</v>
      </c>
      <c r="C2156" s="156" t="str">
        <f>IF(OR($A2156="",ISERROR(VALUE(LEFT($A2156,6)))),"",IF(LEN($A2156)=2,"WOJ. ",IF(LEN($A2156)=4,IF(VALUE(RIGHT($A2156,2))&gt;60,"","Powiat "),IF(VALUE(RIGHT($A2156,1))=1,"m. ",IF(VALUE(RIGHT($A2156,1))=2,"gm. w. ",IF(VALUE(RIGHT($A2156,1))=8,"dz. ","gm. m.-w. ")))))&amp;IF(LEN($A2156)=2,TRIM(UPPER(VLOOKUP($A2156,GUS_tabl_1!$A$7:$B$22,2,FALSE))),IF(ISERROR(FIND("..",TRIM(VLOOKUP(IF(AND(LEN($A2156)=4,VALUE(RIGHT($A2156,2))&gt;60),$A2156&amp;"01 1",$A2156),IF(AND(LEN($A2156)=4,VALUE(RIGHT($A2156,2))&lt;60),GUS_tabl_2!$A$8:$B$464,GUS_tabl_21!$A$5:$B$4886),2,FALSE)))),TRIM(VLOOKUP(IF(AND(LEN($A2156)=4,VALUE(RIGHT($A2156,2))&gt;60),$A2156&amp;"01 1",$A2156),IF(AND(LEN($A2156)=4,VALUE(RIGHT($A2156,2))&lt;60),GUS_tabl_2!$A$8:$B$464,GUS_tabl_21!$A$5:$B$4886),2,FALSE)),LEFT(TRIM(VLOOKUP(IF(AND(LEN($A2156)=4,VALUE(RIGHT($A2156,2))&gt;60),$A2156&amp;"01 1",$A2156),IF(AND(LEN($A2156)=4,VALUE(RIGHT($A2156,2))&lt;60),GUS_tabl_2!$A$8:$B$464,GUS_tabl_21!$A$5:$B$4886),2,FALSE)),SUM(FIND("..",TRIM(VLOOKUP(IF(AND(LEN($A2156)=4,VALUE(RIGHT($A2156,2))&gt;60),$A2156&amp;"01 1",$A2156),IF(AND(LEN($A2156)=4,VALUE(RIGHT($A2156,2))&lt;60),GUS_tabl_2!$A$8:$B$464,GUS_tabl_21!$A$5:$B$4886),2,FALSE))),-1)))))</f>
        <v>gm. w. Wielowieś</v>
      </c>
      <c r="D2156" s="141">
        <f>IF(OR($A2156="",ISERROR(VALUE(LEFT($A2156,6)))),"",IF(LEN($A2156)=2,SUMIF($A2157:$A$2965,$A2156&amp;"??",$D2157:$D$2965),IF(AND(LEN($A2156)=4,VALUE(RIGHT($A2156,2))&lt;=60),SUMIF($A2157:$A$2965,$A2156&amp;"????",$D2157:$D$2965),VLOOKUP(IF(LEN($A2156)=4,$A2156&amp;"01 1",$A2156),GUS_tabl_21!$A$5:$F$4886,6,FALSE))))</f>
        <v>5856</v>
      </c>
      <c r="E2156" s="29"/>
    </row>
    <row r="2157" spans="1:5" ht="12" customHeight="1">
      <c r="A2157" s="152" t="str">
        <f>"2406"</f>
        <v>2406</v>
      </c>
      <c r="B2157" s="153" t="s">
        <v>80</v>
      </c>
      <c r="C2157" s="154" t="str">
        <f>IF(OR($A2157="",ISERROR(VALUE(LEFT($A2157,6)))),"",IF(LEN($A2157)=2,"WOJ. ",IF(LEN($A2157)=4,IF(VALUE(RIGHT($A2157,2))&gt;60,"","Powiat "),IF(VALUE(RIGHT($A2157,1))=1,"m. ",IF(VALUE(RIGHT($A2157,1))=2,"gm. w. ",IF(VALUE(RIGHT($A2157,1))=8,"dz. ","gm. m.-w. ")))))&amp;IF(LEN($A2157)=2,TRIM(UPPER(VLOOKUP($A2157,GUS_tabl_1!$A$7:$B$22,2,FALSE))),IF(ISERROR(FIND("..",TRIM(VLOOKUP(IF(AND(LEN($A2157)=4,VALUE(RIGHT($A2157,2))&gt;60),$A2157&amp;"01 1",$A2157),IF(AND(LEN($A2157)=4,VALUE(RIGHT($A2157,2))&lt;60),GUS_tabl_2!$A$8:$B$464,GUS_tabl_21!$A$5:$B$4886),2,FALSE)))),TRIM(VLOOKUP(IF(AND(LEN($A2157)=4,VALUE(RIGHT($A2157,2))&gt;60),$A2157&amp;"01 1",$A2157),IF(AND(LEN($A2157)=4,VALUE(RIGHT($A2157,2))&lt;60),GUS_tabl_2!$A$8:$B$464,GUS_tabl_21!$A$5:$B$4886),2,FALSE)),LEFT(TRIM(VLOOKUP(IF(AND(LEN($A2157)=4,VALUE(RIGHT($A2157,2))&gt;60),$A2157&amp;"01 1",$A2157),IF(AND(LEN($A2157)=4,VALUE(RIGHT($A2157,2))&lt;60),GUS_tabl_2!$A$8:$B$464,GUS_tabl_21!$A$5:$B$4886),2,FALSE)),SUM(FIND("..",TRIM(VLOOKUP(IF(AND(LEN($A2157)=4,VALUE(RIGHT($A2157,2))&gt;60),$A2157&amp;"01 1",$A2157),IF(AND(LEN($A2157)=4,VALUE(RIGHT($A2157,2))&lt;60),GUS_tabl_2!$A$8:$B$464,GUS_tabl_21!$A$5:$B$4886),2,FALSE))),-1)))))</f>
        <v>Powiat kłobucki</v>
      </c>
      <c r="D2157" s="140">
        <f>IF(OR($A2157="",ISERROR(VALUE(LEFT($A2157,6)))),"",IF(LEN($A2157)=2,SUMIF($A2158:$A$2965,$A2157&amp;"??",$D2158:$D$2965),IF(AND(LEN($A2157)=4,VALUE(RIGHT($A2157,2))&lt;=60),SUMIF($A2158:$A$2965,$A2157&amp;"????",$D2158:$D$2965),VLOOKUP(IF(LEN($A2157)=4,$A2157&amp;"01 1",$A2157),GUS_tabl_21!$A$5:$F$4886,6,FALSE))))</f>
        <v>84591</v>
      </c>
      <c r="E2157" s="29"/>
    </row>
    <row r="2158" spans="1:5" ht="12" customHeight="1">
      <c r="A2158" s="155" t="str">
        <f>"240601 3"</f>
        <v>240601 3</v>
      </c>
      <c r="B2158" s="153" t="s">
        <v>80</v>
      </c>
      <c r="C2158" s="156" t="str">
        <f>IF(OR($A2158="",ISERROR(VALUE(LEFT($A2158,6)))),"",IF(LEN($A2158)=2,"WOJ. ",IF(LEN($A2158)=4,IF(VALUE(RIGHT($A2158,2))&gt;60,"","Powiat "),IF(VALUE(RIGHT($A2158,1))=1,"m. ",IF(VALUE(RIGHT($A2158,1))=2,"gm. w. ",IF(VALUE(RIGHT($A2158,1))=8,"dz. ","gm. m.-w. ")))))&amp;IF(LEN($A2158)=2,TRIM(UPPER(VLOOKUP($A2158,GUS_tabl_1!$A$7:$B$22,2,FALSE))),IF(ISERROR(FIND("..",TRIM(VLOOKUP(IF(AND(LEN($A2158)=4,VALUE(RIGHT($A2158,2))&gt;60),$A2158&amp;"01 1",$A2158),IF(AND(LEN($A2158)=4,VALUE(RIGHT($A2158,2))&lt;60),GUS_tabl_2!$A$8:$B$464,GUS_tabl_21!$A$5:$B$4886),2,FALSE)))),TRIM(VLOOKUP(IF(AND(LEN($A2158)=4,VALUE(RIGHT($A2158,2))&gt;60),$A2158&amp;"01 1",$A2158),IF(AND(LEN($A2158)=4,VALUE(RIGHT($A2158,2))&lt;60),GUS_tabl_2!$A$8:$B$464,GUS_tabl_21!$A$5:$B$4886),2,FALSE)),LEFT(TRIM(VLOOKUP(IF(AND(LEN($A2158)=4,VALUE(RIGHT($A2158,2))&gt;60),$A2158&amp;"01 1",$A2158),IF(AND(LEN($A2158)=4,VALUE(RIGHT($A2158,2))&lt;60),GUS_tabl_2!$A$8:$B$464,GUS_tabl_21!$A$5:$B$4886),2,FALSE)),SUM(FIND("..",TRIM(VLOOKUP(IF(AND(LEN($A2158)=4,VALUE(RIGHT($A2158,2))&gt;60),$A2158&amp;"01 1",$A2158),IF(AND(LEN($A2158)=4,VALUE(RIGHT($A2158,2))&lt;60),GUS_tabl_2!$A$8:$B$464,GUS_tabl_21!$A$5:$B$4886),2,FALSE))),-1)))))</f>
        <v>gm. m.-w. Kłobuck</v>
      </c>
      <c r="D2158" s="141">
        <f>IF(OR($A2158="",ISERROR(VALUE(LEFT($A2158,6)))),"",IF(LEN($A2158)=2,SUMIF($A2159:$A$2965,$A2158&amp;"??",$D2159:$D$2965),IF(AND(LEN($A2158)=4,VALUE(RIGHT($A2158,2))&lt;=60),SUMIF($A2159:$A$2965,$A2158&amp;"????",$D2159:$D$2965),VLOOKUP(IF(LEN($A2158)=4,$A2158&amp;"01 1",$A2158),GUS_tabl_21!$A$5:$F$4886,6,FALSE))))</f>
        <v>20327</v>
      </c>
      <c r="E2158" s="29"/>
    </row>
    <row r="2159" spans="1:5" ht="12" customHeight="1">
      <c r="A2159" s="155" t="str">
        <f>"240602 3"</f>
        <v>240602 3</v>
      </c>
      <c r="B2159" s="153" t="s">
        <v>80</v>
      </c>
      <c r="C2159" s="156" t="str">
        <f>IF(OR($A2159="",ISERROR(VALUE(LEFT($A2159,6)))),"",IF(LEN($A2159)=2,"WOJ. ",IF(LEN($A2159)=4,IF(VALUE(RIGHT($A2159,2))&gt;60,"","Powiat "),IF(VALUE(RIGHT($A2159,1))=1,"m. ",IF(VALUE(RIGHT($A2159,1))=2,"gm. w. ",IF(VALUE(RIGHT($A2159,1))=8,"dz. ","gm. m.-w. ")))))&amp;IF(LEN($A2159)=2,TRIM(UPPER(VLOOKUP($A2159,GUS_tabl_1!$A$7:$B$22,2,FALSE))),IF(ISERROR(FIND("..",TRIM(VLOOKUP(IF(AND(LEN($A2159)=4,VALUE(RIGHT($A2159,2))&gt;60),$A2159&amp;"01 1",$A2159),IF(AND(LEN($A2159)=4,VALUE(RIGHT($A2159,2))&lt;60),GUS_tabl_2!$A$8:$B$464,GUS_tabl_21!$A$5:$B$4886),2,FALSE)))),TRIM(VLOOKUP(IF(AND(LEN($A2159)=4,VALUE(RIGHT($A2159,2))&gt;60),$A2159&amp;"01 1",$A2159),IF(AND(LEN($A2159)=4,VALUE(RIGHT($A2159,2))&lt;60),GUS_tabl_2!$A$8:$B$464,GUS_tabl_21!$A$5:$B$4886),2,FALSE)),LEFT(TRIM(VLOOKUP(IF(AND(LEN($A2159)=4,VALUE(RIGHT($A2159,2))&gt;60),$A2159&amp;"01 1",$A2159),IF(AND(LEN($A2159)=4,VALUE(RIGHT($A2159,2))&lt;60),GUS_tabl_2!$A$8:$B$464,GUS_tabl_21!$A$5:$B$4886),2,FALSE)),SUM(FIND("..",TRIM(VLOOKUP(IF(AND(LEN($A2159)=4,VALUE(RIGHT($A2159,2))&gt;60),$A2159&amp;"01 1",$A2159),IF(AND(LEN($A2159)=4,VALUE(RIGHT($A2159,2))&lt;60),GUS_tabl_2!$A$8:$B$464,GUS_tabl_21!$A$5:$B$4886),2,FALSE))),-1)))))</f>
        <v>gm. m.-w. Krzepice</v>
      </c>
      <c r="D2159" s="141">
        <f>IF(OR($A2159="",ISERROR(VALUE(LEFT($A2159,6)))),"",IF(LEN($A2159)=2,SUMIF($A2160:$A$2965,$A2159&amp;"??",$D2160:$D$2965),IF(AND(LEN($A2159)=4,VALUE(RIGHT($A2159,2))&lt;=60),SUMIF($A2160:$A$2965,$A2159&amp;"????",$D2160:$D$2965),VLOOKUP(IF(LEN($A2159)=4,$A2159&amp;"01 1",$A2159),GUS_tabl_21!$A$5:$F$4886,6,FALSE))))</f>
        <v>9111</v>
      </c>
      <c r="E2159" s="29"/>
    </row>
    <row r="2160" spans="1:5" ht="12" customHeight="1">
      <c r="A2160" s="155" t="str">
        <f>"240603 2"</f>
        <v>240603 2</v>
      </c>
      <c r="B2160" s="153" t="s">
        <v>80</v>
      </c>
      <c r="C2160" s="156" t="str">
        <f>IF(OR($A2160="",ISERROR(VALUE(LEFT($A2160,6)))),"",IF(LEN($A2160)=2,"WOJ. ",IF(LEN($A2160)=4,IF(VALUE(RIGHT($A2160,2))&gt;60,"","Powiat "),IF(VALUE(RIGHT($A2160,1))=1,"m. ",IF(VALUE(RIGHT($A2160,1))=2,"gm. w. ",IF(VALUE(RIGHT($A2160,1))=8,"dz. ","gm. m.-w. ")))))&amp;IF(LEN($A2160)=2,TRIM(UPPER(VLOOKUP($A2160,GUS_tabl_1!$A$7:$B$22,2,FALSE))),IF(ISERROR(FIND("..",TRIM(VLOOKUP(IF(AND(LEN($A2160)=4,VALUE(RIGHT($A2160,2))&gt;60),$A2160&amp;"01 1",$A2160),IF(AND(LEN($A2160)=4,VALUE(RIGHT($A2160,2))&lt;60),GUS_tabl_2!$A$8:$B$464,GUS_tabl_21!$A$5:$B$4886),2,FALSE)))),TRIM(VLOOKUP(IF(AND(LEN($A2160)=4,VALUE(RIGHT($A2160,2))&gt;60),$A2160&amp;"01 1",$A2160),IF(AND(LEN($A2160)=4,VALUE(RIGHT($A2160,2))&lt;60),GUS_tabl_2!$A$8:$B$464,GUS_tabl_21!$A$5:$B$4886),2,FALSE)),LEFT(TRIM(VLOOKUP(IF(AND(LEN($A2160)=4,VALUE(RIGHT($A2160,2))&gt;60),$A2160&amp;"01 1",$A2160),IF(AND(LEN($A2160)=4,VALUE(RIGHT($A2160,2))&lt;60),GUS_tabl_2!$A$8:$B$464,GUS_tabl_21!$A$5:$B$4886),2,FALSE)),SUM(FIND("..",TRIM(VLOOKUP(IF(AND(LEN($A2160)=4,VALUE(RIGHT($A2160,2))&gt;60),$A2160&amp;"01 1",$A2160),IF(AND(LEN($A2160)=4,VALUE(RIGHT($A2160,2))&lt;60),GUS_tabl_2!$A$8:$B$464,GUS_tabl_21!$A$5:$B$4886),2,FALSE))),-1)))))</f>
        <v>gm. w. Lipie</v>
      </c>
      <c r="D2160" s="141">
        <f>IF(OR($A2160="",ISERROR(VALUE(LEFT($A2160,6)))),"",IF(LEN($A2160)=2,SUMIF($A2161:$A$2965,$A2160&amp;"??",$D2161:$D$2965),IF(AND(LEN($A2160)=4,VALUE(RIGHT($A2160,2))&lt;=60),SUMIF($A2161:$A$2965,$A2160&amp;"????",$D2161:$D$2965),VLOOKUP(IF(LEN($A2160)=4,$A2160&amp;"01 1",$A2160),GUS_tabl_21!$A$5:$F$4886,6,FALSE))))</f>
        <v>6224</v>
      </c>
      <c r="E2160" s="29"/>
    </row>
    <row r="2161" spans="1:5" ht="12" customHeight="1">
      <c r="A2161" s="155" t="str">
        <f>"240604 2"</f>
        <v>240604 2</v>
      </c>
      <c r="B2161" s="153" t="s">
        <v>80</v>
      </c>
      <c r="C2161" s="156" t="str">
        <f>IF(OR($A2161="",ISERROR(VALUE(LEFT($A2161,6)))),"",IF(LEN($A2161)=2,"WOJ. ",IF(LEN($A2161)=4,IF(VALUE(RIGHT($A2161,2))&gt;60,"","Powiat "),IF(VALUE(RIGHT($A2161,1))=1,"m. ",IF(VALUE(RIGHT($A2161,1))=2,"gm. w. ",IF(VALUE(RIGHT($A2161,1))=8,"dz. ","gm. m.-w. ")))))&amp;IF(LEN($A2161)=2,TRIM(UPPER(VLOOKUP($A2161,GUS_tabl_1!$A$7:$B$22,2,FALSE))),IF(ISERROR(FIND("..",TRIM(VLOOKUP(IF(AND(LEN($A2161)=4,VALUE(RIGHT($A2161,2))&gt;60),$A2161&amp;"01 1",$A2161),IF(AND(LEN($A2161)=4,VALUE(RIGHT($A2161,2))&lt;60),GUS_tabl_2!$A$8:$B$464,GUS_tabl_21!$A$5:$B$4886),2,FALSE)))),TRIM(VLOOKUP(IF(AND(LEN($A2161)=4,VALUE(RIGHT($A2161,2))&gt;60),$A2161&amp;"01 1",$A2161),IF(AND(LEN($A2161)=4,VALUE(RIGHT($A2161,2))&lt;60),GUS_tabl_2!$A$8:$B$464,GUS_tabl_21!$A$5:$B$4886),2,FALSE)),LEFT(TRIM(VLOOKUP(IF(AND(LEN($A2161)=4,VALUE(RIGHT($A2161,2))&gt;60),$A2161&amp;"01 1",$A2161),IF(AND(LEN($A2161)=4,VALUE(RIGHT($A2161,2))&lt;60),GUS_tabl_2!$A$8:$B$464,GUS_tabl_21!$A$5:$B$4886),2,FALSE)),SUM(FIND("..",TRIM(VLOOKUP(IF(AND(LEN($A2161)=4,VALUE(RIGHT($A2161,2))&gt;60),$A2161&amp;"01 1",$A2161),IF(AND(LEN($A2161)=4,VALUE(RIGHT($A2161,2))&lt;60),GUS_tabl_2!$A$8:$B$464,GUS_tabl_21!$A$5:$B$4886),2,FALSE))),-1)))))</f>
        <v>gm. w. Miedźno</v>
      </c>
      <c r="D2161" s="141">
        <f>IF(OR($A2161="",ISERROR(VALUE(LEFT($A2161,6)))),"",IF(LEN($A2161)=2,SUMIF($A2162:$A$2965,$A2161&amp;"??",$D2162:$D$2965),IF(AND(LEN($A2161)=4,VALUE(RIGHT($A2161,2))&lt;=60),SUMIF($A2162:$A$2965,$A2161&amp;"????",$D2162:$D$2965),VLOOKUP(IF(LEN($A2161)=4,$A2161&amp;"01 1",$A2161),GUS_tabl_21!$A$5:$F$4886,6,FALSE))))</f>
        <v>7548</v>
      </c>
      <c r="E2161" s="29"/>
    </row>
    <row r="2162" spans="1:5" ht="12" customHeight="1">
      <c r="A2162" s="155" t="str">
        <f>"240605 2"</f>
        <v>240605 2</v>
      </c>
      <c r="B2162" s="153" t="s">
        <v>80</v>
      </c>
      <c r="C2162" s="156" t="str">
        <f>IF(OR($A2162="",ISERROR(VALUE(LEFT($A2162,6)))),"",IF(LEN($A2162)=2,"WOJ. ",IF(LEN($A2162)=4,IF(VALUE(RIGHT($A2162,2))&gt;60,"","Powiat "),IF(VALUE(RIGHT($A2162,1))=1,"m. ",IF(VALUE(RIGHT($A2162,1))=2,"gm. w. ",IF(VALUE(RIGHT($A2162,1))=8,"dz. ","gm. m.-w. ")))))&amp;IF(LEN($A2162)=2,TRIM(UPPER(VLOOKUP($A2162,GUS_tabl_1!$A$7:$B$22,2,FALSE))),IF(ISERROR(FIND("..",TRIM(VLOOKUP(IF(AND(LEN($A2162)=4,VALUE(RIGHT($A2162,2))&gt;60),$A2162&amp;"01 1",$A2162),IF(AND(LEN($A2162)=4,VALUE(RIGHT($A2162,2))&lt;60),GUS_tabl_2!$A$8:$B$464,GUS_tabl_21!$A$5:$B$4886),2,FALSE)))),TRIM(VLOOKUP(IF(AND(LEN($A2162)=4,VALUE(RIGHT($A2162,2))&gt;60),$A2162&amp;"01 1",$A2162),IF(AND(LEN($A2162)=4,VALUE(RIGHT($A2162,2))&lt;60),GUS_tabl_2!$A$8:$B$464,GUS_tabl_21!$A$5:$B$4886),2,FALSE)),LEFT(TRIM(VLOOKUP(IF(AND(LEN($A2162)=4,VALUE(RIGHT($A2162,2))&gt;60),$A2162&amp;"01 1",$A2162),IF(AND(LEN($A2162)=4,VALUE(RIGHT($A2162,2))&lt;60),GUS_tabl_2!$A$8:$B$464,GUS_tabl_21!$A$5:$B$4886),2,FALSE)),SUM(FIND("..",TRIM(VLOOKUP(IF(AND(LEN($A2162)=4,VALUE(RIGHT($A2162,2))&gt;60),$A2162&amp;"01 1",$A2162),IF(AND(LEN($A2162)=4,VALUE(RIGHT($A2162,2))&lt;60),GUS_tabl_2!$A$8:$B$464,GUS_tabl_21!$A$5:$B$4886),2,FALSE))),-1)))))</f>
        <v>gm. w. Opatów</v>
      </c>
      <c r="D2162" s="141">
        <f>IF(OR($A2162="",ISERROR(VALUE(LEFT($A2162,6)))),"",IF(LEN($A2162)=2,SUMIF($A2163:$A$2965,$A2162&amp;"??",$D2163:$D$2965),IF(AND(LEN($A2162)=4,VALUE(RIGHT($A2162,2))&lt;=60),SUMIF($A2163:$A$2965,$A2162&amp;"????",$D2163:$D$2965),VLOOKUP(IF(LEN($A2162)=4,$A2162&amp;"01 1",$A2162),GUS_tabl_21!$A$5:$F$4886,6,FALSE))))</f>
        <v>6818</v>
      </c>
      <c r="E2162" s="29"/>
    </row>
    <row r="2163" spans="1:5" ht="12" customHeight="1">
      <c r="A2163" s="155" t="str">
        <f>"240606 2"</f>
        <v>240606 2</v>
      </c>
      <c r="B2163" s="153" t="s">
        <v>80</v>
      </c>
      <c r="C2163" s="156" t="str">
        <f>IF(OR($A2163="",ISERROR(VALUE(LEFT($A2163,6)))),"",IF(LEN($A2163)=2,"WOJ. ",IF(LEN($A2163)=4,IF(VALUE(RIGHT($A2163,2))&gt;60,"","Powiat "),IF(VALUE(RIGHT($A2163,1))=1,"m. ",IF(VALUE(RIGHT($A2163,1))=2,"gm. w. ",IF(VALUE(RIGHT($A2163,1))=8,"dz. ","gm. m.-w. ")))))&amp;IF(LEN($A2163)=2,TRIM(UPPER(VLOOKUP($A2163,GUS_tabl_1!$A$7:$B$22,2,FALSE))),IF(ISERROR(FIND("..",TRIM(VLOOKUP(IF(AND(LEN($A2163)=4,VALUE(RIGHT($A2163,2))&gt;60),$A2163&amp;"01 1",$A2163),IF(AND(LEN($A2163)=4,VALUE(RIGHT($A2163,2))&lt;60),GUS_tabl_2!$A$8:$B$464,GUS_tabl_21!$A$5:$B$4886),2,FALSE)))),TRIM(VLOOKUP(IF(AND(LEN($A2163)=4,VALUE(RIGHT($A2163,2))&gt;60),$A2163&amp;"01 1",$A2163),IF(AND(LEN($A2163)=4,VALUE(RIGHT($A2163,2))&lt;60),GUS_tabl_2!$A$8:$B$464,GUS_tabl_21!$A$5:$B$4886),2,FALSE)),LEFT(TRIM(VLOOKUP(IF(AND(LEN($A2163)=4,VALUE(RIGHT($A2163,2))&gt;60),$A2163&amp;"01 1",$A2163),IF(AND(LEN($A2163)=4,VALUE(RIGHT($A2163,2))&lt;60),GUS_tabl_2!$A$8:$B$464,GUS_tabl_21!$A$5:$B$4886),2,FALSE)),SUM(FIND("..",TRIM(VLOOKUP(IF(AND(LEN($A2163)=4,VALUE(RIGHT($A2163,2))&gt;60),$A2163&amp;"01 1",$A2163),IF(AND(LEN($A2163)=4,VALUE(RIGHT($A2163,2))&lt;60),GUS_tabl_2!$A$8:$B$464,GUS_tabl_21!$A$5:$B$4886),2,FALSE))),-1)))))</f>
        <v>gm. w. Panki</v>
      </c>
      <c r="D2163" s="141">
        <f>IF(OR($A2163="",ISERROR(VALUE(LEFT($A2163,6)))),"",IF(LEN($A2163)=2,SUMIF($A2164:$A$2965,$A2163&amp;"??",$D2164:$D$2965),IF(AND(LEN($A2163)=4,VALUE(RIGHT($A2163,2))&lt;=60),SUMIF($A2164:$A$2965,$A2163&amp;"????",$D2164:$D$2965),VLOOKUP(IF(LEN($A2163)=4,$A2163&amp;"01 1",$A2163),GUS_tabl_21!$A$5:$F$4886,6,FALSE))))</f>
        <v>5039</v>
      </c>
      <c r="E2163" s="29"/>
    </row>
    <row r="2164" spans="1:5" ht="12" customHeight="1">
      <c r="A2164" s="155" t="str">
        <f>"240607 2"</f>
        <v>240607 2</v>
      </c>
      <c r="B2164" s="153" t="s">
        <v>80</v>
      </c>
      <c r="C2164" s="156" t="str">
        <f>IF(OR($A2164="",ISERROR(VALUE(LEFT($A2164,6)))),"",IF(LEN($A2164)=2,"WOJ. ",IF(LEN($A2164)=4,IF(VALUE(RIGHT($A2164,2))&gt;60,"","Powiat "),IF(VALUE(RIGHT($A2164,1))=1,"m. ",IF(VALUE(RIGHT($A2164,1))=2,"gm. w. ",IF(VALUE(RIGHT($A2164,1))=8,"dz. ","gm. m.-w. ")))))&amp;IF(LEN($A2164)=2,TRIM(UPPER(VLOOKUP($A2164,GUS_tabl_1!$A$7:$B$22,2,FALSE))),IF(ISERROR(FIND("..",TRIM(VLOOKUP(IF(AND(LEN($A2164)=4,VALUE(RIGHT($A2164,2))&gt;60),$A2164&amp;"01 1",$A2164),IF(AND(LEN($A2164)=4,VALUE(RIGHT($A2164,2))&lt;60),GUS_tabl_2!$A$8:$B$464,GUS_tabl_21!$A$5:$B$4886),2,FALSE)))),TRIM(VLOOKUP(IF(AND(LEN($A2164)=4,VALUE(RIGHT($A2164,2))&gt;60),$A2164&amp;"01 1",$A2164),IF(AND(LEN($A2164)=4,VALUE(RIGHT($A2164,2))&lt;60),GUS_tabl_2!$A$8:$B$464,GUS_tabl_21!$A$5:$B$4886),2,FALSE)),LEFT(TRIM(VLOOKUP(IF(AND(LEN($A2164)=4,VALUE(RIGHT($A2164,2))&gt;60),$A2164&amp;"01 1",$A2164),IF(AND(LEN($A2164)=4,VALUE(RIGHT($A2164,2))&lt;60),GUS_tabl_2!$A$8:$B$464,GUS_tabl_21!$A$5:$B$4886),2,FALSE)),SUM(FIND("..",TRIM(VLOOKUP(IF(AND(LEN($A2164)=4,VALUE(RIGHT($A2164,2))&gt;60),$A2164&amp;"01 1",$A2164),IF(AND(LEN($A2164)=4,VALUE(RIGHT($A2164,2))&lt;60),GUS_tabl_2!$A$8:$B$464,GUS_tabl_21!$A$5:$B$4886),2,FALSE))),-1)))))</f>
        <v>gm. w. Popów</v>
      </c>
      <c r="D2164" s="141">
        <f>IF(OR($A2164="",ISERROR(VALUE(LEFT($A2164,6)))),"",IF(LEN($A2164)=2,SUMIF($A2165:$A$2965,$A2164&amp;"??",$D2165:$D$2965),IF(AND(LEN($A2164)=4,VALUE(RIGHT($A2164,2))&lt;=60),SUMIF($A2165:$A$2965,$A2164&amp;"????",$D2165:$D$2965),VLOOKUP(IF(LEN($A2164)=4,$A2164&amp;"01 1",$A2164),GUS_tabl_21!$A$5:$F$4886,6,FALSE))))</f>
        <v>5874</v>
      </c>
      <c r="E2164" s="29"/>
    </row>
    <row r="2165" spans="1:5" ht="12" customHeight="1">
      <c r="A2165" s="155" t="str">
        <f>"240608 2"</f>
        <v>240608 2</v>
      </c>
      <c r="B2165" s="153" t="s">
        <v>80</v>
      </c>
      <c r="C2165" s="156" t="str">
        <f>IF(OR($A2165="",ISERROR(VALUE(LEFT($A2165,6)))),"",IF(LEN($A2165)=2,"WOJ. ",IF(LEN($A2165)=4,IF(VALUE(RIGHT($A2165,2))&gt;60,"","Powiat "),IF(VALUE(RIGHT($A2165,1))=1,"m. ",IF(VALUE(RIGHT($A2165,1))=2,"gm. w. ",IF(VALUE(RIGHT($A2165,1))=8,"dz. ","gm. m.-w. ")))))&amp;IF(LEN($A2165)=2,TRIM(UPPER(VLOOKUP($A2165,GUS_tabl_1!$A$7:$B$22,2,FALSE))),IF(ISERROR(FIND("..",TRIM(VLOOKUP(IF(AND(LEN($A2165)=4,VALUE(RIGHT($A2165,2))&gt;60),$A2165&amp;"01 1",$A2165),IF(AND(LEN($A2165)=4,VALUE(RIGHT($A2165,2))&lt;60),GUS_tabl_2!$A$8:$B$464,GUS_tabl_21!$A$5:$B$4886),2,FALSE)))),TRIM(VLOOKUP(IF(AND(LEN($A2165)=4,VALUE(RIGHT($A2165,2))&gt;60),$A2165&amp;"01 1",$A2165),IF(AND(LEN($A2165)=4,VALUE(RIGHT($A2165,2))&lt;60),GUS_tabl_2!$A$8:$B$464,GUS_tabl_21!$A$5:$B$4886),2,FALSE)),LEFT(TRIM(VLOOKUP(IF(AND(LEN($A2165)=4,VALUE(RIGHT($A2165,2))&gt;60),$A2165&amp;"01 1",$A2165),IF(AND(LEN($A2165)=4,VALUE(RIGHT($A2165,2))&lt;60),GUS_tabl_2!$A$8:$B$464,GUS_tabl_21!$A$5:$B$4886),2,FALSE)),SUM(FIND("..",TRIM(VLOOKUP(IF(AND(LEN($A2165)=4,VALUE(RIGHT($A2165,2))&gt;60),$A2165&amp;"01 1",$A2165),IF(AND(LEN($A2165)=4,VALUE(RIGHT($A2165,2))&lt;60),GUS_tabl_2!$A$8:$B$464,GUS_tabl_21!$A$5:$B$4886),2,FALSE))),-1)))))</f>
        <v>gm. w. Przystajń</v>
      </c>
      <c r="D2165" s="141">
        <f>IF(OR($A2165="",ISERROR(VALUE(LEFT($A2165,6)))),"",IF(LEN($A2165)=2,SUMIF($A2166:$A$2965,$A2165&amp;"??",$D2166:$D$2965),IF(AND(LEN($A2165)=4,VALUE(RIGHT($A2165,2))&lt;=60),SUMIF($A2166:$A$2965,$A2165&amp;"????",$D2166:$D$2965),VLOOKUP(IF(LEN($A2165)=4,$A2165&amp;"01 1",$A2165),GUS_tabl_21!$A$5:$F$4886,6,FALSE))))</f>
        <v>5876</v>
      </c>
      <c r="E2165" s="29"/>
    </row>
    <row r="2166" spans="1:5" ht="12" customHeight="1">
      <c r="A2166" s="155" t="str">
        <f>"240609 2"</f>
        <v>240609 2</v>
      </c>
      <c r="B2166" s="153" t="s">
        <v>80</v>
      </c>
      <c r="C2166" s="156" t="str">
        <f>IF(OR($A2166="",ISERROR(VALUE(LEFT($A2166,6)))),"",IF(LEN($A2166)=2,"WOJ. ",IF(LEN($A2166)=4,IF(VALUE(RIGHT($A2166,2))&gt;60,"","Powiat "),IF(VALUE(RIGHT($A2166,1))=1,"m. ",IF(VALUE(RIGHT($A2166,1))=2,"gm. w. ",IF(VALUE(RIGHT($A2166,1))=8,"dz. ","gm. m.-w. ")))))&amp;IF(LEN($A2166)=2,TRIM(UPPER(VLOOKUP($A2166,GUS_tabl_1!$A$7:$B$22,2,FALSE))),IF(ISERROR(FIND("..",TRIM(VLOOKUP(IF(AND(LEN($A2166)=4,VALUE(RIGHT($A2166,2))&gt;60),$A2166&amp;"01 1",$A2166),IF(AND(LEN($A2166)=4,VALUE(RIGHT($A2166,2))&lt;60),GUS_tabl_2!$A$8:$B$464,GUS_tabl_21!$A$5:$B$4886),2,FALSE)))),TRIM(VLOOKUP(IF(AND(LEN($A2166)=4,VALUE(RIGHT($A2166,2))&gt;60),$A2166&amp;"01 1",$A2166),IF(AND(LEN($A2166)=4,VALUE(RIGHT($A2166,2))&lt;60),GUS_tabl_2!$A$8:$B$464,GUS_tabl_21!$A$5:$B$4886),2,FALSE)),LEFT(TRIM(VLOOKUP(IF(AND(LEN($A2166)=4,VALUE(RIGHT($A2166,2))&gt;60),$A2166&amp;"01 1",$A2166),IF(AND(LEN($A2166)=4,VALUE(RIGHT($A2166,2))&lt;60),GUS_tabl_2!$A$8:$B$464,GUS_tabl_21!$A$5:$B$4886),2,FALSE)),SUM(FIND("..",TRIM(VLOOKUP(IF(AND(LEN($A2166)=4,VALUE(RIGHT($A2166,2))&gt;60),$A2166&amp;"01 1",$A2166),IF(AND(LEN($A2166)=4,VALUE(RIGHT($A2166,2))&lt;60),GUS_tabl_2!$A$8:$B$464,GUS_tabl_21!$A$5:$B$4886),2,FALSE))),-1)))))</f>
        <v>gm. w. Wręczyca Wielka</v>
      </c>
      <c r="D2166" s="141">
        <f>IF(OR($A2166="",ISERROR(VALUE(LEFT($A2166,6)))),"",IF(LEN($A2166)=2,SUMIF($A2167:$A$2965,$A2166&amp;"??",$D2167:$D$2965),IF(AND(LEN($A2166)=4,VALUE(RIGHT($A2166,2))&lt;=60),SUMIF($A2167:$A$2965,$A2166&amp;"????",$D2167:$D$2965),VLOOKUP(IF(LEN($A2166)=4,$A2166&amp;"01 1",$A2166),GUS_tabl_21!$A$5:$F$4886,6,FALSE))))</f>
        <v>17774</v>
      </c>
      <c r="E2166" s="29"/>
    </row>
    <row r="2167" spans="1:5" ht="12" customHeight="1">
      <c r="A2167" s="152" t="str">
        <f>"2407"</f>
        <v>2407</v>
      </c>
      <c r="B2167" s="153" t="s">
        <v>80</v>
      </c>
      <c r="C2167" s="154" t="str">
        <f>IF(OR($A2167="",ISERROR(VALUE(LEFT($A2167,6)))),"",IF(LEN($A2167)=2,"WOJ. ",IF(LEN($A2167)=4,IF(VALUE(RIGHT($A2167,2))&gt;60,"","Powiat "),IF(VALUE(RIGHT($A2167,1))=1,"m. ",IF(VALUE(RIGHT($A2167,1))=2,"gm. w. ",IF(VALUE(RIGHT($A2167,1))=8,"dz. ","gm. m.-w. ")))))&amp;IF(LEN($A2167)=2,TRIM(UPPER(VLOOKUP($A2167,GUS_tabl_1!$A$7:$B$22,2,FALSE))),IF(ISERROR(FIND("..",TRIM(VLOOKUP(IF(AND(LEN($A2167)=4,VALUE(RIGHT($A2167,2))&gt;60),$A2167&amp;"01 1",$A2167),IF(AND(LEN($A2167)=4,VALUE(RIGHT($A2167,2))&lt;60),GUS_tabl_2!$A$8:$B$464,GUS_tabl_21!$A$5:$B$4886),2,FALSE)))),TRIM(VLOOKUP(IF(AND(LEN($A2167)=4,VALUE(RIGHT($A2167,2))&gt;60),$A2167&amp;"01 1",$A2167),IF(AND(LEN($A2167)=4,VALUE(RIGHT($A2167,2))&lt;60),GUS_tabl_2!$A$8:$B$464,GUS_tabl_21!$A$5:$B$4886),2,FALSE)),LEFT(TRIM(VLOOKUP(IF(AND(LEN($A2167)=4,VALUE(RIGHT($A2167,2))&gt;60),$A2167&amp;"01 1",$A2167),IF(AND(LEN($A2167)=4,VALUE(RIGHT($A2167,2))&lt;60),GUS_tabl_2!$A$8:$B$464,GUS_tabl_21!$A$5:$B$4886),2,FALSE)),SUM(FIND("..",TRIM(VLOOKUP(IF(AND(LEN($A2167)=4,VALUE(RIGHT($A2167,2))&gt;60),$A2167&amp;"01 1",$A2167),IF(AND(LEN($A2167)=4,VALUE(RIGHT($A2167,2))&lt;60),GUS_tabl_2!$A$8:$B$464,GUS_tabl_21!$A$5:$B$4886),2,FALSE))),-1)))))</f>
        <v>Powiat lubliniecki</v>
      </c>
      <c r="D2167" s="140">
        <f>IF(OR($A2167="",ISERROR(VALUE(LEFT($A2167,6)))),"",IF(LEN($A2167)=2,SUMIF($A2168:$A$2965,$A2167&amp;"??",$D2168:$D$2965),IF(AND(LEN($A2167)=4,VALUE(RIGHT($A2167,2))&lt;=60),SUMIF($A2168:$A$2965,$A2167&amp;"????",$D2168:$D$2965),VLOOKUP(IF(LEN($A2167)=4,$A2167&amp;"01 1",$A2167),GUS_tabl_21!$A$5:$F$4886,6,FALSE))))</f>
        <v>76451</v>
      </c>
      <c r="E2167" s="29"/>
    </row>
    <row r="2168" spans="1:5" ht="12" customHeight="1">
      <c r="A2168" s="155" t="str">
        <f>"240701 1"</f>
        <v>240701 1</v>
      </c>
      <c r="B2168" s="153" t="s">
        <v>80</v>
      </c>
      <c r="C2168" s="156" t="str">
        <f>IF(OR($A2168="",ISERROR(VALUE(LEFT($A2168,6)))),"",IF(LEN($A2168)=2,"WOJ. ",IF(LEN($A2168)=4,IF(VALUE(RIGHT($A2168,2))&gt;60,"","Powiat "),IF(VALUE(RIGHT($A2168,1))=1,"m. ",IF(VALUE(RIGHT($A2168,1))=2,"gm. w. ",IF(VALUE(RIGHT($A2168,1))=8,"dz. ","gm. m.-w. ")))))&amp;IF(LEN($A2168)=2,TRIM(UPPER(VLOOKUP($A2168,GUS_tabl_1!$A$7:$B$22,2,FALSE))),IF(ISERROR(FIND("..",TRIM(VLOOKUP(IF(AND(LEN($A2168)=4,VALUE(RIGHT($A2168,2))&gt;60),$A2168&amp;"01 1",$A2168),IF(AND(LEN($A2168)=4,VALUE(RIGHT($A2168,2))&lt;60),GUS_tabl_2!$A$8:$B$464,GUS_tabl_21!$A$5:$B$4886),2,FALSE)))),TRIM(VLOOKUP(IF(AND(LEN($A2168)=4,VALUE(RIGHT($A2168,2))&gt;60),$A2168&amp;"01 1",$A2168),IF(AND(LEN($A2168)=4,VALUE(RIGHT($A2168,2))&lt;60),GUS_tabl_2!$A$8:$B$464,GUS_tabl_21!$A$5:$B$4886),2,FALSE)),LEFT(TRIM(VLOOKUP(IF(AND(LEN($A2168)=4,VALUE(RIGHT($A2168,2))&gt;60),$A2168&amp;"01 1",$A2168),IF(AND(LEN($A2168)=4,VALUE(RIGHT($A2168,2))&lt;60),GUS_tabl_2!$A$8:$B$464,GUS_tabl_21!$A$5:$B$4886),2,FALSE)),SUM(FIND("..",TRIM(VLOOKUP(IF(AND(LEN($A2168)=4,VALUE(RIGHT($A2168,2))&gt;60),$A2168&amp;"01 1",$A2168),IF(AND(LEN($A2168)=4,VALUE(RIGHT($A2168,2))&lt;60),GUS_tabl_2!$A$8:$B$464,GUS_tabl_21!$A$5:$B$4886),2,FALSE))),-1)))))</f>
        <v>m. Lubliniec</v>
      </c>
      <c r="D2168" s="141">
        <f>IF(OR($A2168="",ISERROR(VALUE(LEFT($A2168,6)))),"",IF(LEN($A2168)=2,SUMIF($A2169:$A$2965,$A2168&amp;"??",$D2169:$D$2965),IF(AND(LEN($A2168)=4,VALUE(RIGHT($A2168,2))&lt;=60),SUMIF($A2169:$A$2965,$A2168&amp;"????",$D2169:$D$2965),VLOOKUP(IF(LEN($A2168)=4,$A2168&amp;"01 1",$A2168),GUS_tabl_21!$A$5:$F$4886,6,FALSE))))</f>
        <v>23757</v>
      </c>
      <c r="E2168" s="29"/>
    </row>
    <row r="2169" spans="1:5" ht="12" customHeight="1">
      <c r="A2169" s="155" t="str">
        <f>"240702 2"</f>
        <v>240702 2</v>
      </c>
      <c r="B2169" s="153" t="s">
        <v>80</v>
      </c>
      <c r="C2169" s="156" t="str">
        <f>IF(OR($A2169="",ISERROR(VALUE(LEFT($A2169,6)))),"",IF(LEN($A2169)=2,"WOJ. ",IF(LEN($A2169)=4,IF(VALUE(RIGHT($A2169,2))&gt;60,"","Powiat "),IF(VALUE(RIGHT($A2169,1))=1,"m. ",IF(VALUE(RIGHT($A2169,1))=2,"gm. w. ",IF(VALUE(RIGHT($A2169,1))=8,"dz. ","gm. m.-w. ")))))&amp;IF(LEN($A2169)=2,TRIM(UPPER(VLOOKUP($A2169,GUS_tabl_1!$A$7:$B$22,2,FALSE))),IF(ISERROR(FIND("..",TRIM(VLOOKUP(IF(AND(LEN($A2169)=4,VALUE(RIGHT($A2169,2))&gt;60),$A2169&amp;"01 1",$A2169),IF(AND(LEN($A2169)=4,VALUE(RIGHT($A2169,2))&lt;60),GUS_tabl_2!$A$8:$B$464,GUS_tabl_21!$A$5:$B$4886),2,FALSE)))),TRIM(VLOOKUP(IF(AND(LEN($A2169)=4,VALUE(RIGHT($A2169,2))&gt;60),$A2169&amp;"01 1",$A2169),IF(AND(LEN($A2169)=4,VALUE(RIGHT($A2169,2))&lt;60),GUS_tabl_2!$A$8:$B$464,GUS_tabl_21!$A$5:$B$4886),2,FALSE)),LEFT(TRIM(VLOOKUP(IF(AND(LEN($A2169)=4,VALUE(RIGHT($A2169,2))&gt;60),$A2169&amp;"01 1",$A2169),IF(AND(LEN($A2169)=4,VALUE(RIGHT($A2169,2))&lt;60),GUS_tabl_2!$A$8:$B$464,GUS_tabl_21!$A$5:$B$4886),2,FALSE)),SUM(FIND("..",TRIM(VLOOKUP(IF(AND(LEN($A2169)=4,VALUE(RIGHT($A2169,2))&gt;60),$A2169&amp;"01 1",$A2169),IF(AND(LEN($A2169)=4,VALUE(RIGHT($A2169,2))&lt;60),GUS_tabl_2!$A$8:$B$464,GUS_tabl_21!$A$5:$B$4886),2,FALSE))),-1)))))</f>
        <v>gm. w. Boronów</v>
      </c>
      <c r="D2169" s="141">
        <f>IF(OR($A2169="",ISERROR(VALUE(LEFT($A2169,6)))),"",IF(LEN($A2169)=2,SUMIF($A2170:$A$2965,$A2169&amp;"??",$D2170:$D$2965),IF(AND(LEN($A2169)=4,VALUE(RIGHT($A2169,2))&lt;=60),SUMIF($A2170:$A$2965,$A2169&amp;"????",$D2170:$D$2965),VLOOKUP(IF(LEN($A2169)=4,$A2169&amp;"01 1",$A2169),GUS_tabl_21!$A$5:$F$4886,6,FALSE))))</f>
        <v>3436</v>
      </c>
      <c r="E2169" s="29"/>
    </row>
    <row r="2170" spans="1:5" ht="12" customHeight="1">
      <c r="A2170" s="155" t="str">
        <f>"240703 2"</f>
        <v>240703 2</v>
      </c>
      <c r="B2170" s="153" t="s">
        <v>80</v>
      </c>
      <c r="C2170" s="156" t="str">
        <f>IF(OR($A2170="",ISERROR(VALUE(LEFT($A2170,6)))),"",IF(LEN($A2170)=2,"WOJ. ",IF(LEN($A2170)=4,IF(VALUE(RIGHT($A2170,2))&gt;60,"","Powiat "),IF(VALUE(RIGHT($A2170,1))=1,"m. ",IF(VALUE(RIGHT($A2170,1))=2,"gm. w. ",IF(VALUE(RIGHT($A2170,1))=8,"dz. ","gm. m.-w. ")))))&amp;IF(LEN($A2170)=2,TRIM(UPPER(VLOOKUP($A2170,GUS_tabl_1!$A$7:$B$22,2,FALSE))),IF(ISERROR(FIND("..",TRIM(VLOOKUP(IF(AND(LEN($A2170)=4,VALUE(RIGHT($A2170,2))&gt;60),$A2170&amp;"01 1",$A2170),IF(AND(LEN($A2170)=4,VALUE(RIGHT($A2170,2))&lt;60),GUS_tabl_2!$A$8:$B$464,GUS_tabl_21!$A$5:$B$4886),2,FALSE)))),TRIM(VLOOKUP(IF(AND(LEN($A2170)=4,VALUE(RIGHT($A2170,2))&gt;60),$A2170&amp;"01 1",$A2170),IF(AND(LEN($A2170)=4,VALUE(RIGHT($A2170,2))&lt;60),GUS_tabl_2!$A$8:$B$464,GUS_tabl_21!$A$5:$B$4886),2,FALSE)),LEFT(TRIM(VLOOKUP(IF(AND(LEN($A2170)=4,VALUE(RIGHT($A2170,2))&gt;60),$A2170&amp;"01 1",$A2170),IF(AND(LEN($A2170)=4,VALUE(RIGHT($A2170,2))&lt;60),GUS_tabl_2!$A$8:$B$464,GUS_tabl_21!$A$5:$B$4886),2,FALSE)),SUM(FIND("..",TRIM(VLOOKUP(IF(AND(LEN($A2170)=4,VALUE(RIGHT($A2170,2))&gt;60),$A2170&amp;"01 1",$A2170),IF(AND(LEN($A2170)=4,VALUE(RIGHT($A2170,2))&lt;60),GUS_tabl_2!$A$8:$B$464,GUS_tabl_21!$A$5:$B$4886),2,FALSE))),-1)))))</f>
        <v>gm. w. Ciasna</v>
      </c>
      <c r="D2170" s="141">
        <f>IF(OR($A2170="",ISERROR(VALUE(LEFT($A2170,6)))),"",IF(LEN($A2170)=2,SUMIF($A2171:$A$2965,$A2170&amp;"??",$D2171:$D$2965),IF(AND(LEN($A2170)=4,VALUE(RIGHT($A2170,2))&lt;=60),SUMIF($A2171:$A$2965,$A2170&amp;"????",$D2171:$D$2965),VLOOKUP(IF(LEN($A2170)=4,$A2170&amp;"01 1",$A2170),GUS_tabl_21!$A$5:$F$4886,6,FALSE))))</f>
        <v>7454</v>
      </c>
      <c r="E2170" s="29"/>
    </row>
    <row r="2171" spans="1:5" ht="12" customHeight="1">
      <c r="A2171" s="155" t="str">
        <f>"240704 2"</f>
        <v>240704 2</v>
      </c>
      <c r="B2171" s="153" t="s">
        <v>80</v>
      </c>
      <c r="C2171" s="156" t="str">
        <f>IF(OR($A2171="",ISERROR(VALUE(LEFT($A2171,6)))),"",IF(LEN($A2171)=2,"WOJ. ",IF(LEN($A2171)=4,IF(VALUE(RIGHT($A2171,2))&gt;60,"","Powiat "),IF(VALUE(RIGHT($A2171,1))=1,"m. ",IF(VALUE(RIGHT($A2171,1))=2,"gm. w. ",IF(VALUE(RIGHT($A2171,1))=8,"dz. ","gm. m.-w. ")))))&amp;IF(LEN($A2171)=2,TRIM(UPPER(VLOOKUP($A2171,GUS_tabl_1!$A$7:$B$22,2,FALSE))),IF(ISERROR(FIND("..",TRIM(VLOOKUP(IF(AND(LEN($A2171)=4,VALUE(RIGHT($A2171,2))&gt;60),$A2171&amp;"01 1",$A2171),IF(AND(LEN($A2171)=4,VALUE(RIGHT($A2171,2))&lt;60),GUS_tabl_2!$A$8:$B$464,GUS_tabl_21!$A$5:$B$4886),2,FALSE)))),TRIM(VLOOKUP(IF(AND(LEN($A2171)=4,VALUE(RIGHT($A2171,2))&gt;60),$A2171&amp;"01 1",$A2171),IF(AND(LEN($A2171)=4,VALUE(RIGHT($A2171,2))&lt;60),GUS_tabl_2!$A$8:$B$464,GUS_tabl_21!$A$5:$B$4886),2,FALSE)),LEFT(TRIM(VLOOKUP(IF(AND(LEN($A2171)=4,VALUE(RIGHT($A2171,2))&gt;60),$A2171&amp;"01 1",$A2171),IF(AND(LEN($A2171)=4,VALUE(RIGHT($A2171,2))&lt;60),GUS_tabl_2!$A$8:$B$464,GUS_tabl_21!$A$5:$B$4886),2,FALSE)),SUM(FIND("..",TRIM(VLOOKUP(IF(AND(LEN($A2171)=4,VALUE(RIGHT($A2171,2))&gt;60),$A2171&amp;"01 1",$A2171),IF(AND(LEN($A2171)=4,VALUE(RIGHT($A2171,2))&lt;60),GUS_tabl_2!$A$8:$B$464,GUS_tabl_21!$A$5:$B$4886),2,FALSE))),-1)))))</f>
        <v>gm. w. Herby</v>
      </c>
      <c r="D2171" s="141">
        <f>IF(OR($A2171="",ISERROR(VALUE(LEFT($A2171,6)))),"",IF(LEN($A2171)=2,SUMIF($A2172:$A$2965,$A2171&amp;"??",$D2172:$D$2965),IF(AND(LEN($A2171)=4,VALUE(RIGHT($A2171,2))&lt;=60),SUMIF($A2172:$A$2965,$A2171&amp;"????",$D2172:$D$2965),VLOOKUP(IF(LEN($A2171)=4,$A2171&amp;"01 1",$A2171),GUS_tabl_21!$A$5:$F$4886,6,FALSE))))</f>
        <v>6797</v>
      </c>
      <c r="E2171" s="29"/>
    </row>
    <row r="2172" spans="1:5" ht="12" customHeight="1">
      <c r="A2172" s="155" t="str">
        <f>"240705 2"</f>
        <v>240705 2</v>
      </c>
      <c r="B2172" s="153" t="s">
        <v>80</v>
      </c>
      <c r="C2172" s="156" t="str">
        <f>IF(OR($A2172="",ISERROR(VALUE(LEFT($A2172,6)))),"",IF(LEN($A2172)=2,"WOJ. ",IF(LEN($A2172)=4,IF(VALUE(RIGHT($A2172,2))&gt;60,"","Powiat "),IF(VALUE(RIGHT($A2172,1))=1,"m. ",IF(VALUE(RIGHT($A2172,1))=2,"gm. w. ",IF(VALUE(RIGHT($A2172,1))=8,"dz. ","gm. m.-w. ")))))&amp;IF(LEN($A2172)=2,TRIM(UPPER(VLOOKUP($A2172,GUS_tabl_1!$A$7:$B$22,2,FALSE))),IF(ISERROR(FIND("..",TRIM(VLOOKUP(IF(AND(LEN($A2172)=4,VALUE(RIGHT($A2172,2))&gt;60),$A2172&amp;"01 1",$A2172),IF(AND(LEN($A2172)=4,VALUE(RIGHT($A2172,2))&lt;60),GUS_tabl_2!$A$8:$B$464,GUS_tabl_21!$A$5:$B$4886),2,FALSE)))),TRIM(VLOOKUP(IF(AND(LEN($A2172)=4,VALUE(RIGHT($A2172,2))&gt;60),$A2172&amp;"01 1",$A2172),IF(AND(LEN($A2172)=4,VALUE(RIGHT($A2172,2))&lt;60),GUS_tabl_2!$A$8:$B$464,GUS_tabl_21!$A$5:$B$4886),2,FALSE)),LEFT(TRIM(VLOOKUP(IF(AND(LEN($A2172)=4,VALUE(RIGHT($A2172,2))&gt;60),$A2172&amp;"01 1",$A2172),IF(AND(LEN($A2172)=4,VALUE(RIGHT($A2172,2))&lt;60),GUS_tabl_2!$A$8:$B$464,GUS_tabl_21!$A$5:$B$4886),2,FALSE)),SUM(FIND("..",TRIM(VLOOKUP(IF(AND(LEN($A2172)=4,VALUE(RIGHT($A2172,2))&gt;60),$A2172&amp;"01 1",$A2172),IF(AND(LEN($A2172)=4,VALUE(RIGHT($A2172,2))&lt;60),GUS_tabl_2!$A$8:$B$464,GUS_tabl_21!$A$5:$B$4886),2,FALSE))),-1)))))</f>
        <v>gm. w. Kochanowice</v>
      </c>
      <c r="D2172" s="141">
        <f>IF(OR($A2172="",ISERROR(VALUE(LEFT($A2172,6)))),"",IF(LEN($A2172)=2,SUMIF($A2173:$A$2965,$A2172&amp;"??",$D2173:$D$2965),IF(AND(LEN($A2172)=4,VALUE(RIGHT($A2172,2))&lt;=60),SUMIF($A2173:$A$2965,$A2172&amp;"????",$D2173:$D$2965),VLOOKUP(IF(LEN($A2172)=4,$A2172&amp;"01 1",$A2172),GUS_tabl_21!$A$5:$F$4886,6,FALSE))))</f>
        <v>6938</v>
      </c>
      <c r="E2172" s="29"/>
    </row>
    <row r="2173" spans="1:5" ht="12" customHeight="1">
      <c r="A2173" s="155" t="str">
        <f>"240706 2"</f>
        <v>240706 2</v>
      </c>
      <c r="B2173" s="153" t="s">
        <v>80</v>
      </c>
      <c r="C2173" s="156" t="str">
        <f>IF(OR($A2173="",ISERROR(VALUE(LEFT($A2173,6)))),"",IF(LEN($A2173)=2,"WOJ. ",IF(LEN($A2173)=4,IF(VALUE(RIGHT($A2173,2))&gt;60,"","Powiat "),IF(VALUE(RIGHT($A2173,1))=1,"m. ",IF(VALUE(RIGHT($A2173,1))=2,"gm. w. ",IF(VALUE(RIGHT($A2173,1))=8,"dz. ","gm. m.-w. ")))))&amp;IF(LEN($A2173)=2,TRIM(UPPER(VLOOKUP($A2173,GUS_tabl_1!$A$7:$B$22,2,FALSE))),IF(ISERROR(FIND("..",TRIM(VLOOKUP(IF(AND(LEN($A2173)=4,VALUE(RIGHT($A2173,2))&gt;60),$A2173&amp;"01 1",$A2173),IF(AND(LEN($A2173)=4,VALUE(RIGHT($A2173,2))&lt;60),GUS_tabl_2!$A$8:$B$464,GUS_tabl_21!$A$5:$B$4886),2,FALSE)))),TRIM(VLOOKUP(IF(AND(LEN($A2173)=4,VALUE(RIGHT($A2173,2))&gt;60),$A2173&amp;"01 1",$A2173),IF(AND(LEN($A2173)=4,VALUE(RIGHT($A2173,2))&lt;60),GUS_tabl_2!$A$8:$B$464,GUS_tabl_21!$A$5:$B$4886),2,FALSE)),LEFT(TRIM(VLOOKUP(IF(AND(LEN($A2173)=4,VALUE(RIGHT($A2173,2))&gt;60),$A2173&amp;"01 1",$A2173),IF(AND(LEN($A2173)=4,VALUE(RIGHT($A2173,2))&lt;60),GUS_tabl_2!$A$8:$B$464,GUS_tabl_21!$A$5:$B$4886),2,FALSE)),SUM(FIND("..",TRIM(VLOOKUP(IF(AND(LEN($A2173)=4,VALUE(RIGHT($A2173,2))&gt;60),$A2173&amp;"01 1",$A2173),IF(AND(LEN($A2173)=4,VALUE(RIGHT($A2173,2))&lt;60),GUS_tabl_2!$A$8:$B$464,GUS_tabl_21!$A$5:$B$4886),2,FALSE))),-1)))))</f>
        <v>gm. w. Koszęcin</v>
      </c>
      <c r="D2173" s="141">
        <f>IF(OR($A2173="",ISERROR(VALUE(LEFT($A2173,6)))),"",IF(LEN($A2173)=2,SUMIF($A2174:$A$2965,$A2173&amp;"??",$D2174:$D$2965),IF(AND(LEN($A2173)=4,VALUE(RIGHT($A2173,2))&lt;=60),SUMIF($A2174:$A$2965,$A2173&amp;"????",$D2174:$D$2965),VLOOKUP(IF(LEN($A2173)=4,$A2173&amp;"01 1",$A2173),GUS_tabl_21!$A$5:$F$4886,6,FALSE))))</f>
        <v>11815</v>
      </c>
      <c r="E2173" s="29"/>
    </row>
    <row r="2174" spans="1:5" ht="12" customHeight="1">
      <c r="A2174" s="155" t="str">
        <f>"240707 2"</f>
        <v>240707 2</v>
      </c>
      <c r="B2174" s="153" t="s">
        <v>80</v>
      </c>
      <c r="C2174" s="156" t="str">
        <f>IF(OR($A2174="",ISERROR(VALUE(LEFT($A2174,6)))),"",IF(LEN($A2174)=2,"WOJ. ",IF(LEN($A2174)=4,IF(VALUE(RIGHT($A2174,2))&gt;60,"","Powiat "),IF(VALUE(RIGHT($A2174,1))=1,"m. ",IF(VALUE(RIGHT($A2174,1))=2,"gm. w. ",IF(VALUE(RIGHT($A2174,1))=8,"dz. ","gm. m.-w. ")))))&amp;IF(LEN($A2174)=2,TRIM(UPPER(VLOOKUP($A2174,GUS_tabl_1!$A$7:$B$22,2,FALSE))),IF(ISERROR(FIND("..",TRIM(VLOOKUP(IF(AND(LEN($A2174)=4,VALUE(RIGHT($A2174,2))&gt;60),$A2174&amp;"01 1",$A2174),IF(AND(LEN($A2174)=4,VALUE(RIGHT($A2174,2))&lt;60),GUS_tabl_2!$A$8:$B$464,GUS_tabl_21!$A$5:$B$4886),2,FALSE)))),TRIM(VLOOKUP(IF(AND(LEN($A2174)=4,VALUE(RIGHT($A2174,2))&gt;60),$A2174&amp;"01 1",$A2174),IF(AND(LEN($A2174)=4,VALUE(RIGHT($A2174,2))&lt;60),GUS_tabl_2!$A$8:$B$464,GUS_tabl_21!$A$5:$B$4886),2,FALSE)),LEFT(TRIM(VLOOKUP(IF(AND(LEN($A2174)=4,VALUE(RIGHT($A2174,2))&gt;60),$A2174&amp;"01 1",$A2174),IF(AND(LEN($A2174)=4,VALUE(RIGHT($A2174,2))&lt;60),GUS_tabl_2!$A$8:$B$464,GUS_tabl_21!$A$5:$B$4886),2,FALSE)),SUM(FIND("..",TRIM(VLOOKUP(IF(AND(LEN($A2174)=4,VALUE(RIGHT($A2174,2))&gt;60),$A2174&amp;"01 1",$A2174),IF(AND(LEN($A2174)=4,VALUE(RIGHT($A2174,2))&lt;60),GUS_tabl_2!$A$8:$B$464,GUS_tabl_21!$A$5:$B$4886),2,FALSE))),-1)))))</f>
        <v>gm. w. Pawonków</v>
      </c>
      <c r="D2174" s="141">
        <f>IF(OR($A2174="",ISERROR(VALUE(LEFT($A2174,6)))),"",IF(LEN($A2174)=2,SUMIF($A2175:$A$2965,$A2174&amp;"??",$D2175:$D$2965),IF(AND(LEN($A2174)=4,VALUE(RIGHT($A2174,2))&lt;=60),SUMIF($A2175:$A$2965,$A2174&amp;"????",$D2175:$D$2965),VLOOKUP(IF(LEN($A2174)=4,$A2174&amp;"01 1",$A2174),GUS_tabl_21!$A$5:$F$4886,6,FALSE))))</f>
        <v>6635</v>
      </c>
      <c r="E2174" s="29"/>
    </row>
    <row r="2175" spans="1:5" ht="12" customHeight="1">
      <c r="A2175" s="155" t="str">
        <f>"240708 3"</f>
        <v>240708 3</v>
      </c>
      <c r="B2175" s="153" t="s">
        <v>80</v>
      </c>
      <c r="C2175" s="156" t="str">
        <f>IF(OR($A2175="",ISERROR(VALUE(LEFT($A2175,6)))),"",IF(LEN($A2175)=2,"WOJ. ",IF(LEN($A2175)=4,IF(VALUE(RIGHT($A2175,2))&gt;60,"","Powiat "),IF(VALUE(RIGHT($A2175,1))=1,"m. ",IF(VALUE(RIGHT($A2175,1))=2,"gm. w. ",IF(VALUE(RIGHT($A2175,1))=8,"dz. ","gm. m.-w. ")))))&amp;IF(LEN($A2175)=2,TRIM(UPPER(VLOOKUP($A2175,GUS_tabl_1!$A$7:$B$22,2,FALSE))),IF(ISERROR(FIND("..",TRIM(VLOOKUP(IF(AND(LEN($A2175)=4,VALUE(RIGHT($A2175,2))&gt;60),$A2175&amp;"01 1",$A2175),IF(AND(LEN($A2175)=4,VALUE(RIGHT($A2175,2))&lt;60),GUS_tabl_2!$A$8:$B$464,GUS_tabl_21!$A$5:$B$4886),2,FALSE)))),TRIM(VLOOKUP(IF(AND(LEN($A2175)=4,VALUE(RIGHT($A2175,2))&gt;60),$A2175&amp;"01 1",$A2175),IF(AND(LEN($A2175)=4,VALUE(RIGHT($A2175,2))&lt;60),GUS_tabl_2!$A$8:$B$464,GUS_tabl_21!$A$5:$B$4886),2,FALSE)),LEFT(TRIM(VLOOKUP(IF(AND(LEN($A2175)=4,VALUE(RIGHT($A2175,2))&gt;60),$A2175&amp;"01 1",$A2175),IF(AND(LEN($A2175)=4,VALUE(RIGHT($A2175,2))&lt;60),GUS_tabl_2!$A$8:$B$464,GUS_tabl_21!$A$5:$B$4886),2,FALSE)),SUM(FIND("..",TRIM(VLOOKUP(IF(AND(LEN($A2175)=4,VALUE(RIGHT($A2175,2))&gt;60),$A2175&amp;"01 1",$A2175),IF(AND(LEN($A2175)=4,VALUE(RIGHT($A2175,2))&lt;60),GUS_tabl_2!$A$8:$B$464,GUS_tabl_21!$A$5:$B$4886),2,FALSE))),-1)))))</f>
        <v>gm. m.-w. Woźniki</v>
      </c>
      <c r="D2175" s="141">
        <f>IF(OR($A2175="",ISERROR(VALUE(LEFT($A2175,6)))),"",IF(LEN($A2175)=2,SUMIF($A2176:$A$2965,$A2175&amp;"??",$D2176:$D$2965),IF(AND(LEN($A2175)=4,VALUE(RIGHT($A2175,2))&lt;=60),SUMIF($A2176:$A$2965,$A2175&amp;"????",$D2176:$D$2965),VLOOKUP(IF(LEN($A2175)=4,$A2175&amp;"01 1",$A2175),GUS_tabl_21!$A$5:$F$4886,6,FALSE))))</f>
        <v>9619</v>
      </c>
      <c r="E2175" s="29"/>
    </row>
    <row r="2176" spans="1:5" ht="12" customHeight="1">
      <c r="A2176" s="152" t="str">
        <f>"2408"</f>
        <v>2408</v>
      </c>
      <c r="B2176" s="153" t="s">
        <v>80</v>
      </c>
      <c r="C2176" s="154" t="str">
        <f>IF(OR($A2176="",ISERROR(VALUE(LEFT($A2176,6)))),"",IF(LEN($A2176)=2,"WOJ. ",IF(LEN($A2176)=4,IF(VALUE(RIGHT($A2176,2))&gt;60,"","Powiat "),IF(VALUE(RIGHT($A2176,1))=1,"m. ",IF(VALUE(RIGHT($A2176,1))=2,"gm. w. ",IF(VALUE(RIGHT($A2176,1))=8,"dz. ","gm. m.-w. ")))))&amp;IF(LEN($A2176)=2,TRIM(UPPER(VLOOKUP($A2176,GUS_tabl_1!$A$7:$B$22,2,FALSE))),IF(ISERROR(FIND("..",TRIM(VLOOKUP(IF(AND(LEN($A2176)=4,VALUE(RIGHT($A2176,2))&gt;60),$A2176&amp;"01 1",$A2176),IF(AND(LEN($A2176)=4,VALUE(RIGHT($A2176,2))&lt;60),GUS_tabl_2!$A$8:$B$464,GUS_tabl_21!$A$5:$B$4886),2,FALSE)))),TRIM(VLOOKUP(IF(AND(LEN($A2176)=4,VALUE(RIGHT($A2176,2))&gt;60),$A2176&amp;"01 1",$A2176),IF(AND(LEN($A2176)=4,VALUE(RIGHT($A2176,2))&lt;60),GUS_tabl_2!$A$8:$B$464,GUS_tabl_21!$A$5:$B$4886),2,FALSE)),LEFT(TRIM(VLOOKUP(IF(AND(LEN($A2176)=4,VALUE(RIGHT($A2176,2))&gt;60),$A2176&amp;"01 1",$A2176),IF(AND(LEN($A2176)=4,VALUE(RIGHT($A2176,2))&lt;60),GUS_tabl_2!$A$8:$B$464,GUS_tabl_21!$A$5:$B$4886),2,FALSE)),SUM(FIND("..",TRIM(VLOOKUP(IF(AND(LEN($A2176)=4,VALUE(RIGHT($A2176,2))&gt;60),$A2176&amp;"01 1",$A2176),IF(AND(LEN($A2176)=4,VALUE(RIGHT($A2176,2))&lt;60),GUS_tabl_2!$A$8:$B$464,GUS_tabl_21!$A$5:$B$4886),2,FALSE))),-1)))))</f>
        <v>Powiat mikołowski</v>
      </c>
      <c r="D2176" s="140">
        <f>IF(OR($A2176="",ISERROR(VALUE(LEFT($A2176,6)))),"",IF(LEN($A2176)=2,SUMIF($A2177:$A$2965,$A2176&amp;"??",$D2177:$D$2965),IF(AND(LEN($A2176)=4,VALUE(RIGHT($A2176,2))&lt;=60),SUMIF($A2177:$A$2965,$A2176&amp;"????",$D2177:$D$2965),VLOOKUP(IF(LEN($A2176)=4,$A2176&amp;"01 1",$A2176),GUS_tabl_21!$A$5:$F$4886,6,FALSE))))</f>
        <v>98990</v>
      </c>
      <c r="E2176" s="29"/>
    </row>
    <row r="2177" spans="1:5" ht="12" customHeight="1">
      <c r="A2177" s="155" t="str">
        <f>"240801 1"</f>
        <v>240801 1</v>
      </c>
      <c r="B2177" s="153" t="s">
        <v>80</v>
      </c>
      <c r="C2177" s="156" t="str">
        <f>IF(OR($A2177="",ISERROR(VALUE(LEFT($A2177,6)))),"",IF(LEN($A2177)=2,"WOJ. ",IF(LEN($A2177)=4,IF(VALUE(RIGHT($A2177,2))&gt;60,"","Powiat "),IF(VALUE(RIGHT($A2177,1))=1,"m. ",IF(VALUE(RIGHT($A2177,1))=2,"gm. w. ",IF(VALUE(RIGHT($A2177,1))=8,"dz. ","gm. m.-w. ")))))&amp;IF(LEN($A2177)=2,TRIM(UPPER(VLOOKUP($A2177,GUS_tabl_1!$A$7:$B$22,2,FALSE))),IF(ISERROR(FIND("..",TRIM(VLOOKUP(IF(AND(LEN($A2177)=4,VALUE(RIGHT($A2177,2))&gt;60),$A2177&amp;"01 1",$A2177),IF(AND(LEN($A2177)=4,VALUE(RIGHT($A2177,2))&lt;60),GUS_tabl_2!$A$8:$B$464,GUS_tabl_21!$A$5:$B$4886),2,FALSE)))),TRIM(VLOOKUP(IF(AND(LEN($A2177)=4,VALUE(RIGHT($A2177,2))&gt;60),$A2177&amp;"01 1",$A2177),IF(AND(LEN($A2177)=4,VALUE(RIGHT($A2177,2))&lt;60),GUS_tabl_2!$A$8:$B$464,GUS_tabl_21!$A$5:$B$4886),2,FALSE)),LEFT(TRIM(VLOOKUP(IF(AND(LEN($A2177)=4,VALUE(RIGHT($A2177,2))&gt;60),$A2177&amp;"01 1",$A2177),IF(AND(LEN($A2177)=4,VALUE(RIGHT($A2177,2))&lt;60),GUS_tabl_2!$A$8:$B$464,GUS_tabl_21!$A$5:$B$4886),2,FALSE)),SUM(FIND("..",TRIM(VLOOKUP(IF(AND(LEN($A2177)=4,VALUE(RIGHT($A2177,2))&gt;60),$A2177&amp;"01 1",$A2177),IF(AND(LEN($A2177)=4,VALUE(RIGHT($A2177,2))&lt;60),GUS_tabl_2!$A$8:$B$464,GUS_tabl_21!$A$5:$B$4886),2,FALSE))),-1)))))</f>
        <v>m. Łaziska Górne</v>
      </c>
      <c r="D2177" s="141">
        <f>IF(OR($A2177="",ISERROR(VALUE(LEFT($A2177,6)))),"",IF(LEN($A2177)=2,SUMIF($A2178:$A$2965,$A2177&amp;"??",$D2178:$D$2965),IF(AND(LEN($A2177)=4,VALUE(RIGHT($A2177,2))&lt;=60),SUMIF($A2178:$A$2965,$A2177&amp;"????",$D2178:$D$2965),VLOOKUP(IF(LEN($A2177)=4,$A2177&amp;"01 1",$A2177),GUS_tabl_21!$A$5:$F$4886,6,FALSE))))</f>
        <v>22215</v>
      </c>
      <c r="E2177" s="29"/>
    </row>
    <row r="2178" spans="1:5" ht="12" customHeight="1">
      <c r="A2178" s="155" t="str">
        <f>"240802 1"</f>
        <v>240802 1</v>
      </c>
      <c r="B2178" s="153" t="s">
        <v>80</v>
      </c>
      <c r="C2178" s="156" t="str">
        <f>IF(OR($A2178="",ISERROR(VALUE(LEFT($A2178,6)))),"",IF(LEN($A2178)=2,"WOJ. ",IF(LEN($A2178)=4,IF(VALUE(RIGHT($A2178,2))&gt;60,"","Powiat "),IF(VALUE(RIGHT($A2178,1))=1,"m. ",IF(VALUE(RIGHT($A2178,1))=2,"gm. w. ",IF(VALUE(RIGHT($A2178,1))=8,"dz. ","gm. m.-w. ")))))&amp;IF(LEN($A2178)=2,TRIM(UPPER(VLOOKUP($A2178,GUS_tabl_1!$A$7:$B$22,2,FALSE))),IF(ISERROR(FIND("..",TRIM(VLOOKUP(IF(AND(LEN($A2178)=4,VALUE(RIGHT($A2178,2))&gt;60),$A2178&amp;"01 1",$A2178),IF(AND(LEN($A2178)=4,VALUE(RIGHT($A2178,2))&lt;60),GUS_tabl_2!$A$8:$B$464,GUS_tabl_21!$A$5:$B$4886),2,FALSE)))),TRIM(VLOOKUP(IF(AND(LEN($A2178)=4,VALUE(RIGHT($A2178,2))&gt;60),$A2178&amp;"01 1",$A2178),IF(AND(LEN($A2178)=4,VALUE(RIGHT($A2178,2))&lt;60),GUS_tabl_2!$A$8:$B$464,GUS_tabl_21!$A$5:$B$4886),2,FALSE)),LEFT(TRIM(VLOOKUP(IF(AND(LEN($A2178)=4,VALUE(RIGHT($A2178,2))&gt;60),$A2178&amp;"01 1",$A2178),IF(AND(LEN($A2178)=4,VALUE(RIGHT($A2178,2))&lt;60),GUS_tabl_2!$A$8:$B$464,GUS_tabl_21!$A$5:$B$4886),2,FALSE)),SUM(FIND("..",TRIM(VLOOKUP(IF(AND(LEN($A2178)=4,VALUE(RIGHT($A2178,2))&gt;60),$A2178&amp;"01 1",$A2178),IF(AND(LEN($A2178)=4,VALUE(RIGHT($A2178,2))&lt;60),GUS_tabl_2!$A$8:$B$464,GUS_tabl_21!$A$5:$B$4886),2,FALSE))),-1)))))</f>
        <v>m. Mikołów</v>
      </c>
      <c r="D2178" s="141">
        <f>IF(OR($A2178="",ISERROR(VALUE(LEFT($A2178,6)))),"",IF(LEN($A2178)=2,SUMIF($A2179:$A$2965,$A2178&amp;"??",$D2179:$D$2965),IF(AND(LEN($A2178)=4,VALUE(RIGHT($A2178,2))&lt;=60),SUMIF($A2179:$A$2965,$A2178&amp;"????",$D2179:$D$2965),VLOOKUP(IF(LEN($A2178)=4,$A2178&amp;"01 1",$A2178),GUS_tabl_21!$A$5:$F$4886,6,FALSE))))</f>
        <v>41014</v>
      </c>
      <c r="E2178" s="29"/>
    </row>
    <row r="2179" spans="1:5" ht="12" customHeight="1">
      <c r="A2179" s="155" t="str">
        <f>"240803 1"</f>
        <v>240803 1</v>
      </c>
      <c r="B2179" s="153" t="s">
        <v>80</v>
      </c>
      <c r="C2179" s="156" t="str">
        <f>IF(OR($A2179="",ISERROR(VALUE(LEFT($A2179,6)))),"",IF(LEN($A2179)=2,"WOJ. ",IF(LEN($A2179)=4,IF(VALUE(RIGHT($A2179,2))&gt;60,"","Powiat "),IF(VALUE(RIGHT($A2179,1))=1,"m. ",IF(VALUE(RIGHT($A2179,1))=2,"gm. w. ",IF(VALUE(RIGHT($A2179,1))=8,"dz. ","gm. m.-w. ")))))&amp;IF(LEN($A2179)=2,TRIM(UPPER(VLOOKUP($A2179,GUS_tabl_1!$A$7:$B$22,2,FALSE))),IF(ISERROR(FIND("..",TRIM(VLOOKUP(IF(AND(LEN($A2179)=4,VALUE(RIGHT($A2179,2))&gt;60),$A2179&amp;"01 1",$A2179),IF(AND(LEN($A2179)=4,VALUE(RIGHT($A2179,2))&lt;60),GUS_tabl_2!$A$8:$B$464,GUS_tabl_21!$A$5:$B$4886),2,FALSE)))),TRIM(VLOOKUP(IF(AND(LEN($A2179)=4,VALUE(RIGHT($A2179,2))&gt;60),$A2179&amp;"01 1",$A2179),IF(AND(LEN($A2179)=4,VALUE(RIGHT($A2179,2))&lt;60),GUS_tabl_2!$A$8:$B$464,GUS_tabl_21!$A$5:$B$4886),2,FALSE)),LEFT(TRIM(VLOOKUP(IF(AND(LEN($A2179)=4,VALUE(RIGHT($A2179,2))&gt;60),$A2179&amp;"01 1",$A2179),IF(AND(LEN($A2179)=4,VALUE(RIGHT($A2179,2))&lt;60),GUS_tabl_2!$A$8:$B$464,GUS_tabl_21!$A$5:$B$4886),2,FALSE)),SUM(FIND("..",TRIM(VLOOKUP(IF(AND(LEN($A2179)=4,VALUE(RIGHT($A2179,2))&gt;60),$A2179&amp;"01 1",$A2179),IF(AND(LEN($A2179)=4,VALUE(RIGHT($A2179,2))&lt;60),GUS_tabl_2!$A$8:$B$464,GUS_tabl_21!$A$5:$B$4886),2,FALSE))),-1)))))</f>
        <v>m. Orzesze</v>
      </c>
      <c r="D2179" s="141">
        <f>IF(OR($A2179="",ISERROR(VALUE(LEFT($A2179,6)))),"",IF(LEN($A2179)=2,SUMIF($A2180:$A$2965,$A2179&amp;"??",$D2180:$D$2965),IF(AND(LEN($A2179)=4,VALUE(RIGHT($A2179,2))&lt;=60),SUMIF($A2180:$A$2965,$A2179&amp;"????",$D2180:$D$2965),VLOOKUP(IF(LEN($A2179)=4,$A2179&amp;"01 1",$A2179),GUS_tabl_21!$A$5:$F$4886,6,FALSE))))</f>
        <v>21176</v>
      </c>
      <c r="E2179" s="29"/>
    </row>
    <row r="2180" spans="1:5" ht="12" customHeight="1">
      <c r="A2180" s="155" t="str">
        <f>"240804 2"</f>
        <v>240804 2</v>
      </c>
      <c r="B2180" s="153" t="s">
        <v>80</v>
      </c>
      <c r="C2180" s="156" t="str">
        <f>IF(OR($A2180="",ISERROR(VALUE(LEFT($A2180,6)))),"",IF(LEN($A2180)=2,"WOJ. ",IF(LEN($A2180)=4,IF(VALUE(RIGHT($A2180,2))&gt;60,"","Powiat "),IF(VALUE(RIGHT($A2180,1))=1,"m. ",IF(VALUE(RIGHT($A2180,1))=2,"gm. w. ",IF(VALUE(RIGHT($A2180,1))=8,"dz. ","gm. m.-w. ")))))&amp;IF(LEN($A2180)=2,TRIM(UPPER(VLOOKUP($A2180,GUS_tabl_1!$A$7:$B$22,2,FALSE))),IF(ISERROR(FIND("..",TRIM(VLOOKUP(IF(AND(LEN($A2180)=4,VALUE(RIGHT($A2180,2))&gt;60),$A2180&amp;"01 1",$A2180),IF(AND(LEN($A2180)=4,VALUE(RIGHT($A2180,2))&lt;60),GUS_tabl_2!$A$8:$B$464,GUS_tabl_21!$A$5:$B$4886),2,FALSE)))),TRIM(VLOOKUP(IF(AND(LEN($A2180)=4,VALUE(RIGHT($A2180,2))&gt;60),$A2180&amp;"01 1",$A2180),IF(AND(LEN($A2180)=4,VALUE(RIGHT($A2180,2))&lt;60),GUS_tabl_2!$A$8:$B$464,GUS_tabl_21!$A$5:$B$4886),2,FALSE)),LEFT(TRIM(VLOOKUP(IF(AND(LEN($A2180)=4,VALUE(RIGHT($A2180,2))&gt;60),$A2180&amp;"01 1",$A2180),IF(AND(LEN($A2180)=4,VALUE(RIGHT($A2180,2))&lt;60),GUS_tabl_2!$A$8:$B$464,GUS_tabl_21!$A$5:$B$4886),2,FALSE)),SUM(FIND("..",TRIM(VLOOKUP(IF(AND(LEN($A2180)=4,VALUE(RIGHT($A2180,2))&gt;60),$A2180&amp;"01 1",$A2180),IF(AND(LEN($A2180)=4,VALUE(RIGHT($A2180,2))&lt;60),GUS_tabl_2!$A$8:$B$464,GUS_tabl_21!$A$5:$B$4886),2,FALSE))),-1)))))</f>
        <v>gm. w. Ornontowice</v>
      </c>
      <c r="D2180" s="141">
        <f>IF(OR($A2180="",ISERROR(VALUE(LEFT($A2180,6)))),"",IF(LEN($A2180)=2,SUMIF($A2181:$A$2965,$A2180&amp;"??",$D2181:$D$2965),IF(AND(LEN($A2180)=4,VALUE(RIGHT($A2180,2))&lt;=60),SUMIF($A2181:$A$2965,$A2180&amp;"????",$D2181:$D$2965),VLOOKUP(IF(LEN($A2180)=4,$A2180&amp;"01 1",$A2180),GUS_tabl_21!$A$5:$F$4886,6,FALSE))))</f>
        <v>6176</v>
      </c>
      <c r="E2180" s="29"/>
    </row>
    <row r="2181" spans="1:5" ht="12" customHeight="1">
      <c r="A2181" s="155" t="str">
        <f>"240805 2"</f>
        <v>240805 2</v>
      </c>
      <c r="B2181" s="153" t="s">
        <v>80</v>
      </c>
      <c r="C2181" s="156" t="str">
        <f>IF(OR($A2181="",ISERROR(VALUE(LEFT($A2181,6)))),"",IF(LEN($A2181)=2,"WOJ. ",IF(LEN($A2181)=4,IF(VALUE(RIGHT($A2181,2))&gt;60,"","Powiat "),IF(VALUE(RIGHT($A2181,1))=1,"m. ",IF(VALUE(RIGHT($A2181,1))=2,"gm. w. ",IF(VALUE(RIGHT($A2181,1))=8,"dz. ","gm. m.-w. ")))))&amp;IF(LEN($A2181)=2,TRIM(UPPER(VLOOKUP($A2181,GUS_tabl_1!$A$7:$B$22,2,FALSE))),IF(ISERROR(FIND("..",TRIM(VLOOKUP(IF(AND(LEN($A2181)=4,VALUE(RIGHT($A2181,2))&gt;60),$A2181&amp;"01 1",$A2181),IF(AND(LEN($A2181)=4,VALUE(RIGHT($A2181,2))&lt;60),GUS_tabl_2!$A$8:$B$464,GUS_tabl_21!$A$5:$B$4886),2,FALSE)))),TRIM(VLOOKUP(IF(AND(LEN($A2181)=4,VALUE(RIGHT($A2181,2))&gt;60),$A2181&amp;"01 1",$A2181),IF(AND(LEN($A2181)=4,VALUE(RIGHT($A2181,2))&lt;60),GUS_tabl_2!$A$8:$B$464,GUS_tabl_21!$A$5:$B$4886),2,FALSE)),LEFT(TRIM(VLOOKUP(IF(AND(LEN($A2181)=4,VALUE(RIGHT($A2181,2))&gt;60),$A2181&amp;"01 1",$A2181),IF(AND(LEN($A2181)=4,VALUE(RIGHT($A2181,2))&lt;60),GUS_tabl_2!$A$8:$B$464,GUS_tabl_21!$A$5:$B$4886),2,FALSE)),SUM(FIND("..",TRIM(VLOOKUP(IF(AND(LEN($A2181)=4,VALUE(RIGHT($A2181,2))&gt;60),$A2181&amp;"01 1",$A2181),IF(AND(LEN($A2181)=4,VALUE(RIGHT($A2181,2))&lt;60),GUS_tabl_2!$A$8:$B$464,GUS_tabl_21!$A$5:$B$4886),2,FALSE))),-1)))))</f>
        <v>gm. w. Wyry</v>
      </c>
      <c r="D2181" s="141">
        <f>IF(OR($A2181="",ISERROR(VALUE(LEFT($A2181,6)))),"",IF(LEN($A2181)=2,SUMIF($A2182:$A$2965,$A2181&amp;"??",$D2182:$D$2965),IF(AND(LEN($A2181)=4,VALUE(RIGHT($A2181,2))&lt;=60),SUMIF($A2182:$A$2965,$A2181&amp;"????",$D2182:$D$2965),VLOOKUP(IF(LEN($A2181)=4,$A2181&amp;"01 1",$A2181),GUS_tabl_21!$A$5:$F$4886,6,FALSE))))</f>
        <v>8409</v>
      </c>
      <c r="E2181" s="29"/>
    </row>
    <row r="2182" spans="1:5" ht="12" customHeight="1">
      <c r="A2182" s="152" t="str">
        <f>"2409"</f>
        <v>2409</v>
      </c>
      <c r="B2182" s="153" t="s">
        <v>80</v>
      </c>
      <c r="C2182" s="154" t="str">
        <f>IF(OR($A2182="",ISERROR(VALUE(LEFT($A2182,6)))),"",IF(LEN($A2182)=2,"WOJ. ",IF(LEN($A2182)=4,IF(VALUE(RIGHT($A2182,2))&gt;60,"","Powiat "),IF(VALUE(RIGHT($A2182,1))=1,"m. ",IF(VALUE(RIGHT($A2182,1))=2,"gm. w. ",IF(VALUE(RIGHT($A2182,1))=8,"dz. ","gm. m.-w. ")))))&amp;IF(LEN($A2182)=2,TRIM(UPPER(VLOOKUP($A2182,GUS_tabl_1!$A$7:$B$22,2,FALSE))),IF(ISERROR(FIND("..",TRIM(VLOOKUP(IF(AND(LEN($A2182)=4,VALUE(RIGHT($A2182,2))&gt;60),$A2182&amp;"01 1",$A2182),IF(AND(LEN($A2182)=4,VALUE(RIGHT($A2182,2))&lt;60),GUS_tabl_2!$A$8:$B$464,GUS_tabl_21!$A$5:$B$4886),2,FALSE)))),TRIM(VLOOKUP(IF(AND(LEN($A2182)=4,VALUE(RIGHT($A2182,2))&gt;60),$A2182&amp;"01 1",$A2182),IF(AND(LEN($A2182)=4,VALUE(RIGHT($A2182,2))&lt;60),GUS_tabl_2!$A$8:$B$464,GUS_tabl_21!$A$5:$B$4886),2,FALSE)),LEFT(TRIM(VLOOKUP(IF(AND(LEN($A2182)=4,VALUE(RIGHT($A2182,2))&gt;60),$A2182&amp;"01 1",$A2182),IF(AND(LEN($A2182)=4,VALUE(RIGHT($A2182,2))&lt;60),GUS_tabl_2!$A$8:$B$464,GUS_tabl_21!$A$5:$B$4886),2,FALSE)),SUM(FIND("..",TRIM(VLOOKUP(IF(AND(LEN($A2182)=4,VALUE(RIGHT($A2182,2))&gt;60),$A2182&amp;"01 1",$A2182),IF(AND(LEN($A2182)=4,VALUE(RIGHT($A2182,2))&lt;60),GUS_tabl_2!$A$8:$B$464,GUS_tabl_21!$A$5:$B$4886),2,FALSE))),-1)))))</f>
        <v>Powiat myszkowski</v>
      </c>
      <c r="D2182" s="140">
        <f>IF(OR($A2182="",ISERROR(VALUE(LEFT($A2182,6)))),"",IF(LEN($A2182)=2,SUMIF($A2183:$A$2965,$A2182&amp;"??",$D2183:$D$2965),IF(AND(LEN($A2182)=4,VALUE(RIGHT($A2182,2))&lt;=60),SUMIF($A2183:$A$2965,$A2182&amp;"????",$D2183:$D$2965),VLOOKUP(IF(LEN($A2182)=4,$A2182&amp;"01 1",$A2182),GUS_tabl_21!$A$5:$F$4886,6,FALSE))))</f>
        <v>70880</v>
      </c>
      <c r="E2182" s="29"/>
    </row>
    <row r="2183" spans="1:5" ht="12" customHeight="1">
      <c r="A2183" s="155" t="str">
        <f>"240901 1"</f>
        <v>240901 1</v>
      </c>
      <c r="B2183" s="153" t="s">
        <v>80</v>
      </c>
      <c r="C2183" s="156" t="str">
        <f>IF(OR($A2183="",ISERROR(VALUE(LEFT($A2183,6)))),"",IF(LEN($A2183)=2,"WOJ. ",IF(LEN($A2183)=4,IF(VALUE(RIGHT($A2183,2))&gt;60,"","Powiat "),IF(VALUE(RIGHT($A2183,1))=1,"m. ",IF(VALUE(RIGHT($A2183,1))=2,"gm. w. ",IF(VALUE(RIGHT($A2183,1))=8,"dz. ","gm. m.-w. ")))))&amp;IF(LEN($A2183)=2,TRIM(UPPER(VLOOKUP($A2183,GUS_tabl_1!$A$7:$B$22,2,FALSE))),IF(ISERROR(FIND("..",TRIM(VLOOKUP(IF(AND(LEN($A2183)=4,VALUE(RIGHT($A2183,2))&gt;60),$A2183&amp;"01 1",$A2183),IF(AND(LEN($A2183)=4,VALUE(RIGHT($A2183,2))&lt;60),GUS_tabl_2!$A$8:$B$464,GUS_tabl_21!$A$5:$B$4886),2,FALSE)))),TRIM(VLOOKUP(IF(AND(LEN($A2183)=4,VALUE(RIGHT($A2183,2))&gt;60),$A2183&amp;"01 1",$A2183),IF(AND(LEN($A2183)=4,VALUE(RIGHT($A2183,2))&lt;60),GUS_tabl_2!$A$8:$B$464,GUS_tabl_21!$A$5:$B$4886),2,FALSE)),LEFT(TRIM(VLOOKUP(IF(AND(LEN($A2183)=4,VALUE(RIGHT($A2183,2))&gt;60),$A2183&amp;"01 1",$A2183),IF(AND(LEN($A2183)=4,VALUE(RIGHT($A2183,2))&lt;60),GUS_tabl_2!$A$8:$B$464,GUS_tabl_21!$A$5:$B$4886),2,FALSE)),SUM(FIND("..",TRIM(VLOOKUP(IF(AND(LEN($A2183)=4,VALUE(RIGHT($A2183,2))&gt;60),$A2183&amp;"01 1",$A2183),IF(AND(LEN($A2183)=4,VALUE(RIGHT($A2183,2))&lt;60),GUS_tabl_2!$A$8:$B$464,GUS_tabl_21!$A$5:$B$4886),2,FALSE))),-1)))))</f>
        <v>m. Myszków</v>
      </c>
      <c r="D2183" s="141">
        <f>IF(OR($A2183="",ISERROR(VALUE(LEFT($A2183,6)))),"",IF(LEN($A2183)=2,SUMIF($A2184:$A$2965,$A2183&amp;"??",$D2184:$D$2965),IF(AND(LEN($A2183)=4,VALUE(RIGHT($A2183,2))&lt;=60),SUMIF($A2184:$A$2965,$A2183&amp;"????",$D2184:$D$2965),VLOOKUP(IF(LEN($A2183)=4,$A2183&amp;"01 1",$A2183),GUS_tabl_21!$A$5:$F$4886,6,FALSE))))</f>
        <v>31585</v>
      </c>
      <c r="E2183" s="29"/>
    </row>
    <row r="2184" spans="1:5" ht="12" customHeight="1">
      <c r="A2184" s="155" t="str">
        <f>"240902 3"</f>
        <v>240902 3</v>
      </c>
      <c r="B2184" s="153" t="s">
        <v>80</v>
      </c>
      <c r="C2184" s="156" t="str">
        <f>IF(OR($A2184="",ISERROR(VALUE(LEFT($A2184,6)))),"",IF(LEN($A2184)=2,"WOJ. ",IF(LEN($A2184)=4,IF(VALUE(RIGHT($A2184,2))&gt;60,"","Powiat "),IF(VALUE(RIGHT($A2184,1))=1,"m. ",IF(VALUE(RIGHT($A2184,1))=2,"gm. w. ",IF(VALUE(RIGHT($A2184,1))=8,"dz. ","gm. m.-w. ")))))&amp;IF(LEN($A2184)=2,TRIM(UPPER(VLOOKUP($A2184,GUS_tabl_1!$A$7:$B$22,2,FALSE))),IF(ISERROR(FIND("..",TRIM(VLOOKUP(IF(AND(LEN($A2184)=4,VALUE(RIGHT($A2184,2))&gt;60),$A2184&amp;"01 1",$A2184),IF(AND(LEN($A2184)=4,VALUE(RIGHT($A2184,2))&lt;60),GUS_tabl_2!$A$8:$B$464,GUS_tabl_21!$A$5:$B$4886),2,FALSE)))),TRIM(VLOOKUP(IF(AND(LEN($A2184)=4,VALUE(RIGHT($A2184,2))&gt;60),$A2184&amp;"01 1",$A2184),IF(AND(LEN($A2184)=4,VALUE(RIGHT($A2184,2))&lt;60),GUS_tabl_2!$A$8:$B$464,GUS_tabl_21!$A$5:$B$4886),2,FALSE)),LEFT(TRIM(VLOOKUP(IF(AND(LEN($A2184)=4,VALUE(RIGHT($A2184,2))&gt;60),$A2184&amp;"01 1",$A2184),IF(AND(LEN($A2184)=4,VALUE(RIGHT($A2184,2))&lt;60),GUS_tabl_2!$A$8:$B$464,GUS_tabl_21!$A$5:$B$4886),2,FALSE)),SUM(FIND("..",TRIM(VLOOKUP(IF(AND(LEN($A2184)=4,VALUE(RIGHT($A2184,2))&gt;60),$A2184&amp;"01 1",$A2184),IF(AND(LEN($A2184)=4,VALUE(RIGHT($A2184,2))&lt;60),GUS_tabl_2!$A$8:$B$464,GUS_tabl_21!$A$5:$B$4886),2,FALSE))),-1)))))</f>
        <v>gm. m.-w. Koziegłowy</v>
      </c>
      <c r="D2184" s="141">
        <f>IF(OR($A2184="",ISERROR(VALUE(LEFT($A2184,6)))),"",IF(LEN($A2184)=2,SUMIF($A2185:$A$2965,$A2184&amp;"??",$D2185:$D$2965),IF(AND(LEN($A2184)=4,VALUE(RIGHT($A2184,2))&lt;=60),SUMIF($A2185:$A$2965,$A2184&amp;"????",$D2185:$D$2965),VLOOKUP(IF(LEN($A2184)=4,$A2184&amp;"01 1",$A2184),GUS_tabl_21!$A$5:$F$4886,6,FALSE))))</f>
        <v>14320</v>
      </c>
      <c r="E2184" s="29"/>
    </row>
    <row r="2185" spans="1:5" ht="12" customHeight="1">
      <c r="A2185" s="155" t="str">
        <f>"240903 2"</f>
        <v>240903 2</v>
      </c>
      <c r="B2185" s="153" t="s">
        <v>80</v>
      </c>
      <c r="C2185" s="156" t="str">
        <f>IF(OR($A2185="",ISERROR(VALUE(LEFT($A2185,6)))),"",IF(LEN($A2185)=2,"WOJ. ",IF(LEN($A2185)=4,IF(VALUE(RIGHT($A2185,2))&gt;60,"","Powiat "),IF(VALUE(RIGHT($A2185,1))=1,"m. ",IF(VALUE(RIGHT($A2185,1))=2,"gm. w. ",IF(VALUE(RIGHT($A2185,1))=8,"dz. ","gm. m.-w. ")))))&amp;IF(LEN($A2185)=2,TRIM(UPPER(VLOOKUP($A2185,GUS_tabl_1!$A$7:$B$22,2,FALSE))),IF(ISERROR(FIND("..",TRIM(VLOOKUP(IF(AND(LEN($A2185)=4,VALUE(RIGHT($A2185,2))&gt;60),$A2185&amp;"01 1",$A2185),IF(AND(LEN($A2185)=4,VALUE(RIGHT($A2185,2))&lt;60),GUS_tabl_2!$A$8:$B$464,GUS_tabl_21!$A$5:$B$4886),2,FALSE)))),TRIM(VLOOKUP(IF(AND(LEN($A2185)=4,VALUE(RIGHT($A2185,2))&gt;60),$A2185&amp;"01 1",$A2185),IF(AND(LEN($A2185)=4,VALUE(RIGHT($A2185,2))&lt;60),GUS_tabl_2!$A$8:$B$464,GUS_tabl_21!$A$5:$B$4886),2,FALSE)),LEFT(TRIM(VLOOKUP(IF(AND(LEN($A2185)=4,VALUE(RIGHT($A2185,2))&gt;60),$A2185&amp;"01 1",$A2185),IF(AND(LEN($A2185)=4,VALUE(RIGHT($A2185,2))&lt;60),GUS_tabl_2!$A$8:$B$464,GUS_tabl_21!$A$5:$B$4886),2,FALSE)),SUM(FIND("..",TRIM(VLOOKUP(IF(AND(LEN($A2185)=4,VALUE(RIGHT($A2185,2))&gt;60),$A2185&amp;"01 1",$A2185),IF(AND(LEN($A2185)=4,VALUE(RIGHT($A2185,2))&lt;60),GUS_tabl_2!$A$8:$B$464,GUS_tabl_21!$A$5:$B$4886),2,FALSE))),-1)))))</f>
        <v>gm. w. Niegowa</v>
      </c>
      <c r="D2185" s="141">
        <f>IF(OR($A2185="",ISERROR(VALUE(LEFT($A2185,6)))),"",IF(LEN($A2185)=2,SUMIF($A2186:$A$2965,$A2185&amp;"??",$D2186:$D$2965),IF(AND(LEN($A2185)=4,VALUE(RIGHT($A2185,2))&lt;=60),SUMIF($A2186:$A$2965,$A2185&amp;"????",$D2186:$D$2965),VLOOKUP(IF(LEN($A2185)=4,$A2185&amp;"01 1",$A2185),GUS_tabl_21!$A$5:$F$4886,6,FALSE))))</f>
        <v>5608</v>
      </c>
      <c r="E2185" s="29"/>
    </row>
    <row r="2186" spans="1:5" ht="12" customHeight="1">
      <c r="A2186" s="155" t="str">
        <f>"240904 2"</f>
        <v>240904 2</v>
      </c>
      <c r="B2186" s="153" t="s">
        <v>80</v>
      </c>
      <c r="C2186" s="156" t="str">
        <f>IF(OR($A2186="",ISERROR(VALUE(LEFT($A2186,6)))),"",IF(LEN($A2186)=2,"WOJ. ",IF(LEN($A2186)=4,IF(VALUE(RIGHT($A2186,2))&gt;60,"","Powiat "),IF(VALUE(RIGHT($A2186,1))=1,"m. ",IF(VALUE(RIGHT($A2186,1))=2,"gm. w. ",IF(VALUE(RIGHT($A2186,1))=8,"dz. ","gm. m.-w. ")))))&amp;IF(LEN($A2186)=2,TRIM(UPPER(VLOOKUP($A2186,GUS_tabl_1!$A$7:$B$22,2,FALSE))),IF(ISERROR(FIND("..",TRIM(VLOOKUP(IF(AND(LEN($A2186)=4,VALUE(RIGHT($A2186,2))&gt;60),$A2186&amp;"01 1",$A2186),IF(AND(LEN($A2186)=4,VALUE(RIGHT($A2186,2))&lt;60),GUS_tabl_2!$A$8:$B$464,GUS_tabl_21!$A$5:$B$4886),2,FALSE)))),TRIM(VLOOKUP(IF(AND(LEN($A2186)=4,VALUE(RIGHT($A2186,2))&gt;60),$A2186&amp;"01 1",$A2186),IF(AND(LEN($A2186)=4,VALUE(RIGHT($A2186,2))&lt;60),GUS_tabl_2!$A$8:$B$464,GUS_tabl_21!$A$5:$B$4886),2,FALSE)),LEFT(TRIM(VLOOKUP(IF(AND(LEN($A2186)=4,VALUE(RIGHT($A2186,2))&gt;60),$A2186&amp;"01 1",$A2186),IF(AND(LEN($A2186)=4,VALUE(RIGHT($A2186,2))&lt;60),GUS_tabl_2!$A$8:$B$464,GUS_tabl_21!$A$5:$B$4886),2,FALSE)),SUM(FIND("..",TRIM(VLOOKUP(IF(AND(LEN($A2186)=4,VALUE(RIGHT($A2186,2))&gt;60),$A2186&amp;"01 1",$A2186),IF(AND(LEN($A2186)=4,VALUE(RIGHT($A2186,2))&lt;60),GUS_tabl_2!$A$8:$B$464,GUS_tabl_21!$A$5:$B$4886),2,FALSE))),-1)))))</f>
        <v>gm. w. Poraj</v>
      </c>
      <c r="D2186" s="141">
        <f>IF(OR($A2186="",ISERROR(VALUE(LEFT($A2186,6)))),"",IF(LEN($A2186)=2,SUMIF($A2187:$A$2965,$A2186&amp;"??",$D2187:$D$2965),IF(AND(LEN($A2186)=4,VALUE(RIGHT($A2186,2))&lt;=60),SUMIF($A2187:$A$2965,$A2186&amp;"????",$D2187:$D$2965),VLOOKUP(IF(LEN($A2186)=4,$A2186&amp;"01 1",$A2186),GUS_tabl_21!$A$5:$F$4886,6,FALSE))))</f>
        <v>10914</v>
      </c>
      <c r="E2186" s="29"/>
    </row>
    <row r="2187" spans="1:5" ht="12" customHeight="1">
      <c r="A2187" s="155" t="str">
        <f>"240905 3"</f>
        <v>240905 3</v>
      </c>
      <c r="B2187" s="153" t="s">
        <v>80</v>
      </c>
      <c r="C2187" s="156" t="str">
        <f>IF(OR($A2187="",ISERROR(VALUE(LEFT($A2187,6)))),"",IF(LEN($A2187)=2,"WOJ. ",IF(LEN($A2187)=4,IF(VALUE(RIGHT($A2187,2))&gt;60,"","Powiat "),IF(VALUE(RIGHT($A2187,1))=1,"m. ",IF(VALUE(RIGHT($A2187,1))=2,"gm. w. ",IF(VALUE(RIGHT($A2187,1))=8,"dz. ","gm. m.-w. ")))))&amp;IF(LEN($A2187)=2,TRIM(UPPER(VLOOKUP($A2187,GUS_tabl_1!$A$7:$B$22,2,FALSE))),IF(ISERROR(FIND("..",TRIM(VLOOKUP(IF(AND(LEN($A2187)=4,VALUE(RIGHT($A2187,2))&gt;60),$A2187&amp;"01 1",$A2187),IF(AND(LEN($A2187)=4,VALUE(RIGHT($A2187,2))&lt;60),GUS_tabl_2!$A$8:$B$464,GUS_tabl_21!$A$5:$B$4886),2,FALSE)))),TRIM(VLOOKUP(IF(AND(LEN($A2187)=4,VALUE(RIGHT($A2187,2))&gt;60),$A2187&amp;"01 1",$A2187),IF(AND(LEN($A2187)=4,VALUE(RIGHT($A2187,2))&lt;60),GUS_tabl_2!$A$8:$B$464,GUS_tabl_21!$A$5:$B$4886),2,FALSE)),LEFT(TRIM(VLOOKUP(IF(AND(LEN($A2187)=4,VALUE(RIGHT($A2187,2))&gt;60),$A2187&amp;"01 1",$A2187),IF(AND(LEN($A2187)=4,VALUE(RIGHT($A2187,2))&lt;60),GUS_tabl_2!$A$8:$B$464,GUS_tabl_21!$A$5:$B$4886),2,FALSE)),SUM(FIND("..",TRIM(VLOOKUP(IF(AND(LEN($A2187)=4,VALUE(RIGHT($A2187,2))&gt;60),$A2187&amp;"01 1",$A2187),IF(AND(LEN($A2187)=4,VALUE(RIGHT($A2187,2))&lt;60),GUS_tabl_2!$A$8:$B$464,GUS_tabl_21!$A$5:$B$4886),2,FALSE))),-1)))))</f>
        <v>gm. m.-w. Żarki</v>
      </c>
      <c r="D2187" s="141">
        <f>IF(OR($A2187="",ISERROR(VALUE(LEFT($A2187,6)))),"",IF(LEN($A2187)=2,SUMIF($A2188:$A$2965,$A2187&amp;"??",$D2188:$D$2965),IF(AND(LEN($A2187)=4,VALUE(RIGHT($A2187,2))&lt;=60),SUMIF($A2188:$A$2965,$A2187&amp;"????",$D2188:$D$2965),VLOOKUP(IF(LEN($A2187)=4,$A2187&amp;"01 1",$A2187),GUS_tabl_21!$A$5:$F$4886,6,FALSE))))</f>
        <v>8453</v>
      </c>
      <c r="E2187" s="29"/>
    </row>
    <row r="2188" spans="1:5" ht="12" customHeight="1">
      <c r="A2188" s="152" t="str">
        <f>"2410"</f>
        <v>2410</v>
      </c>
      <c r="B2188" s="153" t="s">
        <v>80</v>
      </c>
      <c r="C2188" s="154" t="str">
        <f>IF(OR($A2188="",ISERROR(VALUE(LEFT($A2188,6)))),"",IF(LEN($A2188)=2,"WOJ. ",IF(LEN($A2188)=4,IF(VALUE(RIGHT($A2188,2))&gt;60,"","Powiat "),IF(VALUE(RIGHT($A2188,1))=1,"m. ",IF(VALUE(RIGHT($A2188,1))=2,"gm. w. ",IF(VALUE(RIGHT($A2188,1))=8,"dz. ","gm. m.-w. ")))))&amp;IF(LEN($A2188)=2,TRIM(UPPER(VLOOKUP($A2188,GUS_tabl_1!$A$7:$B$22,2,FALSE))),IF(ISERROR(FIND("..",TRIM(VLOOKUP(IF(AND(LEN($A2188)=4,VALUE(RIGHT($A2188,2))&gt;60),$A2188&amp;"01 1",$A2188),IF(AND(LEN($A2188)=4,VALUE(RIGHT($A2188,2))&lt;60),GUS_tabl_2!$A$8:$B$464,GUS_tabl_21!$A$5:$B$4886),2,FALSE)))),TRIM(VLOOKUP(IF(AND(LEN($A2188)=4,VALUE(RIGHT($A2188,2))&gt;60),$A2188&amp;"01 1",$A2188),IF(AND(LEN($A2188)=4,VALUE(RIGHT($A2188,2))&lt;60),GUS_tabl_2!$A$8:$B$464,GUS_tabl_21!$A$5:$B$4886),2,FALSE)),LEFT(TRIM(VLOOKUP(IF(AND(LEN($A2188)=4,VALUE(RIGHT($A2188,2))&gt;60),$A2188&amp;"01 1",$A2188),IF(AND(LEN($A2188)=4,VALUE(RIGHT($A2188,2))&lt;60),GUS_tabl_2!$A$8:$B$464,GUS_tabl_21!$A$5:$B$4886),2,FALSE)),SUM(FIND("..",TRIM(VLOOKUP(IF(AND(LEN($A2188)=4,VALUE(RIGHT($A2188,2))&gt;60),$A2188&amp;"01 1",$A2188),IF(AND(LEN($A2188)=4,VALUE(RIGHT($A2188,2))&lt;60),GUS_tabl_2!$A$8:$B$464,GUS_tabl_21!$A$5:$B$4886),2,FALSE))),-1)))))</f>
        <v>Powiat pszczyński</v>
      </c>
      <c r="D2188" s="140">
        <f>IF(OR($A2188="",ISERROR(VALUE(LEFT($A2188,6)))),"",IF(LEN($A2188)=2,SUMIF($A2189:$A$2965,$A2188&amp;"??",$D2189:$D$2965),IF(AND(LEN($A2188)=4,VALUE(RIGHT($A2188,2))&lt;=60),SUMIF($A2189:$A$2965,$A2188&amp;"????",$D2189:$D$2965),VLOOKUP(IF(LEN($A2188)=4,$A2188&amp;"01 1",$A2188),GUS_tabl_21!$A$5:$F$4886,6,FALSE))))</f>
        <v>111539</v>
      </c>
      <c r="E2188" s="29"/>
    </row>
    <row r="2189" spans="1:5" ht="12" customHeight="1">
      <c r="A2189" s="155" t="str">
        <f>"241001 2"</f>
        <v>241001 2</v>
      </c>
      <c r="B2189" s="153" t="s">
        <v>80</v>
      </c>
      <c r="C2189" s="156" t="str">
        <f>IF(OR($A2189="",ISERROR(VALUE(LEFT($A2189,6)))),"",IF(LEN($A2189)=2,"WOJ. ",IF(LEN($A2189)=4,IF(VALUE(RIGHT($A2189,2))&gt;60,"","Powiat "),IF(VALUE(RIGHT($A2189,1))=1,"m. ",IF(VALUE(RIGHT($A2189,1))=2,"gm. w. ",IF(VALUE(RIGHT($A2189,1))=8,"dz. ","gm. m.-w. ")))))&amp;IF(LEN($A2189)=2,TRIM(UPPER(VLOOKUP($A2189,GUS_tabl_1!$A$7:$B$22,2,FALSE))),IF(ISERROR(FIND("..",TRIM(VLOOKUP(IF(AND(LEN($A2189)=4,VALUE(RIGHT($A2189,2))&gt;60),$A2189&amp;"01 1",$A2189),IF(AND(LEN($A2189)=4,VALUE(RIGHT($A2189,2))&lt;60),GUS_tabl_2!$A$8:$B$464,GUS_tabl_21!$A$5:$B$4886),2,FALSE)))),TRIM(VLOOKUP(IF(AND(LEN($A2189)=4,VALUE(RIGHT($A2189,2))&gt;60),$A2189&amp;"01 1",$A2189),IF(AND(LEN($A2189)=4,VALUE(RIGHT($A2189,2))&lt;60),GUS_tabl_2!$A$8:$B$464,GUS_tabl_21!$A$5:$B$4886),2,FALSE)),LEFT(TRIM(VLOOKUP(IF(AND(LEN($A2189)=4,VALUE(RIGHT($A2189,2))&gt;60),$A2189&amp;"01 1",$A2189),IF(AND(LEN($A2189)=4,VALUE(RIGHT($A2189,2))&lt;60),GUS_tabl_2!$A$8:$B$464,GUS_tabl_21!$A$5:$B$4886),2,FALSE)),SUM(FIND("..",TRIM(VLOOKUP(IF(AND(LEN($A2189)=4,VALUE(RIGHT($A2189,2))&gt;60),$A2189&amp;"01 1",$A2189),IF(AND(LEN($A2189)=4,VALUE(RIGHT($A2189,2))&lt;60),GUS_tabl_2!$A$8:$B$464,GUS_tabl_21!$A$5:$B$4886),2,FALSE))),-1)))))</f>
        <v>gm. w. Goczałkowice-Zdrój</v>
      </c>
      <c r="D2189" s="141">
        <f>IF(OR($A2189="",ISERROR(VALUE(LEFT($A2189,6)))),"",IF(LEN($A2189)=2,SUMIF($A2190:$A$2965,$A2189&amp;"??",$D2190:$D$2965),IF(AND(LEN($A2189)=4,VALUE(RIGHT($A2189,2))&lt;=60),SUMIF($A2190:$A$2965,$A2189&amp;"????",$D2190:$D$2965),VLOOKUP(IF(LEN($A2189)=4,$A2189&amp;"01 1",$A2189),GUS_tabl_21!$A$5:$F$4886,6,FALSE))))</f>
        <v>6755</v>
      </c>
      <c r="E2189" s="29"/>
    </row>
    <row r="2190" spans="1:5" ht="12" customHeight="1">
      <c r="A2190" s="155" t="str">
        <f>"241002 2"</f>
        <v>241002 2</v>
      </c>
      <c r="B2190" s="153" t="s">
        <v>80</v>
      </c>
      <c r="C2190" s="156" t="str">
        <f>IF(OR($A2190="",ISERROR(VALUE(LEFT($A2190,6)))),"",IF(LEN($A2190)=2,"WOJ. ",IF(LEN($A2190)=4,IF(VALUE(RIGHT($A2190,2))&gt;60,"","Powiat "),IF(VALUE(RIGHT($A2190,1))=1,"m. ",IF(VALUE(RIGHT($A2190,1))=2,"gm. w. ",IF(VALUE(RIGHT($A2190,1))=8,"dz. ","gm. m.-w. ")))))&amp;IF(LEN($A2190)=2,TRIM(UPPER(VLOOKUP($A2190,GUS_tabl_1!$A$7:$B$22,2,FALSE))),IF(ISERROR(FIND("..",TRIM(VLOOKUP(IF(AND(LEN($A2190)=4,VALUE(RIGHT($A2190,2))&gt;60),$A2190&amp;"01 1",$A2190),IF(AND(LEN($A2190)=4,VALUE(RIGHT($A2190,2))&lt;60),GUS_tabl_2!$A$8:$B$464,GUS_tabl_21!$A$5:$B$4886),2,FALSE)))),TRIM(VLOOKUP(IF(AND(LEN($A2190)=4,VALUE(RIGHT($A2190,2))&gt;60),$A2190&amp;"01 1",$A2190),IF(AND(LEN($A2190)=4,VALUE(RIGHT($A2190,2))&lt;60),GUS_tabl_2!$A$8:$B$464,GUS_tabl_21!$A$5:$B$4886),2,FALSE)),LEFT(TRIM(VLOOKUP(IF(AND(LEN($A2190)=4,VALUE(RIGHT($A2190,2))&gt;60),$A2190&amp;"01 1",$A2190),IF(AND(LEN($A2190)=4,VALUE(RIGHT($A2190,2))&lt;60),GUS_tabl_2!$A$8:$B$464,GUS_tabl_21!$A$5:$B$4886),2,FALSE)),SUM(FIND("..",TRIM(VLOOKUP(IF(AND(LEN($A2190)=4,VALUE(RIGHT($A2190,2))&gt;60),$A2190&amp;"01 1",$A2190),IF(AND(LEN($A2190)=4,VALUE(RIGHT($A2190,2))&lt;60),GUS_tabl_2!$A$8:$B$464,GUS_tabl_21!$A$5:$B$4886),2,FALSE))),-1)))))</f>
        <v>gm. w. Kobiór</v>
      </c>
      <c r="D2190" s="141">
        <f>IF(OR($A2190="",ISERROR(VALUE(LEFT($A2190,6)))),"",IF(LEN($A2190)=2,SUMIF($A2191:$A$2965,$A2190&amp;"??",$D2191:$D$2965),IF(AND(LEN($A2190)=4,VALUE(RIGHT($A2190,2))&lt;=60),SUMIF($A2191:$A$2965,$A2190&amp;"????",$D2191:$D$2965),VLOOKUP(IF(LEN($A2190)=4,$A2190&amp;"01 1",$A2190),GUS_tabl_21!$A$5:$F$4886,6,FALSE))))</f>
        <v>4905</v>
      </c>
      <c r="E2190" s="29"/>
    </row>
    <row r="2191" spans="1:5" ht="12" customHeight="1">
      <c r="A2191" s="155" t="str">
        <f>"241003 2"</f>
        <v>241003 2</v>
      </c>
      <c r="B2191" s="153" t="s">
        <v>80</v>
      </c>
      <c r="C2191" s="156" t="str">
        <f>IF(OR($A2191="",ISERROR(VALUE(LEFT($A2191,6)))),"",IF(LEN($A2191)=2,"WOJ. ",IF(LEN($A2191)=4,IF(VALUE(RIGHT($A2191,2))&gt;60,"","Powiat "),IF(VALUE(RIGHT($A2191,1))=1,"m. ",IF(VALUE(RIGHT($A2191,1))=2,"gm. w. ",IF(VALUE(RIGHT($A2191,1))=8,"dz. ","gm. m.-w. ")))))&amp;IF(LEN($A2191)=2,TRIM(UPPER(VLOOKUP($A2191,GUS_tabl_1!$A$7:$B$22,2,FALSE))),IF(ISERROR(FIND("..",TRIM(VLOOKUP(IF(AND(LEN($A2191)=4,VALUE(RIGHT($A2191,2))&gt;60),$A2191&amp;"01 1",$A2191),IF(AND(LEN($A2191)=4,VALUE(RIGHT($A2191,2))&lt;60),GUS_tabl_2!$A$8:$B$464,GUS_tabl_21!$A$5:$B$4886),2,FALSE)))),TRIM(VLOOKUP(IF(AND(LEN($A2191)=4,VALUE(RIGHT($A2191,2))&gt;60),$A2191&amp;"01 1",$A2191),IF(AND(LEN($A2191)=4,VALUE(RIGHT($A2191,2))&lt;60),GUS_tabl_2!$A$8:$B$464,GUS_tabl_21!$A$5:$B$4886),2,FALSE)),LEFT(TRIM(VLOOKUP(IF(AND(LEN($A2191)=4,VALUE(RIGHT($A2191,2))&gt;60),$A2191&amp;"01 1",$A2191),IF(AND(LEN($A2191)=4,VALUE(RIGHT($A2191,2))&lt;60),GUS_tabl_2!$A$8:$B$464,GUS_tabl_21!$A$5:$B$4886),2,FALSE)),SUM(FIND("..",TRIM(VLOOKUP(IF(AND(LEN($A2191)=4,VALUE(RIGHT($A2191,2))&gt;60),$A2191&amp;"01 1",$A2191),IF(AND(LEN($A2191)=4,VALUE(RIGHT($A2191,2))&lt;60),GUS_tabl_2!$A$8:$B$464,GUS_tabl_21!$A$5:$B$4886),2,FALSE))),-1)))))</f>
        <v>gm. w. Miedźna</v>
      </c>
      <c r="D2191" s="141">
        <f>IF(OR($A2191="",ISERROR(VALUE(LEFT($A2191,6)))),"",IF(LEN($A2191)=2,SUMIF($A2192:$A$2965,$A2191&amp;"??",$D2192:$D$2965),IF(AND(LEN($A2191)=4,VALUE(RIGHT($A2191,2))&lt;=60),SUMIF($A2192:$A$2965,$A2191&amp;"????",$D2192:$D$2965),VLOOKUP(IF(LEN($A2191)=4,$A2191&amp;"01 1",$A2191),GUS_tabl_21!$A$5:$F$4886,6,FALSE))))</f>
        <v>16590</v>
      </c>
      <c r="E2191" s="29"/>
    </row>
    <row r="2192" spans="1:5" ht="12" customHeight="1">
      <c r="A2192" s="155" t="str">
        <f>"241004 2"</f>
        <v>241004 2</v>
      </c>
      <c r="B2192" s="153" t="s">
        <v>80</v>
      </c>
      <c r="C2192" s="156" t="str">
        <f>IF(OR($A2192="",ISERROR(VALUE(LEFT($A2192,6)))),"",IF(LEN($A2192)=2,"WOJ. ",IF(LEN($A2192)=4,IF(VALUE(RIGHT($A2192,2))&gt;60,"","Powiat "),IF(VALUE(RIGHT($A2192,1))=1,"m. ",IF(VALUE(RIGHT($A2192,1))=2,"gm. w. ",IF(VALUE(RIGHT($A2192,1))=8,"dz. ","gm. m.-w. ")))))&amp;IF(LEN($A2192)=2,TRIM(UPPER(VLOOKUP($A2192,GUS_tabl_1!$A$7:$B$22,2,FALSE))),IF(ISERROR(FIND("..",TRIM(VLOOKUP(IF(AND(LEN($A2192)=4,VALUE(RIGHT($A2192,2))&gt;60),$A2192&amp;"01 1",$A2192),IF(AND(LEN($A2192)=4,VALUE(RIGHT($A2192,2))&lt;60),GUS_tabl_2!$A$8:$B$464,GUS_tabl_21!$A$5:$B$4886),2,FALSE)))),TRIM(VLOOKUP(IF(AND(LEN($A2192)=4,VALUE(RIGHT($A2192,2))&gt;60),$A2192&amp;"01 1",$A2192),IF(AND(LEN($A2192)=4,VALUE(RIGHT($A2192,2))&lt;60),GUS_tabl_2!$A$8:$B$464,GUS_tabl_21!$A$5:$B$4886),2,FALSE)),LEFT(TRIM(VLOOKUP(IF(AND(LEN($A2192)=4,VALUE(RIGHT($A2192,2))&gt;60),$A2192&amp;"01 1",$A2192),IF(AND(LEN($A2192)=4,VALUE(RIGHT($A2192,2))&lt;60),GUS_tabl_2!$A$8:$B$464,GUS_tabl_21!$A$5:$B$4886),2,FALSE)),SUM(FIND("..",TRIM(VLOOKUP(IF(AND(LEN($A2192)=4,VALUE(RIGHT($A2192,2))&gt;60),$A2192&amp;"01 1",$A2192),IF(AND(LEN($A2192)=4,VALUE(RIGHT($A2192,2))&lt;60),GUS_tabl_2!$A$8:$B$464,GUS_tabl_21!$A$5:$B$4886),2,FALSE))),-1)))))</f>
        <v>gm. w. Pawłowice</v>
      </c>
      <c r="D2192" s="141">
        <f>IF(OR($A2192="",ISERROR(VALUE(LEFT($A2192,6)))),"",IF(LEN($A2192)=2,SUMIF($A2193:$A$2965,$A2192&amp;"??",$D2193:$D$2965),IF(AND(LEN($A2192)=4,VALUE(RIGHT($A2192,2))&lt;=60),SUMIF($A2193:$A$2965,$A2192&amp;"????",$D2193:$D$2965),VLOOKUP(IF(LEN($A2192)=4,$A2192&amp;"01 1",$A2192),GUS_tabl_21!$A$5:$F$4886,6,FALSE))))</f>
        <v>18172</v>
      </c>
      <c r="E2192" s="29"/>
    </row>
    <row r="2193" spans="1:5" ht="12" customHeight="1">
      <c r="A2193" s="155" t="str">
        <f>"241005 3"</f>
        <v>241005 3</v>
      </c>
      <c r="B2193" s="153" t="s">
        <v>80</v>
      </c>
      <c r="C2193" s="156" t="str">
        <f>IF(OR($A2193="",ISERROR(VALUE(LEFT($A2193,6)))),"",IF(LEN($A2193)=2,"WOJ. ",IF(LEN($A2193)=4,IF(VALUE(RIGHT($A2193,2))&gt;60,"","Powiat "),IF(VALUE(RIGHT($A2193,1))=1,"m. ",IF(VALUE(RIGHT($A2193,1))=2,"gm. w. ",IF(VALUE(RIGHT($A2193,1))=8,"dz. ","gm. m.-w. ")))))&amp;IF(LEN($A2193)=2,TRIM(UPPER(VLOOKUP($A2193,GUS_tabl_1!$A$7:$B$22,2,FALSE))),IF(ISERROR(FIND("..",TRIM(VLOOKUP(IF(AND(LEN($A2193)=4,VALUE(RIGHT($A2193,2))&gt;60),$A2193&amp;"01 1",$A2193),IF(AND(LEN($A2193)=4,VALUE(RIGHT($A2193,2))&lt;60),GUS_tabl_2!$A$8:$B$464,GUS_tabl_21!$A$5:$B$4886),2,FALSE)))),TRIM(VLOOKUP(IF(AND(LEN($A2193)=4,VALUE(RIGHT($A2193,2))&gt;60),$A2193&amp;"01 1",$A2193),IF(AND(LEN($A2193)=4,VALUE(RIGHT($A2193,2))&lt;60),GUS_tabl_2!$A$8:$B$464,GUS_tabl_21!$A$5:$B$4886),2,FALSE)),LEFT(TRIM(VLOOKUP(IF(AND(LEN($A2193)=4,VALUE(RIGHT($A2193,2))&gt;60),$A2193&amp;"01 1",$A2193),IF(AND(LEN($A2193)=4,VALUE(RIGHT($A2193,2))&lt;60),GUS_tabl_2!$A$8:$B$464,GUS_tabl_21!$A$5:$B$4886),2,FALSE)),SUM(FIND("..",TRIM(VLOOKUP(IF(AND(LEN($A2193)=4,VALUE(RIGHT($A2193,2))&gt;60),$A2193&amp;"01 1",$A2193),IF(AND(LEN($A2193)=4,VALUE(RIGHT($A2193,2))&lt;60),GUS_tabl_2!$A$8:$B$464,GUS_tabl_21!$A$5:$B$4886),2,FALSE))),-1)))))</f>
        <v>gm. m.-w. Pszczyna</v>
      </c>
      <c r="D2193" s="141">
        <f>IF(OR($A2193="",ISERROR(VALUE(LEFT($A2193,6)))),"",IF(LEN($A2193)=2,SUMIF($A2194:$A$2965,$A2193&amp;"??",$D2194:$D$2965),IF(AND(LEN($A2193)=4,VALUE(RIGHT($A2193,2))&lt;=60),SUMIF($A2194:$A$2965,$A2193&amp;"????",$D2194:$D$2965),VLOOKUP(IF(LEN($A2193)=4,$A2193&amp;"01 1",$A2193),GUS_tabl_21!$A$5:$F$4886,6,FALSE))))</f>
        <v>52770</v>
      </c>
      <c r="E2193" s="29"/>
    </row>
    <row r="2194" spans="1:5" ht="12" customHeight="1">
      <c r="A2194" s="155" t="str">
        <f>"241006 2"</f>
        <v>241006 2</v>
      </c>
      <c r="B2194" s="153" t="s">
        <v>80</v>
      </c>
      <c r="C2194" s="156" t="str">
        <f>IF(OR($A2194="",ISERROR(VALUE(LEFT($A2194,6)))),"",IF(LEN($A2194)=2,"WOJ. ",IF(LEN($A2194)=4,IF(VALUE(RIGHT($A2194,2))&gt;60,"","Powiat "),IF(VALUE(RIGHT($A2194,1))=1,"m. ",IF(VALUE(RIGHT($A2194,1))=2,"gm. w. ",IF(VALUE(RIGHT($A2194,1))=8,"dz. ","gm. m.-w. ")))))&amp;IF(LEN($A2194)=2,TRIM(UPPER(VLOOKUP($A2194,GUS_tabl_1!$A$7:$B$22,2,FALSE))),IF(ISERROR(FIND("..",TRIM(VLOOKUP(IF(AND(LEN($A2194)=4,VALUE(RIGHT($A2194,2))&gt;60),$A2194&amp;"01 1",$A2194),IF(AND(LEN($A2194)=4,VALUE(RIGHT($A2194,2))&lt;60),GUS_tabl_2!$A$8:$B$464,GUS_tabl_21!$A$5:$B$4886),2,FALSE)))),TRIM(VLOOKUP(IF(AND(LEN($A2194)=4,VALUE(RIGHT($A2194,2))&gt;60),$A2194&amp;"01 1",$A2194),IF(AND(LEN($A2194)=4,VALUE(RIGHT($A2194,2))&lt;60),GUS_tabl_2!$A$8:$B$464,GUS_tabl_21!$A$5:$B$4886),2,FALSE)),LEFT(TRIM(VLOOKUP(IF(AND(LEN($A2194)=4,VALUE(RIGHT($A2194,2))&gt;60),$A2194&amp;"01 1",$A2194),IF(AND(LEN($A2194)=4,VALUE(RIGHT($A2194,2))&lt;60),GUS_tabl_2!$A$8:$B$464,GUS_tabl_21!$A$5:$B$4886),2,FALSE)),SUM(FIND("..",TRIM(VLOOKUP(IF(AND(LEN($A2194)=4,VALUE(RIGHT($A2194,2))&gt;60),$A2194&amp;"01 1",$A2194),IF(AND(LEN($A2194)=4,VALUE(RIGHT($A2194,2))&lt;60),GUS_tabl_2!$A$8:$B$464,GUS_tabl_21!$A$5:$B$4886),2,FALSE))),-1)))))</f>
        <v>gm. w. Suszec</v>
      </c>
      <c r="D2194" s="141">
        <f>IF(OR($A2194="",ISERROR(VALUE(LEFT($A2194,6)))),"",IF(LEN($A2194)=2,SUMIF($A2195:$A$2965,$A2194&amp;"??",$D2195:$D$2965),IF(AND(LEN($A2194)=4,VALUE(RIGHT($A2194,2))&lt;=60),SUMIF($A2195:$A$2965,$A2194&amp;"????",$D2195:$D$2965),VLOOKUP(IF(LEN($A2194)=4,$A2194&amp;"01 1",$A2194),GUS_tabl_21!$A$5:$F$4886,6,FALSE))))</f>
        <v>12347</v>
      </c>
      <c r="E2194" s="29"/>
    </row>
    <row r="2195" spans="1:5" ht="12" customHeight="1">
      <c r="A2195" s="152" t="str">
        <f>"2411"</f>
        <v>2411</v>
      </c>
      <c r="B2195" s="153" t="s">
        <v>80</v>
      </c>
      <c r="C2195" s="154" t="str">
        <f>IF(OR($A2195="",ISERROR(VALUE(LEFT($A2195,6)))),"",IF(LEN($A2195)=2,"WOJ. ",IF(LEN($A2195)=4,IF(VALUE(RIGHT($A2195,2))&gt;60,"","Powiat "),IF(VALUE(RIGHT($A2195,1))=1,"m. ",IF(VALUE(RIGHT($A2195,1))=2,"gm. w. ",IF(VALUE(RIGHT($A2195,1))=8,"dz. ","gm. m.-w. ")))))&amp;IF(LEN($A2195)=2,TRIM(UPPER(VLOOKUP($A2195,GUS_tabl_1!$A$7:$B$22,2,FALSE))),IF(ISERROR(FIND("..",TRIM(VLOOKUP(IF(AND(LEN($A2195)=4,VALUE(RIGHT($A2195,2))&gt;60),$A2195&amp;"01 1",$A2195),IF(AND(LEN($A2195)=4,VALUE(RIGHT($A2195,2))&lt;60),GUS_tabl_2!$A$8:$B$464,GUS_tabl_21!$A$5:$B$4886),2,FALSE)))),TRIM(VLOOKUP(IF(AND(LEN($A2195)=4,VALUE(RIGHT($A2195,2))&gt;60),$A2195&amp;"01 1",$A2195),IF(AND(LEN($A2195)=4,VALUE(RIGHT($A2195,2))&lt;60),GUS_tabl_2!$A$8:$B$464,GUS_tabl_21!$A$5:$B$4886),2,FALSE)),LEFT(TRIM(VLOOKUP(IF(AND(LEN($A2195)=4,VALUE(RIGHT($A2195,2))&gt;60),$A2195&amp;"01 1",$A2195),IF(AND(LEN($A2195)=4,VALUE(RIGHT($A2195,2))&lt;60),GUS_tabl_2!$A$8:$B$464,GUS_tabl_21!$A$5:$B$4886),2,FALSE)),SUM(FIND("..",TRIM(VLOOKUP(IF(AND(LEN($A2195)=4,VALUE(RIGHT($A2195,2))&gt;60),$A2195&amp;"01 1",$A2195),IF(AND(LEN($A2195)=4,VALUE(RIGHT($A2195,2))&lt;60),GUS_tabl_2!$A$8:$B$464,GUS_tabl_21!$A$5:$B$4886),2,FALSE))),-1)))))</f>
        <v>Powiat raciborski</v>
      </c>
      <c r="D2195" s="140">
        <f>IF(OR($A2195="",ISERROR(VALUE(LEFT($A2195,6)))),"",IF(LEN($A2195)=2,SUMIF($A2196:$A$2965,$A2195&amp;"??",$D2196:$D$2965),IF(AND(LEN($A2195)=4,VALUE(RIGHT($A2195,2))&lt;=60),SUMIF($A2196:$A$2965,$A2195&amp;"????",$D2196:$D$2965),VLOOKUP(IF(LEN($A2195)=4,$A2195&amp;"01 1",$A2195),GUS_tabl_21!$A$5:$F$4886,6,FALSE))))</f>
        <v>108211</v>
      </c>
      <c r="E2195" s="29"/>
    </row>
    <row r="2196" spans="1:5" ht="12" customHeight="1">
      <c r="A2196" s="155" t="str">
        <f>"241101 1"</f>
        <v>241101 1</v>
      </c>
      <c r="B2196" s="153" t="s">
        <v>80</v>
      </c>
      <c r="C2196" s="156" t="str">
        <f>IF(OR($A2196="",ISERROR(VALUE(LEFT($A2196,6)))),"",IF(LEN($A2196)=2,"WOJ. ",IF(LEN($A2196)=4,IF(VALUE(RIGHT($A2196,2))&gt;60,"","Powiat "),IF(VALUE(RIGHT($A2196,1))=1,"m. ",IF(VALUE(RIGHT($A2196,1))=2,"gm. w. ",IF(VALUE(RIGHT($A2196,1))=8,"dz. ","gm. m.-w. ")))))&amp;IF(LEN($A2196)=2,TRIM(UPPER(VLOOKUP($A2196,GUS_tabl_1!$A$7:$B$22,2,FALSE))),IF(ISERROR(FIND("..",TRIM(VLOOKUP(IF(AND(LEN($A2196)=4,VALUE(RIGHT($A2196,2))&gt;60),$A2196&amp;"01 1",$A2196),IF(AND(LEN($A2196)=4,VALUE(RIGHT($A2196,2))&lt;60),GUS_tabl_2!$A$8:$B$464,GUS_tabl_21!$A$5:$B$4886),2,FALSE)))),TRIM(VLOOKUP(IF(AND(LEN($A2196)=4,VALUE(RIGHT($A2196,2))&gt;60),$A2196&amp;"01 1",$A2196),IF(AND(LEN($A2196)=4,VALUE(RIGHT($A2196,2))&lt;60),GUS_tabl_2!$A$8:$B$464,GUS_tabl_21!$A$5:$B$4886),2,FALSE)),LEFT(TRIM(VLOOKUP(IF(AND(LEN($A2196)=4,VALUE(RIGHT($A2196,2))&gt;60),$A2196&amp;"01 1",$A2196),IF(AND(LEN($A2196)=4,VALUE(RIGHT($A2196,2))&lt;60),GUS_tabl_2!$A$8:$B$464,GUS_tabl_21!$A$5:$B$4886),2,FALSE)),SUM(FIND("..",TRIM(VLOOKUP(IF(AND(LEN($A2196)=4,VALUE(RIGHT($A2196,2))&gt;60),$A2196&amp;"01 1",$A2196),IF(AND(LEN($A2196)=4,VALUE(RIGHT($A2196,2))&lt;60),GUS_tabl_2!$A$8:$B$464,GUS_tabl_21!$A$5:$B$4886),2,FALSE))),-1)))))</f>
        <v>m. Racibórz</v>
      </c>
      <c r="D2196" s="141">
        <f>IF(OR($A2196="",ISERROR(VALUE(LEFT($A2196,6)))),"",IF(LEN($A2196)=2,SUMIF($A2197:$A$2965,$A2196&amp;"??",$D2197:$D$2965),IF(AND(LEN($A2196)=4,VALUE(RIGHT($A2196,2))&lt;=60),SUMIF($A2197:$A$2965,$A2196&amp;"????",$D2197:$D$2965),VLOOKUP(IF(LEN($A2196)=4,$A2196&amp;"01 1",$A2196),GUS_tabl_21!$A$5:$F$4886,6,FALSE))))</f>
        <v>54739</v>
      </c>
      <c r="E2196" s="29"/>
    </row>
    <row r="2197" spans="1:5" ht="12" customHeight="1">
      <c r="A2197" s="155" t="str">
        <f>"241102 2"</f>
        <v>241102 2</v>
      </c>
      <c r="B2197" s="153" t="s">
        <v>80</v>
      </c>
      <c r="C2197" s="156" t="str">
        <f>IF(OR($A2197="",ISERROR(VALUE(LEFT($A2197,6)))),"",IF(LEN($A2197)=2,"WOJ. ",IF(LEN($A2197)=4,IF(VALUE(RIGHT($A2197,2))&gt;60,"","Powiat "),IF(VALUE(RIGHT($A2197,1))=1,"m. ",IF(VALUE(RIGHT($A2197,1))=2,"gm. w. ",IF(VALUE(RIGHT($A2197,1))=8,"dz. ","gm. m.-w. ")))))&amp;IF(LEN($A2197)=2,TRIM(UPPER(VLOOKUP($A2197,GUS_tabl_1!$A$7:$B$22,2,FALSE))),IF(ISERROR(FIND("..",TRIM(VLOOKUP(IF(AND(LEN($A2197)=4,VALUE(RIGHT($A2197,2))&gt;60),$A2197&amp;"01 1",$A2197),IF(AND(LEN($A2197)=4,VALUE(RIGHT($A2197,2))&lt;60),GUS_tabl_2!$A$8:$B$464,GUS_tabl_21!$A$5:$B$4886),2,FALSE)))),TRIM(VLOOKUP(IF(AND(LEN($A2197)=4,VALUE(RIGHT($A2197,2))&gt;60),$A2197&amp;"01 1",$A2197),IF(AND(LEN($A2197)=4,VALUE(RIGHT($A2197,2))&lt;60),GUS_tabl_2!$A$8:$B$464,GUS_tabl_21!$A$5:$B$4886),2,FALSE)),LEFT(TRIM(VLOOKUP(IF(AND(LEN($A2197)=4,VALUE(RIGHT($A2197,2))&gt;60),$A2197&amp;"01 1",$A2197),IF(AND(LEN($A2197)=4,VALUE(RIGHT($A2197,2))&lt;60),GUS_tabl_2!$A$8:$B$464,GUS_tabl_21!$A$5:$B$4886),2,FALSE)),SUM(FIND("..",TRIM(VLOOKUP(IF(AND(LEN($A2197)=4,VALUE(RIGHT($A2197,2))&gt;60),$A2197&amp;"01 1",$A2197),IF(AND(LEN($A2197)=4,VALUE(RIGHT($A2197,2))&lt;60),GUS_tabl_2!$A$8:$B$464,GUS_tabl_21!$A$5:$B$4886),2,FALSE))),-1)))))</f>
        <v>gm. w. Kornowac</v>
      </c>
      <c r="D2197" s="141">
        <f>IF(OR($A2197="",ISERROR(VALUE(LEFT($A2197,6)))),"",IF(LEN($A2197)=2,SUMIF($A2198:$A$2965,$A2197&amp;"??",$D2198:$D$2965),IF(AND(LEN($A2197)=4,VALUE(RIGHT($A2197,2))&lt;=60),SUMIF($A2198:$A$2965,$A2197&amp;"????",$D2198:$D$2965),VLOOKUP(IF(LEN($A2197)=4,$A2197&amp;"01 1",$A2197),GUS_tabl_21!$A$5:$F$4886,6,FALSE))))</f>
        <v>5159</v>
      </c>
      <c r="E2197" s="29"/>
    </row>
    <row r="2198" spans="1:5" ht="12" customHeight="1">
      <c r="A2198" s="155" t="str">
        <f>"241103 3"</f>
        <v>241103 3</v>
      </c>
      <c r="B2198" s="153" t="s">
        <v>80</v>
      </c>
      <c r="C2198" s="156" t="str">
        <f>IF(OR($A2198="",ISERROR(VALUE(LEFT($A2198,6)))),"",IF(LEN($A2198)=2,"WOJ. ",IF(LEN($A2198)=4,IF(VALUE(RIGHT($A2198,2))&gt;60,"","Powiat "),IF(VALUE(RIGHT($A2198,1))=1,"m. ",IF(VALUE(RIGHT($A2198,1))=2,"gm. w. ",IF(VALUE(RIGHT($A2198,1))=8,"dz. ","gm. m.-w. ")))))&amp;IF(LEN($A2198)=2,TRIM(UPPER(VLOOKUP($A2198,GUS_tabl_1!$A$7:$B$22,2,FALSE))),IF(ISERROR(FIND("..",TRIM(VLOOKUP(IF(AND(LEN($A2198)=4,VALUE(RIGHT($A2198,2))&gt;60),$A2198&amp;"01 1",$A2198),IF(AND(LEN($A2198)=4,VALUE(RIGHT($A2198,2))&lt;60),GUS_tabl_2!$A$8:$B$464,GUS_tabl_21!$A$5:$B$4886),2,FALSE)))),TRIM(VLOOKUP(IF(AND(LEN($A2198)=4,VALUE(RIGHT($A2198,2))&gt;60),$A2198&amp;"01 1",$A2198),IF(AND(LEN($A2198)=4,VALUE(RIGHT($A2198,2))&lt;60),GUS_tabl_2!$A$8:$B$464,GUS_tabl_21!$A$5:$B$4886),2,FALSE)),LEFT(TRIM(VLOOKUP(IF(AND(LEN($A2198)=4,VALUE(RIGHT($A2198,2))&gt;60),$A2198&amp;"01 1",$A2198),IF(AND(LEN($A2198)=4,VALUE(RIGHT($A2198,2))&lt;60),GUS_tabl_2!$A$8:$B$464,GUS_tabl_21!$A$5:$B$4886),2,FALSE)),SUM(FIND("..",TRIM(VLOOKUP(IF(AND(LEN($A2198)=4,VALUE(RIGHT($A2198,2))&gt;60),$A2198&amp;"01 1",$A2198),IF(AND(LEN($A2198)=4,VALUE(RIGHT($A2198,2))&lt;60),GUS_tabl_2!$A$8:$B$464,GUS_tabl_21!$A$5:$B$4886),2,FALSE))),-1)))))</f>
        <v>gm. m.-w. Krzanowice</v>
      </c>
      <c r="D2198" s="141">
        <f>IF(OR($A2198="",ISERROR(VALUE(LEFT($A2198,6)))),"",IF(LEN($A2198)=2,SUMIF($A2199:$A$2965,$A2198&amp;"??",$D2199:$D$2965),IF(AND(LEN($A2198)=4,VALUE(RIGHT($A2198,2))&lt;=60),SUMIF($A2199:$A$2965,$A2198&amp;"????",$D2199:$D$2965),VLOOKUP(IF(LEN($A2198)=4,$A2198&amp;"01 1",$A2198),GUS_tabl_21!$A$5:$F$4886,6,FALSE))))</f>
        <v>5742</v>
      </c>
      <c r="E2198" s="29"/>
    </row>
    <row r="2199" spans="1:5" ht="12" customHeight="1">
      <c r="A2199" s="155" t="str">
        <f>"241104 2"</f>
        <v>241104 2</v>
      </c>
      <c r="B2199" s="153" t="s">
        <v>80</v>
      </c>
      <c r="C2199" s="156" t="str">
        <f>IF(OR($A2199="",ISERROR(VALUE(LEFT($A2199,6)))),"",IF(LEN($A2199)=2,"WOJ. ",IF(LEN($A2199)=4,IF(VALUE(RIGHT($A2199,2))&gt;60,"","Powiat "),IF(VALUE(RIGHT($A2199,1))=1,"m. ",IF(VALUE(RIGHT($A2199,1))=2,"gm. w. ",IF(VALUE(RIGHT($A2199,1))=8,"dz. ","gm. m.-w. ")))))&amp;IF(LEN($A2199)=2,TRIM(UPPER(VLOOKUP($A2199,GUS_tabl_1!$A$7:$B$22,2,FALSE))),IF(ISERROR(FIND("..",TRIM(VLOOKUP(IF(AND(LEN($A2199)=4,VALUE(RIGHT($A2199,2))&gt;60),$A2199&amp;"01 1",$A2199),IF(AND(LEN($A2199)=4,VALUE(RIGHT($A2199,2))&lt;60),GUS_tabl_2!$A$8:$B$464,GUS_tabl_21!$A$5:$B$4886),2,FALSE)))),TRIM(VLOOKUP(IF(AND(LEN($A2199)=4,VALUE(RIGHT($A2199,2))&gt;60),$A2199&amp;"01 1",$A2199),IF(AND(LEN($A2199)=4,VALUE(RIGHT($A2199,2))&lt;60),GUS_tabl_2!$A$8:$B$464,GUS_tabl_21!$A$5:$B$4886),2,FALSE)),LEFT(TRIM(VLOOKUP(IF(AND(LEN($A2199)=4,VALUE(RIGHT($A2199,2))&gt;60),$A2199&amp;"01 1",$A2199),IF(AND(LEN($A2199)=4,VALUE(RIGHT($A2199,2))&lt;60),GUS_tabl_2!$A$8:$B$464,GUS_tabl_21!$A$5:$B$4886),2,FALSE)),SUM(FIND("..",TRIM(VLOOKUP(IF(AND(LEN($A2199)=4,VALUE(RIGHT($A2199,2))&gt;60),$A2199&amp;"01 1",$A2199),IF(AND(LEN($A2199)=4,VALUE(RIGHT($A2199,2))&lt;60),GUS_tabl_2!$A$8:$B$464,GUS_tabl_21!$A$5:$B$4886),2,FALSE))),-1)))))</f>
        <v>gm. w. Krzyżanowice</v>
      </c>
      <c r="D2199" s="141">
        <f>IF(OR($A2199="",ISERROR(VALUE(LEFT($A2199,6)))),"",IF(LEN($A2199)=2,SUMIF($A2200:$A$2965,$A2199&amp;"??",$D2200:$D$2965),IF(AND(LEN($A2199)=4,VALUE(RIGHT($A2199,2))&lt;=60),SUMIF($A2200:$A$2965,$A2199&amp;"????",$D2200:$D$2965),VLOOKUP(IF(LEN($A2199)=4,$A2199&amp;"01 1",$A2199),GUS_tabl_21!$A$5:$F$4886,6,FALSE))))</f>
        <v>11274</v>
      </c>
      <c r="E2199" s="29"/>
    </row>
    <row r="2200" spans="1:5" ht="12" customHeight="1">
      <c r="A2200" s="155" t="str">
        <f>"241105 3"</f>
        <v>241105 3</v>
      </c>
      <c r="B2200" s="153" t="s">
        <v>80</v>
      </c>
      <c r="C2200" s="156" t="str">
        <f>IF(OR($A2200="",ISERROR(VALUE(LEFT($A2200,6)))),"",IF(LEN($A2200)=2,"WOJ. ",IF(LEN($A2200)=4,IF(VALUE(RIGHT($A2200,2))&gt;60,"","Powiat "),IF(VALUE(RIGHT($A2200,1))=1,"m. ",IF(VALUE(RIGHT($A2200,1))=2,"gm. w. ",IF(VALUE(RIGHT($A2200,1))=8,"dz. ","gm. m.-w. ")))))&amp;IF(LEN($A2200)=2,TRIM(UPPER(VLOOKUP($A2200,GUS_tabl_1!$A$7:$B$22,2,FALSE))),IF(ISERROR(FIND("..",TRIM(VLOOKUP(IF(AND(LEN($A2200)=4,VALUE(RIGHT($A2200,2))&gt;60),$A2200&amp;"01 1",$A2200),IF(AND(LEN($A2200)=4,VALUE(RIGHT($A2200,2))&lt;60),GUS_tabl_2!$A$8:$B$464,GUS_tabl_21!$A$5:$B$4886),2,FALSE)))),TRIM(VLOOKUP(IF(AND(LEN($A2200)=4,VALUE(RIGHT($A2200,2))&gt;60),$A2200&amp;"01 1",$A2200),IF(AND(LEN($A2200)=4,VALUE(RIGHT($A2200,2))&lt;60),GUS_tabl_2!$A$8:$B$464,GUS_tabl_21!$A$5:$B$4886),2,FALSE)),LEFT(TRIM(VLOOKUP(IF(AND(LEN($A2200)=4,VALUE(RIGHT($A2200,2))&gt;60),$A2200&amp;"01 1",$A2200),IF(AND(LEN($A2200)=4,VALUE(RIGHT($A2200,2))&lt;60),GUS_tabl_2!$A$8:$B$464,GUS_tabl_21!$A$5:$B$4886),2,FALSE)),SUM(FIND("..",TRIM(VLOOKUP(IF(AND(LEN($A2200)=4,VALUE(RIGHT($A2200,2))&gt;60),$A2200&amp;"01 1",$A2200),IF(AND(LEN($A2200)=4,VALUE(RIGHT($A2200,2))&lt;60),GUS_tabl_2!$A$8:$B$464,GUS_tabl_21!$A$5:$B$4886),2,FALSE))),-1)))))</f>
        <v>gm. m.-w. Kuźnia Raciborska</v>
      </c>
      <c r="D2200" s="141">
        <f>IF(OR($A2200="",ISERROR(VALUE(LEFT($A2200,6)))),"",IF(LEN($A2200)=2,SUMIF($A2201:$A$2965,$A2200&amp;"??",$D2201:$D$2965),IF(AND(LEN($A2200)=4,VALUE(RIGHT($A2200,2))&lt;=60),SUMIF($A2201:$A$2965,$A2200&amp;"????",$D2201:$D$2965),VLOOKUP(IF(LEN($A2200)=4,$A2200&amp;"01 1",$A2200),GUS_tabl_21!$A$5:$F$4886,6,FALSE))))</f>
        <v>11768</v>
      </c>
      <c r="E2200" s="29"/>
    </row>
    <row r="2201" spans="1:5" ht="12" customHeight="1">
      <c r="A2201" s="155" t="str">
        <f>"241106 2"</f>
        <v>241106 2</v>
      </c>
      <c r="B2201" s="153" t="s">
        <v>80</v>
      </c>
      <c r="C2201" s="156" t="str">
        <f>IF(OR($A2201="",ISERROR(VALUE(LEFT($A2201,6)))),"",IF(LEN($A2201)=2,"WOJ. ",IF(LEN($A2201)=4,IF(VALUE(RIGHT($A2201,2))&gt;60,"","Powiat "),IF(VALUE(RIGHT($A2201,1))=1,"m. ",IF(VALUE(RIGHT($A2201,1))=2,"gm. w. ",IF(VALUE(RIGHT($A2201,1))=8,"dz. ","gm. m.-w. ")))))&amp;IF(LEN($A2201)=2,TRIM(UPPER(VLOOKUP($A2201,GUS_tabl_1!$A$7:$B$22,2,FALSE))),IF(ISERROR(FIND("..",TRIM(VLOOKUP(IF(AND(LEN($A2201)=4,VALUE(RIGHT($A2201,2))&gt;60),$A2201&amp;"01 1",$A2201),IF(AND(LEN($A2201)=4,VALUE(RIGHT($A2201,2))&lt;60),GUS_tabl_2!$A$8:$B$464,GUS_tabl_21!$A$5:$B$4886),2,FALSE)))),TRIM(VLOOKUP(IF(AND(LEN($A2201)=4,VALUE(RIGHT($A2201,2))&gt;60),$A2201&amp;"01 1",$A2201),IF(AND(LEN($A2201)=4,VALUE(RIGHT($A2201,2))&lt;60),GUS_tabl_2!$A$8:$B$464,GUS_tabl_21!$A$5:$B$4886),2,FALSE)),LEFT(TRIM(VLOOKUP(IF(AND(LEN($A2201)=4,VALUE(RIGHT($A2201,2))&gt;60),$A2201&amp;"01 1",$A2201),IF(AND(LEN($A2201)=4,VALUE(RIGHT($A2201,2))&lt;60),GUS_tabl_2!$A$8:$B$464,GUS_tabl_21!$A$5:$B$4886),2,FALSE)),SUM(FIND("..",TRIM(VLOOKUP(IF(AND(LEN($A2201)=4,VALUE(RIGHT($A2201,2))&gt;60),$A2201&amp;"01 1",$A2201),IF(AND(LEN($A2201)=4,VALUE(RIGHT($A2201,2))&lt;60),GUS_tabl_2!$A$8:$B$464,GUS_tabl_21!$A$5:$B$4886),2,FALSE))),-1)))))</f>
        <v>gm. w. Nędza</v>
      </c>
      <c r="D2201" s="141">
        <f>IF(OR($A2201="",ISERROR(VALUE(LEFT($A2201,6)))),"",IF(LEN($A2201)=2,SUMIF($A2202:$A$2965,$A2201&amp;"??",$D2202:$D$2965),IF(AND(LEN($A2201)=4,VALUE(RIGHT($A2201,2))&lt;=60),SUMIF($A2202:$A$2965,$A2201&amp;"????",$D2202:$D$2965),VLOOKUP(IF(LEN($A2201)=4,$A2201&amp;"01 1",$A2201),GUS_tabl_21!$A$5:$F$4886,6,FALSE))))</f>
        <v>7453</v>
      </c>
      <c r="E2201" s="29"/>
    </row>
    <row r="2202" spans="1:5" ht="12" customHeight="1">
      <c r="A2202" s="155" t="str">
        <f>"241107 2"</f>
        <v>241107 2</v>
      </c>
      <c r="B2202" s="153" t="s">
        <v>80</v>
      </c>
      <c r="C2202" s="156" t="str">
        <f>IF(OR($A2202="",ISERROR(VALUE(LEFT($A2202,6)))),"",IF(LEN($A2202)=2,"WOJ. ",IF(LEN($A2202)=4,IF(VALUE(RIGHT($A2202,2))&gt;60,"","Powiat "),IF(VALUE(RIGHT($A2202,1))=1,"m. ",IF(VALUE(RIGHT($A2202,1))=2,"gm. w. ",IF(VALUE(RIGHT($A2202,1))=8,"dz. ","gm. m.-w. ")))))&amp;IF(LEN($A2202)=2,TRIM(UPPER(VLOOKUP($A2202,GUS_tabl_1!$A$7:$B$22,2,FALSE))),IF(ISERROR(FIND("..",TRIM(VLOOKUP(IF(AND(LEN($A2202)=4,VALUE(RIGHT($A2202,2))&gt;60),$A2202&amp;"01 1",$A2202),IF(AND(LEN($A2202)=4,VALUE(RIGHT($A2202,2))&lt;60),GUS_tabl_2!$A$8:$B$464,GUS_tabl_21!$A$5:$B$4886),2,FALSE)))),TRIM(VLOOKUP(IF(AND(LEN($A2202)=4,VALUE(RIGHT($A2202,2))&gt;60),$A2202&amp;"01 1",$A2202),IF(AND(LEN($A2202)=4,VALUE(RIGHT($A2202,2))&lt;60),GUS_tabl_2!$A$8:$B$464,GUS_tabl_21!$A$5:$B$4886),2,FALSE)),LEFT(TRIM(VLOOKUP(IF(AND(LEN($A2202)=4,VALUE(RIGHT($A2202,2))&gt;60),$A2202&amp;"01 1",$A2202),IF(AND(LEN($A2202)=4,VALUE(RIGHT($A2202,2))&lt;60),GUS_tabl_2!$A$8:$B$464,GUS_tabl_21!$A$5:$B$4886),2,FALSE)),SUM(FIND("..",TRIM(VLOOKUP(IF(AND(LEN($A2202)=4,VALUE(RIGHT($A2202,2))&gt;60),$A2202&amp;"01 1",$A2202),IF(AND(LEN($A2202)=4,VALUE(RIGHT($A2202,2))&lt;60),GUS_tabl_2!$A$8:$B$464,GUS_tabl_21!$A$5:$B$4886),2,FALSE))),-1)))))</f>
        <v>gm. w. Pietrowice Wielkie</v>
      </c>
      <c r="D2202" s="141">
        <f>IF(OR($A2202="",ISERROR(VALUE(LEFT($A2202,6)))),"",IF(LEN($A2202)=2,SUMIF($A2203:$A$2965,$A2202&amp;"??",$D2203:$D$2965),IF(AND(LEN($A2202)=4,VALUE(RIGHT($A2202,2))&lt;=60),SUMIF($A2203:$A$2965,$A2202&amp;"????",$D2203:$D$2965),VLOOKUP(IF(LEN($A2202)=4,$A2202&amp;"01 1",$A2202),GUS_tabl_21!$A$5:$F$4886,6,FALSE))))</f>
        <v>6883</v>
      </c>
      <c r="E2202" s="29"/>
    </row>
    <row r="2203" spans="1:5" ht="12" customHeight="1">
      <c r="A2203" s="155" t="str">
        <f>"241108 2"</f>
        <v>241108 2</v>
      </c>
      <c r="B2203" s="153" t="s">
        <v>80</v>
      </c>
      <c r="C2203" s="156" t="str">
        <f>IF(OR($A2203="",ISERROR(VALUE(LEFT($A2203,6)))),"",IF(LEN($A2203)=2,"WOJ. ",IF(LEN($A2203)=4,IF(VALUE(RIGHT($A2203,2))&gt;60,"","Powiat "),IF(VALUE(RIGHT($A2203,1))=1,"m. ",IF(VALUE(RIGHT($A2203,1))=2,"gm. w. ",IF(VALUE(RIGHT($A2203,1))=8,"dz. ","gm. m.-w. ")))))&amp;IF(LEN($A2203)=2,TRIM(UPPER(VLOOKUP($A2203,GUS_tabl_1!$A$7:$B$22,2,FALSE))),IF(ISERROR(FIND("..",TRIM(VLOOKUP(IF(AND(LEN($A2203)=4,VALUE(RIGHT($A2203,2))&gt;60),$A2203&amp;"01 1",$A2203),IF(AND(LEN($A2203)=4,VALUE(RIGHT($A2203,2))&lt;60),GUS_tabl_2!$A$8:$B$464,GUS_tabl_21!$A$5:$B$4886),2,FALSE)))),TRIM(VLOOKUP(IF(AND(LEN($A2203)=4,VALUE(RIGHT($A2203,2))&gt;60),$A2203&amp;"01 1",$A2203),IF(AND(LEN($A2203)=4,VALUE(RIGHT($A2203,2))&lt;60),GUS_tabl_2!$A$8:$B$464,GUS_tabl_21!$A$5:$B$4886),2,FALSE)),LEFT(TRIM(VLOOKUP(IF(AND(LEN($A2203)=4,VALUE(RIGHT($A2203,2))&gt;60),$A2203&amp;"01 1",$A2203),IF(AND(LEN($A2203)=4,VALUE(RIGHT($A2203,2))&lt;60),GUS_tabl_2!$A$8:$B$464,GUS_tabl_21!$A$5:$B$4886),2,FALSE)),SUM(FIND("..",TRIM(VLOOKUP(IF(AND(LEN($A2203)=4,VALUE(RIGHT($A2203,2))&gt;60),$A2203&amp;"01 1",$A2203),IF(AND(LEN($A2203)=4,VALUE(RIGHT($A2203,2))&lt;60),GUS_tabl_2!$A$8:$B$464,GUS_tabl_21!$A$5:$B$4886),2,FALSE))),-1)))))</f>
        <v>gm. w. Rudnik</v>
      </c>
      <c r="D2203" s="141">
        <f>IF(OR($A2203="",ISERROR(VALUE(LEFT($A2203,6)))),"",IF(LEN($A2203)=2,SUMIF($A2204:$A$2965,$A2203&amp;"??",$D2204:$D$2965),IF(AND(LEN($A2203)=4,VALUE(RIGHT($A2203,2))&lt;=60),SUMIF($A2204:$A$2965,$A2203&amp;"????",$D2204:$D$2965),VLOOKUP(IF(LEN($A2203)=4,$A2203&amp;"01 1",$A2203),GUS_tabl_21!$A$5:$F$4886,6,FALSE))))</f>
        <v>5193</v>
      </c>
      <c r="E2203" s="29"/>
    </row>
    <row r="2204" spans="1:5" ht="12" customHeight="1">
      <c r="A2204" s="152" t="str">
        <f>"2412"</f>
        <v>2412</v>
      </c>
      <c r="B2204" s="153" t="s">
        <v>80</v>
      </c>
      <c r="C2204" s="154" t="str">
        <f>IF(OR($A2204="",ISERROR(VALUE(LEFT($A2204,6)))),"",IF(LEN($A2204)=2,"WOJ. ",IF(LEN($A2204)=4,IF(VALUE(RIGHT($A2204,2))&gt;60,"","Powiat "),IF(VALUE(RIGHT($A2204,1))=1,"m. ",IF(VALUE(RIGHT($A2204,1))=2,"gm. w. ",IF(VALUE(RIGHT($A2204,1))=8,"dz. ","gm. m.-w. ")))))&amp;IF(LEN($A2204)=2,TRIM(UPPER(VLOOKUP($A2204,GUS_tabl_1!$A$7:$B$22,2,FALSE))),IF(ISERROR(FIND("..",TRIM(VLOOKUP(IF(AND(LEN($A2204)=4,VALUE(RIGHT($A2204,2))&gt;60),$A2204&amp;"01 1",$A2204),IF(AND(LEN($A2204)=4,VALUE(RIGHT($A2204,2))&lt;60),GUS_tabl_2!$A$8:$B$464,GUS_tabl_21!$A$5:$B$4886),2,FALSE)))),TRIM(VLOOKUP(IF(AND(LEN($A2204)=4,VALUE(RIGHT($A2204,2))&gt;60),$A2204&amp;"01 1",$A2204),IF(AND(LEN($A2204)=4,VALUE(RIGHT($A2204,2))&lt;60),GUS_tabl_2!$A$8:$B$464,GUS_tabl_21!$A$5:$B$4886),2,FALSE)),LEFT(TRIM(VLOOKUP(IF(AND(LEN($A2204)=4,VALUE(RIGHT($A2204,2))&gt;60),$A2204&amp;"01 1",$A2204),IF(AND(LEN($A2204)=4,VALUE(RIGHT($A2204,2))&lt;60),GUS_tabl_2!$A$8:$B$464,GUS_tabl_21!$A$5:$B$4886),2,FALSE)),SUM(FIND("..",TRIM(VLOOKUP(IF(AND(LEN($A2204)=4,VALUE(RIGHT($A2204,2))&gt;60),$A2204&amp;"01 1",$A2204),IF(AND(LEN($A2204)=4,VALUE(RIGHT($A2204,2))&lt;60),GUS_tabl_2!$A$8:$B$464,GUS_tabl_21!$A$5:$B$4886),2,FALSE))),-1)))))</f>
        <v>Powiat rybnicki</v>
      </c>
      <c r="D2204" s="140">
        <f>IF(OR($A2204="",ISERROR(VALUE(LEFT($A2204,6)))),"",IF(LEN($A2204)=2,SUMIF($A2205:$A$2965,$A2204&amp;"??",$D2205:$D$2965),IF(AND(LEN($A2204)=4,VALUE(RIGHT($A2204,2))&lt;=60),SUMIF($A2205:$A$2965,$A2204&amp;"????",$D2205:$D$2965),VLOOKUP(IF(LEN($A2204)=4,$A2204&amp;"01 1",$A2204),GUS_tabl_21!$A$5:$F$4886,6,FALSE))))</f>
        <v>78213</v>
      </c>
      <c r="E2204" s="29"/>
    </row>
    <row r="2205" spans="1:5" ht="12" customHeight="1">
      <c r="A2205" s="155" t="str">
        <f>"241201 3"</f>
        <v>241201 3</v>
      </c>
      <c r="B2205" s="153" t="s">
        <v>80</v>
      </c>
      <c r="C2205" s="156" t="str">
        <f>IF(OR($A2205="",ISERROR(VALUE(LEFT($A2205,6)))),"",IF(LEN($A2205)=2,"WOJ. ",IF(LEN($A2205)=4,IF(VALUE(RIGHT($A2205,2))&gt;60,"","Powiat "),IF(VALUE(RIGHT($A2205,1))=1,"m. ",IF(VALUE(RIGHT($A2205,1))=2,"gm. w. ",IF(VALUE(RIGHT($A2205,1))=8,"dz. ","gm. m.-w. ")))))&amp;IF(LEN($A2205)=2,TRIM(UPPER(VLOOKUP($A2205,GUS_tabl_1!$A$7:$B$22,2,FALSE))),IF(ISERROR(FIND("..",TRIM(VLOOKUP(IF(AND(LEN($A2205)=4,VALUE(RIGHT($A2205,2))&gt;60),$A2205&amp;"01 1",$A2205),IF(AND(LEN($A2205)=4,VALUE(RIGHT($A2205,2))&lt;60),GUS_tabl_2!$A$8:$B$464,GUS_tabl_21!$A$5:$B$4886),2,FALSE)))),TRIM(VLOOKUP(IF(AND(LEN($A2205)=4,VALUE(RIGHT($A2205,2))&gt;60),$A2205&amp;"01 1",$A2205),IF(AND(LEN($A2205)=4,VALUE(RIGHT($A2205,2))&lt;60),GUS_tabl_2!$A$8:$B$464,GUS_tabl_21!$A$5:$B$4886),2,FALSE)),LEFT(TRIM(VLOOKUP(IF(AND(LEN($A2205)=4,VALUE(RIGHT($A2205,2))&gt;60),$A2205&amp;"01 1",$A2205),IF(AND(LEN($A2205)=4,VALUE(RIGHT($A2205,2))&lt;60),GUS_tabl_2!$A$8:$B$464,GUS_tabl_21!$A$5:$B$4886),2,FALSE)),SUM(FIND("..",TRIM(VLOOKUP(IF(AND(LEN($A2205)=4,VALUE(RIGHT($A2205,2))&gt;60),$A2205&amp;"01 1",$A2205),IF(AND(LEN($A2205)=4,VALUE(RIGHT($A2205,2))&lt;60),GUS_tabl_2!$A$8:$B$464,GUS_tabl_21!$A$5:$B$4886),2,FALSE))),-1)))))</f>
        <v>gm. m.-w. Czerwionka-Leszczyny</v>
      </c>
      <c r="D2205" s="141">
        <f>IF(OR($A2205="",ISERROR(VALUE(LEFT($A2205,6)))),"",IF(LEN($A2205)=2,SUMIF($A2206:$A$2965,$A2205&amp;"??",$D2206:$D$2965),IF(AND(LEN($A2205)=4,VALUE(RIGHT($A2205,2))&lt;=60),SUMIF($A2206:$A$2965,$A2205&amp;"????",$D2206:$D$2965),VLOOKUP(IF(LEN($A2205)=4,$A2205&amp;"01 1",$A2205),GUS_tabl_21!$A$5:$F$4886,6,FALSE))))</f>
        <v>42121</v>
      </c>
      <c r="E2205" s="29"/>
    </row>
    <row r="2206" spans="1:5" ht="12" customHeight="1">
      <c r="A2206" s="155" t="str">
        <f>"241202 2"</f>
        <v>241202 2</v>
      </c>
      <c r="B2206" s="153" t="s">
        <v>80</v>
      </c>
      <c r="C2206" s="156" t="str">
        <f>IF(OR($A2206="",ISERROR(VALUE(LEFT($A2206,6)))),"",IF(LEN($A2206)=2,"WOJ. ",IF(LEN($A2206)=4,IF(VALUE(RIGHT($A2206,2))&gt;60,"","Powiat "),IF(VALUE(RIGHT($A2206,1))=1,"m. ",IF(VALUE(RIGHT($A2206,1))=2,"gm. w. ",IF(VALUE(RIGHT($A2206,1))=8,"dz. ","gm. m.-w. ")))))&amp;IF(LEN($A2206)=2,TRIM(UPPER(VLOOKUP($A2206,GUS_tabl_1!$A$7:$B$22,2,FALSE))),IF(ISERROR(FIND("..",TRIM(VLOOKUP(IF(AND(LEN($A2206)=4,VALUE(RIGHT($A2206,2))&gt;60),$A2206&amp;"01 1",$A2206),IF(AND(LEN($A2206)=4,VALUE(RIGHT($A2206,2))&lt;60),GUS_tabl_2!$A$8:$B$464,GUS_tabl_21!$A$5:$B$4886),2,FALSE)))),TRIM(VLOOKUP(IF(AND(LEN($A2206)=4,VALUE(RIGHT($A2206,2))&gt;60),$A2206&amp;"01 1",$A2206),IF(AND(LEN($A2206)=4,VALUE(RIGHT($A2206,2))&lt;60),GUS_tabl_2!$A$8:$B$464,GUS_tabl_21!$A$5:$B$4886),2,FALSE)),LEFT(TRIM(VLOOKUP(IF(AND(LEN($A2206)=4,VALUE(RIGHT($A2206,2))&gt;60),$A2206&amp;"01 1",$A2206),IF(AND(LEN($A2206)=4,VALUE(RIGHT($A2206,2))&lt;60),GUS_tabl_2!$A$8:$B$464,GUS_tabl_21!$A$5:$B$4886),2,FALSE)),SUM(FIND("..",TRIM(VLOOKUP(IF(AND(LEN($A2206)=4,VALUE(RIGHT($A2206,2))&gt;60),$A2206&amp;"01 1",$A2206),IF(AND(LEN($A2206)=4,VALUE(RIGHT($A2206,2))&lt;60),GUS_tabl_2!$A$8:$B$464,GUS_tabl_21!$A$5:$B$4886),2,FALSE))),-1)))))</f>
        <v>gm. w. Gaszowice</v>
      </c>
      <c r="D2206" s="141">
        <f>IF(OR($A2206="",ISERROR(VALUE(LEFT($A2206,6)))),"",IF(LEN($A2206)=2,SUMIF($A2207:$A$2965,$A2206&amp;"??",$D2207:$D$2965),IF(AND(LEN($A2206)=4,VALUE(RIGHT($A2206,2))&lt;=60),SUMIF($A2207:$A$2965,$A2206&amp;"????",$D2207:$D$2965),VLOOKUP(IF(LEN($A2206)=4,$A2206&amp;"01 1",$A2206),GUS_tabl_21!$A$5:$F$4886,6,FALSE))))</f>
        <v>9798</v>
      </c>
      <c r="E2206" s="29"/>
    </row>
    <row r="2207" spans="1:5" ht="12" customHeight="1">
      <c r="A2207" s="155" t="str">
        <f>"241203 2"</f>
        <v>241203 2</v>
      </c>
      <c r="B2207" s="153" t="s">
        <v>80</v>
      </c>
      <c r="C2207" s="156" t="str">
        <f>IF(OR($A2207="",ISERROR(VALUE(LEFT($A2207,6)))),"",IF(LEN($A2207)=2,"WOJ. ",IF(LEN($A2207)=4,IF(VALUE(RIGHT($A2207,2))&gt;60,"","Powiat "),IF(VALUE(RIGHT($A2207,1))=1,"m. ",IF(VALUE(RIGHT($A2207,1))=2,"gm. w. ",IF(VALUE(RIGHT($A2207,1))=8,"dz. ","gm. m.-w. ")))))&amp;IF(LEN($A2207)=2,TRIM(UPPER(VLOOKUP($A2207,GUS_tabl_1!$A$7:$B$22,2,FALSE))),IF(ISERROR(FIND("..",TRIM(VLOOKUP(IF(AND(LEN($A2207)=4,VALUE(RIGHT($A2207,2))&gt;60),$A2207&amp;"01 1",$A2207),IF(AND(LEN($A2207)=4,VALUE(RIGHT($A2207,2))&lt;60),GUS_tabl_2!$A$8:$B$464,GUS_tabl_21!$A$5:$B$4886),2,FALSE)))),TRIM(VLOOKUP(IF(AND(LEN($A2207)=4,VALUE(RIGHT($A2207,2))&gt;60),$A2207&amp;"01 1",$A2207),IF(AND(LEN($A2207)=4,VALUE(RIGHT($A2207,2))&lt;60),GUS_tabl_2!$A$8:$B$464,GUS_tabl_21!$A$5:$B$4886),2,FALSE)),LEFT(TRIM(VLOOKUP(IF(AND(LEN($A2207)=4,VALUE(RIGHT($A2207,2))&gt;60),$A2207&amp;"01 1",$A2207),IF(AND(LEN($A2207)=4,VALUE(RIGHT($A2207,2))&lt;60),GUS_tabl_2!$A$8:$B$464,GUS_tabl_21!$A$5:$B$4886),2,FALSE)),SUM(FIND("..",TRIM(VLOOKUP(IF(AND(LEN($A2207)=4,VALUE(RIGHT($A2207,2))&gt;60),$A2207&amp;"01 1",$A2207),IF(AND(LEN($A2207)=4,VALUE(RIGHT($A2207,2))&lt;60),GUS_tabl_2!$A$8:$B$464,GUS_tabl_21!$A$5:$B$4886),2,FALSE))),-1)))))</f>
        <v>gm. w. Jejkowice</v>
      </c>
      <c r="D2207" s="141">
        <f>IF(OR($A2207="",ISERROR(VALUE(LEFT($A2207,6)))),"",IF(LEN($A2207)=2,SUMIF($A2208:$A$2965,$A2207&amp;"??",$D2208:$D$2965),IF(AND(LEN($A2207)=4,VALUE(RIGHT($A2207,2))&lt;=60),SUMIF($A2208:$A$2965,$A2207&amp;"????",$D2208:$D$2965),VLOOKUP(IF(LEN($A2207)=4,$A2207&amp;"01 1",$A2207),GUS_tabl_21!$A$5:$F$4886,6,FALSE))))</f>
        <v>4154</v>
      </c>
      <c r="E2207" s="29"/>
    </row>
    <row r="2208" spans="1:5" ht="12" customHeight="1">
      <c r="A2208" s="155" t="str">
        <f>"241204 2"</f>
        <v>241204 2</v>
      </c>
      <c r="B2208" s="153" t="s">
        <v>80</v>
      </c>
      <c r="C2208" s="156" t="str">
        <f>IF(OR($A2208="",ISERROR(VALUE(LEFT($A2208,6)))),"",IF(LEN($A2208)=2,"WOJ. ",IF(LEN($A2208)=4,IF(VALUE(RIGHT($A2208,2))&gt;60,"","Powiat "),IF(VALUE(RIGHT($A2208,1))=1,"m. ",IF(VALUE(RIGHT($A2208,1))=2,"gm. w. ",IF(VALUE(RIGHT($A2208,1))=8,"dz. ","gm. m.-w. ")))))&amp;IF(LEN($A2208)=2,TRIM(UPPER(VLOOKUP($A2208,GUS_tabl_1!$A$7:$B$22,2,FALSE))),IF(ISERROR(FIND("..",TRIM(VLOOKUP(IF(AND(LEN($A2208)=4,VALUE(RIGHT($A2208,2))&gt;60),$A2208&amp;"01 1",$A2208),IF(AND(LEN($A2208)=4,VALUE(RIGHT($A2208,2))&lt;60),GUS_tabl_2!$A$8:$B$464,GUS_tabl_21!$A$5:$B$4886),2,FALSE)))),TRIM(VLOOKUP(IF(AND(LEN($A2208)=4,VALUE(RIGHT($A2208,2))&gt;60),$A2208&amp;"01 1",$A2208),IF(AND(LEN($A2208)=4,VALUE(RIGHT($A2208,2))&lt;60),GUS_tabl_2!$A$8:$B$464,GUS_tabl_21!$A$5:$B$4886),2,FALSE)),LEFT(TRIM(VLOOKUP(IF(AND(LEN($A2208)=4,VALUE(RIGHT($A2208,2))&gt;60),$A2208&amp;"01 1",$A2208),IF(AND(LEN($A2208)=4,VALUE(RIGHT($A2208,2))&lt;60),GUS_tabl_2!$A$8:$B$464,GUS_tabl_21!$A$5:$B$4886),2,FALSE)),SUM(FIND("..",TRIM(VLOOKUP(IF(AND(LEN($A2208)=4,VALUE(RIGHT($A2208,2))&gt;60),$A2208&amp;"01 1",$A2208),IF(AND(LEN($A2208)=4,VALUE(RIGHT($A2208,2))&lt;60),GUS_tabl_2!$A$8:$B$464,GUS_tabl_21!$A$5:$B$4886),2,FALSE))),-1)))))</f>
        <v>gm. w. Lyski</v>
      </c>
      <c r="D2208" s="141">
        <f>IF(OR($A2208="",ISERROR(VALUE(LEFT($A2208,6)))),"",IF(LEN($A2208)=2,SUMIF($A2209:$A$2965,$A2208&amp;"??",$D2209:$D$2965),IF(AND(LEN($A2208)=4,VALUE(RIGHT($A2208,2))&lt;=60),SUMIF($A2209:$A$2965,$A2208&amp;"????",$D2209:$D$2965),VLOOKUP(IF(LEN($A2208)=4,$A2208&amp;"01 1",$A2208),GUS_tabl_21!$A$5:$F$4886,6,FALSE))))</f>
        <v>9654</v>
      </c>
      <c r="E2208" s="29"/>
    </row>
    <row r="2209" spans="1:5" ht="12" customHeight="1">
      <c r="A2209" s="155" t="str">
        <f>"241205 2"</f>
        <v>241205 2</v>
      </c>
      <c r="B2209" s="153" t="s">
        <v>80</v>
      </c>
      <c r="C2209" s="156" t="str">
        <f>IF(OR($A2209="",ISERROR(VALUE(LEFT($A2209,6)))),"",IF(LEN($A2209)=2,"WOJ. ",IF(LEN($A2209)=4,IF(VALUE(RIGHT($A2209,2))&gt;60,"","Powiat "),IF(VALUE(RIGHT($A2209,1))=1,"m. ",IF(VALUE(RIGHT($A2209,1))=2,"gm. w. ",IF(VALUE(RIGHT($A2209,1))=8,"dz. ","gm. m.-w. ")))))&amp;IF(LEN($A2209)=2,TRIM(UPPER(VLOOKUP($A2209,GUS_tabl_1!$A$7:$B$22,2,FALSE))),IF(ISERROR(FIND("..",TRIM(VLOOKUP(IF(AND(LEN($A2209)=4,VALUE(RIGHT($A2209,2))&gt;60),$A2209&amp;"01 1",$A2209),IF(AND(LEN($A2209)=4,VALUE(RIGHT($A2209,2))&lt;60),GUS_tabl_2!$A$8:$B$464,GUS_tabl_21!$A$5:$B$4886),2,FALSE)))),TRIM(VLOOKUP(IF(AND(LEN($A2209)=4,VALUE(RIGHT($A2209,2))&gt;60),$A2209&amp;"01 1",$A2209),IF(AND(LEN($A2209)=4,VALUE(RIGHT($A2209,2))&lt;60),GUS_tabl_2!$A$8:$B$464,GUS_tabl_21!$A$5:$B$4886),2,FALSE)),LEFT(TRIM(VLOOKUP(IF(AND(LEN($A2209)=4,VALUE(RIGHT($A2209,2))&gt;60),$A2209&amp;"01 1",$A2209),IF(AND(LEN($A2209)=4,VALUE(RIGHT($A2209,2))&lt;60),GUS_tabl_2!$A$8:$B$464,GUS_tabl_21!$A$5:$B$4886),2,FALSE)),SUM(FIND("..",TRIM(VLOOKUP(IF(AND(LEN($A2209)=4,VALUE(RIGHT($A2209,2))&gt;60),$A2209&amp;"01 1",$A2209),IF(AND(LEN($A2209)=4,VALUE(RIGHT($A2209,2))&lt;60),GUS_tabl_2!$A$8:$B$464,GUS_tabl_21!$A$5:$B$4886),2,FALSE))),-1)))))</f>
        <v>gm. w. Świerklany</v>
      </c>
      <c r="D2209" s="141">
        <f>IF(OR($A2209="",ISERROR(VALUE(LEFT($A2209,6)))),"",IF(LEN($A2209)=2,SUMIF($A2210:$A$2965,$A2209&amp;"??",$D2210:$D$2965),IF(AND(LEN($A2209)=4,VALUE(RIGHT($A2209,2))&lt;=60),SUMIF($A2210:$A$2965,$A2209&amp;"????",$D2210:$D$2965),VLOOKUP(IF(LEN($A2209)=4,$A2209&amp;"01 1",$A2209),GUS_tabl_21!$A$5:$F$4886,6,FALSE))))</f>
        <v>12486</v>
      </c>
      <c r="E2209" s="29"/>
    </row>
    <row r="2210" spans="1:5" ht="12" customHeight="1">
      <c r="A2210" s="152" t="str">
        <f>"2413"</f>
        <v>2413</v>
      </c>
      <c r="B2210" s="153" t="s">
        <v>80</v>
      </c>
      <c r="C2210" s="154" t="str">
        <f>IF(OR($A2210="",ISERROR(VALUE(LEFT($A2210,6)))),"",IF(LEN($A2210)=2,"WOJ. ",IF(LEN($A2210)=4,IF(VALUE(RIGHT($A2210,2))&gt;60,"","Powiat "),IF(VALUE(RIGHT($A2210,1))=1,"m. ",IF(VALUE(RIGHT($A2210,1))=2,"gm. w. ",IF(VALUE(RIGHT($A2210,1))=8,"dz. ","gm. m.-w. ")))))&amp;IF(LEN($A2210)=2,TRIM(UPPER(VLOOKUP($A2210,GUS_tabl_1!$A$7:$B$22,2,FALSE))),IF(ISERROR(FIND("..",TRIM(VLOOKUP(IF(AND(LEN($A2210)=4,VALUE(RIGHT($A2210,2))&gt;60),$A2210&amp;"01 1",$A2210),IF(AND(LEN($A2210)=4,VALUE(RIGHT($A2210,2))&lt;60),GUS_tabl_2!$A$8:$B$464,GUS_tabl_21!$A$5:$B$4886),2,FALSE)))),TRIM(VLOOKUP(IF(AND(LEN($A2210)=4,VALUE(RIGHT($A2210,2))&gt;60),$A2210&amp;"01 1",$A2210),IF(AND(LEN($A2210)=4,VALUE(RIGHT($A2210,2))&lt;60),GUS_tabl_2!$A$8:$B$464,GUS_tabl_21!$A$5:$B$4886),2,FALSE)),LEFT(TRIM(VLOOKUP(IF(AND(LEN($A2210)=4,VALUE(RIGHT($A2210,2))&gt;60),$A2210&amp;"01 1",$A2210),IF(AND(LEN($A2210)=4,VALUE(RIGHT($A2210,2))&lt;60),GUS_tabl_2!$A$8:$B$464,GUS_tabl_21!$A$5:$B$4886),2,FALSE)),SUM(FIND("..",TRIM(VLOOKUP(IF(AND(LEN($A2210)=4,VALUE(RIGHT($A2210,2))&gt;60),$A2210&amp;"01 1",$A2210),IF(AND(LEN($A2210)=4,VALUE(RIGHT($A2210,2))&lt;60),GUS_tabl_2!$A$8:$B$464,GUS_tabl_21!$A$5:$B$4886),2,FALSE))),-1)))))</f>
        <v>Powiat tarnogórski</v>
      </c>
      <c r="D2210" s="140">
        <f>IF(OR($A2210="",ISERROR(VALUE(LEFT($A2210,6)))),"",IF(LEN($A2210)=2,SUMIF($A2211:$A$2965,$A2210&amp;"??",$D2211:$D$2965),IF(AND(LEN($A2210)=4,VALUE(RIGHT($A2210,2))&lt;=60),SUMIF($A2211:$A$2965,$A2210&amp;"????",$D2211:$D$2965),VLOOKUP(IF(LEN($A2210)=4,$A2210&amp;"01 1",$A2210),GUS_tabl_21!$A$5:$F$4886,6,FALSE))))</f>
        <v>140519</v>
      </c>
      <c r="E2210" s="29"/>
    </row>
    <row r="2211" spans="1:5" ht="12" customHeight="1">
      <c r="A2211" s="155" t="str">
        <f>"241301 1"</f>
        <v>241301 1</v>
      </c>
      <c r="B2211" s="153" t="s">
        <v>80</v>
      </c>
      <c r="C2211" s="156" t="str">
        <f>IF(OR($A2211="",ISERROR(VALUE(LEFT($A2211,6)))),"",IF(LEN($A2211)=2,"WOJ. ",IF(LEN($A2211)=4,IF(VALUE(RIGHT($A2211,2))&gt;60,"","Powiat "),IF(VALUE(RIGHT($A2211,1))=1,"m. ",IF(VALUE(RIGHT($A2211,1))=2,"gm. w. ",IF(VALUE(RIGHT($A2211,1))=8,"dz. ","gm. m.-w. ")))))&amp;IF(LEN($A2211)=2,TRIM(UPPER(VLOOKUP($A2211,GUS_tabl_1!$A$7:$B$22,2,FALSE))),IF(ISERROR(FIND("..",TRIM(VLOOKUP(IF(AND(LEN($A2211)=4,VALUE(RIGHT($A2211,2))&gt;60),$A2211&amp;"01 1",$A2211),IF(AND(LEN($A2211)=4,VALUE(RIGHT($A2211,2))&lt;60),GUS_tabl_2!$A$8:$B$464,GUS_tabl_21!$A$5:$B$4886),2,FALSE)))),TRIM(VLOOKUP(IF(AND(LEN($A2211)=4,VALUE(RIGHT($A2211,2))&gt;60),$A2211&amp;"01 1",$A2211),IF(AND(LEN($A2211)=4,VALUE(RIGHT($A2211,2))&lt;60),GUS_tabl_2!$A$8:$B$464,GUS_tabl_21!$A$5:$B$4886),2,FALSE)),LEFT(TRIM(VLOOKUP(IF(AND(LEN($A2211)=4,VALUE(RIGHT($A2211,2))&gt;60),$A2211&amp;"01 1",$A2211),IF(AND(LEN($A2211)=4,VALUE(RIGHT($A2211,2))&lt;60),GUS_tabl_2!$A$8:$B$464,GUS_tabl_21!$A$5:$B$4886),2,FALSE)),SUM(FIND("..",TRIM(VLOOKUP(IF(AND(LEN($A2211)=4,VALUE(RIGHT($A2211,2))&gt;60),$A2211&amp;"01 1",$A2211),IF(AND(LEN($A2211)=4,VALUE(RIGHT($A2211,2))&lt;60),GUS_tabl_2!$A$8:$B$464,GUS_tabl_21!$A$5:$B$4886),2,FALSE))),-1)))))</f>
        <v>m. Kalety</v>
      </c>
      <c r="D2211" s="141">
        <f>IF(OR($A2211="",ISERROR(VALUE(LEFT($A2211,6)))),"",IF(LEN($A2211)=2,SUMIF($A2212:$A$2965,$A2211&amp;"??",$D2212:$D$2965),IF(AND(LEN($A2211)=4,VALUE(RIGHT($A2211,2))&lt;=60),SUMIF($A2212:$A$2965,$A2211&amp;"????",$D2212:$D$2965),VLOOKUP(IF(LEN($A2211)=4,$A2211&amp;"01 1",$A2211),GUS_tabl_21!$A$5:$F$4886,6,FALSE))))</f>
        <v>8589</v>
      </c>
      <c r="E2211" s="29"/>
    </row>
    <row r="2212" spans="1:5" ht="12" customHeight="1">
      <c r="A2212" s="155" t="str">
        <f>"241302 1"</f>
        <v>241302 1</v>
      </c>
      <c r="B2212" s="153" t="s">
        <v>80</v>
      </c>
      <c r="C2212" s="156" t="str">
        <f>IF(OR($A2212="",ISERROR(VALUE(LEFT($A2212,6)))),"",IF(LEN($A2212)=2,"WOJ. ",IF(LEN($A2212)=4,IF(VALUE(RIGHT($A2212,2))&gt;60,"","Powiat "),IF(VALUE(RIGHT($A2212,1))=1,"m. ",IF(VALUE(RIGHT($A2212,1))=2,"gm. w. ",IF(VALUE(RIGHT($A2212,1))=8,"dz. ","gm. m.-w. ")))))&amp;IF(LEN($A2212)=2,TRIM(UPPER(VLOOKUP($A2212,GUS_tabl_1!$A$7:$B$22,2,FALSE))),IF(ISERROR(FIND("..",TRIM(VLOOKUP(IF(AND(LEN($A2212)=4,VALUE(RIGHT($A2212,2))&gt;60),$A2212&amp;"01 1",$A2212),IF(AND(LEN($A2212)=4,VALUE(RIGHT($A2212,2))&lt;60),GUS_tabl_2!$A$8:$B$464,GUS_tabl_21!$A$5:$B$4886),2,FALSE)))),TRIM(VLOOKUP(IF(AND(LEN($A2212)=4,VALUE(RIGHT($A2212,2))&gt;60),$A2212&amp;"01 1",$A2212),IF(AND(LEN($A2212)=4,VALUE(RIGHT($A2212,2))&lt;60),GUS_tabl_2!$A$8:$B$464,GUS_tabl_21!$A$5:$B$4886),2,FALSE)),LEFT(TRIM(VLOOKUP(IF(AND(LEN($A2212)=4,VALUE(RIGHT($A2212,2))&gt;60),$A2212&amp;"01 1",$A2212),IF(AND(LEN($A2212)=4,VALUE(RIGHT($A2212,2))&lt;60),GUS_tabl_2!$A$8:$B$464,GUS_tabl_21!$A$5:$B$4886),2,FALSE)),SUM(FIND("..",TRIM(VLOOKUP(IF(AND(LEN($A2212)=4,VALUE(RIGHT($A2212,2))&gt;60),$A2212&amp;"01 1",$A2212),IF(AND(LEN($A2212)=4,VALUE(RIGHT($A2212,2))&lt;60),GUS_tabl_2!$A$8:$B$464,GUS_tabl_21!$A$5:$B$4886),2,FALSE))),-1)))))</f>
        <v>m. Miasteczko Śląskie</v>
      </c>
      <c r="D2212" s="141">
        <f>IF(OR($A2212="",ISERROR(VALUE(LEFT($A2212,6)))),"",IF(LEN($A2212)=2,SUMIF($A2213:$A$2965,$A2212&amp;"??",$D2213:$D$2965),IF(AND(LEN($A2212)=4,VALUE(RIGHT($A2212,2))&lt;=60),SUMIF($A2213:$A$2965,$A2212&amp;"????",$D2213:$D$2965),VLOOKUP(IF(LEN($A2212)=4,$A2212&amp;"01 1",$A2212),GUS_tabl_21!$A$5:$F$4886,6,FALSE))))</f>
        <v>7442</v>
      </c>
      <c r="E2212" s="29"/>
    </row>
    <row r="2213" spans="1:5" ht="12" customHeight="1">
      <c r="A2213" s="155" t="str">
        <f>"241303 1"</f>
        <v>241303 1</v>
      </c>
      <c r="B2213" s="153" t="s">
        <v>80</v>
      </c>
      <c r="C2213" s="156" t="str">
        <f>IF(OR($A2213="",ISERROR(VALUE(LEFT($A2213,6)))),"",IF(LEN($A2213)=2,"WOJ. ",IF(LEN($A2213)=4,IF(VALUE(RIGHT($A2213,2))&gt;60,"","Powiat "),IF(VALUE(RIGHT($A2213,1))=1,"m. ",IF(VALUE(RIGHT($A2213,1))=2,"gm. w. ",IF(VALUE(RIGHT($A2213,1))=8,"dz. ","gm. m.-w. ")))))&amp;IF(LEN($A2213)=2,TRIM(UPPER(VLOOKUP($A2213,GUS_tabl_1!$A$7:$B$22,2,FALSE))),IF(ISERROR(FIND("..",TRIM(VLOOKUP(IF(AND(LEN($A2213)=4,VALUE(RIGHT($A2213,2))&gt;60),$A2213&amp;"01 1",$A2213),IF(AND(LEN($A2213)=4,VALUE(RIGHT($A2213,2))&lt;60),GUS_tabl_2!$A$8:$B$464,GUS_tabl_21!$A$5:$B$4886),2,FALSE)))),TRIM(VLOOKUP(IF(AND(LEN($A2213)=4,VALUE(RIGHT($A2213,2))&gt;60),$A2213&amp;"01 1",$A2213),IF(AND(LEN($A2213)=4,VALUE(RIGHT($A2213,2))&lt;60),GUS_tabl_2!$A$8:$B$464,GUS_tabl_21!$A$5:$B$4886),2,FALSE)),LEFT(TRIM(VLOOKUP(IF(AND(LEN($A2213)=4,VALUE(RIGHT($A2213,2))&gt;60),$A2213&amp;"01 1",$A2213),IF(AND(LEN($A2213)=4,VALUE(RIGHT($A2213,2))&lt;60),GUS_tabl_2!$A$8:$B$464,GUS_tabl_21!$A$5:$B$4886),2,FALSE)),SUM(FIND("..",TRIM(VLOOKUP(IF(AND(LEN($A2213)=4,VALUE(RIGHT($A2213,2))&gt;60),$A2213&amp;"01 1",$A2213),IF(AND(LEN($A2213)=4,VALUE(RIGHT($A2213,2))&lt;60),GUS_tabl_2!$A$8:$B$464,GUS_tabl_21!$A$5:$B$4886),2,FALSE))),-1)))))</f>
        <v>m. Radzionków</v>
      </c>
      <c r="D2213" s="141">
        <f>IF(OR($A2213="",ISERROR(VALUE(LEFT($A2213,6)))),"",IF(LEN($A2213)=2,SUMIF($A2214:$A$2965,$A2213&amp;"??",$D2214:$D$2965),IF(AND(LEN($A2213)=4,VALUE(RIGHT($A2213,2))&lt;=60),SUMIF($A2214:$A$2965,$A2213&amp;"????",$D2214:$D$2965),VLOOKUP(IF(LEN($A2213)=4,$A2213&amp;"01 1",$A2213),GUS_tabl_21!$A$5:$F$4886,6,FALSE))))</f>
        <v>16873</v>
      </c>
      <c r="E2213" s="29"/>
    </row>
    <row r="2214" spans="1:5" ht="12" customHeight="1">
      <c r="A2214" s="155" t="str">
        <f>"241304 1"</f>
        <v>241304 1</v>
      </c>
      <c r="B2214" s="153" t="s">
        <v>80</v>
      </c>
      <c r="C2214" s="156" t="str">
        <f>IF(OR($A2214="",ISERROR(VALUE(LEFT($A2214,6)))),"",IF(LEN($A2214)=2,"WOJ. ",IF(LEN($A2214)=4,IF(VALUE(RIGHT($A2214,2))&gt;60,"","Powiat "),IF(VALUE(RIGHT($A2214,1))=1,"m. ",IF(VALUE(RIGHT($A2214,1))=2,"gm. w. ",IF(VALUE(RIGHT($A2214,1))=8,"dz. ","gm. m.-w. ")))))&amp;IF(LEN($A2214)=2,TRIM(UPPER(VLOOKUP($A2214,GUS_tabl_1!$A$7:$B$22,2,FALSE))),IF(ISERROR(FIND("..",TRIM(VLOOKUP(IF(AND(LEN($A2214)=4,VALUE(RIGHT($A2214,2))&gt;60),$A2214&amp;"01 1",$A2214),IF(AND(LEN($A2214)=4,VALUE(RIGHT($A2214,2))&lt;60),GUS_tabl_2!$A$8:$B$464,GUS_tabl_21!$A$5:$B$4886),2,FALSE)))),TRIM(VLOOKUP(IF(AND(LEN($A2214)=4,VALUE(RIGHT($A2214,2))&gt;60),$A2214&amp;"01 1",$A2214),IF(AND(LEN($A2214)=4,VALUE(RIGHT($A2214,2))&lt;60),GUS_tabl_2!$A$8:$B$464,GUS_tabl_21!$A$5:$B$4886),2,FALSE)),LEFT(TRIM(VLOOKUP(IF(AND(LEN($A2214)=4,VALUE(RIGHT($A2214,2))&gt;60),$A2214&amp;"01 1",$A2214),IF(AND(LEN($A2214)=4,VALUE(RIGHT($A2214,2))&lt;60),GUS_tabl_2!$A$8:$B$464,GUS_tabl_21!$A$5:$B$4886),2,FALSE)),SUM(FIND("..",TRIM(VLOOKUP(IF(AND(LEN($A2214)=4,VALUE(RIGHT($A2214,2))&gt;60),$A2214&amp;"01 1",$A2214),IF(AND(LEN($A2214)=4,VALUE(RIGHT($A2214,2))&lt;60),GUS_tabl_2!$A$8:$B$464,GUS_tabl_21!$A$5:$B$4886),2,FALSE))),-1)))))</f>
        <v>m. Tarnowskie Góry</v>
      </c>
      <c r="D2214" s="141">
        <f>IF(OR($A2214="",ISERROR(VALUE(LEFT($A2214,6)))),"",IF(LEN($A2214)=2,SUMIF($A2215:$A$2965,$A2214&amp;"??",$D2215:$D$2965),IF(AND(LEN($A2214)=4,VALUE(RIGHT($A2214,2))&lt;=60),SUMIF($A2215:$A$2965,$A2214&amp;"????",$D2215:$D$2965),VLOOKUP(IF(LEN($A2214)=4,$A2214&amp;"01 1",$A2214),GUS_tabl_21!$A$5:$F$4886,6,FALSE))))</f>
        <v>61686</v>
      </c>
      <c r="E2214" s="29"/>
    </row>
    <row r="2215" spans="1:5" ht="12" customHeight="1">
      <c r="A2215" s="155" t="str">
        <f>"241305 2"</f>
        <v>241305 2</v>
      </c>
      <c r="B2215" s="153" t="s">
        <v>80</v>
      </c>
      <c r="C2215" s="156" t="str">
        <f>IF(OR($A2215="",ISERROR(VALUE(LEFT($A2215,6)))),"",IF(LEN($A2215)=2,"WOJ. ",IF(LEN($A2215)=4,IF(VALUE(RIGHT($A2215,2))&gt;60,"","Powiat "),IF(VALUE(RIGHT($A2215,1))=1,"m. ",IF(VALUE(RIGHT($A2215,1))=2,"gm. w. ",IF(VALUE(RIGHT($A2215,1))=8,"dz. ","gm. m.-w. ")))))&amp;IF(LEN($A2215)=2,TRIM(UPPER(VLOOKUP($A2215,GUS_tabl_1!$A$7:$B$22,2,FALSE))),IF(ISERROR(FIND("..",TRIM(VLOOKUP(IF(AND(LEN($A2215)=4,VALUE(RIGHT($A2215,2))&gt;60),$A2215&amp;"01 1",$A2215),IF(AND(LEN($A2215)=4,VALUE(RIGHT($A2215,2))&lt;60),GUS_tabl_2!$A$8:$B$464,GUS_tabl_21!$A$5:$B$4886),2,FALSE)))),TRIM(VLOOKUP(IF(AND(LEN($A2215)=4,VALUE(RIGHT($A2215,2))&gt;60),$A2215&amp;"01 1",$A2215),IF(AND(LEN($A2215)=4,VALUE(RIGHT($A2215,2))&lt;60),GUS_tabl_2!$A$8:$B$464,GUS_tabl_21!$A$5:$B$4886),2,FALSE)),LEFT(TRIM(VLOOKUP(IF(AND(LEN($A2215)=4,VALUE(RIGHT($A2215,2))&gt;60),$A2215&amp;"01 1",$A2215),IF(AND(LEN($A2215)=4,VALUE(RIGHT($A2215,2))&lt;60),GUS_tabl_2!$A$8:$B$464,GUS_tabl_21!$A$5:$B$4886),2,FALSE)),SUM(FIND("..",TRIM(VLOOKUP(IF(AND(LEN($A2215)=4,VALUE(RIGHT($A2215,2))&gt;60),$A2215&amp;"01 1",$A2215),IF(AND(LEN($A2215)=4,VALUE(RIGHT($A2215,2))&lt;60),GUS_tabl_2!$A$8:$B$464,GUS_tabl_21!$A$5:$B$4886),2,FALSE))),-1)))))</f>
        <v>gm. w. Krupski Młyn</v>
      </c>
      <c r="D2215" s="141">
        <f>IF(OR($A2215="",ISERROR(VALUE(LEFT($A2215,6)))),"",IF(LEN($A2215)=2,SUMIF($A2216:$A$2965,$A2215&amp;"??",$D2216:$D$2965),IF(AND(LEN($A2215)=4,VALUE(RIGHT($A2215,2))&lt;=60),SUMIF($A2216:$A$2965,$A2215&amp;"????",$D2216:$D$2965),VLOOKUP(IF(LEN($A2215)=4,$A2215&amp;"01 1",$A2215),GUS_tabl_21!$A$5:$F$4886,6,FALSE))))</f>
        <v>3185</v>
      </c>
      <c r="E2215" s="29"/>
    </row>
    <row r="2216" spans="1:5" ht="12" customHeight="1">
      <c r="A2216" s="155" t="str">
        <f>"241306 2"</f>
        <v>241306 2</v>
      </c>
      <c r="B2216" s="153" t="s">
        <v>80</v>
      </c>
      <c r="C2216" s="156" t="str">
        <f>IF(OR($A2216="",ISERROR(VALUE(LEFT($A2216,6)))),"",IF(LEN($A2216)=2,"WOJ. ",IF(LEN($A2216)=4,IF(VALUE(RIGHT($A2216,2))&gt;60,"","Powiat "),IF(VALUE(RIGHT($A2216,1))=1,"m. ",IF(VALUE(RIGHT($A2216,1))=2,"gm. w. ",IF(VALUE(RIGHT($A2216,1))=8,"dz. ","gm. m.-w. ")))))&amp;IF(LEN($A2216)=2,TRIM(UPPER(VLOOKUP($A2216,GUS_tabl_1!$A$7:$B$22,2,FALSE))),IF(ISERROR(FIND("..",TRIM(VLOOKUP(IF(AND(LEN($A2216)=4,VALUE(RIGHT($A2216,2))&gt;60),$A2216&amp;"01 1",$A2216),IF(AND(LEN($A2216)=4,VALUE(RIGHT($A2216,2))&lt;60),GUS_tabl_2!$A$8:$B$464,GUS_tabl_21!$A$5:$B$4886),2,FALSE)))),TRIM(VLOOKUP(IF(AND(LEN($A2216)=4,VALUE(RIGHT($A2216,2))&gt;60),$A2216&amp;"01 1",$A2216),IF(AND(LEN($A2216)=4,VALUE(RIGHT($A2216,2))&lt;60),GUS_tabl_2!$A$8:$B$464,GUS_tabl_21!$A$5:$B$4886),2,FALSE)),LEFT(TRIM(VLOOKUP(IF(AND(LEN($A2216)=4,VALUE(RIGHT($A2216,2))&gt;60),$A2216&amp;"01 1",$A2216),IF(AND(LEN($A2216)=4,VALUE(RIGHT($A2216,2))&lt;60),GUS_tabl_2!$A$8:$B$464,GUS_tabl_21!$A$5:$B$4886),2,FALSE)),SUM(FIND("..",TRIM(VLOOKUP(IF(AND(LEN($A2216)=4,VALUE(RIGHT($A2216,2))&gt;60),$A2216&amp;"01 1",$A2216),IF(AND(LEN($A2216)=4,VALUE(RIGHT($A2216,2))&lt;60),GUS_tabl_2!$A$8:$B$464,GUS_tabl_21!$A$5:$B$4886),2,FALSE))),-1)))))</f>
        <v>gm. w. Ożarowice</v>
      </c>
      <c r="D2216" s="141">
        <f>IF(OR($A2216="",ISERROR(VALUE(LEFT($A2216,6)))),"",IF(LEN($A2216)=2,SUMIF($A2217:$A$2965,$A2216&amp;"??",$D2217:$D$2965),IF(AND(LEN($A2216)=4,VALUE(RIGHT($A2216,2))&lt;=60),SUMIF($A2217:$A$2965,$A2216&amp;"????",$D2217:$D$2965),VLOOKUP(IF(LEN($A2216)=4,$A2216&amp;"01 1",$A2216),GUS_tabl_21!$A$5:$F$4886,6,FALSE))))</f>
        <v>5795</v>
      </c>
      <c r="E2216" s="29"/>
    </row>
    <row r="2217" spans="1:5" ht="12" customHeight="1">
      <c r="A2217" s="155" t="str">
        <f>"241307 2"</f>
        <v>241307 2</v>
      </c>
      <c r="B2217" s="153" t="s">
        <v>80</v>
      </c>
      <c r="C2217" s="156" t="str">
        <f>IF(OR($A2217="",ISERROR(VALUE(LEFT($A2217,6)))),"",IF(LEN($A2217)=2,"WOJ. ",IF(LEN($A2217)=4,IF(VALUE(RIGHT($A2217,2))&gt;60,"","Powiat "),IF(VALUE(RIGHT($A2217,1))=1,"m. ",IF(VALUE(RIGHT($A2217,1))=2,"gm. w. ",IF(VALUE(RIGHT($A2217,1))=8,"dz. ","gm. m.-w. ")))))&amp;IF(LEN($A2217)=2,TRIM(UPPER(VLOOKUP($A2217,GUS_tabl_1!$A$7:$B$22,2,FALSE))),IF(ISERROR(FIND("..",TRIM(VLOOKUP(IF(AND(LEN($A2217)=4,VALUE(RIGHT($A2217,2))&gt;60),$A2217&amp;"01 1",$A2217),IF(AND(LEN($A2217)=4,VALUE(RIGHT($A2217,2))&lt;60),GUS_tabl_2!$A$8:$B$464,GUS_tabl_21!$A$5:$B$4886),2,FALSE)))),TRIM(VLOOKUP(IF(AND(LEN($A2217)=4,VALUE(RIGHT($A2217,2))&gt;60),$A2217&amp;"01 1",$A2217),IF(AND(LEN($A2217)=4,VALUE(RIGHT($A2217,2))&lt;60),GUS_tabl_2!$A$8:$B$464,GUS_tabl_21!$A$5:$B$4886),2,FALSE)),LEFT(TRIM(VLOOKUP(IF(AND(LEN($A2217)=4,VALUE(RIGHT($A2217,2))&gt;60),$A2217&amp;"01 1",$A2217),IF(AND(LEN($A2217)=4,VALUE(RIGHT($A2217,2))&lt;60),GUS_tabl_2!$A$8:$B$464,GUS_tabl_21!$A$5:$B$4886),2,FALSE)),SUM(FIND("..",TRIM(VLOOKUP(IF(AND(LEN($A2217)=4,VALUE(RIGHT($A2217,2))&gt;60),$A2217&amp;"01 1",$A2217),IF(AND(LEN($A2217)=4,VALUE(RIGHT($A2217,2))&lt;60),GUS_tabl_2!$A$8:$B$464,GUS_tabl_21!$A$5:$B$4886),2,FALSE))),-1)))))</f>
        <v>gm. w. Świerklaniec</v>
      </c>
      <c r="D2217" s="141">
        <f>IF(OR($A2217="",ISERROR(VALUE(LEFT($A2217,6)))),"",IF(LEN($A2217)=2,SUMIF($A2218:$A$2965,$A2217&amp;"??",$D2218:$D$2965),IF(AND(LEN($A2217)=4,VALUE(RIGHT($A2217,2))&lt;=60),SUMIF($A2218:$A$2965,$A2217&amp;"????",$D2218:$D$2965),VLOOKUP(IF(LEN($A2217)=4,$A2217&amp;"01 1",$A2217),GUS_tabl_21!$A$5:$F$4886,6,FALSE))))</f>
        <v>12401</v>
      </c>
      <c r="E2217" s="29"/>
    </row>
    <row r="2218" spans="1:5" ht="12" customHeight="1">
      <c r="A2218" s="155" t="str">
        <f>"241308 2"</f>
        <v>241308 2</v>
      </c>
      <c r="B2218" s="153" t="s">
        <v>80</v>
      </c>
      <c r="C2218" s="156" t="str">
        <f>IF(OR($A2218="",ISERROR(VALUE(LEFT($A2218,6)))),"",IF(LEN($A2218)=2,"WOJ. ",IF(LEN($A2218)=4,IF(VALUE(RIGHT($A2218,2))&gt;60,"","Powiat "),IF(VALUE(RIGHT($A2218,1))=1,"m. ",IF(VALUE(RIGHT($A2218,1))=2,"gm. w. ",IF(VALUE(RIGHT($A2218,1))=8,"dz. ","gm. m.-w. ")))))&amp;IF(LEN($A2218)=2,TRIM(UPPER(VLOOKUP($A2218,GUS_tabl_1!$A$7:$B$22,2,FALSE))),IF(ISERROR(FIND("..",TRIM(VLOOKUP(IF(AND(LEN($A2218)=4,VALUE(RIGHT($A2218,2))&gt;60),$A2218&amp;"01 1",$A2218),IF(AND(LEN($A2218)=4,VALUE(RIGHT($A2218,2))&lt;60),GUS_tabl_2!$A$8:$B$464,GUS_tabl_21!$A$5:$B$4886),2,FALSE)))),TRIM(VLOOKUP(IF(AND(LEN($A2218)=4,VALUE(RIGHT($A2218,2))&gt;60),$A2218&amp;"01 1",$A2218),IF(AND(LEN($A2218)=4,VALUE(RIGHT($A2218,2))&lt;60),GUS_tabl_2!$A$8:$B$464,GUS_tabl_21!$A$5:$B$4886),2,FALSE)),LEFT(TRIM(VLOOKUP(IF(AND(LEN($A2218)=4,VALUE(RIGHT($A2218,2))&gt;60),$A2218&amp;"01 1",$A2218),IF(AND(LEN($A2218)=4,VALUE(RIGHT($A2218,2))&lt;60),GUS_tabl_2!$A$8:$B$464,GUS_tabl_21!$A$5:$B$4886),2,FALSE)),SUM(FIND("..",TRIM(VLOOKUP(IF(AND(LEN($A2218)=4,VALUE(RIGHT($A2218,2))&gt;60),$A2218&amp;"01 1",$A2218),IF(AND(LEN($A2218)=4,VALUE(RIGHT($A2218,2))&lt;60),GUS_tabl_2!$A$8:$B$464,GUS_tabl_21!$A$5:$B$4886),2,FALSE))),-1)))))</f>
        <v>gm. w. Tworóg</v>
      </c>
      <c r="D2218" s="141">
        <f>IF(OR($A2218="",ISERROR(VALUE(LEFT($A2218,6)))),"",IF(LEN($A2218)=2,SUMIF($A2219:$A$2965,$A2218&amp;"??",$D2219:$D$2965),IF(AND(LEN($A2218)=4,VALUE(RIGHT($A2218,2))&lt;=60),SUMIF($A2219:$A$2965,$A2218&amp;"????",$D2219:$D$2965),VLOOKUP(IF(LEN($A2218)=4,$A2218&amp;"01 1",$A2218),GUS_tabl_21!$A$5:$F$4886,6,FALSE))))</f>
        <v>8287</v>
      </c>
      <c r="E2218" s="29"/>
    </row>
    <row r="2219" spans="1:5" ht="12" customHeight="1">
      <c r="A2219" s="155" t="str">
        <f>"241309 2"</f>
        <v>241309 2</v>
      </c>
      <c r="B2219" s="153" t="s">
        <v>80</v>
      </c>
      <c r="C2219" s="156" t="str">
        <f>IF(OR($A2219="",ISERROR(VALUE(LEFT($A2219,6)))),"",IF(LEN($A2219)=2,"WOJ. ",IF(LEN($A2219)=4,IF(VALUE(RIGHT($A2219,2))&gt;60,"","Powiat "),IF(VALUE(RIGHT($A2219,1))=1,"m. ",IF(VALUE(RIGHT($A2219,1))=2,"gm. w. ",IF(VALUE(RIGHT($A2219,1))=8,"dz. ","gm. m.-w. ")))))&amp;IF(LEN($A2219)=2,TRIM(UPPER(VLOOKUP($A2219,GUS_tabl_1!$A$7:$B$22,2,FALSE))),IF(ISERROR(FIND("..",TRIM(VLOOKUP(IF(AND(LEN($A2219)=4,VALUE(RIGHT($A2219,2))&gt;60),$A2219&amp;"01 1",$A2219),IF(AND(LEN($A2219)=4,VALUE(RIGHT($A2219,2))&lt;60),GUS_tabl_2!$A$8:$B$464,GUS_tabl_21!$A$5:$B$4886),2,FALSE)))),TRIM(VLOOKUP(IF(AND(LEN($A2219)=4,VALUE(RIGHT($A2219,2))&gt;60),$A2219&amp;"01 1",$A2219),IF(AND(LEN($A2219)=4,VALUE(RIGHT($A2219,2))&lt;60),GUS_tabl_2!$A$8:$B$464,GUS_tabl_21!$A$5:$B$4886),2,FALSE)),LEFT(TRIM(VLOOKUP(IF(AND(LEN($A2219)=4,VALUE(RIGHT($A2219,2))&gt;60),$A2219&amp;"01 1",$A2219),IF(AND(LEN($A2219)=4,VALUE(RIGHT($A2219,2))&lt;60),GUS_tabl_2!$A$8:$B$464,GUS_tabl_21!$A$5:$B$4886),2,FALSE)),SUM(FIND("..",TRIM(VLOOKUP(IF(AND(LEN($A2219)=4,VALUE(RIGHT($A2219,2))&gt;60),$A2219&amp;"01 1",$A2219),IF(AND(LEN($A2219)=4,VALUE(RIGHT($A2219,2))&lt;60),GUS_tabl_2!$A$8:$B$464,GUS_tabl_21!$A$5:$B$4886),2,FALSE))),-1)))))</f>
        <v>gm. w. Zbrosławice</v>
      </c>
      <c r="D2219" s="141">
        <f>IF(OR($A2219="",ISERROR(VALUE(LEFT($A2219,6)))),"",IF(LEN($A2219)=2,SUMIF($A2220:$A$2965,$A2219&amp;"??",$D2220:$D$2965),IF(AND(LEN($A2219)=4,VALUE(RIGHT($A2219,2))&lt;=60),SUMIF($A2220:$A$2965,$A2219&amp;"????",$D2220:$D$2965),VLOOKUP(IF(LEN($A2219)=4,$A2219&amp;"01 1",$A2219),GUS_tabl_21!$A$5:$F$4886,6,FALSE))))</f>
        <v>16261</v>
      </c>
      <c r="E2219" s="29"/>
    </row>
    <row r="2220" spans="1:5" ht="12" customHeight="1">
      <c r="A2220" s="152" t="str">
        <f>"2415"</f>
        <v>2415</v>
      </c>
      <c r="B2220" s="153" t="s">
        <v>80</v>
      </c>
      <c r="C2220" s="154" t="str">
        <f>IF(OR($A2220="",ISERROR(VALUE(LEFT($A2220,6)))),"",IF(LEN($A2220)=2,"WOJ. ",IF(LEN($A2220)=4,IF(VALUE(RIGHT($A2220,2))&gt;60,"","Powiat "),IF(VALUE(RIGHT($A2220,1))=1,"m. ",IF(VALUE(RIGHT($A2220,1))=2,"gm. w. ",IF(VALUE(RIGHT($A2220,1))=8,"dz. ","gm. m.-w. ")))))&amp;IF(LEN($A2220)=2,TRIM(UPPER(VLOOKUP($A2220,GUS_tabl_1!$A$7:$B$22,2,FALSE))),IF(ISERROR(FIND("..",TRIM(VLOOKUP(IF(AND(LEN($A2220)=4,VALUE(RIGHT($A2220,2))&gt;60),$A2220&amp;"01 1",$A2220),IF(AND(LEN($A2220)=4,VALUE(RIGHT($A2220,2))&lt;60),GUS_tabl_2!$A$8:$B$464,GUS_tabl_21!$A$5:$B$4886),2,FALSE)))),TRIM(VLOOKUP(IF(AND(LEN($A2220)=4,VALUE(RIGHT($A2220,2))&gt;60),$A2220&amp;"01 1",$A2220),IF(AND(LEN($A2220)=4,VALUE(RIGHT($A2220,2))&lt;60),GUS_tabl_2!$A$8:$B$464,GUS_tabl_21!$A$5:$B$4886),2,FALSE)),LEFT(TRIM(VLOOKUP(IF(AND(LEN($A2220)=4,VALUE(RIGHT($A2220,2))&gt;60),$A2220&amp;"01 1",$A2220),IF(AND(LEN($A2220)=4,VALUE(RIGHT($A2220,2))&lt;60),GUS_tabl_2!$A$8:$B$464,GUS_tabl_21!$A$5:$B$4886),2,FALSE)),SUM(FIND("..",TRIM(VLOOKUP(IF(AND(LEN($A2220)=4,VALUE(RIGHT($A2220,2))&gt;60),$A2220&amp;"01 1",$A2220),IF(AND(LEN($A2220)=4,VALUE(RIGHT($A2220,2))&lt;60),GUS_tabl_2!$A$8:$B$464,GUS_tabl_21!$A$5:$B$4886),2,FALSE))),-1)))))</f>
        <v>Powiat wodzisławski</v>
      </c>
      <c r="D2220" s="140">
        <f>IF(OR($A2220="",ISERROR(VALUE(LEFT($A2220,6)))),"",IF(LEN($A2220)=2,SUMIF($A2221:$A$2965,$A2220&amp;"??",$D2221:$D$2965),IF(AND(LEN($A2220)=4,VALUE(RIGHT($A2220,2))&lt;=60),SUMIF($A2221:$A$2965,$A2220&amp;"????",$D2221:$D$2965),VLOOKUP(IF(LEN($A2220)=4,$A2220&amp;"01 1",$A2220),GUS_tabl_21!$A$5:$F$4886,6,FALSE))))</f>
        <v>157088</v>
      </c>
      <c r="E2220" s="29"/>
    </row>
    <row r="2221" spans="1:5" ht="12" customHeight="1">
      <c r="A2221" s="155" t="str">
        <f>"241501 1"</f>
        <v>241501 1</v>
      </c>
      <c r="B2221" s="153" t="s">
        <v>80</v>
      </c>
      <c r="C2221" s="156" t="str">
        <f>IF(OR($A2221="",ISERROR(VALUE(LEFT($A2221,6)))),"",IF(LEN($A2221)=2,"WOJ. ",IF(LEN($A2221)=4,IF(VALUE(RIGHT($A2221,2))&gt;60,"","Powiat "),IF(VALUE(RIGHT($A2221,1))=1,"m. ",IF(VALUE(RIGHT($A2221,1))=2,"gm. w. ",IF(VALUE(RIGHT($A2221,1))=8,"dz. ","gm. m.-w. ")))))&amp;IF(LEN($A2221)=2,TRIM(UPPER(VLOOKUP($A2221,GUS_tabl_1!$A$7:$B$22,2,FALSE))),IF(ISERROR(FIND("..",TRIM(VLOOKUP(IF(AND(LEN($A2221)=4,VALUE(RIGHT($A2221,2))&gt;60),$A2221&amp;"01 1",$A2221),IF(AND(LEN($A2221)=4,VALUE(RIGHT($A2221,2))&lt;60),GUS_tabl_2!$A$8:$B$464,GUS_tabl_21!$A$5:$B$4886),2,FALSE)))),TRIM(VLOOKUP(IF(AND(LEN($A2221)=4,VALUE(RIGHT($A2221,2))&gt;60),$A2221&amp;"01 1",$A2221),IF(AND(LEN($A2221)=4,VALUE(RIGHT($A2221,2))&lt;60),GUS_tabl_2!$A$8:$B$464,GUS_tabl_21!$A$5:$B$4886),2,FALSE)),LEFT(TRIM(VLOOKUP(IF(AND(LEN($A2221)=4,VALUE(RIGHT($A2221,2))&gt;60),$A2221&amp;"01 1",$A2221),IF(AND(LEN($A2221)=4,VALUE(RIGHT($A2221,2))&lt;60),GUS_tabl_2!$A$8:$B$464,GUS_tabl_21!$A$5:$B$4886),2,FALSE)),SUM(FIND("..",TRIM(VLOOKUP(IF(AND(LEN($A2221)=4,VALUE(RIGHT($A2221,2))&gt;60),$A2221&amp;"01 1",$A2221),IF(AND(LEN($A2221)=4,VALUE(RIGHT($A2221,2))&lt;60),GUS_tabl_2!$A$8:$B$464,GUS_tabl_21!$A$5:$B$4886),2,FALSE))),-1)))))</f>
        <v>m. Pszów</v>
      </c>
      <c r="D2221" s="141">
        <f>IF(OR($A2221="",ISERROR(VALUE(LEFT($A2221,6)))),"",IF(LEN($A2221)=2,SUMIF($A2222:$A$2965,$A2221&amp;"??",$D2222:$D$2965),IF(AND(LEN($A2221)=4,VALUE(RIGHT($A2221,2))&lt;=60),SUMIF($A2222:$A$2965,$A2221&amp;"????",$D2222:$D$2965),VLOOKUP(IF(LEN($A2221)=4,$A2221&amp;"01 1",$A2221),GUS_tabl_21!$A$5:$F$4886,6,FALSE))))</f>
        <v>13844</v>
      </c>
      <c r="E2221" s="29"/>
    </row>
    <row r="2222" spans="1:5" ht="12" customHeight="1">
      <c r="A2222" s="155" t="str">
        <f>"241502 1"</f>
        <v>241502 1</v>
      </c>
      <c r="B2222" s="153" t="s">
        <v>80</v>
      </c>
      <c r="C2222" s="156" t="str">
        <f>IF(OR($A2222="",ISERROR(VALUE(LEFT($A2222,6)))),"",IF(LEN($A2222)=2,"WOJ. ",IF(LEN($A2222)=4,IF(VALUE(RIGHT($A2222,2))&gt;60,"","Powiat "),IF(VALUE(RIGHT($A2222,1))=1,"m. ",IF(VALUE(RIGHT($A2222,1))=2,"gm. w. ",IF(VALUE(RIGHT($A2222,1))=8,"dz. ","gm. m.-w. ")))))&amp;IF(LEN($A2222)=2,TRIM(UPPER(VLOOKUP($A2222,GUS_tabl_1!$A$7:$B$22,2,FALSE))),IF(ISERROR(FIND("..",TRIM(VLOOKUP(IF(AND(LEN($A2222)=4,VALUE(RIGHT($A2222,2))&gt;60),$A2222&amp;"01 1",$A2222),IF(AND(LEN($A2222)=4,VALUE(RIGHT($A2222,2))&lt;60),GUS_tabl_2!$A$8:$B$464,GUS_tabl_21!$A$5:$B$4886),2,FALSE)))),TRIM(VLOOKUP(IF(AND(LEN($A2222)=4,VALUE(RIGHT($A2222,2))&gt;60),$A2222&amp;"01 1",$A2222),IF(AND(LEN($A2222)=4,VALUE(RIGHT($A2222,2))&lt;60),GUS_tabl_2!$A$8:$B$464,GUS_tabl_21!$A$5:$B$4886),2,FALSE)),LEFT(TRIM(VLOOKUP(IF(AND(LEN($A2222)=4,VALUE(RIGHT($A2222,2))&gt;60),$A2222&amp;"01 1",$A2222),IF(AND(LEN($A2222)=4,VALUE(RIGHT($A2222,2))&lt;60),GUS_tabl_2!$A$8:$B$464,GUS_tabl_21!$A$5:$B$4886),2,FALSE)),SUM(FIND("..",TRIM(VLOOKUP(IF(AND(LEN($A2222)=4,VALUE(RIGHT($A2222,2))&gt;60),$A2222&amp;"01 1",$A2222),IF(AND(LEN($A2222)=4,VALUE(RIGHT($A2222,2))&lt;60),GUS_tabl_2!$A$8:$B$464,GUS_tabl_21!$A$5:$B$4886),2,FALSE))),-1)))))</f>
        <v>m. Radlin</v>
      </c>
      <c r="D2222" s="141">
        <f>IF(OR($A2222="",ISERROR(VALUE(LEFT($A2222,6)))),"",IF(LEN($A2222)=2,SUMIF($A2223:$A$2965,$A2222&amp;"??",$D2223:$D$2965),IF(AND(LEN($A2222)=4,VALUE(RIGHT($A2222,2))&lt;=60),SUMIF($A2223:$A$2965,$A2222&amp;"????",$D2223:$D$2965),VLOOKUP(IF(LEN($A2222)=4,$A2222&amp;"01 1",$A2222),GUS_tabl_21!$A$5:$F$4886,6,FALSE))))</f>
        <v>17759</v>
      </c>
      <c r="E2222" s="29"/>
    </row>
    <row r="2223" spans="1:5" ht="12" customHeight="1">
      <c r="A2223" s="155" t="str">
        <f>"241503 1"</f>
        <v>241503 1</v>
      </c>
      <c r="B2223" s="153" t="s">
        <v>80</v>
      </c>
      <c r="C2223" s="156" t="str">
        <f>IF(OR($A2223="",ISERROR(VALUE(LEFT($A2223,6)))),"",IF(LEN($A2223)=2,"WOJ. ",IF(LEN($A2223)=4,IF(VALUE(RIGHT($A2223,2))&gt;60,"","Powiat "),IF(VALUE(RIGHT($A2223,1))=1,"m. ",IF(VALUE(RIGHT($A2223,1))=2,"gm. w. ",IF(VALUE(RIGHT($A2223,1))=8,"dz. ","gm. m.-w. ")))))&amp;IF(LEN($A2223)=2,TRIM(UPPER(VLOOKUP($A2223,GUS_tabl_1!$A$7:$B$22,2,FALSE))),IF(ISERROR(FIND("..",TRIM(VLOOKUP(IF(AND(LEN($A2223)=4,VALUE(RIGHT($A2223,2))&gt;60),$A2223&amp;"01 1",$A2223),IF(AND(LEN($A2223)=4,VALUE(RIGHT($A2223,2))&lt;60),GUS_tabl_2!$A$8:$B$464,GUS_tabl_21!$A$5:$B$4886),2,FALSE)))),TRIM(VLOOKUP(IF(AND(LEN($A2223)=4,VALUE(RIGHT($A2223,2))&gt;60),$A2223&amp;"01 1",$A2223),IF(AND(LEN($A2223)=4,VALUE(RIGHT($A2223,2))&lt;60),GUS_tabl_2!$A$8:$B$464,GUS_tabl_21!$A$5:$B$4886),2,FALSE)),LEFT(TRIM(VLOOKUP(IF(AND(LEN($A2223)=4,VALUE(RIGHT($A2223,2))&gt;60),$A2223&amp;"01 1",$A2223),IF(AND(LEN($A2223)=4,VALUE(RIGHT($A2223,2))&lt;60),GUS_tabl_2!$A$8:$B$464,GUS_tabl_21!$A$5:$B$4886),2,FALSE)),SUM(FIND("..",TRIM(VLOOKUP(IF(AND(LEN($A2223)=4,VALUE(RIGHT($A2223,2))&gt;60),$A2223&amp;"01 1",$A2223),IF(AND(LEN($A2223)=4,VALUE(RIGHT($A2223,2))&lt;60),GUS_tabl_2!$A$8:$B$464,GUS_tabl_21!$A$5:$B$4886),2,FALSE))),-1)))))</f>
        <v>m. Rydułtowy</v>
      </c>
      <c r="D2223" s="141">
        <f>IF(OR($A2223="",ISERROR(VALUE(LEFT($A2223,6)))),"",IF(LEN($A2223)=2,SUMIF($A2224:$A$2965,$A2223&amp;"??",$D2224:$D$2965),IF(AND(LEN($A2223)=4,VALUE(RIGHT($A2223,2))&lt;=60),SUMIF($A2224:$A$2965,$A2223&amp;"????",$D2224:$D$2965),VLOOKUP(IF(LEN($A2223)=4,$A2223&amp;"01 1",$A2223),GUS_tabl_21!$A$5:$F$4886,6,FALSE))))</f>
        <v>21514</v>
      </c>
      <c r="E2223" s="29"/>
    </row>
    <row r="2224" spans="1:5" ht="12" customHeight="1">
      <c r="A2224" s="155" t="str">
        <f>"241504 1"</f>
        <v>241504 1</v>
      </c>
      <c r="B2224" s="153" t="s">
        <v>80</v>
      </c>
      <c r="C2224" s="156" t="str">
        <f>IF(OR($A2224="",ISERROR(VALUE(LEFT($A2224,6)))),"",IF(LEN($A2224)=2,"WOJ. ",IF(LEN($A2224)=4,IF(VALUE(RIGHT($A2224,2))&gt;60,"","Powiat "),IF(VALUE(RIGHT($A2224,1))=1,"m. ",IF(VALUE(RIGHT($A2224,1))=2,"gm. w. ",IF(VALUE(RIGHT($A2224,1))=8,"dz. ","gm. m.-w. ")))))&amp;IF(LEN($A2224)=2,TRIM(UPPER(VLOOKUP($A2224,GUS_tabl_1!$A$7:$B$22,2,FALSE))),IF(ISERROR(FIND("..",TRIM(VLOOKUP(IF(AND(LEN($A2224)=4,VALUE(RIGHT($A2224,2))&gt;60),$A2224&amp;"01 1",$A2224),IF(AND(LEN($A2224)=4,VALUE(RIGHT($A2224,2))&lt;60),GUS_tabl_2!$A$8:$B$464,GUS_tabl_21!$A$5:$B$4886),2,FALSE)))),TRIM(VLOOKUP(IF(AND(LEN($A2224)=4,VALUE(RIGHT($A2224,2))&gt;60),$A2224&amp;"01 1",$A2224),IF(AND(LEN($A2224)=4,VALUE(RIGHT($A2224,2))&lt;60),GUS_tabl_2!$A$8:$B$464,GUS_tabl_21!$A$5:$B$4886),2,FALSE)),LEFT(TRIM(VLOOKUP(IF(AND(LEN($A2224)=4,VALUE(RIGHT($A2224,2))&gt;60),$A2224&amp;"01 1",$A2224),IF(AND(LEN($A2224)=4,VALUE(RIGHT($A2224,2))&lt;60),GUS_tabl_2!$A$8:$B$464,GUS_tabl_21!$A$5:$B$4886),2,FALSE)),SUM(FIND("..",TRIM(VLOOKUP(IF(AND(LEN($A2224)=4,VALUE(RIGHT($A2224,2))&gt;60),$A2224&amp;"01 1",$A2224),IF(AND(LEN($A2224)=4,VALUE(RIGHT($A2224,2))&lt;60),GUS_tabl_2!$A$8:$B$464,GUS_tabl_21!$A$5:$B$4886),2,FALSE))),-1)))))</f>
        <v>m. Wodzisław Śląski</v>
      </c>
      <c r="D2224" s="141">
        <f>IF(OR($A2224="",ISERROR(VALUE(LEFT($A2224,6)))),"",IF(LEN($A2224)=2,SUMIF($A2225:$A$2965,$A2224&amp;"??",$D2225:$D$2965),IF(AND(LEN($A2224)=4,VALUE(RIGHT($A2224,2))&lt;=60),SUMIF($A2225:$A$2965,$A2224&amp;"????",$D2225:$D$2965),VLOOKUP(IF(LEN($A2224)=4,$A2224&amp;"01 1",$A2224),GUS_tabl_21!$A$5:$F$4886,6,FALSE))))</f>
        <v>47813</v>
      </c>
      <c r="E2224" s="29"/>
    </row>
    <row r="2225" spans="1:5" ht="12" customHeight="1">
      <c r="A2225" s="155" t="str">
        <f>"241505 2"</f>
        <v>241505 2</v>
      </c>
      <c r="B2225" s="153" t="s">
        <v>80</v>
      </c>
      <c r="C2225" s="156" t="str">
        <f>IF(OR($A2225="",ISERROR(VALUE(LEFT($A2225,6)))),"",IF(LEN($A2225)=2,"WOJ. ",IF(LEN($A2225)=4,IF(VALUE(RIGHT($A2225,2))&gt;60,"","Powiat "),IF(VALUE(RIGHT($A2225,1))=1,"m. ",IF(VALUE(RIGHT($A2225,1))=2,"gm. w. ",IF(VALUE(RIGHT($A2225,1))=8,"dz. ","gm. m.-w. ")))))&amp;IF(LEN($A2225)=2,TRIM(UPPER(VLOOKUP($A2225,GUS_tabl_1!$A$7:$B$22,2,FALSE))),IF(ISERROR(FIND("..",TRIM(VLOOKUP(IF(AND(LEN($A2225)=4,VALUE(RIGHT($A2225,2))&gt;60),$A2225&amp;"01 1",$A2225),IF(AND(LEN($A2225)=4,VALUE(RIGHT($A2225,2))&lt;60),GUS_tabl_2!$A$8:$B$464,GUS_tabl_21!$A$5:$B$4886),2,FALSE)))),TRIM(VLOOKUP(IF(AND(LEN($A2225)=4,VALUE(RIGHT($A2225,2))&gt;60),$A2225&amp;"01 1",$A2225),IF(AND(LEN($A2225)=4,VALUE(RIGHT($A2225,2))&lt;60),GUS_tabl_2!$A$8:$B$464,GUS_tabl_21!$A$5:$B$4886),2,FALSE)),LEFT(TRIM(VLOOKUP(IF(AND(LEN($A2225)=4,VALUE(RIGHT($A2225,2))&gt;60),$A2225&amp;"01 1",$A2225),IF(AND(LEN($A2225)=4,VALUE(RIGHT($A2225,2))&lt;60),GUS_tabl_2!$A$8:$B$464,GUS_tabl_21!$A$5:$B$4886),2,FALSE)),SUM(FIND("..",TRIM(VLOOKUP(IF(AND(LEN($A2225)=4,VALUE(RIGHT($A2225,2))&gt;60),$A2225&amp;"01 1",$A2225),IF(AND(LEN($A2225)=4,VALUE(RIGHT($A2225,2))&lt;60),GUS_tabl_2!$A$8:$B$464,GUS_tabl_21!$A$5:$B$4886),2,FALSE))),-1)))))</f>
        <v>gm. w. Godów</v>
      </c>
      <c r="D2225" s="141">
        <f>IF(OR($A2225="",ISERROR(VALUE(LEFT($A2225,6)))),"",IF(LEN($A2225)=2,SUMIF($A2226:$A$2965,$A2225&amp;"??",$D2226:$D$2965),IF(AND(LEN($A2225)=4,VALUE(RIGHT($A2225,2))&lt;=60),SUMIF($A2226:$A$2965,$A2225&amp;"????",$D2226:$D$2965),VLOOKUP(IF(LEN($A2225)=4,$A2225&amp;"01 1",$A2225),GUS_tabl_21!$A$5:$F$4886,6,FALSE))))</f>
        <v>13813</v>
      </c>
      <c r="E2225" s="29"/>
    </row>
    <row r="2226" spans="1:5" ht="12" customHeight="1">
      <c r="A2226" s="155" t="str">
        <f>"241506 2"</f>
        <v>241506 2</v>
      </c>
      <c r="B2226" s="153" t="s">
        <v>80</v>
      </c>
      <c r="C2226" s="156" t="str">
        <f>IF(OR($A2226="",ISERROR(VALUE(LEFT($A2226,6)))),"",IF(LEN($A2226)=2,"WOJ. ",IF(LEN($A2226)=4,IF(VALUE(RIGHT($A2226,2))&gt;60,"","Powiat "),IF(VALUE(RIGHT($A2226,1))=1,"m. ",IF(VALUE(RIGHT($A2226,1))=2,"gm. w. ",IF(VALUE(RIGHT($A2226,1))=8,"dz. ","gm. m.-w. ")))))&amp;IF(LEN($A2226)=2,TRIM(UPPER(VLOOKUP($A2226,GUS_tabl_1!$A$7:$B$22,2,FALSE))),IF(ISERROR(FIND("..",TRIM(VLOOKUP(IF(AND(LEN($A2226)=4,VALUE(RIGHT($A2226,2))&gt;60),$A2226&amp;"01 1",$A2226),IF(AND(LEN($A2226)=4,VALUE(RIGHT($A2226,2))&lt;60),GUS_tabl_2!$A$8:$B$464,GUS_tabl_21!$A$5:$B$4886),2,FALSE)))),TRIM(VLOOKUP(IF(AND(LEN($A2226)=4,VALUE(RIGHT($A2226,2))&gt;60),$A2226&amp;"01 1",$A2226),IF(AND(LEN($A2226)=4,VALUE(RIGHT($A2226,2))&lt;60),GUS_tabl_2!$A$8:$B$464,GUS_tabl_21!$A$5:$B$4886),2,FALSE)),LEFT(TRIM(VLOOKUP(IF(AND(LEN($A2226)=4,VALUE(RIGHT($A2226,2))&gt;60),$A2226&amp;"01 1",$A2226),IF(AND(LEN($A2226)=4,VALUE(RIGHT($A2226,2))&lt;60),GUS_tabl_2!$A$8:$B$464,GUS_tabl_21!$A$5:$B$4886),2,FALSE)),SUM(FIND("..",TRIM(VLOOKUP(IF(AND(LEN($A2226)=4,VALUE(RIGHT($A2226,2))&gt;60),$A2226&amp;"01 1",$A2226),IF(AND(LEN($A2226)=4,VALUE(RIGHT($A2226,2))&lt;60),GUS_tabl_2!$A$8:$B$464,GUS_tabl_21!$A$5:$B$4886),2,FALSE))),-1)))))</f>
        <v>gm. w. Gorzyce</v>
      </c>
      <c r="D2226" s="141">
        <f>IF(OR($A2226="",ISERROR(VALUE(LEFT($A2226,6)))),"",IF(LEN($A2226)=2,SUMIF($A2227:$A$2965,$A2226&amp;"??",$D2227:$D$2965),IF(AND(LEN($A2226)=4,VALUE(RIGHT($A2226,2))&lt;=60),SUMIF($A2227:$A$2965,$A2226&amp;"????",$D2227:$D$2965),VLOOKUP(IF(LEN($A2226)=4,$A2226&amp;"01 1",$A2226),GUS_tabl_21!$A$5:$F$4886,6,FALSE))))</f>
        <v>21338</v>
      </c>
      <c r="E2226" s="29"/>
    </row>
    <row r="2227" spans="1:5" ht="12" customHeight="1">
      <c r="A2227" s="155" t="str">
        <f>"241507 2"</f>
        <v>241507 2</v>
      </c>
      <c r="B2227" s="153" t="s">
        <v>80</v>
      </c>
      <c r="C2227" s="156" t="str">
        <f>IF(OR($A2227="",ISERROR(VALUE(LEFT($A2227,6)))),"",IF(LEN($A2227)=2,"WOJ. ",IF(LEN($A2227)=4,IF(VALUE(RIGHT($A2227,2))&gt;60,"","Powiat "),IF(VALUE(RIGHT($A2227,1))=1,"m. ",IF(VALUE(RIGHT($A2227,1))=2,"gm. w. ",IF(VALUE(RIGHT($A2227,1))=8,"dz. ","gm. m.-w. ")))))&amp;IF(LEN($A2227)=2,TRIM(UPPER(VLOOKUP($A2227,GUS_tabl_1!$A$7:$B$22,2,FALSE))),IF(ISERROR(FIND("..",TRIM(VLOOKUP(IF(AND(LEN($A2227)=4,VALUE(RIGHT($A2227,2))&gt;60),$A2227&amp;"01 1",$A2227),IF(AND(LEN($A2227)=4,VALUE(RIGHT($A2227,2))&lt;60),GUS_tabl_2!$A$8:$B$464,GUS_tabl_21!$A$5:$B$4886),2,FALSE)))),TRIM(VLOOKUP(IF(AND(LEN($A2227)=4,VALUE(RIGHT($A2227,2))&gt;60),$A2227&amp;"01 1",$A2227),IF(AND(LEN($A2227)=4,VALUE(RIGHT($A2227,2))&lt;60),GUS_tabl_2!$A$8:$B$464,GUS_tabl_21!$A$5:$B$4886),2,FALSE)),LEFT(TRIM(VLOOKUP(IF(AND(LEN($A2227)=4,VALUE(RIGHT($A2227,2))&gt;60),$A2227&amp;"01 1",$A2227),IF(AND(LEN($A2227)=4,VALUE(RIGHT($A2227,2))&lt;60),GUS_tabl_2!$A$8:$B$464,GUS_tabl_21!$A$5:$B$4886),2,FALSE)),SUM(FIND("..",TRIM(VLOOKUP(IF(AND(LEN($A2227)=4,VALUE(RIGHT($A2227,2))&gt;60),$A2227&amp;"01 1",$A2227),IF(AND(LEN($A2227)=4,VALUE(RIGHT($A2227,2))&lt;60),GUS_tabl_2!$A$8:$B$464,GUS_tabl_21!$A$5:$B$4886),2,FALSE))),-1)))))</f>
        <v>gm. w. Lubomia</v>
      </c>
      <c r="D2227" s="141">
        <f>IF(OR($A2227="",ISERROR(VALUE(LEFT($A2227,6)))),"",IF(LEN($A2227)=2,SUMIF($A2228:$A$2965,$A2227&amp;"??",$D2228:$D$2965),IF(AND(LEN($A2227)=4,VALUE(RIGHT($A2227,2))&lt;=60),SUMIF($A2228:$A$2965,$A2227&amp;"????",$D2228:$D$2965),VLOOKUP(IF(LEN($A2227)=4,$A2227&amp;"01 1",$A2227),GUS_tabl_21!$A$5:$F$4886,6,FALSE))))</f>
        <v>7912</v>
      </c>
      <c r="E2227" s="29"/>
    </row>
    <row r="2228" spans="1:5" ht="12" customHeight="1">
      <c r="A2228" s="155" t="str">
        <f>"241508 2"</f>
        <v>241508 2</v>
      </c>
      <c r="B2228" s="153" t="s">
        <v>80</v>
      </c>
      <c r="C2228" s="156" t="str">
        <f>IF(OR($A2228="",ISERROR(VALUE(LEFT($A2228,6)))),"",IF(LEN($A2228)=2,"WOJ. ",IF(LEN($A2228)=4,IF(VALUE(RIGHT($A2228,2))&gt;60,"","Powiat "),IF(VALUE(RIGHT($A2228,1))=1,"m. ",IF(VALUE(RIGHT($A2228,1))=2,"gm. w. ",IF(VALUE(RIGHT($A2228,1))=8,"dz. ","gm. m.-w. ")))))&amp;IF(LEN($A2228)=2,TRIM(UPPER(VLOOKUP($A2228,GUS_tabl_1!$A$7:$B$22,2,FALSE))),IF(ISERROR(FIND("..",TRIM(VLOOKUP(IF(AND(LEN($A2228)=4,VALUE(RIGHT($A2228,2))&gt;60),$A2228&amp;"01 1",$A2228),IF(AND(LEN($A2228)=4,VALUE(RIGHT($A2228,2))&lt;60),GUS_tabl_2!$A$8:$B$464,GUS_tabl_21!$A$5:$B$4886),2,FALSE)))),TRIM(VLOOKUP(IF(AND(LEN($A2228)=4,VALUE(RIGHT($A2228,2))&gt;60),$A2228&amp;"01 1",$A2228),IF(AND(LEN($A2228)=4,VALUE(RIGHT($A2228,2))&lt;60),GUS_tabl_2!$A$8:$B$464,GUS_tabl_21!$A$5:$B$4886),2,FALSE)),LEFT(TRIM(VLOOKUP(IF(AND(LEN($A2228)=4,VALUE(RIGHT($A2228,2))&gt;60),$A2228&amp;"01 1",$A2228),IF(AND(LEN($A2228)=4,VALUE(RIGHT($A2228,2))&lt;60),GUS_tabl_2!$A$8:$B$464,GUS_tabl_21!$A$5:$B$4886),2,FALSE)),SUM(FIND("..",TRIM(VLOOKUP(IF(AND(LEN($A2228)=4,VALUE(RIGHT($A2228,2))&gt;60),$A2228&amp;"01 1",$A2228),IF(AND(LEN($A2228)=4,VALUE(RIGHT($A2228,2))&lt;60),GUS_tabl_2!$A$8:$B$464,GUS_tabl_21!$A$5:$B$4886),2,FALSE))),-1)))))</f>
        <v>gm. w. Marklowice</v>
      </c>
      <c r="D2228" s="141">
        <f>IF(OR($A2228="",ISERROR(VALUE(LEFT($A2228,6)))),"",IF(LEN($A2228)=2,SUMIF($A2229:$A$2965,$A2228&amp;"??",$D2229:$D$2965),IF(AND(LEN($A2228)=4,VALUE(RIGHT($A2228,2))&lt;=60),SUMIF($A2229:$A$2965,$A2228&amp;"????",$D2229:$D$2965),VLOOKUP(IF(LEN($A2228)=4,$A2228&amp;"01 1",$A2228),GUS_tabl_21!$A$5:$F$4886,6,FALSE))))</f>
        <v>5405</v>
      </c>
      <c r="E2228" s="29"/>
    </row>
    <row r="2229" spans="1:5" ht="12" customHeight="1">
      <c r="A2229" s="155" t="str">
        <f>"241509 2"</f>
        <v>241509 2</v>
      </c>
      <c r="B2229" s="153" t="s">
        <v>80</v>
      </c>
      <c r="C2229" s="156" t="str">
        <f>IF(OR($A2229="",ISERROR(VALUE(LEFT($A2229,6)))),"",IF(LEN($A2229)=2,"WOJ. ",IF(LEN($A2229)=4,IF(VALUE(RIGHT($A2229,2))&gt;60,"","Powiat "),IF(VALUE(RIGHT($A2229,1))=1,"m. ",IF(VALUE(RIGHT($A2229,1))=2,"gm. w. ",IF(VALUE(RIGHT($A2229,1))=8,"dz. ","gm. m.-w. ")))))&amp;IF(LEN($A2229)=2,TRIM(UPPER(VLOOKUP($A2229,GUS_tabl_1!$A$7:$B$22,2,FALSE))),IF(ISERROR(FIND("..",TRIM(VLOOKUP(IF(AND(LEN($A2229)=4,VALUE(RIGHT($A2229,2))&gt;60),$A2229&amp;"01 1",$A2229),IF(AND(LEN($A2229)=4,VALUE(RIGHT($A2229,2))&lt;60),GUS_tabl_2!$A$8:$B$464,GUS_tabl_21!$A$5:$B$4886),2,FALSE)))),TRIM(VLOOKUP(IF(AND(LEN($A2229)=4,VALUE(RIGHT($A2229,2))&gt;60),$A2229&amp;"01 1",$A2229),IF(AND(LEN($A2229)=4,VALUE(RIGHT($A2229,2))&lt;60),GUS_tabl_2!$A$8:$B$464,GUS_tabl_21!$A$5:$B$4886),2,FALSE)),LEFT(TRIM(VLOOKUP(IF(AND(LEN($A2229)=4,VALUE(RIGHT($A2229,2))&gt;60),$A2229&amp;"01 1",$A2229),IF(AND(LEN($A2229)=4,VALUE(RIGHT($A2229,2))&lt;60),GUS_tabl_2!$A$8:$B$464,GUS_tabl_21!$A$5:$B$4886),2,FALSE)),SUM(FIND("..",TRIM(VLOOKUP(IF(AND(LEN($A2229)=4,VALUE(RIGHT($A2229,2))&gt;60),$A2229&amp;"01 1",$A2229),IF(AND(LEN($A2229)=4,VALUE(RIGHT($A2229,2))&lt;60),GUS_tabl_2!$A$8:$B$464,GUS_tabl_21!$A$5:$B$4886),2,FALSE))),-1)))))</f>
        <v>gm. w. Mszana</v>
      </c>
      <c r="D2229" s="141">
        <f>IF(OR($A2229="",ISERROR(VALUE(LEFT($A2229,6)))),"",IF(LEN($A2229)=2,SUMIF($A2230:$A$2965,$A2229&amp;"??",$D2230:$D$2965),IF(AND(LEN($A2229)=4,VALUE(RIGHT($A2229,2))&lt;=60),SUMIF($A2230:$A$2965,$A2229&amp;"????",$D2230:$D$2965),VLOOKUP(IF(LEN($A2229)=4,$A2229&amp;"01 1",$A2229),GUS_tabl_21!$A$5:$F$4886,6,FALSE))))</f>
        <v>7690</v>
      </c>
      <c r="E2229" s="29"/>
    </row>
    <row r="2230" spans="1:5" ht="12" customHeight="1">
      <c r="A2230" s="152" t="str">
        <f>"2416"</f>
        <v>2416</v>
      </c>
      <c r="B2230" s="153" t="s">
        <v>80</v>
      </c>
      <c r="C2230" s="154" t="str">
        <f>IF(OR($A2230="",ISERROR(VALUE(LEFT($A2230,6)))),"",IF(LEN($A2230)=2,"WOJ. ",IF(LEN($A2230)=4,IF(VALUE(RIGHT($A2230,2))&gt;60,"","Powiat "),IF(VALUE(RIGHT($A2230,1))=1,"m. ",IF(VALUE(RIGHT($A2230,1))=2,"gm. w. ",IF(VALUE(RIGHT($A2230,1))=8,"dz. ","gm. m.-w. ")))))&amp;IF(LEN($A2230)=2,TRIM(UPPER(VLOOKUP($A2230,GUS_tabl_1!$A$7:$B$22,2,FALSE))),IF(ISERROR(FIND("..",TRIM(VLOOKUP(IF(AND(LEN($A2230)=4,VALUE(RIGHT($A2230,2))&gt;60),$A2230&amp;"01 1",$A2230),IF(AND(LEN($A2230)=4,VALUE(RIGHT($A2230,2))&lt;60),GUS_tabl_2!$A$8:$B$464,GUS_tabl_21!$A$5:$B$4886),2,FALSE)))),TRIM(VLOOKUP(IF(AND(LEN($A2230)=4,VALUE(RIGHT($A2230,2))&gt;60),$A2230&amp;"01 1",$A2230),IF(AND(LEN($A2230)=4,VALUE(RIGHT($A2230,2))&lt;60),GUS_tabl_2!$A$8:$B$464,GUS_tabl_21!$A$5:$B$4886),2,FALSE)),LEFT(TRIM(VLOOKUP(IF(AND(LEN($A2230)=4,VALUE(RIGHT($A2230,2))&gt;60),$A2230&amp;"01 1",$A2230),IF(AND(LEN($A2230)=4,VALUE(RIGHT($A2230,2))&lt;60),GUS_tabl_2!$A$8:$B$464,GUS_tabl_21!$A$5:$B$4886),2,FALSE)),SUM(FIND("..",TRIM(VLOOKUP(IF(AND(LEN($A2230)=4,VALUE(RIGHT($A2230,2))&gt;60),$A2230&amp;"01 1",$A2230),IF(AND(LEN($A2230)=4,VALUE(RIGHT($A2230,2))&lt;60),GUS_tabl_2!$A$8:$B$464,GUS_tabl_21!$A$5:$B$4886),2,FALSE))),-1)))))</f>
        <v>Powiat zawierciański</v>
      </c>
      <c r="D2230" s="140">
        <f>IF(OR($A2230="",ISERROR(VALUE(LEFT($A2230,6)))),"",IF(LEN($A2230)=2,SUMIF($A2231:$A$2965,$A2230&amp;"??",$D2231:$D$2965),IF(AND(LEN($A2230)=4,VALUE(RIGHT($A2230,2))&lt;=60),SUMIF($A2231:$A$2965,$A2230&amp;"????",$D2231:$D$2965),VLOOKUP(IF(LEN($A2230)=4,$A2230&amp;"01 1",$A2230),GUS_tabl_21!$A$5:$F$4886,6,FALSE))))</f>
        <v>117624</v>
      </c>
      <c r="E2230" s="29"/>
    </row>
    <row r="2231" spans="1:5" ht="12" customHeight="1">
      <c r="A2231" s="155" t="str">
        <f>"241601 1"</f>
        <v>241601 1</v>
      </c>
      <c r="B2231" s="153" t="s">
        <v>80</v>
      </c>
      <c r="C2231" s="156" t="str">
        <f>IF(OR($A2231="",ISERROR(VALUE(LEFT($A2231,6)))),"",IF(LEN($A2231)=2,"WOJ. ",IF(LEN($A2231)=4,IF(VALUE(RIGHT($A2231,2))&gt;60,"","Powiat "),IF(VALUE(RIGHT($A2231,1))=1,"m. ",IF(VALUE(RIGHT($A2231,1))=2,"gm. w. ",IF(VALUE(RIGHT($A2231,1))=8,"dz. ","gm. m.-w. ")))))&amp;IF(LEN($A2231)=2,TRIM(UPPER(VLOOKUP($A2231,GUS_tabl_1!$A$7:$B$22,2,FALSE))),IF(ISERROR(FIND("..",TRIM(VLOOKUP(IF(AND(LEN($A2231)=4,VALUE(RIGHT($A2231,2))&gt;60),$A2231&amp;"01 1",$A2231),IF(AND(LEN($A2231)=4,VALUE(RIGHT($A2231,2))&lt;60),GUS_tabl_2!$A$8:$B$464,GUS_tabl_21!$A$5:$B$4886),2,FALSE)))),TRIM(VLOOKUP(IF(AND(LEN($A2231)=4,VALUE(RIGHT($A2231,2))&gt;60),$A2231&amp;"01 1",$A2231),IF(AND(LEN($A2231)=4,VALUE(RIGHT($A2231,2))&lt;60),GUS_tabl_2!$A$8:$B$464,GUS_tabl_21!$A$5:$B$4886),2,FALSE)),LEFT(TRIM(VLOOKUP(IF(AND(LEN($A2231)=4,VALUE(RIGHT($A2231,2))&gt;60),$A2231&amp;"01 1",$A2231),IF(AND(LEN($A2231)=4,VALUE(RIGHT($A2231,2))&lt;60),GUS_tabl_2!$A$8:$B$464,GUS_tabl_21!$A$5:$B$4886),2,FALSE)),SUM(FIND("..",TRIM(VLOOKUP(IF(AND(LEN($A2231)=4,VALUE(RIGHT($A2231,2))&gt;60),$A2231&amp;"01 1",$A2231),IF(AND(LEN($A2231)=4,VALUE(RIGHT($A2231,2))&lt;60),GUS_tabl_2!$A$8:$B$464,GUS_tabl_21!$A$5:$B$4886),2,FALSE))),-1)))))</f>
        <v>m. Poręba</v>
      </c>
      <c r="D2231" s="141">
        <f>IF(OR($A2231="",ISERROR(VALUE(LEFT($A2231,6)))),"",IF(LEN($A2231)=2,SUMIF($A2232:$A$2965,$A2231&amp;"??",$D2232:$D$2965),IF(AND(LEN($A2231)=4,VALUE(RIGHT($A2231,2))&lt;=60),SUMIF($A2232:$A$2965,$A2231&amp;"????",$D2232:$D$2965),VLOOKUP(IF(LEN($A2231)=4,$A2231&amp;"01 1",$A2231),GUS_tabl_21!$A$5:$F$4886,6,FALSE))))</f>
        <v>8480</v>
      </c>
      <c r="E2231" s="29"/>
    </row>
    <row r="2232" spans="1:5" ht="12" customHeight="1">
      <c r="A2232" s="155" t="str">
        <f>"241602 1"</f>
        <v>241602 1</v>
      </c>
      <c r="B2232" s="153" t="s">
        <v>80</v>
      </c>
      <c r="C2232" s="156" t="str">
        <f>IF(OR($A2232="",ISERROR(VALUE(LEFT($A2232,6)))),"",IF(LEN($A2232)=2,"WOJ. ",IF(LEN($A2232)=4,IF(VALUE(RIGHT($A2232,2))&gt;60,"","Powiat "),IF(VALUE(RIGHT($A2232,1))=1,"m. ",IF(VALUE(RIGHT($A2232,1))=2,"gm. w. ",IF(VALUE(RIGHT($A2232,1))=8,"dz. ","gm. m.-w. ")))))&amp;IF(LEN($A2232)=2,TRIM(UPPER(VLOOKUP($A2232,GUS_tabl_1!$A$7:$B$22,2,FALSE))),IF(ISERROR(FIND("..",TRIM(VLOOKUP(IF(AND(LEN($A2232)=4,VALUE(RIGHT($A2232,2))&gt;60),$A2232&amp;"01 1",$A2232),IF(AND(LEN($A2232)=4,VALUE(RIGHT($A2232,2))&lt;60),GUS_tabl_2!$A$8:$B$464,GUS_tabl_21!$A$5:$B$4886),2,FALSE)))),TRIM(VLOOKUP(IF(AND(LEN($A2232)=4,VALUE(RIGHT($A2232,2))&gt;60),$A2232&amp;"01 1",$A2232),IF(AND(LEN($A2232)=4,VALUE(RIGHT($A2232,2))&lt;60),GUS_tabl_2!$A$8:$B$464,GUS_tabl_21!$A$5:$B$4886),2,FALSE)),LEFT(TRIM(VLOOKUP(IF(AND(LEN($A2232)=4,VALUE(RIGHT($A2232,2))&gt;60),$A2232&amp;"01 1",$A2232),IF(AND(LEN($A2232)=4,VALUE(RIGHT($A2232,2))&lt;60),GUS_tabl_2!$A$8:$B$464,GUS_tabl_21!$A$5:$B$4886),2,FALSE)),SUM(FIND("..",TRIM(VLOOKUP(IF(AND(LEN($A2232)=4,VALUE(RIGHT($A2232,2))&gt;60),$A2232&amp;"01 1",$A2232),IF(AND(LEN($A2232)=4,VALUE(RIGHT($A2232,2))&lt;60),GUS_tabl_2!$A$8:$B$464,GUS_tabl_21!$A$5:$B$4886),2,FALSE))),-1)))))</f>
        <v>m. Zawiercie</v>
      </c>
      <c r="D2232" s="141">
        <f>IF(OR($A2232="",ISERROR(VALUE(LEFT($A2232,6)))),"",IF(LEN($A2232)=2,SUMIF($A2233:$A$2965,$A2232&amp;"??",$D2233:$D$2965),IF(AND(LEN($A2232)=4,VALUE(RIGHT($A2232,2))&lt;=60),SUMIF($A2233:$A$2965,$A2232&amp;"????",$D2233:$D$2965),VLOOKUP(IF(LEN($A2232)=4,$A2232&amp;"01 1",$A2232),GUS_tabl_21!$A$5:$F$4886,6,FALSE))))</f>
        <v>49204</v>
      </c>
      <c r="E2232" s="29"/>
    </row>
    <row r="2233" spans="1:5" ht="12" customHeight="1">
      <c r="A2233" s="155" t="str">
        <f>"241603 2"</f>
        <v>241603 2</v>
      </c>
      <c r="B2233" s="153" t="s">
        <v>80</v>
      </c>
      <c r="C2233" s="156" t="str">
        <f>IF(OR($A2233="",ISERROR(VALUE(LEFT($A2233,6)))),"",IF(LEN($A2233)=2,"WOJ. ",IF(LEN($A2233)=4,IF(VALUE(RIGHT($A2233,2))&gt;60,"","Powiat "),IF(VALUE(RIGHT($A2233,1))=1,"m. ",IF(VALUE(RIGHT($A2233,1))=2,"gm. w. ",IF(VALUE(RIGHT($A2233,1))=8,"dz. ","gm. m.-w. ")))))&amp;IF(LEN($A2233)=2,TRIM(UPPER(VLOOKUP($A2233,GUS_tabl_1!$A$7:$B$22,2,FALSE))),IF(ISERROR(FIND("..",TRIM(VLOOKUP(IF(AND(LEN($A2233)=4,VALUE(RIGHT($A2233,2))&gt;60),$A2233&amp;"01 1",$A2233),IF(AND(LEN($A2233)=4,VALUE(RIGHT($A2233,2))&lt;60),GUS_tabl_2!$A$8:$B$464,GUS_tabl_21!$A$5:$B$4886),2,FALSE)))),TRIM(VLOOKUP(IF(AND(LEN($A2233)=4,VALUE(RIGHT($A2233,2))&gt;60),$A2233&amp;"01 1",$A2233),IF(AND(LEN($A2233)=4,VALUE(RIGHT($A2233,2))&lt;60),GUS_tabl_2!$A$8:$B$464,GUS_tabl_21!$A$5:$B$4886),2,FALSE)),LEFT(TRIM(VLOOKUP(IF(AND(LEN($A2233)=4,VALUE(RIGHT($A2233,2))&gt;60),$A2233&amp;"01 1",$A2233),IF(AND(LEN($A2233)=4,VALUE(RIGHT($A2233,2))&lt;60),GUS_tabl_2!$A$8:$B$464,GUS_tabl_21!$A$5:$B$4886),2,FALSE)),SUM(FIND("..",TRIM(VLOOKUP(IF(AND(LEN($A2233)=4,VALUE(RIGHT($A2233,2))&gt;60),$A2233&amp;"01 1",$A2233),IF(AND(LEN($A2233)=4,VALUE(RIGHT($A2233,2))&lt;60),GUS_tabl_2!$A$8:$B$464,GUS_tabl_21!$A$5:$B$4886),2,FALSE))),-1)))))</f>
        <v>gm. w. Irządze</v>
      </c>
      <c r="D2233" s="141">
        <f>IF(OR($A2233="",ISERROR(VALUE(LEFT($A2233,6)))),"",IF(LEN($A2233)=2,SUMIF($A2234:$A$2965,$A2233&amp;"??",$D2234:$D$2965),IF(AND(LEN($A2233)=4,VALUE(RIGHT($A2233,2))&lt;=60),SUMIF($A2234:$A$2965,$A2233&amp;"????",$D2234:$D$2965),VLOOKUP(IF(LEN($A2233)=4,$A2233&amp;"01 1",$A2233),GUS_tabl_21!$A$5:$F$4886,6,FALSE))))</f>
        <v>2601</v>
      </c>
      <c r="E2233" s="29"/>
    </row>
    <row r="2234" spans="1:5" ht="12" customHeight="1">
      <c r="A2234" s="155" t="str">
        <f>"241604 2"</f>
        <v>241604 2</v>
      </c>
      <c r="B2234" s="153" t="s">
        <v>80</v>
      </c>
      <c r="C2234" s="156" t="str">
        <f>IF(OR($A2234="",ISERROR(VALUE(LEFT($A2234,6)))),"",IF(LEN($A2234)=2,"WOJ. ",IF(LEN($A2234)=4,IF(VALUE(RIGHT($A2234,2))&gt;60,"","Powiat "),IF(VALUE(RIGHT($A2234,1))=1,"m. ",IF(VALUE(RIGHT($A2234,1))=2,"gm. w. ",IF(VALUE(RIGHT($A2234,1))=8,"dz. ","gm. m.-w. ")))))&amp;IF(LEN($A2234)=2,TRIM(UPPER(VLOOKUP($A2234,GUS_tabl_1!$A$7:$B$22,2,FALSE))),IF(ISERROR(FIND("..",TRIM(VLOOKUP(IF(AND(LEN($A2234)=4,VALUE(RIGHT($A2234,2))&gt;60),$A2234&amp;"01 1",$A2234),IF(AND(LEN($A2234)=4,VALUE(RIGHT($A2234,2))&lt;60),GUS_tabl_2!$A$8:$B$464,GUS_tabl_21!$A$5:$B$4886),2,FALSE)))),TRIM(VLOOKUP(IF(AND(LEN($A2234)=4,VALUE(RIGHT($A2234,2))&gt;60),$A2234&amp;"01 1",$A2234),IF(AND(LEN($A2234)=4,VALUE(RIGHT($A2234,2))&lt;60),GUS_tabl_2!$A$8:$B$464,GUS_tabl_21!$A$5:$B$4886),2,FALSE)),LEFT(TRIM(VLOOKUP(IF(AND(LEN($A2234)=4,VALUE(RIGHT($A2234,2))&gt;60),$A2234&amp;"01 1",$A2234),IF(AND(LEN($A2234)=4,VALUE(RIGHT($A2234,2))&lt;60),GUS_tabl_2!$A$8:$B$464,GUS_tabl_21!$A$5:$B$4886),2,FALSE)),SUM(FIND("..",TRIM(VLOOKUP(IF(AND(LEN($A2234)=4,VALUE(RIGHT($A2234,2))&gt;60),$A2234&amp;"01 1",$A2234),IF(AND(LEN($A2234)=4,VALUE(RIGHT($A2234,2))&lt;60),GUS_tabl_2!$A$8:$B$464,GUS_tabl_21!$A$5:$B$4886),2,FALSE))),-1)))))</f>
        <v>gm. w. Kroczyce</v>
      </c>
      <c r="D2234" s="141">
        <f>IF(OR($A2234="",ISERROR(VALUE(LEFT($A2234,6)))),"",IF(LEN($A2234)=2,SUMIF($A2235:$A$2965,$A2234&amp;"??",$D2235:$D$2965),IF(AND(LEN($A2234)=4,VALUE(RIGHT($A2234,2))&lt;=60),SUMIF($A2235:$A$2965,$A2234&amp;"????",$D2235:$D$2965),VLOOKUP(IF(LEN($A2234)=4,$A2234&amp;"01 1",$A2234),GUS_tabl_21!$A$5:$F$4886,6,FALSE))))</f>
        <v>6306</v>
      </c>
      <c r="E2234" s="29"/>
    </row>
    <row r="2235" spans="1:5" ht="12" customHeight="1">
      <c r="A2235" s="155" t="str">
        <f>"241605 3"</f>
        <v>241605 3</v>
      </c>
      <c r="B2235" s="153" t="s">
        <v>80</v>
      </c>
      <c r="C2235" s="156" t="str">
        <f>IF(OR($A2235="",ISERROR(VALUE(LEFT($A2235,6)))),"",IF(LEN($A2235)=2,"WOJ. ",IF(LEN($A2235)=4,IF(VALUE(RIGHT($A2235,2))&gt;60,"","Powiat "),IF(VALUE(RIGHT($A2235,1))=1,"m. ",IF(VALUE(RIGHT($A2235,1))=2,"gm. w. ",IF(VALUE(RIGHT($A2235,1))=8,"dz. ","gm. m.-w. ")))))&amp;IF(LEN($A2235)=2,TRIM(UPPER(VLOOKUP($A2235,GUS_tabl_1!$A$7:$B$22,2,FALSE))),IF(ISERROR(FIND("..",TRIM(VLOOKUP(IF(AND(LEN($A2235)=4,VALUE(RIGHT($A2235,2))&gt;60),$A2235&amp;"01 1",$A2235),IF(AND(LEN($A2235)=4,VALUE(RIGHT($A2235,2))&lt;60),GUS_tabl_2!$A$8:$B$464,GUS_tabl_21!$A$5:$B$4886),2,FALSE)))),TRIM(VLOOKUP(IF(AND(LEN($A2235)=4,VALUE(RIGHT($A2235,2))&gt;60),$A2235&amp;"01 1",$A2235),IF(AND(LEN($A2235)=4,VALUE(RIGHT($A2235,2))&lt;60),GUS_tabl_2!$A$8:$B$464,GUS_tabl_21!$A$5:$B$4886),2,FALSE)),LEFT(TRIM(VLOOKUP(IF(AND(LEN($A2235)=4,VALUE(RIGHT($A2235,2))&gt;60),$A2235&amp;"01 1",$A2235),IF(AND(LEN($A2235)=4,VALUE(RIGHT($A2235,2))&lt;60),GUS_tabl_2!$A$8:$B$464,GUS_tabl_21!$A$5:$B$4886),2,FALSE)),SUM(FIND("..",TRIM(VLOOKUP(IF(AND(LEN($A2235)=4,VALUE(RIGHT($A2235,2))&gt;60),$A2235&amp;"01 1",$A2235),IF(AND(LEN($A2235)=4,VALUE(RIGHT($A2235,2))&lt;60),GUS_tabl_2!$A$8:$B$464,GUS_tabl_21!$A$5:$B$4886),2,FALSE))),-1)))))</f>
        <v>gm. m.-w. Łazy</v>
      </c>
      <c r="D2235" s="141">
        <f>IF(OR($A2235="",ISERROR(VALUE(LEFT($A2235,6)))),"",IF(LEN($A2235)=2,SUMIF($A2236:$A$2965,$A2235&amp;"??",$D2236:$D$2965),IF(AND(LEN($A2235)=4,VALUE(RIGHT($A2235,2))&lt;=60),SUMIF($A2236:$A$2965,$A2235&amp;"????",$D2236:$D$2965),VLOOKUP(IF(LEN($A2235)=4,$A2235&amp;"01 1",$A2235),GUS_tabl_21!$A$5:$F$4886,6,FALSE))))</f>
        <v>15893</v>
      </c>
      <c r="E2235" s="29"/>
    </row>
    <row r="2236" spans="1:5" ht="12" customHeight="1">
      <c r="A2236" s="155" t="str">
        <f>"241606 3"</f>
        <v>241606 3</v>
      </c>
      <c r="B2236" s="153" t="s">
        <v>80</v>
      </c>
      <c r="C2236" s="156" t="str">
        <f>IF(OR($A2236="",ISERROR(VALUE(LEFT($A2236,6)))),"",IF(LEN($A2236)=2,"WOJ. ",IF(LEN($A2236)=4,IF(VALUE(RIGHT($A2236,2))&gt;60,"","Powiat "),IF(VALUE(RIGHT($A2236,1))=1,"m. ",IF(VALUE(RIGHT($A2236,1))=2,"gm. w. ",IF(VALUE(RIGHT($A2236,1))=8,"dz. ","gm. m.-w. ")))))&amp;IF(LEN($A2236)=2,TRIM(UPPER(VLOOKUP($A2236,GUS_tabl_1!$A$7:$B$22,2,FALSE))),IF(ISERROR(FIND("..",TRIM(VLOOKUP(IF(AND(LEN($A2236)=4,VALUE(RIGHT($A2236,2))&gt;60),$A2236&amp;"01 1",$A2236),IF(AND(LEN($A2236)=4,VALUE(RIGHT($A2236,2))&lt;60),GUS_tabl_2!$A$8:$B$464,GUS_tabl_21!$A$5:$B$4886),2,FALSE)))),TRIM(VLOOKUP(IF(AND(LEN($A2236)=4,VALUE(RIGHT($A2236,2))&gt;60),$A2236&amp;"01 1",$A2236),IF(AND(LEN($A2236)=4,VALUE(RIGHT($A2236,2))&lt;60),GUS_tabl_2!$A$8:$B$464,GUS_tabl_21!$A$5:$B$4886),2,FALSE)),LEFT(TRIM(VLOOKUP(IF(AND(LEN($A2236)=4,VALUE(RIGHT($A2236,2))&gt;60),$A2236&amp;"01 1",$A2236),IF(AND(LEN($A2236)=4,VALUE(RIGHT($A2236,2))&lt;60),GUS_tabl_2!$A$8:$B$464,GUS_tabl_21!$A$5:$B$4886),2,FALSE)),SUM(FIND("..",TRIM(VLOOKUP(IF(AND(LEN($A2236)=4,VALUE(RIGHT($A2236,2))&gt;60),$A2236&amp;"01 1",$A2236),IF(AND(LEN($A2236)=4,VALUE(RIGHT($A2236,2))&lt;60),GUS_tabl_2!$A$8:$B$464,GUS_tabl_21!$A$5:$B$4886),2,FALSE))),-1)))))</f>
        <v>gm. m.-w. Ogrodzieniec</v>
      </c>
      <c r="D2236" s="141">
        <f>IF(OR($A2236="",ISERROR(VALUE(LEFT($A2236,6)))),"",IF(LEN($A2236)=2,SUMIF($A2237:$A$2965,$A2236&amp;"??",$D2237:$D$2965),IF(AND(LEN($A2236)=4,VALUE(RIGHT($A2236,2))&lt;=60),SUMIF($A2237:$A$2965,$A2236&amp;"????",$D2237:$D$2965),VLOOKUP(IF(LEN($A2236)=4,$A2236&amp;"01 1",$A2236),GUS_tabl_21!$A$5:$F$4886,6,FALSE))))</f>
        <v>9061</v>
      </c>
      <c r="E2236" s="29"/>
    </row>
    <row r="2237" spans="1:5" ht="12" customHeight="1">
      <c r="A2237" s="155" t="str">
        <f>"241607 3"</f>
        <v>241607 3</v>
      </c>
      <c r="B2237" s="153" t="s">
        <v>80</v>
      </c>
      <c r="C2237" s="156" t="str">
        <f>IF(OR($A2237="",ISERROR(VALUE(LEFT($A2237,6)))),"",IF(LEN($A2237)=2,"WOJ. ",IF(LEN($A2237)=4,IF(VALUE(RIGHT($A2237,2))&gt;60,"","Powiat "),IF(VALUE(RIGHT($A2237,1))=1,"m. ",IF(VALUE(RIGHT($A2237,1))=2,"gm. w. ",IF(VALUE(RIGHT($A2237,1))=8,"dz. ","gm. m.-w. ")))))&amp;IF(LEN($A2237)=2,TRIM(UPPER(VLOOKUP($A2237,GUS_tabl_1!$A$7:$B$22,2,FALSE))),IF(ISERROR(FIND("..",TRIM(VLOOKUP(IF(AND(LEN($A2237)=4,VALUE(RIGHT($A2237,2))&gt;60),$A2237&amp;"01 1",$A2237),IF(AND(LEN($A2237)=4,VALUE(RIGHT($A2237,2))&lt;60),GUS_tabl_2!$A$8:$B$464,GUS_tabl_21!$A$5:$B$4886),2,FALSE)))),TRIM(VLOOKUP(IF(AND(LEN($A2237)=4,VALUE(RIGHT($A2237,2))&gt;60),$A2237&amp;"01 1",$A2237),IF(AND(LEN($A2237)=4,VALUE(RIGHT($A2237,2))&lt;60),GUS_tabl_2!$A$8:$B$464,GUS_tabl_21!$A$5:$B$4886),2,FALSE)),LEFT(TRIM(VLOOKUP(IF(AND(LEN($A2237)=4,VALUE(RIGHT($A2237,2))&gt;60),$A2237&amp;"01 1",$A2237),IF(AND(LEN($A2237)=4,VALUE(RIGHT($A2237,2))&lt;60),GUS_tabl_2!$A$8:$B$464,GUS_tabl_21!$A$5:$B$4886),2,FALSE)),SUM(FIND("..",TRIM(VLOOKUP(IF(AND(LEN($A2237)=4,VALUE(RIGHT($A2237,2))&gt;60),$A2237&amp;"01 1",$A2237),IF(AND(LEN($A2237)=4,VALUE(RIGHT($A2237,2))&lt;60),GUS_tabl_2!$A$8:$B$464,GUS_tabl_21!$A$5:$B$4886),2,FALSE))),-1)))))</f>
        <v>gm. m.-w. Pilica</v>
      </c>
      <c r="D2237" s="141">
        <f>IF(OR($A2237="",ISERROR(VALUE(LEFT($A2237,6)))),"",IF(LEN($A2237)=2,SUMIF($A2238:$A$2965,$A2237&amp;"??",$D2238:$D$2965),IF(AND(LEN($A2237)=4,VALUE(RIGHT($A2237,2))&lt;=60),SUMIF($A2238:$A$2965,$A2237&amp;"????",$D2238:$D$2965),VLOOKUP(IF(LEN($A2237)=4,$A2237&amp;"01 1",$A2237),GUS_tabl_21!$A$5:$F$4886,6,FALSE))))</f>
        <v>8570</v>
      </c>
      <c r="E2237" s="29"/>
    </row>
    <row r="2238" spans="1:5" ht="12" customHeight="1">
      <c r="A2238" s="155" t="str">
        <f>"241608 3"</f>
        <v>241608 3</v>
      </c>
      <c r="B2238" s="153" t="s">
        <v>80</v>
      </c>
      <c r="C2238" s="156" t="str">
        <f>IF(OR($A2238="",ISERROR(VALUE(LEFT($A2238,6)))),"",IF(LEN($A2238)=2,"WOJ. ",IF(LEN($A2238)=4,IF(VALUE(RIGHT($A2238,2))&gt;60,"","Powiat "),IF(VALUE(RIGHT($A2238,1))=1,"m. ",IF(VALUE(RIGHT($A2238,1))=2,"gm. w. ",IF(VALUE(RIGHT($A2238,1))=8,"dz. ","gm. m.-w. ")))))&amp;IF(LEN($A2238)=2,TRIM(UPPER(VLOOKUP($A2238,GUS_tabl_1!$A$7:$B$22,2,FALSE))),IF(ISERROR(FIND("..",TRIM(VLOOKUP(IF(AND(LEN($A2238)=4,VALUE(RIGHT($A2238,2))&gt;60),$A2238&amp;"01 1",$A2238),IF(AND(LEN($A2238)=4,VALUE(RIGHT($A2238,2))&lt;60),GUS_tabl_2!$A$8:$B$464,GUS_tabl_21!$A$5:$B$4886),2,FALSE)))),TRIM(VLOOKUP(IF(AND(LEN($A2238)=4,VALUE(RIGHT($A2238,2))&gt;60),$A2238&amp;"01 1",$A2238),IF(AND(LEN($A2238)=4,VALUE(RIGHT($A2238,2))&lt;60),GUS_tabl_2!$A$8:$B$464,GUS_tabl_21!$A$5:$B$4886),2,FALSE)),LEFT(TRIM(VLOOKUP(IF(AND(LEN($A2238)=4,VALUE(RIGHT($A2238,2))&gt;60),$A2238&amp;"01 1",$A2238),IF(AND(LEN($A2238)=4,VALUE(RIGHT($A2238,2))&lt;60),GUS_tabl_2!$A$8:$B$464,GUS_tabl_21!$A$5:$B$4886),2,FALSE)),SUM(FIND("..",TRIM(VLOOKUP(IF(AND(LEN($A2238)=4,VALUE(RIGHT($A2238,2))&gt;60),$A2238&amp;"01 1",$A2238),IF(AND(LEN($A2238)=4,VALUE(RIGHT($A2238,2))&lt;60),GUS_tabl_2!$A$8:$B$464,GUS_tabl_21!$A$5:$B$4886),2,FALSE))),-1)))))</f>
        <v>gm. m.-w. Szczekociny</v>
      </c>
      <c r="D2238" s="141">
        <f>IF(OR($A2238="",ISERROR(VALUE(LEFT($A2238,6)))),"",IF(LEN($A2238)=2,SUMIF($A2239:$A$2965,$A2238&amp;"??",$D2239:$D$2965),IF(AND(LEN($A2238)=4,VALUE(RIGHT($A2238,2))&lt;=60),SUMIF($A2239:$A$2965,$A2238&amp;"????",$D2239:$D$2965),VLOOKUP(IF(LEN($A2238)=4,$A2238&amp;"01 1",$A2238),GUS_tabl_21!$A$5:$F$4886,6,FALSE))))</f>
        <v>7658</v>
      </c>
      <c r="E2238" s="29"/>
    </row>
    <row r="2239" spans="1:5" ht="12" customHeight="1">
      <c r="A2239" s="155" t="str">
        <f>"241609 2"</f>
        <v>241609 2</v>
      </c>
      <c r="B2239" s="153" t="s">
        <v>80</v>
      </c>
      <c r="C2239" s="156" t="str">
        <f>IF(OR($A2239="",ISERROR(VALUE(LEFT($A2239,6)))),"",IF(LEN($A2239)=2,"WOJ. ",IF(LEN($A2239)=4,IF(VALUE(RIGHT($A2239,2))&gt;60,"","Powiat "),IF(VALUE(RIGHT($A2239,1))=1,"m. ",IF(VALUE(RIGHT($A2239,1))=2,"gm. w. ",IF(VALUE(RIGHT($A2239,1))=8,"dz. ","gm. m.-w. ")))))&amp;IF(LEN($A2239)=2,TRIM(UPPER(VLOOKUP($A2239,GUS_tabl_1!$A$7:$B$22,2,FALSE))),IF(ISERROR(FIND("..",TRIM(VLOOKUP(IF(AND(LEN($A2239)=4,VALUE(RIGHT($A2239,2))&gt;60),$A2239&amp;"01 1",$A2239),IF(AND(LEN($A2239)=4,VALUE(RIGHT($A2239,2))&lt;60),GUS_tabl_2!$A$8:$B$464,GUS_tabl_21!$A$5:$B$4886),2,FALSE)))),TRIM(VLOOKUP(IF(AND(LEN($A2239)=4,VALUE(RIGHT($A2239,2))&gt;60),$A2239&amp;"01 1",$A2239),IF(AND(LEN($A2239)=4,VALUE(RIGHT($A2239,2))&lt;60),GUS_tabl_2!$A$8:$B$464,GUS_tabl_21!$A$5:$B$4886),2,FALSE)),LEFT(TRIM(VLOOKUP(IF(AND(LEN($A2239)=4,VALUE(RIGHT($A2239,2))&gt;60),$A2239&amp;"01 1",$A2239),IF(AND(LEN($A2239)=4,VALUE(RIGHT($A2239,2))&lt;60),GUS_tabl_2!$A$8:$B$464,GUS_tabl_21!$A$5:$B$4886),2,FALSE)),SUM(FIND("..",TRIM(VLOOKUP(IF(AND(LEN($A2239)=4,VALUE(RIGHT($A2239,2))&gt;60),$A2239&amp;"01 1",$A2239),IF(AND(LEN($A2239)=4,VALUE(RIGHT($A2239,2))&lt;60),GUS_tabl_2!$A$8:$B$464,GUS_tabl_21!$A$5:$B$4886),2,FALSE))),-1)))))</f>
        <v>gm. w. Włodowice</v>
      </c>
      <c r="D2239" s="141">
        <f>IF(OR($A2239="",ISERROR(VALUE(LEFT($A2239,6)))),"",IF(LEN($A2239)=2,SUMIF($A2240:$A$2965,$A2239&amp;"??",$D2240:$D$2965),IF(AND(LEN($A2239)=4,VALUE(RIGHT($A2239,2))&lt;=60),SUMIF($A2240:$A$2965,$A2239&amp;"????",$D2240:$D$2965),VLOOKUP(IF(LEN($A2239)=4,$A2239&amp;"01 1",$A2239),GUS_tabl_21!$A$5:$F$4886,6,FALSE))))</f>
        <v>5254</v>
      </c>
      <c r="E2239" s="29"/>
    </row>
    <row r="2240" spans="1:5" ht="12" customHeight="1">
      <c r="A2240" s="155" t="str">
        <f>"241610 2"</f>
        <v>241610 2</v>
      </c>
      <c r="B2240" s="153" t="s">
        <v>80</v>
      </c>
      <c r="C2240" s="156" t="str">
        <f>IF(OR($A2240="",ISERROR(VALUE(LEFT($A2240,6)))),"",IF(LEN($A2240)=2,"WOJ. ",IF(LEN($A2240)=4,IF(VALUE(RIGHT($A2240,2))&gt;60,"","Powiat "),IF(VALUE(RIGHT($A2240,1))=1,"m. ",IF(VALUE(RIGHT($A2240,1))=2,"gm. w. ",IF(VALUE(RIGHT($A2240,1))=8,"dz. ","gm. m.-w. ")))))&amp;IF(LEN($A2240)=2,TRIM(UPPER(VLOOKUP($A2240,GUS_tabl_1!$A$7:$B$22,2,FALSE))),IF(ISERROR(FIND("..",TRIM(VLOOKUP(IF(AND(LEN($A2240)=4,VALUE(RIGHT($A2240,2))&gt;60),$A2240&amp;"01 1",$A2240),IF(AND(LEN($A2240)=4,VALUE(RIGHT($A2240,2))&lt;60),GUS_tabl_2!$A$8:$B$464,GUS_tabl_21!$A$5:$B$4886),2,FALSE)))),TRIM(VLOOKUP(IF(AND(LEN($A2240)=4,VALUE(RIGHT($A2240,2))&gt;60),$A2240&amp;"01 1",$A2240),IF(AND(LEN($A2240)=4,VALUE(RIGHT($A2240,2))&lt;60),GUS_tabl_2!$A$8:$B$464,GUS_tabl_21!$A$5:$B$4886),2,FALSE)),LEFT(TRIM(VLOOKUP(IF(AND(LEN($A2240)=4,VALUE(RIGHT($A2240,2))&gt;60),$A2240&amp;"01 1",$A2240),IF(AND(LEN($A2240)=4,VALUE(RIGHT($A2240,2))&lt;60),GUS_tabl_2!$A$8:$B$464,GUS_tabl_21!$A$5:$B$4886),2,FALSE)),SUM(FIND("..",TRIM(VLOOKUP(IF(AND(LEN($A2240)=4,VALUE(RIGHT($A2240,2))&gt;60),$A2240&amp;"01 1",$A2240),IF(AND(LEN($A2240)=4,VALUE(RIGHT($A2240,2))&lt;60),GUS_tabl_2!$A$8:$B$464,GUS_tabl_21!$A$5:$B$4886),2,FALSE))),-1)))))</f>
        <v>gm. w. Żarnowiec</v>
      </c>
      <c r="D2240" s="141">
        <f>IF(OR($A2240="",ISERROR(VALUE(LEFT($A2240,6)))),"",IF(LEN($A2240)=2,SUMIF($A2241:$A$2965,$A2240&amp;"??",$D2241:$D$2965),IF(AND(LEN($A2240)=4,VALUE(RIGHT($A2240,2))&lt;=60),SUMIF($A2241:$A$2965,$A2240&amp;"????",$D2241:$D$2965),VLOOKUP(IF(LEN($A2240)=4,$A2240&amp;"01 1",$A2240),GUS_tabl_21!$A$5:$F$4886,6,FALSE))))</f>
        <v>4597</v>
      </c>
      <c r="E2240" s="29"/>
    </row>
    <row r="2241" spans="1:5" ht="12" customHeight="1">
      <c r="A2241" s="152" t="str">
        <f>"2417"</f>
        <v>2417</v>
      </c>
      <c r="B2241" s="153" t="s">
        <v>80</v>
      </c>
      <c r="C2241" s="154" t="str">
        <f>IF(OR($A2241="",ISERROR(VALUE(LEFT($A2241,6)))),"",IF(LEN($A2241)=2,"WOJ. ",IF(LEN($A2241)=4,IF(VALUE(RIGHT($A2241,2))&gt;60,"","Powiat "),IF(VALUE(RIGHT($A2241,1))=1,"m. ",IF(VALUE(RIGHT($A2241,1))=2,"gm. w. ",IF(VALUE(RIGHT($A2241,1))=8,"dz. ","gm. m.-w. ")))))&amp;IF(LEN($A2241)=2,TRIM(UPPER(VLOOKUP($A2241,GUS_tabl_1!$A$7:$B$22,2,FALSE))),IF(ISERROR(FIND("..",TRIM(VLOOKUP(IF(AND(LEN($A2241)=4,VALUE(RIGHT($A2241,2))&gt;60),$A2241&amp;"01 1",$A2241),IF(AND(LEN($A2241)=4,VALUE(RIGHT($A2241,2))&lt;60),GUS_tabl_2!$A$8:$B$464,GUS_tabl_21!$A$5:$B$4886),2,FALSE)))),TRIM(VLOOKUP(IF(AND(LEN($A2241)=4,VALUE(RIGHT($A2241,2))&gt;60),$A2241&amp;"01 1",$A2241),IF(AND(LEN($A2241)=4,VALUE(RIGHT($A2241,2))&lt;60),GUS_tabl_2!$A$8:$B$464,GUS_tabl_21!$A$5:$B$4886),2,FALSE)),LEFT(TRIM(VLOOKUP(IF(AND(LEN($A2241)=4,VALUE(RIGHT($A2241,2))&gt;60),$A2241&amp;"01 1",$A2241),IF(AND(LEN($A2241)=4,VALUE(RIGHT($A2241,2))&lt;60),GUS_tabl_2!$A$8:$B$464,GUS_tabl_21!$A$5:$B$4886),2,FALSE)),SUM(FIND("..",TRIM(VLOOKUP(IF(AND(LEN($A2241)=4,VALUE(RIGHT($A2241,2))&gt;60),$A2241&amp;"01 1",$A2241),IF(AND(LEN($A2241)=4,VALUE(RIGHT($A2241,2))&lt;60),GUS_tabl_2!$A$8:$B$464,GUS_tabl_21!$A$5:$B$4886),2,FALSE))),-1)))))</f>
        <v>Powiat żywiecki</v>
      </c>
      <c r="D2241" s="140">
        <f>IF(OR($A2241="",ISERROR(VALUE(LEFT($A2241,6)))),"",IF(LEN($A2241)=2,SUMIF($A2242:$A$2965,$A2241&amp;"??",$D2242:$D$2965),IF(AND(LEN($A2241)=4,VALUE(RIGHT($A2241,2))&lt;=60),SUMIF($A2242:$A$2965,$A2241&amp;"????",$D2242:$D$2965),VLOOKUP(IF(LEN($A2241)=4,$A2241&amp;"01 1",$A2241),GUS_tabl_21!$A$5:$F$4886,6,FALSE))))</f>
        <v>152756</v>
      </c>
      <c r="E2241" s="29"/>
    </row>
    <row r="2242" spans="1:5" ht="12" customHeight="1">
      <c r="A2242" s="155" t="str">
        <f>"241701 1"</f>
        <v>241701 1</v>
      </c>
      <c r="B2242" s="153" t="s">
        <v>80</v>
      </c>
      <c r="C2242" s="156" t="str">
        <f>IF(OR($A2242="",ISERROR(VALUE(LEFT($A2242,6)))),"",IF(LEN($A2242)=2,"WOJ. ",IF(LEN($A2242)=4,IF(VALUE(RIGHT($A2242,2))&gt;60,"","Powiat "),IF(VALUE(RIGHT($A2242,1))=1,"m. ",IF(VALUE(RIGHT($A2242,1))=2,"gm. w. ",IF(VALUE(RIGHT($A2242,1))=8,"dz. ","gm. m.-w. ")))))&amp;IF(LEN($A2242)=2,TRIM(UPPER(VLOOKUP($A2242,GUS_tabl_1!$A$7:$B$22,2,FALSE))),IF(ISERROR(FIND("..",TRIM(VLOOKUP(IF(AND(LEN($A2242)=4,VALUE(RIGHT($A2242,2))&gt;60),$A2242&amp;"01 1",$A2242),IF(AND(LEN($A2242)=4,VALUE(RIGHT($A2242,2))&lt;60),GUS_tabl_2!$A$8:$B$464,GUS_tabl_21!$A$5:$B$4886),2,FALSE)))),TRIM(VLOOKUP(IF(AND(LEN($A2242)=4,VALUE(RIGHT($A2242,2))&gt;60),$A2242&amp;"01 1",$A2242),IF(AND(LEN($A2242)=4,VALUE(RIGHT($A2242,2))&lt;60),GUS_tabl_2!$A$8:$B$464,GUS_tabl_21!$A$5:$B$4886),2,FALSE)),LEFT(TRIM(VLOOKUP(IF(AND(LEN($A2242)=4,VALUE(RIGHT($A2242,2))&gt;60),$A2242&amp;"01 1",$A2242),IF(AND(LEN($A2242)=4,VALUE(RIGHT($A2242,2))&lt;60),GUS_tabl_2!$A$8:$B$464,GUS_tabl_21!$A$5:$B$4886),2,FALSE)),SUM(FIND("..",TRIM(VLOOKUP(IF(AND(LEN($A2242)=4,VALUE(RIGHT($A2242,2))&gt;60),$A2242&amp;"01 1",$A2242),IF(AND(LEN($A2242)=4,VALUE(RIGHT($A2242,2))&lt;60),GUS_tabl_2!$A$8:$B$464,GUS_tabl_21!$A$5:$B$4886),2,FALSE))),-1)))))</f>
        <v>m. Żywiec</v>
      </c>
      <c r="D2242" s="141">
        <f>IF(OR($A2242="",ISERROR(VALUE(LEFT($A2242,6)))),"",IF(LEN($A2242)=2,SUMIF($A2243:$A$2965,$A2242&amp;"??",$D2243:$D$2965),IF(AND(LEN($A2242)=4,VALUE(RIGHT($A2242,2))&lt;=60),SUMIF($A2243:$A$2965,$A2242&amp;"????",$D2243:$D$2965),VLOOKUP(IF(LEN($A2242)=4,$A2242&amp;"01 1",$A2242),GUS_tabl_21!$A$5:$F$4886,6,FALSE))))</f>
        <v>31091</v>
      </c>
      <c r="E2242" s="29"/>
    </row>
    <row r="2243" spans="1:5" ht="12" customHeight="1">
      <c r="A2243" s="155" t="str">
        <f>"241702 2"</f>
        <v>241702 2</v>
      </c>
      <c r="B2243" s="153" t="s">
        <v>80</v>
      </c>
      <c r="C2243" s="156" t="str">
        <f>IF(OR($A2243="",ISERROR(VALUE(LEFT($A2243,6)))),"",IF(LEN($A2243)=2,"WOJ. ",IF(LEN($A2243)=4,IF(VALUE(RIGHT($A2243,2))&gt;60,"","Powiat "),IF(VALUE(RIGHT($A2243,1))=1,"m. ",IF(VALUE(RIGHT($A2243,1))=2,"gm. w. ",IF(VALUE(RIGHT($A2243,1))=8,"dz. ","gm. m.-w. ")))))&amp;IF(LEN($A2243)=2,TRIM(UPPER(VLOOKUP($A2243,GUS_tabl_1!$A$7:$B$22,2,FALSE))),IF(ISERROR(FIND("..",TRIM(VLOOKUP(IF(AND(LEN($A2243)=4,VALUE(RIGHT($A2243,2))&gt;60),$A2243&amp;"01 1",$A2243),IF(AND(LEN($A2243)=4,VALUE(RIGHT($A2243,2))&lt;60),GUS_tabl_2!$A$8:$B$464,GUS_tabl_21!$A$5:$B$4886),2,FALSE)))),TRIM(VLOOKUP(IF(AND(LEN($A2243)=4,VALUE(RIGHT($A2243,2))&gt;60),$A2243&amp;"01 1",$A2243),IF(AND(LEN($A2243)=4,VALUE(RIGHT($A2243,2))&lt;60),GUS_tabl_2!$A$8:$B$464,GUS_tabl_21!$A$5:$B$4886),2,FALSE)),LEFT(TRIM(VLOOKUP(IF(AND(LEN($A2243)=4,VALUE(RIGHT($A2243,2))&gt;60),$A2243&amp;"01 1",$A2243),IF(AND(LEN($A2243)=4,VALUE(RIGHT($A2243,2))&lt;60),GUS_tabl_2!$A$8:$B$464,GUS_tabl_21!$A$5:$B$4886),2,FALSE)),SUM(FIND("..",TRIM(VLOOKUP(IF(AND(LEN($A2243)=4,VALUE(RIGHT($A2243,2))&gt;60),$A2243&amp;"01 1",$A2243),IF(AND(LEN($A2243)=4,VALUE(RIGHT($A2243,2))&lt;60),GUS_tabl_2!$A$8:$B$464,GUS_tabl_21!$A$5:$B$4886),2,FALSE))),-1)))))</f>
        <v>gm. w. Czernichów</v>
      </c>
      <c r="D2243" s="141">
        <f>IF(OR($A2243="",ISERROR(VALUE(LEFT($A2243,6)))),"",IF(LEN($A2243)=2,SUMIF($A2244:$A$2965,$A2243&amp;"??",$D2244:$D$2965),IF(AND(LEN($A2243)=4,VALUE(RIGHT($A2243,2))&lt;=60),SUMIF($A2244:$A$2965,$A2243&amp;"????",$D2244:$D$2965),VLOOKUP(IF(LEN($A2243)=4,$A2243&amp;"01 1",$A2243),GUS_tabl_21!$A$5:$F$4886,6,FALSE))))</f>
        <v>6740</v>
      </c>
      <c r="E2243" s="29"/>
    </row>
    <row r="2244" spans="1:5" ht="12" customHeight="1">
      <c r="A2244" s="155" t="str">
        <f>"241703 2"</f>
        <v>241703 2</v>
      </c>
      <c r="B2244" s="153" t="s">
        <v>80</v>
      </c>
      <c r="C2244" s="156" t="str">
        <f>IF(OR($A2244="",ISERROR(VALUE(LEFT($A2244,6)))),"",IF(LEN($A2244)=2,"WOJ. ",IF(LEN($A2244)=4,IF(VALUE(RIGHT($A2244,2))&gt;60,"","Powiat "),IF(VALUE(RIGHT($A2244,1))=1,"m. ",IF(VALUE(RIGHT($A2244,1))=2,"gm. w. ",IF(VALUE(RIGHT($A2244,1))=8,"dz. ","gm. m.-w. ")))))&amp;IF(LEN($A2244)=2,TRIM(UPPER(VLOOKUP($A2244,GUS_tabl_1!$A$7:$B$22,2,FALSE))),IF(ISERROR(FIND("..",TRIM(VLOOKUP(IF(AND(LEN($A2244)=4,VALUE(RIGHT($A2244,2))&gt;60),$A2244&amp;"01 1",$A2244),IF(AND(LEN($A2244)=4,VALUE(RIGHT($A2244,2))&lt;60),GUS_tabl_2!$A$8:$B$464,GUS_tabl_21!$A$5:$B$4886),2,FALSE)))),TRIM(VLOOKUP(IF(AND(LEN($A2244)=4,VALUE(RIGHT($A2244,2))&gt;60),$A2244&amp;"01 1",$A2244),IF(AND(LEN($A2244)=4,VALUE(RIGHT($A2244,2))&lt;60),GUS_tabl_2!$A$8:$B$464,GUS_tabl_21!$A$5:$B$4886),2,FALSE)),LEFT(TRIM(VLOOKUP(IF(AND(LEN($A2244)=4,VALUE(RIGHT($A2244,2))&gt;60),$A2244&amp;"01 1",$A2244),IF(AND(LEN($A2244)=4,VALUE(RIGHT($A2244,2))&lt;60),GUS_tabl_2!$A$8:$B$464,GUS_tabl_21!$A$5:$B$4886),2,FALSE)),SUM(FIND("..",TRIM(VLOOKUP(IF(AND(LEN($A2244)=4,VALUE(RIGHT($A2244,2))&gt;60),$A2244&amp;"01 1",$A2244),IF(AND(LEN($A2244)=4,VALUE(RIGHT($A2244,2))&lt;60),GUS_tabl_2!$A$8:$B$464,GUS_tabl_21!$A$5:$B$4886),2,FALSE))),-1)))))</f>
        <v>gm. w. Gilowice</v>
      </c>
      <c r="D2244" s="141">
        <f>IF(OR($A2244="",ISERROR(VALUE(LEFT($A2244,6)))),"",IF(LEN($A2244)=2,SUMIF($A2245:$A$2965,$A2244&amp;"??",$D2245:$D$2965),IF(AND(LEN($A2244)=4,VALUE(RIGHT($A2244,2))&lt;=60),SUMIF($A2245:$A$2965,$A2244&amp;"????",$D2245:$D$2965),VLOOKUP(IF(LEN($A2244)=4,$A2244&amp;"01 1",$A2244),GUS_tabl_21!$A$5:$F$4886,6,FALSE))))</f>
        <v>6251</v>
      </c>
      <c r="E2244" s="29"/>
    </row>
    <row r="2245" spans="1:5" ht="12" customHeight="1">
      <c r="A2245" s="155" t="str">
        <f>"241704 2"</f>
        <v>241704 2</v>
      </c>
      <c r="B2245" s="153" t="s">
        <v>80</v>
      </c>
      <c r="C2245" s="156" t="str">
        <f>IF(OR($A2245="",ISERROR(VALUE(LEFT($A2245,6)))),"",IF(LEN($A2245)=2,"WOJ. ",IF(LEN($A2245)=4,IF(VALUE(RIGHT($A2245,2))&gt;60,"","Powiat "),IF(VALUE(RIGHT($A2245,1))=1,"m. ",IF(VALUE(RIGHT($A2245,1))=2,"gm. w. ",IF(VALUE(RIGHT($A2245,1))=8,"dz. ","gm. m.-w. ")))))&amp;IF(LEN($A2245)=2,TRIM(UPPER(VLOOKUP($A2245,GUS_tabl_1!$A$7:$B$22,2,FALSE))),IF(ISERROR(FIND("..",TRIM(VLOOKUP(IF(AND(LEN($A2245)=4,VALUE(RIGHT($A2245,2))&gt;60),$A2245&amp;"01 1",$A2245),IF(AND(LEN($A2245)=4,VALUE(RIGHT($A2245,2))&lt;60),GUS_tabl_2!$A$8:$B$464,GUS_tabl_21!$A$5:$B$4886),2,FALSE)))),TRIM(VLOOKUP(IF(AND(LEN($A2245)=4,VALUE(RIGHT($A2245,2))&gt;60),$A2245&amp;"01 1",$A2245),IF(AND(LEN($A2245)=4,VALUE(RIGHT($A2245,2))&lt;60),GUS_tabl_2!$A$8:$B$464,GUS_tabl_21!$A$5:$B$4886),2,FALSE)),LEFT(TRIM(VLOOKUP(IF(AND(LEN($A2245)=4,VALUE(RIGHT($A2245,2))&gt;60),$A2245&amp;"01 1",$A2245),IF(AND(LEN($A2245)=4,VALUE(RIGHT($A2245,2))&lt;60),GUS_tabl_2!$A$8:$B$464,GUS_tabl_21!$A$5:$B$4886),2,FALSE)),SUM(FIND("..",TRIM(VLOOKUP(IF(AND(LEN($A2245)=4,VALUE(RIGHT($A2245,2))&gt;60),$A2245&amp;"01 1",$A2245),IF(AND(LEN($A2245)=4,VALUE(RIGHT($A2245,2))&lt;60),GUS_tabl_2!$A$8:$B$464,GUS_tabl_21!$A$5:$B$4886),2,FALSE))),-1)))))</f>
        <v>gm. w. Jeleśnia</v>
      </c>
      <c r="D2245" s="141">
        <f>IF(OR($A2245="",ISERROR(VALUE(LEFT($A2245,6)))),"",IF(LEN($A2245)=2,SUMIF($A2246:$A$2965,$A2245&amp;"??",$D2246:$D$2965),IF(AND(LEN($A2245)=4,VALUE(RIGHT($A2245,2))&lt;=60),SUMIF($A2246:$A$2965,$A2245&amp;"????",$D2246:$D$2965),VLOOKUP(IF(LEN($A2245)=4,$A2245&amp;"01 1",$A2245),GUS_tabl_21!$A$5:$F$4886,6,FALSE))))</f>
        <v>13275</v>
      </c>
      <c r="E2245" s="29"/>
    </row>
    <row r="2246" spans="1:5" ht="12" customHeight="1">
      <c r="A2246" s="155" t="str">
        <f>"241705 2"</f>
        <v>241705 2</v>
      </c>
      <c r="B2246" s="153" t="s">
        <v>80</v>
      </c>
      <c r="C2246" s="156" t="str">
        <f>IF(OR($A2246="",ISERROR(VALUE(LEFT($A2246,6)))),"",IF(LEN($A2246)=2,"WOJ. ",IF(LEN($A2246)=4,IF(VALUE(RIGHT($A2246,2))&gt;60,"","Powiat "),IF(VALUE(RIGHT($A2246,1))=1,"m. ",IF(VALUE(RIGHT($A2246,1))=2,"gm. w. ",IF(VALUE(RIGHT($A2246,1))=8,"dz. ","gm. m.-w. ")))))&amp;IF(LEN($A2246)=2,TRIM(UPPER(VLOOKUP($A2246,GUS_tabl_1!$A$7:$B$22,2,FALSE))),IF(ISERROR(FIND("..",TRIM(VLOOKUP(IF(AND(LEN($A2246)=4,VALUE(RIGHT($A2246,2))&gt;60),$A2246&amp;"01 1",$A2246),IF(AND(LEN($A2246)=4,VALUE(RIGHT($A2246,2))&lt;60),GUS_tabl_2!$A$8:$B$464,GUS_tabl_21!$A$5:$B$4886),2,FALSE)))),TRIM(VLOOKUP(IF(AND(LEN($A2246)=4,VALUE(RIGHT($A2246,2))&gt;60),$A2246&amp;"01 1",$A2246),IF(AND(LEN($A2246)=4,VALUE(RIGHT($A2246,2))&lt;60),GUS_tabl_2!$A$8:$B$464,GUS_tabl_21!$A$5:$B$4886),2,FALSE)),LEFT(TRIM(VLOOKUP(IF(AND(LEN($A2246)=4,VALUE(RIGHT($A2246,2))&gt;60),$A2246&amp;"01 1",$A2246),IF(AND(LEN($A2246)=4,VALUE(RIGHT($A2246,2))&lt;60),GUS_tabl_2!$A$8:$B$464,GUS_tabl_21!$A$5:$B$4886),2,FALSE)),SUM(FIND("..",TRIM(VLOOKUP(IF(AND(LEN($A2246)=4,VALUE(RIGHT($A2246,2))&gt;60),$A2246&amp;"01 1",$A2246),IF(AND(LEN($A2246)=4,VALUE(RIGHT($A2246,2))&lt;60),GUS_tabl_2!$A$8:$B$464,GUS_tabl_21!$A$5:$B$4886),2,FALSE))),-1)))))</f>
        <v>gm. w. Koszarawa</v>
      </c>
      <c r="D2246" s="141">
        <f>IF(OR($A2246="",ISERROR(VALUE(LEFT($A2246,6)))),"",IF(LEN($A2246)=2,SUMIF($A2247:$A$2965,$A2246&amp;"??",$D2247:$D$2965),IF(AND(LEN($A2246)=4,VALUE(RIGHT($A2246,2))&lt;=60),SUMIF($A2247:$A$2965,$A2246&amp;"????",$D2247:$D$2965),VLOOKUP(IF(LEN($A2246)=4,$A2246&amp;"01 1",$A2246),GUS_tabl_21!$A$5:$F$4886,6,FALSE))))</f>
        <v>2367</v>
      </c>
      <c r="E2246" s="29"/>
    </row>
    <row r="2247" spans="1:5" ht="12" customHeight="1">
      <c r="A2247" s="155" t="str">
        <f>"241706 2"</f>
        <v>241706 2</v>
      </c>
      <c r="B2247" s="153" t="s">
        <v>80</v>
      </c>
      <c r="C2247" s="156" t="str">
        <f>IF(OR($A2247="",ISERROR(VALUE(LEFT($A2247,6)))),"",IF(LEN($A2247)=2,"WOJ. ",IF(LEN($A2247)=4,IF(VALUE(RIGHT($A2247,2))&gt;60,"","Powiat "),IF(VALUE(RIGHT($A2247,1))=1,"m. ",IF(VALUE(RIGHT($A2247,1))=2,"gm. w. ",IF(VALUE(RIGHT($A2247,1))=8,"dz. ","gm. m.-w. ")))))&amp;IF(LEN($A2247)=2,TRIM(UPPER(VLOOKUP($A2247,GUS_tabl_1!$A$7:$B$22,2,FALSE))),IF(ISERROR(FIND("..",TRIM(VLOOKUP(IF(AND(LEN($A2247)=4,VALUE(RIGHT($A2247,2))&gt;60),$A2247&amp;"01 1",$A2247),IF(AND(LEN($A2247)=4,VALUE(RIGHT($A2247,2))&lt;60),GUS_tabl_2!$A$8:$B$464,GUS_tabl_21!$A$5:$B$4886),2,FALSE)))),TRIM(VLOOKUP(IF(AND(LEN($A2247)=4,VALUE(RIGHT($A2247,2))&gt;60),$A2247&amp;"01 1",$A2247),IF(AND(LEN($A2247)=4,VALUE(RIGHT($A2247,2))&lt;60),GUS_tabl_2!$A$8:$B$464,GUS_tabl_21!$A$5:$B$4886),2,FALSE)),LEFT(TRIM(VLOOKUP(IF(AND(LEN($A2247)=4,VALUE(RIGHT($A2247,2))&gt;60),$A2247&amp;"01 1",$A2247),IF(AND(LEN($A2247)=4,VALUE(RIGHT($A2247,2))&lt;60),GUS_tabl_2!$A$8:$B$464,GUS_tabl_21!$A$5:$B$4886),2,FALSE)),SUM(FIND("..",TRIM(VLOOKUP(IF(AND(LEN($A2247)=4,VALUE(RIGHT($A2247,2))&gt;60),$A2247&amp;"01 1",$A2247),IF(AND(LEN($A2247)=4,VALUE(RIGHT($A2247,2))&lt;60),GUS_tabl_2!$A$8:$B$464,GUS_tabl_21!$A$5:$B$4886),2,FALSE))),-1)))))</f>
        <v>gm. w. Lipowa</v>
      </c>
      <c r="D2247" s="141">
        <f>IF(OR($A2247="",ISERROR(VALUE(LEFT($A2247,6)))),"",IF(LEN($A2247)=2,SUMIF($A2248:$A$2965,$A2247&amp;"??",$D2248:$D$2965),IF(AND(LEN($A2247)=4,VALUE(RIGHT($A2247,2))&lt;=60),SUMIF($A2248:$A$2965,$A2247&amp;"????",$D2248:$D$2965),VLOOKUP(IF(LEN($A2247)=4,$A2247&amp;"01 1",$A2247),GUS_tabl_21!$A$5:$F$4886,6,FALSE))))</f>
        <v>10846</v>
      </c>
      <c r="E2247" s="29"/>
    </row>
    <row r="2248" spans="1:5" ht="12" customHeight="1">
      <c r="A2248" s="155" t="str">
        <f>"241707 2"</f>
        <v>241707 2</v>
      </c>
      <c r="B2248" s="153" t="s">
        <v>80</v>
      </c>
      <c r="C2248" s="156" t="str">
        <f>IF(OR($A2248="",ISERROR(VALUE(LEFT($A2248,6)))),"",IF(LEN($A2248)=2,"WOJ. ",IF(LEN($A2248)=4,IF(VALUE(RIGHT($A2248,2))&gt;60,"","Powiat "),IF(VALUE(RIGHT($A2248,1))=1,"m. ",IF(VALUE(RIGHT($A2248,1))=2,"gm. w. ",IF(VALUE(RIGHT($A2248,1))=8,"dz. ","gm. m.-w. ")))))&amp;IF(LEN($A2248)=2,TRIM(UPPER(VLOOKUP($A2248,GUS_tabl_1!$A$7:$B$22,2,FALSE))),IF(ISERROR(FIND("..",TRIM(VLOOKUP(IF(AND(LEN($A2248)=4,VALUE(RIGHT($A2248,2))&gt;60),$A2248&amp;"01 1",$A2248),IF(AND(LEN($A2248)=4,VALUE(RIGHT($A2248,2))&lt;60),GUS_tabl_2!$A$8:$B$464,GUS_tabl_21!$A$5:$B$4886),2,FALSE)))),TRIM(VLOOKUP(IF(AND(LEN($A2248)=4,VALUE(RIGHT($A2248,2))&gt;60),$A2248&amp;"01 1",$A2248),IF(AND(LEN($A2248)=4,VALUE(RIGHT($A2248,2))&lt;60),GUS_tabl_2!$A$8:$B$464,GUS_tabl_21!$A$5:$B$4886),2,FALSE)),LEFT(TRIM(VLOOKUP(IF(AND(LEN($A2248)=4,VALUE(RIGHT($A2248,2))&gt;60),$A2248&amp;"01 1",$A2248),IF(AND(LEN($A2248)=4,VALUE(RIGHT($A2248,2))&lt;60),GUS_tabl_2!$A$8:$B$464,GUS_tabl_21!$A$5:$B$4886),2,FALSE)),SUM(FIND("..",TRIM(VLOOKUP(IF(AND(LEN($A2248)=4,VALUE(RIGHT($A2248,2))&gt;60),$A2248&amp;"01 1",$A2248),IF(AND(LEN($A2248)=4,VALUE(RIGHT($A2248,2))&lt;60),GUS_tabl_2!$A$8:$B$464,GUS_tabl_21!$A$5:$B$4886),2,FALSE))),-1)))))</f>
        <v>gm. w. Łękawica</v>
      </c>
      <c r="D2248" s="141">
        <f>IF(OR($A2248="",ISERROR(VALUE(LEFT($A2248,6)))),"",IF(LEN($A2248)=2,SUMIF($A2249:$A$2965,$A2248&amp;"??",$D2249:$D$2965),IF(AND(LEN($A2248)=4,VALUE(RIGHT($A2248,2))&lt;=60),SUMIF($A2249:$A$2965,$A2248&amp;"????",$D2249:$D$2965),VLOOKUP(IF(LEN($A2248)=4,$A2248&amp;"01 1",$A2248),GUS_tabl_21!$A$5:$F$4886,6,FALSE))))</f>
        <v>4552</v>
      </c>
      <c r="E2248" s="29"/>
    </row>
    <row r="2249" spans="1:5" ht="12" customHeight="1">
      <c r="A2249" s="155" t="str">
        <f>"241708 2"</f>
        <v>241708 2</v>
      </c>
      <c r="B2249" s="153" t="s">
        <v>80</v>
      </c>
      <c r="C2249" s="156" t="str">
        <f>IF(OR($A2249="",ISERROR(VALUE(LEFT($A2249,6)))),"",IF(LEN($A2249)=2,"WOJ. ",IF(LEN($A2249)=4,IF(VALUE(RIGHT($A2249,2))&gt;60,"","Powiat "),IF(VALUE(RIGHT($A2249,1))=1,"m. ",IF(VALUE(RIGHT($A2249,1))=2,"gm. w. ",IF(VALUE(RIGHT($A2249,1))=8,"dz. ","gm. m.-w. ")))))&amp;IF(LEN($A2249)=2,TRIM(UPPER(VLOOKUP($A2249,GUS_tabl_1!$A$7:$B$22,2,FALSE))),IF(ISERROR(FIND("..",TRIM(VLOOKUP(IF(AND(LEN($A2249)=4,VALUE(RIGHT($A2249,2))&gt;60),$A2249&amp;"01 1",$A2249),IF(AND(LEN($A2249)=4,VALUE(RIGHT($A2249,2))&lt;60),GUS_tabl_2!$A$8:$B$464,GUS_tabl_21!$A$5:$B$4886),2,FALSE)))),TRIM(VLOOKUP(IF(AND(LEN($A2249)=4,VALUE(RIGHT($A2249,2))&gt;60),$A2249&amp;"01 1",$A2249),IF(AND(LEN($A2249)=4,VALUE(RIGHT($A2249,2))&lt;60),GUS_tabl_2!$A$8:$B$464,GUS_tabl_21!$A$5:$B$4886),2,FALSE)),LEFT(TRIM(VLOOKUP(IF(AND(LEN($A2249)=4,VALUE(RIGHT($A2249,2))&gt;60),$A2249&amp;"01 1",$A2249),IF(AND(LEN($A2249)=4,VALUE(RIGHT($A2249,2))&lt;60),GUS_tabl_2!$A$8:$B$464,GUS_tabl_21!$A$5:$B$4886),2,FALSE)),SUM(FIND("..",TRIM(VLOOKUP(IF(AND(LEN($A2249)=4,VALUE(RIGHT($A2249,2))&gt;60),$A2249&amp;"01 1",$A2249),IF(AND(LEN($A2249)=4,VALUE(RIGHT($A2249,2))&lt;60),GUS_tabl_2!$A$8:$B$464,GUS_tabl_21!$A$5:$B$4886),2,FALSE))),-1)))))</f>
        <v>gm. w. Łodygowice</v>
      </c>
      <c r="D2249" s="141">
        <f>IF(OR($A2249="",ISERROR(VALUE(LEFT($A2249,6)))),"",IF(LEN($A2249)=2,SUMIF($A2250:$A$2965,$A2249&amp;"??",$D2250:$D$2965),IF(AND(LEN($A2249)=4,VALUE(RIGHT($A2249,2))&lt;=60),SUMIF($A2250:$A$2965,$A2249&amp;"????",$D2250:$D$2965),VLOOKUP(IF(LEN($A2249)=4,$A2249&amp;"01 1",$A2249),GUS_tabl_21!$A$5:$F$4886,6,FALSE))))</f>
        <v>14567</v>
      </c>
      <c r="E2249" s="29"/>
    </row>
    <row r="2250" spans="1:5" ht="12" customHeight="1">
      <c r="A2250" s="155" t="str">
        <f>"241709 2"</f>
        <v>241709 2</v>
      </c>
      <c r="B2250" s="153" t="s">
        <v>80</v>
      </c>
      <c r="C2250" s="156" t="str">
        <f>IF(OR($A2250="",ISERROR(VALUE(LEFT($A2250,6)))),"",IF(LEN($A2250)=2,"WOJ. ",IF(LEN($A2250)=4,IF(VALUE(RIGHT($A2250,2))&gt;60,"","Powiat "),IF(VALUE(RIGHT($A2250,1))=1,"m. ",IF(VALUE(RIGHT($A2250,1))=2,"gm. w. ",IF(VALUE(RIGHT($A2250,1))=8,"dz. ","gm. m.-w. ")))))&amp;IF(LEN($A2250)=2,TRIM(UPPER(VLOOKUP($A2250,GUS_tabl_1!$A$7:$B$22,2,FALSE))),IF(ISERROR(FIND("..",TRIM(VLOOKUP(IF(AND(LEN($A2250)=4,VALUE(RIGHT($A2250,2))&gt;60),$A2250&amp;"01 1",$A2250),IF(AND(LEN($A2250)=4,VALUE(RIGHT($A2250,2))&lt;60),GUS_tabl_2!$A$8:$B$464,GUS_tabl_21!$A$5:$B$4886),2,FALSE)))),TRIM(VLOOKUP(IF(AND(LEN($A2250)=4,VALUE(RIGHT($A2250,2))&gt;60),$A2250&amp;"01 1",$A2250),IF(AND(LEN($A2250)=4,VALUE(RIGHT($A2250,2))&lt;60),GUS_tabl_2!$A$8:$B$464,GUS_tabl_21!$A$5:$B$4886),2,FALSE)),LEFT(TRIM(VLOOKUP(IF(AND(LEN($A2250)=4,VALUE(RIGHT($A2250,2))&gt;60),$A2250&amp;"01 1",$A2250),IF(AND(LEN($A2250)=4,VALUE(RIGHT($A2250,2))&lt;60),GUS_tabl_2!$A$8:$B$464,GUS_tabl_21!$A$5:$B$4886),2,FALSE)),SUM(FIND("..",TRIM(VLOOKUP(IF(AND(LEN($A2250)=4,VALUE(RIGHT($A2250,2))&gt;60),$A2250&amp;"01 1",$A2250),IF(AND(LEN($A2250)=4,VALUE(RIGHT($A2250,2))&lt;60),GUS_tabl_2!$A$8:$B$464,GUS_tabl_21!$A$5:$B$4886),2,FALSE))),-1)))))</f>
        <v>gm. w. Milówka</v>
      </c>
      <c r="D2250" s="141">
        <f>IF(OR($A2250="",ISERROR(VALUE(LEFT($A2250,6)))),"",IF(LEN($A2250)=2,SUMIF($A2251:$A$2965,$A2250&amp;"??",$D2251:$D$2965),IF(AND(LEN($A2250)=4,VALUE(RIGHT($A2250,2))&lt;=60),SUMIF($A2251:$A$2965,$A2250&amp;"????",$D2251:$D$2965),VLOOKUP(IF(LEN($A2250)=4,$A2250&amp;"01 1",$A2250),GUS_tabl_21!$A$5:$F$4886,6,FALSE))))</f>
        <v>10067</v>
      </c>
      <c r="E2250" s="29"/>
    </row>
    <row r="2251" spans="1:5" ht="12" customHeight="1">
      <c r="A2251" s="155" t="str">
        <f>"241710 2"</f>
        <v>241710 2</v>
      </c>
      <c r="B2251" s="153" t="s">
        <v>80</v>
      </c>
      <c r="C2251" s="156" t="str">
        <f>IF(OR($A2251="",ISERROR(VALUE(LEFT($A2251,6)))),"",IF(LEN($A2251)=2,"WOJ. ",IF(LEN($A2251)=4,IF(VALUE(RIGHT($A2251,2))&gt;60,"","Powiat "),IF(VALUE(RIGHT($A2251,1))=1,"m. ",IF(VALUE(RIGHT($A2251,1))=2,"gm. w. ",IF(VALUE(RIGHT($A2251,1))=8,"dz. ","gm. m.-w. ")))))&amp;IF(LEN($A2251)=2,TRIM(UPPER(VLOOKUP($A2251,GUS_tabl_1!$A$7:$B$22,2,FALSE))),IF(ISERROR(FIND("..",TRIM(VLOOKUP(IF(AND(LEN($A2251)=4,VALUE(RIGHT($A2251,2))&gt;60),$A2251&amp;"01 1",$A2251),IF(AND(LEN($A2251)=4,VALUE(RIGHT($A2251,2))&lt;60),GUS_tabl_2!$A$8:$B$464,GUS_tabl_21!$A$5:$B$4886),2,FALSE)))),TRIM(VLOOKUP(IF(AND(LEN($A2251)=4,VALUE(RIGHT($A2251,2))&gt;60),$A2251&amp;"01 1",$A2251),IF(AND(LEN($A2251)=4,VALUE(RIGHT($A2251,2))&lt;60),GUS_tabl_2!$A$8:$B$464,GUS_tabl_21!$A$5:$B$4886),2,FALSE)),LEFT(TRIM(VLOOKUP(IF(AND(LEN($A2251)=4,VALUE(RIGHT($A2251,2))&gt;60),$A2251&amp;"01 1",$A2251),IF(AND(LEN($A2251)=4,VALUE(RIGHT($A2251,2))&lt;60),GUS_tabl_2!$A$8:$B$464,GUS_tabl_21!$A$5:$B$4886),2,FALSE)),SUM(FIND("..",TRIM(VLOOKUP(IF(AND(LEN($A2251)=4,VALUE(RIGHT($A2251,2))&gt;60),$A2251&amp;"01 1",$A2251),IF(AND(LEN($A2251)=4,VALUE(RIGHT($A2251,2))&lt;60),GUS_tabl_2!$A$8:$B$464,GUS_tabl_21!$A$5:$B$4886),2,FALSE))),-1)))))</f>
        <v>gm. w. Radziechowy-Wieprz</v>
      </c>
      <c r="D2251" s="141">
        <f>IF(OR($A2251="",ISERROR(VALUE(LEFT($A2251,6)))),"",IF(LEN($A2251)=2,SUMIF($A2252:$A$2965,$A2251&amp;"??",$D2252:$D$2965),IF(AND(LEN($A2251)=4,VALUE(RIGHT($A2251,2))&lt;=60),SUMIF($A2252:$A$2965,$A2251&amp;"????",$D2252:$D$2965),VLOOKUP(IF(LEN($A2251)=4,$A2251&amp;"01 1",$A2251),GUS_tabl_21!$A$5:$F$4886,6,FALSE))))</f>
        <v>13079</v>
      </c>
      <c r="E2251" s="29"/>
    </row>
    <row r="2252" spans="1:5" ht="12" customHeight="1">
      <c r="A2252" s="155" t="str">
        <f>"241711 2"</f>
        <v>241711 2</v>
      </c>
      <c r="B2252" s="153" t="s">
        <v>80</v>
      </c>
      <c r="C2252" s="156" t="str">
        <f>IF(OR($A2252="",ISERROR(VALUE(LEFT($A2252,6)))),"",IF(LEN($A2252)=2,"WOJ. ",IF(LEN($A2252)=4,IF(VALUE(RIGHT($A2252,2))&gt;60,"","Powiat "),IF(VALUE(RIGHT($A2252,1))=1,"m. ",IF(VALUE(RIGHT($A2252,1))=2,"gm. w. ",IF(VALUE(RIGHT($A2252,1))=8,"dz. ","gm. m.-w. ")))))&amp;IF(LEN($A2252)=2,TRIM(UPPER(VLOOKUP($A2252,GUS_tabl_1!$A$7:$B$22,2,FALSE))),IF(ISERROR(FIND("..",TRIM(VLOOKUP(IF(AND(LEN($A2252)=4,VALUE(RIGHT($A2252,2))&gt;60),$A2252&amp;"01 1",$A2252),IF(AND(LEN($A2252)=4,VALUE(RIGHT($A2252,2))&lt;60),GUS_tabl_2!$A$8:$B$464,GUS_tabl_21!$A$5:$B$4886),2,FALSE)))),TRIM(VLOOKUP(IF(AND(LEN($A2252)=4,VALUE(RIGHT($A2252,2))&gt;60),$A2252&amp;"01 1",$A2252),IF(AND(LEN($A2252)=4,VALUE(RIGHT($A2252,2))&lt;60),GUS_tabl_2!$A$8:$B$464,GUS_tabl_21!$A$5:$B$4886),2,FALSE)),LEFT(TRIM(VLOOKUP(IF(AND(LEN($A2252)=4,VALUE(RIGHT($A2252,2))&gt;60),$A2252&amp;"01 1",$A2252),IF(AND(LEN($A2252)=4,VALUE(RIGHT($A2252,2))&lt;60),GUS_tabl_2!$A$8:$B$464,GUS_tabl_21!$A$5:$B$4886),2,FALSE)),SUM(FIND("..",TRIM(VLOOKUP(IF(AND(LEN($A2252)=4,VALUE(RIGHT($A2252,2))&gt;60),$A2252&amp;"01 1",$A2252),IF(AND(LEN($A2252)=4,VALUE(RIGHT($A2252,2))&lt;60),GUS_tabl_2!$A$8:$B$464,GUS_tabl_21!$A$5:$B$4886),2,FALSE))),-1)))))</f>
        <v>gm. w. Rajcza</v>
      </c>
      <c r="D2252" s="141">
        <f>IF(OR($A2252="",ISERROR(VALUE(LEFT($A2252,6)))),"",IF(LEN($A2252)=2,SUMIF($A2253:$A$2965,$A2252&amp;"??",$D2253:$D$2965),IF(AND(LEN($A2252)=4,VALUE(RIGHT($A2252,2))&lt;=60),SUMIF($A2253:$A$2965,$A2252&amp;"????",$D2253:$D$2965),VLOOKUP(IF(LEN($A2252)=4,$A2252&amp;"01 1",$A2252),GUS_tabl_21!$A$5:$F$4886,6,FALSE))))</f>
        <v>8810</v>
      </c>
      <c r="E2252" s="29"/>
    </row>
    <row r="2253" spans="1:5" ht="12" customHeight="1">
      <c r="A2253" s="155" t="str">
        <f>"241712 2"</f>
        <v>241712 2</v>
      </c>
      <c r="B2253" s="153" t="s">
        <v>80</v>
      </c>
      <c r="C2253" s="156" t="str">
        <f>IF(OR($A2253="",ISERROR(VALUE(LEFT($A2253,6)))),"",IF(LEN($A2253)=2,"WOJ. ",IF(LEN($A2253)=4,IF(VALUE(RIGHT($A2253,2))&gt;60,"","Powiat "),IF(VALUE(RIGHT($A2253,1))=1,"m. ",IF(VALUE(RIGHT($A2253,1))=2,"gm. w. ",IF(VALUE(RIGHT($A2253,1))=8,"dz. ","gm. m.-w. ")))))&amp;IF(LEN($A2253)=2,TRIM(UPPER(VLOOKUP($A2253,GUS_tabl_1!$A$7:$B$22,2,FALSE))),IF(ISERROR(FIND("..",TRIM(VLOOKUP(IF(AND(LEN($A2253)=4,VALUE(RIGHT($A2253,2))&gt;60),$A2253&amp;"01 1",$A2253),IF(AND(LEN($A2253)=4,VALUE(RIGHT($A2253,2))&lt;60),GUS_tabl_2!$A$8:$B$464,GUS_tabl_21!$A$5:$B$4886),2,FALSE)))),TRIM(VLOOKUP(IF(AND(LEN($A2253)=4,VALUE(RIGHT($A2253,2))&gt;60),$A2253&amp;"01 1",$A2253),IF(AND(LEN($A2253)=4,VALUE(RIGHT($A2253,2))&lt;60),GUS_tabl_2!$A$8:$B$464,GUS_tabl_21!$A$5:$B$4886),2,FALSE)),LEFT(TRIM(VLOOKUP(IF(AND(LEN($A2253)=4,VALUE(RIGHT($A2253,2))&gt;60),$A2253&amp;"01 1",$A2253),IF(AND(LEN($A2253)=4,VALUE(RIGHT($A2253,2))&lt;60),GUS_tabl_2!$A$8:$B$464,GUS_tabl_21!$A$5:$B$4886),2,FALSE)),SUM(FIND("..",TRIM(VLOOKUP(IF(AND(LEN($A2253)=4,VALUE(RIGHT($A2253,2))&gt;60),$A2253&amp;"01 1",$A2253),IF(AND(LEN($A2253)=4,VALUE(RIGHT($A2253,2))&lt;60),GUS_tabl_2!$A$8:$B$464,GUS_tabl_21!$A$5:$B$4886),2,FALSE))),-1)))))</f>
        <v>gm. w. Ślemień</v>
      </c>
      <c r="D2253" s="141">
        <f>IF(OR($A2253="",ISERROR(VALUE(LEFT($A2253,6)))),"",IF(LEN($A2253)=2,SUMIF($A2254:$A$2965,$A2253&amp;"??",$D2254:$D$2965),IF(AND(LEN($A2253)=4,VALUE(RIGHT($A2253,2))&lt;=60),SUMIF($A2254:$A$2965,$A2253&amp;"????",$D2254:$D$2965),VLOOKUP(IF(LEN($A2253)=4,$A2253&amp;"01 1",$A2253),GUS_tabl_21!$A$5:$F$4886,6,FALSE))))</f>
        <v>3531</v>
      </c>
      <c r="E2253" s="29"/>
    </row>
    <row r="2254" spans="1:5" ht="12" customHeight="1">
      <c r="A2254" s="155" t="str">
        <f>"241713 2"</f>
        <v>241713 2</v>
      </c>
      <c r="B2254" s="153" t="s">
        <v>80</v>
      </c>
      <c r="C2254" s="156" t="str">
        <f>IF(OR($A2254="",ISERROR(VALUE(LEFT($A2254,6)))),"",IF(LEN($A2254)=2,"WOJ. ",IF(LEN($A2254)=4,IF(VALUE(RIGHT($A2254,2))&gt;60,"","Powiat "),IF(VALUE(RIGHT($A2254,1))=1,"m. ",IF(VALUE(RIGHT($A2254,1))=2,"gm. w. ",IF(VALUE(RIGHT($A2254,1))=8,"dz. ","gm. m.-w. ")))))&amp;IF(LEN($A2254)=2,TRIM(UPPER(VLOOKUP($A2254,GUS_tabl_1!$A$7:$B$22,2,FALSE))),IF(ISERROR(FIND("..",TRIM(VLOOKUP(IF(AND(LEN($A2254)=4,VALUE(RIGHT($A2254,2))&gt;60),$A2254&amp;"01 1",$A2254),IF(AND(LEN($A2254)=4,VALUE(RIGHT($A2254,2))&lt;60),GUS_tabl_2!$A$8:$B$464,GUS_tabl_21!$A$5:$B$4886),2,FALSE)))),TRIM(VLOOKUP(IF(AND(LEN($A2254)=4,VALUE(RIGHT($A2254,2))&gt;60),$A2254&amp;"01 1",$A2254),IF(AND(LEN($A2254)=4,VALUE(RIGHT($A2254,2))&lt;60),GUS_tabl_2!$A$8:$B$464,GUS_tabl_21!$A$5:$B$4886),2,FALSE)),LEFT(TRIM(VLOOKUP(IF(AND(LEN($A2254)=4,VALUE(RIGHT($A2254,2))&gt;60),$A2254&amp;"01 1",$A2254),IF(AND(LEN($A2254)=4,VALUE(RIGHT($A2254,2))&lt;60),GUS_tabl_2!$A$8:$B$464,GUS_tabl_21!$A$5:$B$4886),2,FALSE)),SUM(FIND("..",TRIM(VLOOKUP(IF(AND(LEN($A2254)=4,VALUE(RIGHT($A2254,2))&gt;60),$A2254&amp;"01 1",$A2254),IF(AND(LEN($A2254)=4,VALUE(RIGHT($A2254,2))&lt;60),GUS_tabl_2!$A$8:$B$464,GUS_tabl_21!$A$5:$B$4886),2,FALSE))),-1)))))</f>
        <v>gm. w. Świnna</v>
      </c>
      <c r="D2254" s="141">
        <f>IF(OR($A2254="",ISERROR(VALUE(LEFT($A2254,6)))),"",IF(LEN($A2254)=2,SUMIF($A2255:$A$2965,$A2254&amp;"??",$D2255:$D$2965),IF(AND(LEN($A2254)=4,VALUE(RIGHT($A2254,2))&lt;=60),SUMIF($A2255:$A$2965,$A2254&amp;"????",$D2255:$D$2965),VLOOKUP(IF(LEN($A2254)=4,$A2254&amp;"01 1",$A2254),GUS_tabl_21!$A$5:$F$4886,6,FALSE))))</f>
        <v>8070</v>
      </c>
      <c r="E2254" s="29"/>
    </row>
    <row r="2255" spans="1:5" ht="12" customHeight="1">
      <c r="A2255" s="155" t="str">
        <f>"241714 2"</f>
        <v>241714 2</v>
      </c>
      <c r="B2255" s="153" t="s">
        <v>80</v>
      </c>
      <c r="C2255" s="156" t="str">
        <f>IF(OR($A2255="",ISERROR(VALUE(LEFT($A2255,6)))),"",IF(LEN($A2255)=2,"WOJ. ",IF(LEN($A2255)=4,IF(VALUE(RIGHT($A2255,2))&gt;60,"","Powiat "),IF(VALUE(RIGHT($A2255,1))=1,"m. ",IF(VALUE(RIGHT($A2255,1))=2,"gm. w. ",IF(VALUE(RIGHT($A2255,1))=8,"dz. ","gm. m.-w. ")))))&amp;IF(LEN($A2255)=2,TRIM(UPPER(VLOOKUP($A2255,GUS_tabl_1!$A$7:$B$22,2,FALSE))),IF(ISERROR(FIND("..",TRIM(VLOOKUP(IF(AND(LEN($A2255)=4,VALUE(RIGHT($A2255,2))&gt;60),$A2255&amp;"01 1",$A2255),IF(AND(LEN($A2255)=4,VALUE(RIGHT($A2255,2))&lt;60),GUS_tabl_2!$A$8:$B$464,GUS_tabl_21!$A$5:$B$4886),2,FALSE)))),TRIM(VLOOKUP(IF(AND(LEN($A2255)=4,VALUE(RIGHT($A2255,2))&gt;60),$A2255&amp;"01 1",$A2255),IF(AND(LEN($A2255)=4,VALUE(RIGHT($A2255,2))&lt;60),GUS_tabl_2!$A$8:$B$464,GUS_tabl_21!$A$5:$B$4886),2,FALSE)),LEFT(TRIM(VLOOKUP(IF(AND(LEN($A2255)=4,VALUE(RIGHT($A2255,2))&gt;60),$A2255&amp;"01 1",$A2255),IF(AND(LEN($A2255)=4,VALUE(RIGHT($A2255,2))&lt;60),GUS_tabl_2!$A$8:$B$464,GUS_tabl_21!$A$5:$B$4886),2,FALSE)),SUM(FIND("..",TRIM(VLOOKUP(IF(AND(LEN($A2255)=4,VALUE(RIGHT($A2255,2))&gt;60),$A2255&amp;"01 1",$A2255),IF(AND(LEN($A2255)=4,VALUE(RIGHT($A2255,2))&lt;60),GUS_tabl_2!$A$8:$B$464,GUS_tabl_21!$A$5:$B$4886),2,FALSE))),-1)))))</f>
        <v>gm. w. Ujsoły</v>
      </c>
      <c r="D2255" s="141">
        <f>IF(OR($A2255="",ISERROR(VALUE(LEFT($A2255,6)))),"",IF(LEN($A2255)=2,SUMIF($A2256:$A$2965,$A2255&amp;"??",$D2256:$D$2965),IF(AND(LEN($A2255)=4,VALUE(RIGHT($A2255,2))&lt;=60),SUMIF($A2256:$A$2965,$A2255&amp;"????",$D2256:$D$2965),VLOOKUP(IF(LEN($A2255)=4,$A2255&amp;"01 1",$A2255),GUS_tabl_21!$A$5:$F$4886,6,FALSE))))</f>
        <v>4430</v>
      </c>
      <c r="E2255" s="29"/>
    </row>
    <row r="2256" spans="1:5" ht="12" customHeight="1">
      <c r="A2256" s="155" t="str">
        <f>"241715 2"</f>
        <v>241715 2</v>
      </c>
      <c r="B2256" s="153" t="s">
        <v>80</v>
      </c>
      <c r="C2256" s="156" t="str">
        <f>IF(OR($A2256="",ISERROR(VALUE(LEFT($A2256,6)))),"",IF(LEN($A2256)=2,"WOJ. ",IF(LEN($A2256)=4,IF(VALUE(RIGHT($A2256,2))&gt;60,"","Powiat "),IF(VALUE(RIGHT($A2256,1))=1,"m. ",IF(VALUE(RIGHT($A2256,1))=2,"gm. w. ",IF(VALUE(RIGHT($A2256,1))=8,"dz. ","gm. m.-w. ")))))&amp;IF(LEN($A2256)=2,TRIM(UPPER(VLOOKUP($A2256,GUS_tabl_1!$A$7:$B$22,2,FALSE))),IF(ISERROR(FIND("..",TRIM(VLOOKUP(IF(AND(LEN($A2256)=4,VALUE(RIGHT($A2256,2))&gt;60),$A2256&amp;"01 1",$A2256),IF(AND(LEN($A2256)=4,VALUE(RIGHT($A2256,2))&lt;60),GUS_tabl_2!$A$8:$B$464,GUS_tabl_21!$A$5:$B$4886),2,FALSE)))),TRIM(VLOOKUP(IF(AND(LEN($A2256)=4,VALUE(RIGHT($A2256,2))&gt;60),$A2256&amp;"01 1",$A2256),IF(AND(LEN($A2256)=4,VALUE(RIGHT($A2256,2))&lt;60),GUS_tabl_2!$A$8:$B$464,GUS_tabl_21!$A$5:$B$4886),2,FALSE)),LEFT(TRIM(VLOOKUP(IF(AND(LEN($A2256)=4,VALUE(RIGHT($A2256,2))&gt;60),$A2256&amp;"01 1",$A2256),IF(AND(LEN($A2256)=4,VALUE(RIGHT($A2256,2))&lt;60),GUS_tabl_2!$A$8:$B$464,GUS_tabl_21!$A$5:$B$4886),2,FALSE)),SUM(FIND("..",TRIM(VLOOKUP(IF(AND(LEN($A2256)=4,VALUE(RIGHT($A2256,2))&gt;60),$A2256&amp;"01 1",$A2256),IF(AND(LEN($A2256)=4,VALUE(RIGHT($A2256,2))&lt;60),GUS_tabl_2!$A$8:$B$464,GUS_tabl_21!$A$5:$B$4886),2,FALSE))),-1)))))</f>
        <v>gm. w. Węgierska Górka</v>
      </c>
      <c r="D2256" s="141">
        <f>IF(OR($A2256="",ISERROR(VALUE(LEFT($A2256,6)))),"",IF(LEN($A2256)=2,SUMIF($A2257:$A$2965,$A2256&amp;"??",$D2257:$D$2965),IF(AND(LEN($A2256)=4,VALUE(RIGHT($A2256,2))&lt;=60),SUMIF($A2257:$A$2965,$A2256&amp;"????",$D2257:$D$2965),VLOOKUP(IF(LEN($A2256)=4,$A2256&amp;"01 1",$A2256),GUS_tabl_21!$A$5:$F$4886,6,FALSE))))</f>
        <v>15080</v>
      </c>
      <c r="E2256" s="29"/>
    </row>
    <row r="2257" spans="1:5" ht="12" customHeight="1">
      <c r="A2257" s="152"/>
      <c r="B2257" s="153" t="s">
        <v>80</v>
      </c>
      <c r="C2257" s="154" t="s">
        <v>0</v>
      </c>
      <c r="D2257" s="140" t="str">
        <f>IF(OR($A2257="",ISERROR(VALUE(LEFT($A2257,6)))),"",IF(LEN($A2257)=2,SUMIF($A2258:$A$2965,$A2257&amp;"??",$D2258:$D$2965),IF(AND(LEN($A2257)=4,VALUE(RIGHT($A2257,2))&lt;=60),SUMIF($A2258:$A$2965,$A2257&amp;"????",$D2258:$D$2965),VLOOKUP(IF(LEN($A2257)=4,$A2257&amp;"01 1",$A2257),GUS_tabl_21!$A$5:$F$4886,6,FALSE))))</f>
        <v/>
      </c>
      <c r="E2257" s="29"/>
    </row>
    <row r="2258" spans="1:5" ht="12" customHeight="1">
      <c r="A2258" s="152"/>
      <c r="B2258" s="153" t="s">
        <v>80</v>
      </c>
      <c r="C2258" s="162" t="s">
        <v>1</v>
      </c>
      <c r="D2258" s="140" t="str">
        <f>IF(OR($A2258="",ISERROR(VALUE(LEFT($A2258,6)))),"",IF(LEN($A2258)=2,SUMIF($A2259:$A$2965,$A2258&amp;"??",$D2259:$D$2965),IF(AND(LEN($A2258)=4,VALUE(RIGHT($A2258,2))&lt;=60),SUMIF($A2259:$A$2965,$A2258&amp;"????",$D2259:$D$2965),VLOOKUP(IF(LEN($A2258)=4,$A2258&amp;"01 1",$A2258),GUS_tabl_21!$A$5:$F$4886,6,FALSE))))</f>
        <v/>
      </c>
      <c r="E2258" s="29"/>
    </row>
    <row r="2259" spans="1:5" ht="12" customHeight="1">
      <c r="A2259" s="152" t="str">
        <f>"2461"</f>
        <v>2461</v>
      </c>
      <c r="B2259" s="153" t="s">
        <v>80</v>
      </c>
      <c r="C2259" s="154" t="str">
        <f>IF(OR($A2259="",ISERROR(VALUE(LEFT($A2259,6)))),"",IF(LEN($A2259)=2,"WOJ. ",IF(LEN($A2259)=4,IF(VALUE(RIGHT($A2259,2))&gt;60,"","Powiat "),IF(VALUE(RIGHT($A2259,1))=1,"m. ",IF(VALUE(RIGHT($A2259,1))=2,"gm. w. ",IF(VALUE(RIGHT($A2259,1))=8,"dz. ","gm. m.-w. ")))))&amp;IF(LEN($A2259)=2,TRIM(UPPER(VLOOKUP($A2259,GUS_tabl_1!$A$7:$B$22,2,FALSE))),IF(ISERROR(FIND("..",TRIM(VLOOKUP(IF(AND(LEN($A2259)=4,VALUE(RIGHT($A2259,2))&gt;60),$A2259&amp;"01 1",$A2259),IF(AND(LEN($A2259)=4,VALUE(RIGHT($A2259,2))&lt;60),GUS_tabl_2!$A$8:$B$464,GUS_tabl_21!$A$5:$B$4886),2,FALSE)))),TRIM(VLOOKUP(IF(AND(LEN($A2259)=4,VALUE(RIGHT($A2259,2))&gt;60),$A2259&amp;"01 1",$A2259),IF(AND(LEN($A2259)=4,VALUE(RIGHT($A2259,2))&lt;60),GUS_tabl_2!$A$8:$B$464,GUS_tabl_21!$A$5:$B$4886),2,FALSE)),LEFT(TRIM(VLOOKUP(IF(AND(LEN($A2259)=4,VALUE(RIGHT($A2259,2))&gt;60),$A2259&amp;"01 1",$A2259),IF(AND(LEN($A2259)=4,VALUE(RIGHT($A2259,2))&lt;60),GUS_tabl_2!$A$8:$B$464,GUS_tabl_21!$A$5:$B$4886),2,FALSE)),SUM(FIND("..",TRIM(VLOOKUP(IF(AND(LEN($A2259)=4,VALUE(RIGHT($A2259,2))&gt;60),$A2259&amp;"01 1",$A2259),IF(AND(LEN($A2259)=4,VALUE(RIGHT($A2259,2))&lt;60),GUS_tabl_2!$A$8:$B$464,GUS_tabl_21!$A$5:$B$4886),2,FALSE))),-1)))))</f>
        <v>Bielsko-Biała</v>
      </c>
      <c r="D2259" s="140">
        <f>IF(OR($A2259="",ISERROR(VALUE(LEFT($A2259,6)))),"",IF(LEN($A2259)=2,SUMIF($A2260:$A$2965,$A2259&amp;"??",$D2260:$D$2965),IF(AND(LEN($A2259)=4,VALUE(RIGHT($A2259,2))&lt;=60),SUMIF($A2260:$A$2965,$A2259&amp;"????",$D2260:$D$2965),VLOOKUP(IF(LEN($A2259)=4,$A2259&amp;"01 1",$A2259),GUS_tabl_21!$A$5:$F$4886,6,FALSE))))</f>
        <v>170663</v>
      </c>
      <c r="E2259" s="29"/>
    </row>
    <row r="2260" spans="1:5" ht="12" customHeight="1">
      <c r="A2260" s="152" t="str">
        <f>"2462"</f>
        <v>2462</v>
      </c>
      <c r="B2260" s="153" t="s">
        <v>80</v>
      </c>
      <c r="C2260" s="154" t="str">
        <f>IF(OR($A2260="",ISERROR(VALUE(LEFT($A2260,6)))),"",IF(LEN($A2260)=2,"WOJ. ",IF(LEN($A2260)=4,IF(VALUE(RIGHT($A2260,2))&gt;60,"","Powiat "),IF(VALUE(RIGHT($A2260,1))=1,"m. ",IF(VALUE(RIGHT($A2260,1))=2,"gm. w. ",IF(VALUE(RIGHT($A2260,1))=8,"dz. ","gm. m.-w. ")))))&amp;IF(LEN($A2260)=2,TRIM(UPPER(VLOOKUP($A2260,GUS_tabl_1!$A$7:$B$22,2,FALSE))),IF(ISERROR(FIND("..",TRIM(VLOOKUP(IF(AND(LEN($A2260)=4,VALUE(RIGHT($A2260,2))&gt;60),$A2260&amp;"01 1",$A2260),IF(AND(LEN($A2260)=4,VALUE(RIGHT($A2260,2))&lt;60),GUS_tabl_2!$A$8:$B$464,GUS_tabl_21!$A$5:$B$4886),2,FALSE)))),TRIM(VLOOKUP(IF(AND(LEN($A2260)=4,VALUE(RIGHT($A2260,2))&gt;60),$A2260&amp;"01 1",$A2260),IF(AND(LEN($A2260)=4,VALUE(RIGHT($A2260,2))&lt;60),GUS_tabl_2!$A$8:$B$464,GUS_tabl_21!$A$5:$B$4886),2,FALSE)),LEFT(TRIM(VLOOKUP(IF(AND(LEN($A2260)=4,VALUE(RIGHT($A2260,2))&gt;60),$A2260&amp;"01 1",$A2260),IF(AND(LEN($A2260)=4,VALUE(RIGHT($A2260,2))&lt;60),GUS_tabl_2!$A$8:$B$464,GUS_tabl_21!$A$5:$B$4886),2,FALSE)),SUM(FIND("..",TRIM(VLOOKUP(IF(AND(LEN($A2260)=4,VALUE(RIGHT($A2260,2))&gt;60),$A2260&amp;"01 1",$A2260),IF(AND(LEN($A2260)=4,VALUE(RIGHT($A2260,2))&lt;60),GUS_tabl_2!$A$8:$B$464,GUS_tabl_21!$A$5:$B$4886),2,FALSE))),-1)))))</f>
        <v>Bytom</v>
      </c>
      <c r="D2260" s="140">
        <f>IF(OR($A2260="",ISERROR(VALUE(LEFT($A2260,6)))),"",IF(LEN($A2260)=2,SUMIF($A2261:$A$2965,$A2260&amp;"??",$D2261:$D$2965),IF(AND(LEN($A2260)=4,VALUE(RIGHT($A2260,2))&lt;=60),SUMIF($A2261:$A$2965,$A2260&amp;"????",$D2261:$D$2965),VLOOKUP(IF(LEN($A2260)=4,$A2260&amp;"01 1",$A2260),GUS_tabl_21!$A$5:$F$4886,6,FALSE))))</f>
        <v>165263</v>
      </c>
      <c r="E2260" s="29"/>
    </row>
    <row r="2261" spans="1:5" ht="12" customHeight="1">
      <c r="A2261" s="152" t="str">
        <f>"2463"</f>
        <v>2463</v>
      </c>
      <c r="B2261" s="153" t="s">
        <v>80</v>
      </c>
      <c r="C2261" s="154" t="str">
        <f>IF(OR($A2261="",ISERROR(VALUE(LEFT($A2261,6)))),"",IF(LEN($A2261)=2,"WOJ. ",IF(LEN($A2261)=4,IF(VALUE(RIGHT($A2261,2))&gt;60,"","Powiat "),IF(VALUE(RIGHT($A2261,1))=1,"m. ",IF(VALUE(RIGHT($A2261,1))=2,"gm. w. ",IF(VALUE(RIGHT($A2261,1))=8,"dz. ","gm. m.-w. ")))))&amp;IF(LEN($A2261)=2,TRIM(UPPER(VLOOKUP($A2261,GUS_tabl_1!$A$7:$B$22,2,FALSE))),IF(ISERROR(FIND("..",TRIM(VLOOKUP(IF(AND(LEN($A2261)=4,VALUE(RIGHT($A2261,2))&gt;60),$A2261&amp;"01 1",$A2261),IF(AND(LEN($A2261)=4,VALUE(RIGHT($A2261,2))&lt;60),GUS_tabl_2!$A$8:$B$464,GUS_tabl_21!$A$5:$B$4886),2,FALSE)))),TRIM(VLOOKUP(IF(AND(LEN($A2261)=4,VALUE(RIGHT($A2261,2))&gt;60),$A2261&amp;"01 1",$A2261),IF(AND(LEN($A2261)=4,VALUE(RIGHT($A2261,2))&lt;60),GUS_tabl_2!$A$8:$B$464,GUS_tabl_21!$A$5:$B$4886),2,FALSE)),LEFT(TRIM(VLOOKUP(IF(AND(LEN($A2261)=4,VALUE(RIGHT($A2261,2))&gt;60),$A2261&amp;"01 1",$A2261),IF(AND(LEN($A2261)=4,VALUE(RIGHT($A2261,2))&lt;60),GUS_tabl_2!$A$8:$B$464,GUS_tabl_21!$A$5:$B$4886),2,FALSE)),SUM(FIND("..",TRIM(VLOOKUP(IF(AND(LEN($A2261)=4,VALUE(RIGHT($A2261,2))&gt;60),$A2261&amp;"01 1",$A2261),IF(AND(LEN($A2261)=4,VALUE(RIGHT($A2261,2))&lt;60),GUS_tabl_2!$A$8:$B$464,GUS_tabl_21!$A$5:$B$4886),2,FALSE))),-1)))))</f>
        <v>Chorzów</v>
      </c>
      <c r="D2261" s="140">
        <f>IF(OR($A2261="",ISERROR(VALUE(LEFT($A2261,6)))),"",IF(LEN($A2261)=2,SUMIF($A2262:$A$2965,$A2261&amp;"??",$D2262:$D$2965),IF(AND(LEN($A2261)=4,VALUE(RIGHT($A2261,2))&lt;=60),SUMIF($A2262:$A$2965,$A2261&amp;"????",$D2262:$D$2965),VLOOKUP(IF(LEN($A2261)=4,$A2261&amp;"01 1",$A2261),GUS_tabl_21!$A$5:$F$4886,6,FALSE))))</f>
        <v>107807</v>
      </c>
      <c r="E2261" s="29"/>
    </row>
    <row r="2262" spans="1:5" ht="12" customHeight="1">
      <c r="A2262" s="152" t="str">
        <f>"2464"</f>
        <v>2464</v>
      </c>
      <c r="B2262" s="153" t="s">
        <v>80</v>
      </c>
      <c r="C2262" s="154" t="str">
        <f>IF(OR($A2262="",ISERROR(VALUE(LEFT($A2262,6)))),"",IF(LEN($A2262)=2,"WOJ. ",IF(LEN($A2262)=4,IF(VALUE(RIGHT($A2262,2))&gt;60,"","Powiat "),IF(VALUE(RIGHT($A2262,1))=1,"m. ",IF(VALUE(RIGHT($A2262,1))=2,"gm. w. ",IF(VALUE(RIGHT($A2262,1))=8,"dz. ","gm. m.-w. ")))))&amp;IF(LEN($A2262)=2,TRIM(UPPER(VLOOKUP($A2262,GUS_tabl_1!$A$7:$B$22,2,FALSE))),IF(ISERROR(FIND("..",TRIM(VLOOKUP(IF(AND(LEN($A2262)=4,VALUE(RIGHT($A2262,2))&gt;60),$A2262&amp;"01 1",$A2262),IF(AND(LEN($A2262)=4,VALUE(RIGHT($A2262,2))&lt;60),GUS_tabl_2!$A$8:$B$464,GUS_tabl_21!$A$5:$B$4886),2,FALSE)))),TRIM(VLOOKUP(IF(AND(LEN($A2262)=4,VALUE(RIGHT($A2262,2))&gt;60),$A2262&amp;"01 1",$A2262),IF(AND(LEN($A2262)=4,VALUE(RIGHT($A2262,2))&lt;60),GUS_tabl_2!$A$8:$B$464,GUS_tabl_21!$A$5:$B$4886),2,FALSE)),LEFT(TRIM(VLOOKUP(IF(AND(LEN($A2262)=4,VALUE(RIGHT($A2262,2))&gt;60),$A2262&amp;"01 1",$A2262),IF(AND(LEN($A2262)=4,VALUE(RIGHT($A2262,2))&lt;60),GUS_tabl_2!$A$8:$B$464,GUS_tabl_21!$A$5:$B$4886),2,FALSE)),SUM(FIND("..",TRIM(VLOOKUP(IF(AND(LEN($A2262)=4,VALUE(RIGHT($A2262,2))&gt;60),$A2262&amp;"01 1",$A2262),IF(AND(LEN($A2262)=4,VALUE(RIGHT($A2262,2))&lt;60),GUS_tabl_2!$A$8:$B$464,GUS_tabl_21!$A$5:$B$4886),2,FALSE))),-1)))))</f>
        <v>Częstochowa</v>
      </c>
      <c r="D2262" s="140">
        <f>IF(OR($A2262="",ISERROR(VALUE(LEFT($A2262,6)))),"",IF(LEN($A2262)=2,SUMIF($A2263:$A$2965,$A2262&amp;"??",$D2263:$D$2965),IF(AND(LEN($A2262)=4,VALUE(RIGHT($A2262,2))&lt;=60),SUMIF($A2263:$A$2965,$A2262&amp;"????",$D2263:$D$2965),VLOOKUP(IF(LEN($A2262)=4,$A2262&amp;"01 1",$A2262),GUS_tabl_21!$A$5:$F$4886,6,FALSE))))</f>
        <v>220433</v>
      </c>
      <c r="E2262" s="29"/>
    </row>
    <row r="2263" spans="1:5" ht="12" customHeight="1">
      <c r="A2263" s="152" t="str">
        <f>"2465"</f>
        <v>2465</v>
      </c>
      <c r="B2263" s="153" t="s">
        <v>80</v>
      </c>
      <c r="C2263" s="154" t="str">
        <f>IF(OR($A2263="",ISERROR(VALUE(LEFT($A2263,6)))),"",IF(LEN($A2263)=2,"WOJ. ",IF(LEN($A2263)=4,IF(VALUE(RIGHT($A2263,2))&gt;60,"","Powiat "),IF(VALUE(RIGHT($A2263,1))=1,"m. ",IF(VALUE(RIGHT($A2263,1))=2,"gm. w. ",IF(VALUE(RIGHT($A2263,1))=8,"dz. ","gm. m.-w. ")))))&amp;IF(LEN($A2263)=2,TRIM(UPPER(VLOOKUP($A2263,GUS_tabl_1!$A$7:$B$22,2,FALSE))),IF(ISERROR(FIND("..",TRIM(VLOOKUP(IF(AND(LEN($A2263)=4,VALUE(RIGHT($A2263,2))&gt;60),$A2263&amp;"01 1",$A2263),IF(AND(LEN($A2263)=4,VALUE(RIGHT($A2263,2))&lt;60),GUS_tabl_2!$A$8:$B$464,GUS_tabl_21!$A$5:$B$4886),2,FALSE)))),TRIM(VLOOKUP(IF(AND(LEN($A2263)=4,VALUE(RIGHT($A2263,2))&gt;60),$A2263&amp;"01 1",$A2263),IF(AND(LEN($A2263)=4,VALUE(RIGHT($A2263,2))&lt;60),GUS_tabl_2!$A$8:$B$464,GUS_tabl_21!$A$5:$B$4886),2,FALSE)),LEFT(TRIM(VLOOKUP(IF(AND(LEN($A2263)=4,VALUE(RIGHT($A2263,2))&gt;60),$A2263&amp;"01 1",$A2263),IF(AND(LEN($A2263)=4,VALUE(RIGHT($A2263,2))&lt;60),GUS_tabl_2!$A$8:$B$464,GUS_tabl_21!$A$5:$B$4886),2,FALSE)),SUM(FIND("..",TRIM(VLOOKUP(IF(AND(LEN($A2263)=4,VALUE(RIGHT($A2263,2))&gt;60),$A2263&amp;"01 1",$A2263),IF(AND(LEN($A2263)=4,VALUE(RIGHT($A2263,2))&lt;60),GUS_tabl_2!$A$8:$B$464,GUS_tabl_21!$A$5:$B$4886),2,FALSE))),-1)))))</f>
        <v>Dąbrowa Górnicza</v>
      </c>
      <c r="D2263" s="140">
        <f>IF(OR($A2263="",ISERROR(VALUE(LEFT($A2263,6)))),"",IF(LEN($A2263)=2,SUMIF($A2264:$A$2965,$A2263&amp;"??",$D2264:$D$2965),IF(AND(LEN($A2263)=4,VALUE(RIGHT($A2263,2))&lt;=60),SUMIF($A2264:$A$2965,$A2263&amp;"????",$D2264:$D$2965),VLOOKUP(IF(LEN($A2263)=4,$A2263&amp;"01 1",$A2263),GUS_tabl_21!$A$5:$F$4886,6,FALSE))))</f>
        <v>119373</v>
      </c>
      <c r="E2263" s="29"/>
    </row>
    <row r="2264" spans="1:5" ht="12" customHeight="1">
      <c r="A2264" s="152" t="str">
        <f>"2466"</f>
        <v>2466</v>
      </c>
      <c r="B2264" s="153" t="s">
        <v>80</v>
      </c>
      <c r="C2264" s="154" t="str">
        <f>IF(OR($A2264="",ISERROR(VALUE(LEFT($A2264,6)))),"",IF(LEN($A2264)=2,"WOJ. ",IF(LEN($A2264)=4,IF(VALUE(RIGHT($A2264,2))&gt;60,"","Powiat "),IF(VALUE(RIGHT($A2264,1))=1,"m. ",IF(VALUE(RIGHT($A2264,1))=2,"gm. w. ",IF(VALUE(RIGHT($A2264,1))=8,"dz. ","gm. m.-w. ")))))&amp;IF(LEN($A2264)=2,TRIM(UPPER(VLOOKUP($A2264,GUS_tabl_1!$A$7:$B$22,2,FALSE))),IF(ISERROR(FIND("..",TRIM(VLOOKUP(IF(AND(LEN($A2264)=4,VALUE(RIGHT($A2264,2))&gt;60),$A2264&amp;"01 1",$A2264),IF(AND(LEN($A2264)=4,VALUE(RIGHT($A2264,2))&lt;60),GUS_tabl_2!$A$8:$B$464,GUS_tabl_21!$A$5:$B$4886),2,FALSE)))),TRIM(VLOOKUP(IF(AND(LEN($A2264)=4,VALUE(RIGHT($A2264,2))&gt;60),$A2264&amp;"01 1",$A2264),IF(AND(LEN($A2264)=4,VALUE(RIGHT($A2264,2))&lt;60),GUS_tabl_2!$A$8:$B$464,GUS_tabl_21!$A$5:$B$4886),2,FALSE)),LEFT(TRIM(VLOOKUP(IF(AND(LEN($A2264)=4,VALUE(RIGHT($A2264,2))&gt;60),$A2264&amp;"01 1",$A2264),IF(AND(LEN($A2264)=4,VALUE(RIGHT($A2264,2))&lt;60),GUS_tabl_2!$A$8:$B$464,GUS_tabl_21!$A$5:$B$4886),2,FALSE)),SUM(FIND("..",TRIM(VLOOKUP(IF(AND(LEN($A2264)=4,VALUE(RIGHT($A2264,2))&gt;60),$A2264&amp;"01 1",$A2264),IF(AND(LEN($A2264)=4,VALUE(RIGHT($A2264,2))&lt;60),GUS_tabl_2!$A$8:$B$464,GUS_tabl_21!$A$5:$B$4886),2,FALSE))),-1)))))</f>
        <v>Gliwice</v>
      </c>
      <c r="D2264" s="140">
        <f>IF(OR($A2264="",ISERROR(VALUE(LEFT($A2264,6)))),"",IF(LEN($A2264)=2,SUMIF($A2265:$A$2965,$A2264&amp;"??",$D2265:$D$2965),IF(AND(LEN($A2264)=4,VALUE(RIGHT($A2264,2))&lt;=60),SUMIF($A2265:$A$2965,$A2264&amp;"????",$D2265:$D$2965),VLOOKUP(IF(LEN($A2264)=4,$A2264&amp;"01 1",$A2264),GUS_tabl_21!$A$5:$F$4886,6,FALSE))))</f>
        <v>178603</v>
      </c>
      <c r="E2264" s="29"/>
    </row>
    <row r="2265" spans="1:5" ht="12" customHeight="1">
      <c r="A2265" s="152" t="str">
        <f>"2467"</f>
        <v>2467</v>
      </c>
      <c r="B2265" s="153" t="s">
        <v>80</v>
      </c>
      <c r="C2265" s="154" t="str">
        <f>IF(OR($A2265="",ISERROR(VALUE(LEFT($A2265,6)))),"",IF(LEN($A2265)=2,"WOJ. ",IF(LEN($A2265)=4,IF(VALUE(RIGHT($A2265,2))&gt;60,"","Powiat "),IF(VALUE(RIGHT($A2265,1))=1,"m. ",IF(VALUE(RIGHT($A2265,1))=2,"gm. w. ",IF(VALUE(RIGHT($A2265,1))=8,"dz. ","gm. m.-w. ")))))&amp;IF(LEN($A2265)=2,TRIM(UPPER(VLOOKUP($A2265,GUS_tabl_1!$A$7:$B$22,2,FALSE))),IF(ISERROR(FIND("..",TRIM(VLOOKUP(IF(AND(LEN($A2265)=4,VALUE(RIGHT($A2265,2))&gt;60),$A2265&amp;"01 1",$A2265),IF(AND(LEN($A2265)=4,VALUE(RIGHT($A2265,2))&lt;60),GUS_tabl_2!$A$8:$B$464,GUS_tabl_21!$A$5:$B$4886),2,FALSE)))),TRIM(VLOOKUP(IF(AND(LEN($A2265)=4,VALUE(RIGHT($A2265,2))&gt;60),$A2265&amp;"01 1",$A2265),IF(AND(LEN($A2265)=4,VALUE(RIGHT($A2265,2))&lt;60),GUS_tabl_2!$A$8:$B$464,GUS_tabl_21!$A$5:$B$4886),2,FALSE)),LEFT(TRIM(VLOOKUP(IF(AND(LEN($A2265)=4,VALUE(RIGHT($A2265,2))&gt;60),$A2265&amp;"01 1",$A2265),IF(AND(LEN($A2265)=4,VALUE(RIGHT($A2265,2))&lt;60),GUS_tabl_2!$A$8:$B$464,GUS_tabl_21!$A$5:$B$4886),2,FALSE)),SUM(FIND("..",TRIM(VLOOKUP(IF(AND(LEN($A2265)=4,VALUE(RIGHT($A2265,2))&gt;60),$A2265&amp;"01 1",$A2265),IF(AND(LEN($A2265)=4,VALUE(RIGHT($A2265,2))&lt;60),GUS_tabl_2!$A$8:$B$464,GUS_tabl_21!$A$5:$B$4886),2,FALSE))),-1)))))</f>
        <v>Jastrzębie-Zdrój</v>
      </c>
      <c r="D2265" s="140">
        <f>IF(OR($A2265="",ISERROR(VALUE(LEFT($A2265,6)))),"",IF(LEN($A2265)=2,SUMIF($A2266:$A$2965,$A2265&amp;"??",$D2266:$D$2965),IF(AND(LEN($A2265)=4,VALUE(RIGHT($A2265,2))&lt;=60),SUMIF($A2266:$A$2965,$A2265&amp;"????",$D2266:$D$2965),VLOOKUP(IF(LEN($A2265)=4,$A2265&amp;"01 1",$A2265),GUS_tabl_21!$A$5:$F$4886,6,FALSE))))</f>
        <v>88743</v>
      </c>
      <c r="E2265" s="29"/>
    </row>
    <row r="2266" spans="1:5" ht="12" customHeight="1">
      <c r="A2266" s="152" t="str">
        <f>"2468"</f>
        <v>2468</v>
      </c>
      <c r="B2266" s="153" t="s">
        <v>80</v>
      </c>
      <c r="C2266" s="154" t="str">
        <f>IF(OR($A2266="",ISERROR(VALUE(LEFT($A2266,6)))),"",IF(LEN($A2266)=2,"WOJ. ",IF(LEN($A2266)=4,IF(VALUE(RIGHT($A2266,2))&gt;60,"","Powiat "),IF(VALUE(RIGHT($A2266,1))=1,"m. ",IF(VALUE(RIGHT($A2266,1))=2,"gm. w. ",IF(VALUE(RIGHT($A2266,1))=8,"dz. ","gm. m.-w. ")))))&amp;IF(LEN($A2266)=2,TRIM(UPPER(VLOOKUP($A2266,GUS_tabl_1!$A$7:$B$22,2,FALSE))),IF(ISERROR(FIND("..",TRIM(VLOOKUP(IF(AND(LEN($A2266)=4,VALUE(RIGHT($A2266,2))&gt;60),$A2266&amp;"01 1",$A2266),IF(AND(LEN($A2266)=4,VALUE(RIGHT($A2266,2))&lt;60),GUS_tabl_2!$A$8:$B$464,GUS_tabl_21!$A$5:$B$4886),2,FALSE)))),TRIM(VLOOKUP(IF(AND(LEN($A2266)=4,VALUE(RIGHT($A2266,2))&gt;60),$A2266&amp;"01 1",$A2266),IF(AND(LEN($A2266)=4,VALUE(RIGHT($A2266,2))&lt;60),GUS_tabl_2!$A$8:$B$464,GUS_tabl_21!$A$5:$B$4886),2,FALSE)),LEFT(TRIM(VLOOKUP(IF(AND(LEN($A2266)=4,VALUE(RIGHT($A2266,2))&gt;60),$A2266&amp;"01 1",$A2266),IF(AND(LEN($A2266)=4,VALUE(RIGHT($A2266,2))&lt;60),GUS_tabl_2!$A$8:$B$464,GUS_tabl_21!$A$5:$B$4886),2,FALSE)),SUM(FIND("..",TRIM(VLOOKUP(IF(AND(LEN($A2266)=4,VALUE(RIGHT($A2266,2))&gt;60),$A2266&amp;"01 1",$A2266),IF(AND(LEN($A2266)=4,VALUE(RIGHT($A2266,2))&lt;60),GUS_tabl_2!$A$8:$B$464,GUS_tabl_21!$A$5:$B$4886),2,FALSE))),-1)))))</f>
        <v>Jaworzno</v>
      </c>
      <c r="D2266" s="140">
        <f>IF(OR($A2266="",ISERROR(VALUE(LEFT($A2266,6)))),"",IF(LEN($A2266)=2,SUMIF($A2267:$A$2965,$A2266&amp;"??",$D2267:$D$2965),IF(AND(LEN($A2266)=4,VALUE(RIGHT($A2266,2))&lt;=60),SUMIF($A2267:$A$2965,$A2266&amp;"????",$D2267:$D$2965),VLOOKUP(IF(LEN($A2266)=4,$A2266&amp;"01 1",$A2266),GUS_tabl_21!$A$5:$F$4886,6,FALSE))))</f>
        <v>91115</v>
      </c>
      <c r="E2266" s="29"/>
    </row>
    <row r="2267" spans="1:5" ht="12" customHeight="1">
      <c r="A2267" s="152" t="str">
        <f>"2469"</f>
        <v>2469</v>
      </c>
      <c r="B2267" s="153" t="s">
        <v>80</v>
      </c>
      <c r="C2267" s="154" t="str">
        <f>IF(OR($A2267="",ISERROR(VALUE(LEFT($A2267,6)))),"",IF(LEN($A2267)=2,"WOJ. ",IF(LEN($A2267)=4,IF(VALUE(RIGHT($A2267,2))&gt;60,"","Powiat "),IF(VALUE(RIGHT($A2267,1))=1,"m. ",IF(VALUE(RIGHT($A2267,1))=2,"gm. w. ",IF(VALUE(RIGHT($A2267,1))=8,"dz. ","gm. m.-w. ")))))&amp;IF(LEN($A2267)=2,TRIM(UPPER(VLOOKUP($A2267,GUS_tabl_1!$A$7:$B$22,2,FALSE))),IF(ISERROR(FIND("..",TRIM(VLOOKUP(IF(AND(LEN($A2267)=4,VALUE(RIGHT($A2267,2))&gt;60),$A2267&amp;"01 1",$A2267),IF(AND(LEN($A2267)=4,VALUE(RIGHT($A2267,2))&lt;60),GUS_tabl_2!$A$8:$B$464,GUS_tabl_21!$A$5:$B$4886),2,FALSE)))),TRIM(VLOOKUP(IF(AND(LEN($A2267)=4,VALUE(RIGHT($A2267,2))&gt;60),$A2267&amp;"01 1",$A2267),IF(AND(LEN($A2267)=4,VALUE(RIGHT($A2267,2))&lt;60),GUS_tabl_2!$A$8:$B$464,GUS_tabl_21!$A$5:$B$4886),2,FALSE)),LEFT(TRIM(VLOOKUP(IF(AND(LEN($A2267)=4,VALUE(RIGHT($A2267,2))&gt;60),$A2267&amp;"01 1",$A2267),IF(AND(LEN($A2267)=4,VALUE(RIGHT($A2267,2))&lt;60),GUS_tabl_2!$A$8:$B$464,GUS_tabl_21!$A$5:$B$4886),2,FALSE)),SUM(FIND("..",TRIM(VLOOKUP(IF(AND(LEN($A2267)=4,VALUE(RIGHT($A2267,2))&gt;60),$A2267&amp;"01 1",$A2267),IF(AND(LEN($A2267)=4,VALUE(RIGHT($A2267,2))&lt;60),GUS_tabl_2!$A$8:$B$464,GUS_tabl_21!$A$5:$B$4886),2,FALSE))),-1)))))</f>
        <v>Katowice (a)</v>
      </c>
      <c r="D2267" s="140">
        <f>IF(OR($A2267="",ISERROR(VALUE(LEFT($A2267,6)))),"",IF(LEN($A2267)=2,SUMIF($A2268:$A$2965,$A2267&amp;"??",$D2268:$D$2965),IF(AND(LEN($A2267)=4,VALUE(RIGHT($A2267,2))&lt;=60),SUMIF($A2268:$A$2965,$A2267&amp;"????",$D2268:$D$2965),VLOOKUP(IF(LEN($A2267)=4,$A2267&amp;"01 1",$A2267),GUS_tabl_21!$A$5:$F$4886,6,FALSE))))</f>
        <v>292774</v>
      </c>
      <c r="E2267" s="29"/>
    </row>
    <row r="2268" spans="1:5" ht="12" customHeight="1">
      <c r="A2268" s="152" t="str">
        <f>"2470"</f>
        <v>2470</v>
      </c>
      <c r="B2268" s="153" t="s">
        <v>80</v>
      </c>
      <c r="C2268" s="154" t="str">
        <f>IF(OR($A2268="",ISERROR(VALUE(LEFT($A2268,6)))),"",IF(LEN($A2268)=2,"WOJ. ",IF(LEN($A2268)=4,IF(VALUE(RIGHT($A2268,2))&gt;60,"","Powiat "),IF(VALUE(RIGHT($A2268,1))=1,"m. ",IF(VALUE(RIGHT($A2268,1))=2,"gm. w. ",IF(VALUE(RIGHT($A2268,1))=8,"dz. ","gm. m.-w. ")))))&amp;IF(LEN($A2268)=2,TRIM(UPPER(VLOOKUP($A2268,GUS_tabl_1!$A$7:$B$22,2,FALSE))),IF(ISERROR(FIND("..",TRIM(VLOOKUP(IF(AND(LEN($A2268)=4,VALUE(RIGHT($A2268,2))&gt;60),$A2268&amp;"01 1",$A2268),IF(AND(LEN($A2268)=4,VALUE(RIGHT($A2268,2))&lt;60),GUS_tabl_2!$A$8:$B$464,GUS_tabl_21!$A$5:$B$4886),2,FALSE)))),TRIM(VLOOKUP(IF(AND(LEN($A2268)=4,VALUE(RIGHT($A2268,2))&gt;60),$A2268&amp;"01 1",$A2268),IF(AND(LEN($A2268)=4,VALUE(RIGHT($A2268,2))&lt;60),GUS_tabl_2!$A$8:$B$464,GUS_tabl_21!$A$5:$B$4886),2,FALSE)),LEFT(TRIM(VLOOKUP(IF(AND(LEN($A2268)=4,VALUE(RIGHT($A2268,2))&gt;60),$A2268&amp;"01 1",$A2268),IF(AND(LEN($A2268)=4,VALUE(RIGHT($A2268,2))&lt;60),GUS_tabl_2!$A$8:$B$464,GUS_tabl_21!$A$5:$B$4886),2,FALSE)),SUM(FIND("..",TRIM(VLOOKUP(IF(AND(LEN($A2268)=4,VALUE(RIGHT($A2268,2))&gt;60),$A2268&amp;"01 1",$A2268),IF(AND(LEN($A2268)=4,VALUE(RIGHT($A2268,2))&lt;60),GUS_tabl_2!$A$8:$B$464,GUS_tabl_21!$A$5:$B$4886),2,FALSE))),-1)))))</f>
        <v>Mysłowice</v>
      </c>
      <c r="D2268" s="140">
        <f>IF(OR($A2268="",ISERROR(VALUE(LEFT($A2268,6)))),"",IF(LEN($A2268)=2,SUMIF($A2269:$A$2965,$A2268&amp;"??",$D2269:$D$2965),IF(AND(LEN($A2268)=4,VALUE(RIGHT($A2268,2))&lt;=60),SUMIF($A2269:$A$2965,$A2268&amp;"????",$D2269:$D$2965),VLOOKUP(IF(LEN($A2268)=4,$A2268&amp;"01 1",$A2268),GUS_tabl_21!$A$5:$F$4886,6,FALSE))))</f>
        <v>74618</v>
      </c>
      <c r="E2268" s="29"/>
    </row>
    <row r="2269" spans="1:5" ht="12" customHeight="1">
      <c r="A2269" s="152" t="str">
        <f>"2471"</f>
        <v>2471</v>
      </c>
      <c r="B2269" s="153" t="s">
        <v>80</v>
      </c>
      <c r="C2269" s="154" t="str">
        <f>IF(OR($A2269="",ISERROR(VALUE(LEFT($A2269,6)))),"",IF(LEN($A2269)=2,"WOJ. ",IF(LEN($A2269)=4,IF(VALUE(RIGHT($A2269,2))&gt;60,"","Powiat "),IF(VALUE(RIGHT($A2269,1))=1,"m. ",IF(VALUE(RIGHT($A2269,1))=2,"gm. w. ",IF(VALUE(RIGHT($A2269,1))=8,"dz. ","gm. m.-w. ")))))&amp;IF(LEN($A2269)=2,TRIM(UPPER(VLOOKUP($A2269,GUS_tabl_1!$A$7:$B$22,2,FALSE))),IF(ISERROR(FIND("..",TRIM(VLOOKUP(IF(AND(LEN($A2269)=4,VALUE(RIGHT($A2269,2))&gt;60),$A2269&amp;"01 1",$A2269),IF(AND(LEN($A2269)=4,VALUE(RIGHT($A2269,2))&lt;60),GUS_tabl_2!$A$8:$B$464,GUS_tabl_21!$A$5:$B$4886),2,FALSE)))),TRIM(VLOOKUP(IF(AND(LEN($A2269)=4,VALUE(RIGHT($A2269,2))&gt;60),$A2269&amp;"01 1",$A2269),IF(AND(LEN($A2269)=4,VALUE(RIGHT($A2269,2))&lt;60),GUS_tabl_2!$A$8:$B$464,GUS_tabl_21!$A$5:$B$4886),2,FALSE)),LEFT(TRIM(VLOOKUP(IF(AND(LEN($A2269)=4,VALUE(RIGHT($A2269,2))&gt;60),$A2269&amp;"01 1",$A2269),IF(AND(LEN($A2269)=4,VALUE(RIGHT($A2269,2))&lt;60),GUS_tabl_2!$A$8:$B$464,GUS_tabl_21!$A$5:$B$4886),2,FALSE)),SUM(FIND("..",TRIM(VLOOKUP(IF(AND(LEN($A2269)=4,VALUE(RIGHT($A2269,2))&gt;60),$A2269&amp;"01 1",$A2269),IF(AND(LEN($A2269)=4,VALUE(RIGHT($A2269,2))&lt;60),GUS_tabl_2!$A$8:$B$464,GUS_tabl_21!$A$5:$B$4886),2,FALSE))),-1)))))</f>
        <v>Piekary Śląskie</v>
      </c>
      <c r="D2269" s="140">
        <f>IF(OR($A2269="",ISERROR(VALUE(LEFT($A2269,6)))),"",IF(LEN($A2269)=2,SUMIF($A2270:$A$2965,$A2269&amp;"??",$D2270:$D$2965),IF(AND(LEN($A2269)=4,VALUE(RIGHT($A2269,2))&lt;=60),SUMIF($A2270:$A$2965,$A2269&amp;"????",$D2270:$D$2965),VLOOKUP(IF(LEN($A2269)=4,$A2269&amp;"01 1",$A2269),GUS_tabl_21!$A$5:$F$4886,6,FALSE))))</f>
        <v>55030</v>
      </c>
      <c r="E2269" s="29"/>
    </row>
    <row r="2270" spans="1:5" ht="12" customHeight="1">
      <c r="A2270" s="152" t="str">
        <f>"2472"</f>
        <v>2472</v>
      </c>
      <c r="B2270" s="153" t="s">
        <v>80</v>
      </c>
      <c r="C2270" s="154" t="str">
        <f>IF(OR($A2270="",ISERROR(VALUE(LEFT($A2270,6)))),"",IF(LEN($A2270)=2,"WOJ. ",IF(LEN($A2270)=4,IF(VALUE(RIGHT($A2270,2))&gt;60,"","Powiat "),IF(VALUE(RIGHT($A2270,1))=1,"m. ",IF(VALUE(RIGHT($A2270,1))=2,"gm. w. ",IF(VALUE(RIGHT($A2270,1))=8,"dz. ","gm. m.-w. ")))))&amp;IF(LEN($A2270)=2,TRIM(UPPER(VLOOKUP($A2270,GUS_tabl_1!$A$7:$B$22,2,FALSE))),IF(ISERROR(FIND("..",TRIM(VLOOKUP(IF(AND(LEN($A2270)=4,VALUE(RIGHT($A2270,2))&gt;60),$A2270&amp;"01 1",$A2270),IF(AND(LEN($A2270)=4,VALUE(RIGHT($A2270,2))&lt;60),GUS_tabl_2!$A$8:$B$464,GUS_tabl_21!$A$5:$B$4886),2,FALSE)))),TRIM(VLOOKUP(IF(AND(LEN($A2270)=4,VALUE(RIGHT($A2270,2))&gt;60),$A2270&amp;"01 1",$A2270),IF(AND(LEN($A2270)=4,VALUE(RIGHT($A2270,2))&lt;60),GUS_tabl_2!$A$8:$B$464,GUS_tabl_21!$A$5:$B$4886),2,FALSE)),LEFT(TRIM(VLOOKUP(IF(AND(LEN($A2270)=4,VALUE(RIGHT($A2270,2))&gt;60),$A2270&amp;"01 1",$A2270),IF(AND(LEN($A2270)=4,VALUE(RIGHT($A2270,2))&lt;60),GUS_tabl_2!$A$8:$B$464,GUS_tabl_21!$A$5:$B$4886),2,FALSE)),SUM(FIND("..",TRIM(VLOOKUP(IF(AND(LEN($A2270)=4,VALUE(RIGHT($A2270,2))&gt;60),$A2270&amp;"01 1",$A2270),IF(AND(LEN($A2270)=4,VALUE(RIGHT($A2270,2))&lt;60),GUS_tabl_2!$A$8:$B$464,GUS_tabl_21!$A$5:$B$4886),2,FALSE))),-1)))))</f>
        <v>Ruda Śląska</v>
      </c>
      <c r="D2270" s="140">
        <f>IF(OR($A2270="",ISERROR(VALUE(LEFT($A2270,6)))),"",IF(LEN($A2270)=2,SUMIF($A2271:$A$2965,$A2270&amp;"??",$D2271:$D$2965),IF(AND(LEN($A2270)=4,VALUE(RIGHT($A2270,2))&lt;=60),SUMIF($A2271:$A$2965,$A2270&amp;"????",$D2271:$D$2965),VLOOKUP(IF(LEN($A2270)=4,$A2270&amp;"01 1",$A2270),GUS_tabl_21!$A$5:$F$4886,6,FALSE))))</f>
        <v>137360</v>
      </c>
      <c r="E2270" s="29"/>
    </row>
    <row r="2271" spans="1:5" ht="12" customHeight="1">
      <c r="A2271" s="152" t="str">
        <f>"2473"</f>
        <v>2473</v>
      </c>
      <c r="B2271" s="153" t="s">
        <v>80</v>
      </c>
      <c r="C2271" s="154" t="str">
        <f>IF(OR($A2271="",ISERROR(VALUE(LEFT($A2271,6)))),"",IF(LEN($A2271)=2,"WOJ. ",IF(LEN($A2271)=4,IF(VALUE(RIGHT($A2271,2))&gt;60,"","Powiat "),IF(VALUE(RIGHT($A2271,1))=1,"m. ",IF(VALUE(RIGHT($A2271,1))=2,"gm. w. ",IF(VALUE(RIGHT($A2271,1))=8,"dz. ","gm. m.-w. ")))))&amp;IF(LEN($A2271)=2,TRIM(UPPER(VLOOKUP($A2271,GUS_tabl_1!$A$7:$B$22,2,FALSE))),IF(ISERROR(FIND("..",TRIM(VLOOKUP(IF(AND(LEN($A2271)=4,VALUE(RIGHT($A2271,2))&gt;60),$A2271&amp;"01 1",$A2271),IF(AND(LEN($A2271)=4,VALUE(RIGHT($A2271,2))&lt;60),GUS_tabl_2!$A$8:$B$464,GUS_tabl_21!$A$5:$B$4886),2,FALSE)))),TRIM(VLOOKUP(IF(AND(LEN($A2271)=4,VALUE(RIGHT($A2271,2))&gt;60),$A2271&amp;"01 1",$A2271),IF(AND(LEN($A2271)=4,VALUE(RIGHT($A2271,2))&lt;60),GUS_tabl_2!$A$8:$B$464,GUS_tabl_21!$A$5:$B$4886),2,FALSE)),LEFT(TRIM(VLOOKUP(IF(AND(LEN($A2271)=4,VALUE(RIGHT($A2271,2))&gt;60),$A2271&amp;"01 1",$A2271),IF(AND(LEN($A2271)=4,VALUE(RIGHT($A2271,2))&lt;60),GUS_tabl_2!$A$8:$B$464,GUS_tabl_21!$A$5:$B$4886),2,FALSE)),SUM(FIND("..",TRIM(VLOOKUP(IF(AND(LEN($A2271)=4,VALUE(RIGHT($A2271,2))&gt;60),$A2271&amp;"01 1",$A2271),IF(AND(LEN($A2271)=4,VALUE(RIGHT($A2271,2))&lt;60),GUS_tabl_2!$A$8:$B$464,GUS_tabl_21!$A$5:$B$4886),2,FALSE))),-1)))))</f>
        <v>Rybnik</v>
      </c>
      <c r="D2271" s="140">
        <f>IF(OR($A2271="",ISERROR(VALUE(LEFT($A2271,6)))),"",IF(LEN($A2271)=2,SUMIF($A2272:$A$2965,$A2271&amp;"??",$D2272:$D$2965),IF(AND(LEN($A2271)=4,VALUE(RIGHT($A2271,2))&lt;=60),SUMIF($A2272:$A$2965,$A2271&amp;"????",$D2272:$D$2965),VLOOKUP(IF(LEN($A2271)=4,$A2271&amp;"01 1",$A2271),GUS_tabl_21!$A$5:$F$4886,6,FALSE))))</f>
        <v>138098</v>
      </c>
      <c r="E2271" s="29"/>
    </row>
    <row r="2272" spans="1:5" ht="12" customHeight="1">
      <c r="A2272" s="152" t="str">
        <f>"2474"</f>
        <v>2474</v>
      </c>
      <c r="B2272" s="153" t="s">
        <v>80</v>
      </c>
      <c r="C2272" s="154" t="str">
        <f>IF(OR($A2272="",ISERROR(VALUE(LEFT($A2272,6)))),"",IF(LEN($A2272)=2,"WOJ. ",IF(LEN($A2272)=4,IF(VALUE(RIGHT($A2272,2))&gt;60,"","Powiat "),IF(VALUE(RIGHT($A2272,1))=1,"m. ",IF(VALUE(RIGHT($A2272,1))=2,"gm. w. ",IF(VALUE(RIGHT($A2272,1))=8,"dz. ","gm. m.-w. ")))))&amp;IF(LEN($A2272)=2,TRIM(UPPER(VLOOKUP($A2272,GUS_tabl_1!$A$7:$B$22,2,FALSE))),IF(ISERROR(FIND("..",TRIM(VLOOKUP(IF(AND(LEN($A2272)=4,VALUE(RIGHT($A2272,2))&gt;60),$A2272&amp;"01 1",$A2272),IF(AND(LEN($A2272)=4,VALUE(RIGHT($A2272,2))&lt;60),GUS_tabl_2!$A$8:$B$464,GUS_tabl_21!$A$5:$B$4886),2,FALSE)))),TRIM(VLOOKUP(IF(AND(LEN($A2272)=4,VALUE(RIGHT($A2272,2))&gt;60),$A2272&amp;"01 1",$A2272),IF(AND(LEN($A2272)=4,VALUE(RIGHT($A2272,2))&lt;60),GUS_tabl_2!$A$8:$B$464,GUS_tabl_21!$A$5:$B$4886),2,FALSE)),LEFT(TRIM(VLOOKUP(IF(AND(LEN($A2272)=4,VALUE(RIGHT($A2272,2))&gt;60),$A2272&amp;"01 1",$A2272),IF(AND(LEN($A2272)=4,VALUE(RIGHT($A2272,2))&lt;60),GUS_tabl_2!$A$8:$B$464,GUS_tabl_21!$A$5:$B$4886),2,FALSE)),SUM(FIND("..",TRIM(VLOOKUP(IF(AND(LEN($A2272)=4,VALUE(RIGHT($A2272,2))&gt;60),$A2272&amp;"01 1",$A2272),IF(AND(LEN($A2272)=4,VALUE(RIGHT($A2272,2))&lt;60),GUS_tabl_2!$A$8:$B$464,GUS_tabl_21!$A$5:$B$4886),2,FALSE))),-1)))))</f>
        <v>Siemianowice Śląskie</v>
      </c>
      <c r="D2272" s="140">
        <f>IF(OR($A2272="",ISERROR(VALUE(LEFT($A2272,6)))),"",IF(LEN($A2272)=2,SUMIF($A2273:$A$2965,$A2272&amp;"??",$D2273:$D$2965),IF(AND(LEN($A2272)=4,VALUE(RIGHT($A2272,2))&lt;=60),SUMIF($A2273:$A$2965,$A2272&amp;"????",$D2273:$D$2965),VLOOKUP(IF(LEN($A2272)=4,$A2272&amp;"01 1",$A2272),GUS_tabl_21!$A$5:$F$4886,6,FALSE))))</f>
        <v>66841</v>
      </c>
      <c r="E2272" s="29"/>
    </row>
    <row r="2273" spans="1:5" ht="12" customHeight="1">
      <c r="A2273" s="152" t="str">
        <f>"2475"</f>
        <v>2475</v>
      </c>
      <c r="B2273" s="153" t="s">
        <v>80</v>
      </c>
      <c r="C2273" s="154" t="str">
        <f>IF(OR($A2273="",ISERROR(VALUE(LEFT($A2273,6)))),"",IF(LEN($A2273)=2,"WOJ. ",IF(LEN($A2273)=4,IF(VALUE(RIGHT($A2273,2))&gt;60,"","Powiat "),IF(VALUE(RIGHT($A2273,1))=1,"m. ",IF(VALUE(RIGHT($A2273,1))=2,"gm. w. ",IF(VALUE(RIGHT($A2273,1))=8,"dz. ","gm. m.-w. ")))))&amp;IF(LEN($A2273)=2,TRIM(UPPER(VLOOKUP($A2273,GUS_tabl_1!$A$7:$B$22,2,FALSE))),IF(ISERROR(FIND("..",TRIM(VLOOKUP(IF(AND(LEN($A2273)=4,VALUE(RIGHT($A2273,2))&gt;60),$A2273&amp;"01 1",$A2273),IF(AND(LEN($A2273)=4,VALUE(RIGHT($A2273,2))&lt;60),GUS_tabl_2!$A$8:$B$464,GUS_tabl_21!$A$5:$B$4886),2,FALSE)))),TRIM(VLOOKUP(IF(AND(LEN($A2273)=4,VALUE(RIGHT($A2273,2))&gt;60),$A2273&amp;"01 1",$A2273),IF(AND(LEN($A2273)=4,VALUE(RIGHT($A2273,2))&lt;60),GUS_tabl_2!$A$8:$B$464,GUS_tabl_21!$A$5:$B$4886),2,FALSE)),LEFT(TRIM(VLOOKUP(IF(AND(LEN($A2273)=4,VALUE(RIGHT($A2273,2))&gt;60),$A2273&amp;"01 1",$A2273),IF(AND(LEN($A2273)=4,VALUE(RIGHT($A2273,2))&lt;60),GUS_tabl_2!$A$8:$B$464,GUS_tabl_21!$A$5:$B$4886),2,FALSE)),SUM(FIND("..",TRIM(VLOOKUP(IF(AND(LEN($A2273)=4,VALUE(RIGHT($A2273,2))&gt;60),$A2273&amp;"01 1",$A2273),IF(AND(LEN($A2273)=4,VALUE(RIGHT($A2273,2))&lt;60),GUS_tabl_2!$A$8:$B$464,GUS_tabl_21!$A$5:$B$4886),2,FALSE))),-1)))))</f>
        <v>Sosnowiec</v>
      </c>
      <c r="D2273" s="140">
        <f>IF(OR($A2273="",ISERROR(VALUE(LEFT($A2273,6)))),"",IF(LEN($A2273)=2,SUMIF($A2274:$A$2965,$A2273&amp;"??",$D2274:$D$2965),IF(AND(LEN($A2273)=4,VALUE(RIGHT($A2273,2))&lt;=60),SUMIF($A2274:$A$2965,$A2273&amp;"????",$D2274:$D$2965),VLOOKUP(IF(LEN($A2273)=4,$A2273&amp;"01 1",$A2273),GUS_tabl_21!$A$5:$F$4886,6,FALSE))))</f>
        <v>199974</v>
      </c>
      <c r="E2273" s="29"/>
    </row>
    <row r="2274" spans="1:5" ht="12" customHeight="1">
      <c r="A2274" s="152" t="str">
        <f>"2476"</f>
        <v>2476</v>
      </c>
      <c r="B2274" s="153" t="s">
        <v>80</v>
      </c>
      <c r="C2274" s="154" t="str">
        <f>IF(OR($A2274="",ISERROR(VALUE(LEFT($A2274,6)))),"",IF(LEN($A2274)=2,"WOJ. ",IF(LEN($A2274)=4,IF(VALUE(RIGHT($A2274,2))&gt;60,"","Powiat "),IF(VALUE(RIGHT($A2274,1))=1,"m. ",IF(VALUE(RIGHT($A2274,1))=2,"gm. w. ",IF(VALUE(RIGHT($A2274,1))=8,"dz. ","gm. m.-w. ")))))&amp;IF(LEN($A2274)=2,TRIM(UPPER(VLOOKUP($A2274,GUS_tabl_1!$A$7:$B$22,2,FALSE))),IF(ISERROR(FIND("..",TRIM(VLOOKUP(IF(AND(LEN($A2274)=4,VALUE(RIGHT($A2274,2))&gt;60),$A2274&amp;"01 1",$A2274),IF(AND(LEN($A2274)=4,VALUE(RIGHT($A2274,2))&lt;60),GUS_tabl_2!$A$8:$B$464,GUS_tabl_21!$A$5:$B$4886),2,FALSE)))),TRIM(VLOOKUP(IF(AND(LEN($A2274)=4,VALUE(RIGHT($A2274,2))&gt;60),$A2274&amp;"01 1",$A2274),IF(AND(LEN($A2274)=4,VALUE(RIGHT($A2274,2))&lt;60),GUS_tabl_2!$A$8:$B$464,GUS_tabl_21!$A$5:$B$4886),2,FALSE)),LEFT(TRIM(VLOOKUP(IF(AND(LEN($A2274)=4,VALUE(RIGHT($A2274,2))&gt;60),$A2274&amp;"01 1",$A2274),IF(AND(LEN($A2274)=4,VALUE(RIGHT($A2274,2))&lt;60),GUS_tabl_2!$A$8:$B$464,GUS_tabl_21!$A$5:$B$4886),2,FALSE)),SUM(FIND("..",TRIM(VLOOKUP(IF(AND(LEN($A2274)=4,VALUE(RIGHT($A2274,2))&gt;60),$A2274&amp;"01 1",$A2274),IF(AND(LEN($A2274)=4,VALUE(RIGHT($A2274,2))&lt;60),GUS_tabl_2!$A$8:$B$464,GUS_tabl_21!$A$5:$B$4886),2,FALSE))),-1)))))</f>
        <v>Świętochłowice</v>
      </c>
      <c r="D2274" s="140">
        <f>IF(OR($A2274="",ISERROR(VALUE(LEFT($A2274,6)))),"",IF(LEN($A2274)=2,SUMIF($A2275:$A$2965,$A2274&amp;"??",$D2275:$D$2965),IF(AND(LEN($A2274)=4,VALUE(RIGHT($A2274,2))&lt;=60),SUMIF($A2275:$A$2965,$A2274&amp;"????",$D2275:$D$2965),VLOOKUP(IF(LEN($A2274)=4,$A2274&amp;"01 1",$A2274),GUS_tabl_21!$A$5:$F$4886,6,FALSE))))</f>
        <v>49557</v>
      </c>
      <c r="E2274" s="29"/>
    </row>
    <row r="2275" spans="1:5" ht="12" customHeight="1">
      <c r="A2275" s="152" t="str">
        <f>"2477"</f>
        <v>2477</v>
      </c>
      <c r="B2275" s="153" t="s">
        <v>80</v>
      </c>
      <c r="C2275" s="154" t="str">
        <f>IF(OR($A2275="",ISERROR(VALUE(LEFT($A2275,6)))),"",IF(LEN($A2275)=2,"WOJ. ",IF(LEN($A2275)=4,IF(VALUE(RIGHT($A2275,2))&gt;60,"","Powiat "),IF(VALUE(RIGHT($A2275,1))=1,"m. ",IF(VALUE(RIGHT($A2275,1))=2,"gm. w. ",IF(VALUE(RIGHT($A2275,1))=8,"dz. ","gm. m.-w. ")))))&amp;IF(LEN($A2275)=2,TRIM(UPPER(VLOOKUP($A2275,GUS_tabl_1!$A$7:$B$22,2,FALSE))),IF(ISERROR(FIND("..",TRIM(VLOOKUP(IF(AND(LEN($A2275)=4,VALUE(RIGHT($A2275,2))&gt;60),$A2275&amp;"01 1",$A2275),IF(AND(LEN($A2275)=4,VALUE(RIGHT($A2275,2))&lt;60),GUS_tabl_2!$A$8:$B$464,GUS_tabl_21!$A$5:$B$4886),2,FALSE)))),TRIM(VLOOKUP(IF(AND(LEN($A2275)=4,VALUE(RIGHT($A2275,2))&gt;60),$A2275&amp;"01 1",$A2275),IF(AND(LEN($A2275)=4,VALUE(RIGHT($A2275,2))&lt;60),GUS_tabl_2!$A$8:$B$464,GUS_tabl_21!$A$5:$B$4886),2,FALSE)),LEFT(TRIM(VLOOKUP(IF(AND(LEN($A2275)=4,VALUE(RIGHT($A2275,2))&gt;60),$A2275&amp;"01 1",$A2275),IF(AND(LEN($A2275)=4,VALUE(RIGHT($A2275,2))&lt;60),GUS_tabl_2!$A$8:$B$464,GUS_tabl_21!$A$5:$B$4886),2,FALSE)),SUM(FIND("..",TRIM(VLOOKUP(IF(AND(LEN($A2275)=4,VALUE(RIGHT($A2275,2))&gt;60),$A2275&amp;"01 1",$A2275),IF(AND(LEN($A2275)=4,VALUE(RIGHT($A2275,2))&lt;60),GUS_tabl_2!$A$8:$B$464,GUS_tabl_21!$A$5:$B$4886),2,FALSE))),-1)))))</f>
        <v>Tychy</v>
      </c>
      <c r="D2275" s="140">
        <f>IF(OR($A2275="",ISERROR(VALUE(LEFT($A2275,6)))),"",IF(LEN($A2275)=2,SUMIF($A2276:$A$2965,$A2275&amp;"??",$D2276:$D$2965),IF(AND(LEN($A2275)=4,VALUE(RIGHT($A2275,2))&lt;=60),SUMIF($A2276:$A$2965,$A2275&amp;"????",$D2276:$D$2965),VLOOKUP(IF(LEN($A2275)=4,$A2275&amp;"01 1",$A2275),GUS_tabl_21!$A$5:$F$4886,6,FALSE))))</f>
        <v>127590</v>
      </c>
      <c r="E2275" s="29"/>
    </row>
    <row r="2276" spans="1:5" ht="12" customHeight="1">
      <c r="A2276" s="152" t="str">
        <f>"2478"</f>
        <v>2478</v>
      </c>
      <c r="B2276" s="153" t="s">
        <v>80</v>
      </c>
      <c r="C2276" s="154" t="str">
        <f>IF(OR($A2276="",ISERROR(VALUE(LEFT($A2276,6)))),"",IF(LEN($A2276)=2,"WOJ. ",IF(LEN($A2276)=4,IF(VALUE(RIGHT($A2276,2))&gt;60,"","Powiat "),IF(VALUE(RIGHT($A2276,1))=1,"m. ",IF(VALUE(RIGHT($A2276,1))=2,"gm. w. ",IF(VALUE(RIGHT($A2276,1))=8,"dz. ","gm. m.-w. ")))))&amp;IF(LEN($A2276)=2,TRIM(UPPER(VLOOKUP($A2276,GUS_tabl_1!$A$7:$B$22,2,FALSE))),IF(ISERROR(FIND("..",TRIM(VLOOKUP(IF(AND(LEN($A2276)=4,VALUE(RIGHT($A2276,2))&gt;60),$A2276&amp;"01 1",$A2276),IF(AND(LEN($A2276)=4,VALUE(RIGHT($A2276,2))&lt;60),GUS_tabl_2!$A$8:$B$464,GUS_tabl_21!$A$5:$B$4886),2,FALSE)))),TRIM(VLOOKUP(IF(AND(LEN($A2276)=4,VALUE(RIGHT($A2276,2))&gt;60),$A2276&amp;"01 1",$A2276),IF(AND(LEN($A2276)=4,VALUE(RIGHT($A2276,2))&lt;60),GUS_tabl_2!$A$8:$B$464,GUS_tabl_21!$A$5:$B$4886),2,FALSE)),LEFT(TRIM(VLOOKUP(IF(AND(LEN($A2276)=4,VALUE(RIGHT($A2276,2))&gt;60),$A2276&amp;"01 1",$A2276),IF(AND(LEN($A2276)=4,VALUE(RIGHT($A2276,2))&lt;60),GUS_tabl_2!$A$8:$B$464,GUS_tabl_21!$A$5:$B$4886),2,FALSE)),SUM(FIND("..",TRIM(VLOOKUP(IF(AND(LEN($A2276)=4,VALUE(RIGHT($A2276,2))&gt;60),$A2276&amp;"01 1",$A2276),IF(AND(LEN($A2276)=4,VALUE(RIGHT($A2276,2))&lt;60),GUS_tabl_2!$A$8:$B$464,GUS_tabl_21!$A$5:$B$4886),2,FALSE))),-1)))))</f>
        <v>Zabrze</v>
      </c>
      <c r="D2276" s="140">
        <f>IF(OR($A2276="",ISERROR(VALUE(LEFT($A2276,6)))),"",IF(LEN($A2276)=2,SUMIF($A2277:$A$2965,$A2276&amp;"??",$D2277:$D$2965),IF(AND(LEN($A2276)=4,VALUE(RIGHT($A2276,2))&lt;=60),SUMIF($A2277:$A$2965,$A2276&amp;"????",$D2277:$D$2965),VLOOKUP(IF(LEN($A2276)=4,$A2276&amp;"01 1",$A2276),GUS_tabl_21!$A$5:$F$4886,6,FALSE))))</f>
        <v>172360</v>
      </c>
      <c r="E2276" s="29"/>
    </row>
    <row r="2277" spans="1:5" ht="12" customHeight="1">
      <c r="A2277" s="152" t="str">
        <f>"2479"</f>
        <v>2479</v>
      </c>
      <c r="B2277" s="153" t="s">
        <v>80</v>
      </c>
      <c r="C2277" s="154" t="str">
        <f>IF(OR($A2277="",ISERROR(VALUE(LEFT($A2277,6)))),"",IF(LEN($A2277)=2,"WOJ. ",IF(LEN($A2277)=4,IF(VALUE(RIGHT($A2277,2))&gt;60,"","Powiat "),IF(VALUE(RIGHT($A2277,1))=1,"m. ",IF(VALUE(RIGHT($A2277,1))=2,"gm. w. ",IF(VALUE(RIGHT($A2277,1))=8,"dz. ","gm. m.-w. ")))))&amp;IF(LEN($A2277)=2,TRIM(UPPER(VLOOKUP($A2277,GUS_tabl_1!$A$7:$B$22,2,FALSE))),IF(ISERROR(FIND("..",TRIM(VLOOKUP(IF(AND(LEN($A2277)=4,VALUE(RIGHT($A2277,2))&gt;60),$A2277&amp;"01 1",$A2277),IF(AND(LEN($A2277)=4,VALUE(RIGHT($A2277,2))&lt;60),GUS_tabl_2!$A$8:$B$464,GUS_tabl_21!$A$5:$B$4886),2,FALSE)))),TRIM(VLOOKUP(IF(AND(LEN($A2277)=4,VALUE(RIGHT($A2277,2))&gt;60),$A2277&amp;"01 1",$A2277),IF(AND(LEN($A2277)=4,VALUE(RIGHT($A2277,2))&lt;60),GUS_tabl_2!$A$8:$B$464,GUS_tabl_21!$A$5:$B$4886),2,FALSE)),LEFT(TRIM(VLOOKUP(IF(AND(LEN($A2277)=4,VALUE(RIGHT($A2277,2))&gt;60),$A2277&amp;"01 1",$A2277),IF(AND(LEN($A2277)=4,VALUE(RIGHT($A2277,2))&lt;60),GUS_tabl_2!$A$8:$B$464,GUS_tabl_21!$A$5:$B$4886),2,FALSE)),SUM(FIND("..",TRIM(VLOOKUP(IF(AND(LEN($A2277)=4,VALUE(RIGHT($A2277,2))&gt;60),$A2277&amp;"01 1",$A2277),IF(AND(LEN($A2277)=4,VALUE(RIGHT($A2277,2))&lt;60),GUS_tabl_2!$A$8:$B$464,GUS_tabl_21!$A$5:$B$4886),2,FALSE))),-1)))))</f>
        <v>Żory</v>
      </c>
      <c r="D2277" s="140">
        <f>IF(OR($A2277="",ISERROR(VALUE(LEFT($A2277,6)))),"",IF(LEN($A2277)=2,SUMIF($A2278:$A$2965,$A2277&amp;"??",$D2278:$D$2965),IF(AND(LEN($A2277)=4,VALUE(RIGHT($A2277,2))&lt;=60),SUMIF($A2278:$A$2965,$A2277&amp;"????",$D2278:$D$2965),VLOOKUP(IF(LEN($A2277)=4,$A2277&amp;"01 1",$A2277),GUS_tabl_21!$A$5:$F$4886,6,FALSE))))</f>
        <v>62472</v>
      </c>
      <c r="E2277" s="29"/>
    </row>
    <row r="2278" spans="1:5" ht="12" customHeight="1" thickBot="1">
      <c r="A2278" s="152"/>
      <c r="B2278" s="153"/>
      <c r="C2278" s="156" t="str">
        <f>IF(OR($A2278="",ISERROR(VALUE(LEFT($A2278,6)))),"",IF(LEN($A2278)=2,"WOJ. ",IF(LEN($A2278)=4,IF(VALUE(RIGHT($A2278,2))&gt;60,"","Powiat "),IF(VALUE(RIGHT($A2278,1))=1,"m. ",IF(VALUE(RIGHT($A2278,1))=2,"gm. w. ",IF(VALUE(RIGHT($A2278,1))=8,"dz. ","gm. m.-w. ")))))&amp;IF(LEN($A2278)=2,TRIM(UPPER(VLOOKUP($A2278,GUS_tabl_1!$A$7:$B$22,2,FALSE))),IF(ISERROR(FIND("..",TRIM(VLOOKUP(IF(AND(LEN($A2278)=4,VALUE(RIGHT($A2278,2))&gt;60),$A2278&amp;"01 1",$A2278),IF(AND(LEN($A2278)=4,VALUE(RIGHT($A2278,2))&lt;60),GUS_tabl_2!$A$8:$B$464,GUS_tabl_21!$A$5:$B$4886),2,FALSE)))),TRIM(VLOOKUP(IF(AND(LEN($A2278)=4,VALUE(RIGHT($A2278,2))&gt;60),$A2278&amp;"01 1",$A2278),IF(AND(LEN($A2278)=4,VALUE(RIGHT($A2278,2))&lt;60),GUS_tabl_2!$A$8:$B$464,GUS_tabl_21!$A$5:$B$4886),2,FALSE)),LEFT(TRIM(VLOOKUP(IF(AND(LEN($A2278)=4,VALUE(RIGHT($A2278,2))&gt;60),$A2278&amp;"01 1",$A2278),IF(AND(LEN($A2278)=4,VALUE(RIGHT($A2278,2))&lt;60),GUS_tabl_2!$A$8:$B$464,GUS_tabl_21!$A$5:$B$4886),2,FALSE)),SUM(FIND("..",TRIM(VLOOKUP(IF(AND(LEN($A2278)=4,VALUE(RIGHT($A2278,2))&gt;60),$A2278&amp;"01 1",$A2278),IF(AND(LEN($A2278)=4,VALUE(RIGHT($A2278,2))&lt;60),GUS_tabl_2!$A$8:$B$464,GUS_tabl_21!$A$5:$B$4886),2,FALSE))),-1)))))</f>
        <v/>
      </c>
      <c r="D2278" s="64"/>
      <c r="E2278" s="29"/>
    </row>
    <row r="2279" spans="1:5" ht="28.5" customHeight="1" thickTop="1">
      <c r="A2279" s="241" t="s">
        <v>97</v>
      </c>
      <c r="B2279" s="247" t="s">
        <v>60</v>
      </c>
      <c r="C2279" s="255" t="s">
        <v>7311</v>
      </c>
      <c r="D2279" s="251" t="s">
        <v>6</v>
      </c>
    </row>
    <row r="2280" spans="1:5" ht="25.5" customHeight="1" thickBot="1">
      <c r="A2280" s="242"/>
      <c r="B2280" s="253"/>
      <c r="C2280" s="256"/>
      <c r="D2280" s="252"/>
    </row>
    <row r="2281" spans="1:5" ht="12" customHeight="1" thickTop="1">
      <c r="A2281" s="158"/>
      <c r="B2281" s="153"/>
      <c r="C2281" s="156" t="str">
        <f>IF(OR($A2281="",ISERROR(VALUE(LEFT($A2281,6)))),"",IF(LEN($A2281)=2,"WOJ. ",IF(LEN($A2281)=4,IF(VALUE(RIGHT($A2281,2))&gt;60,"","Powiat "),IF(VALUE(RIGHT($A2281,1))=1,"m. ",IF(VALUE(RIGHT($A2281,1))=2,"gm. w. ",IF(VALUE(RIGHT($A2281,1))=8,"dz. ","gm. m.-w. ")))))&amp;IF(LEN($A2281)=2,TRIM(UPPER(VLOOKUP($A2281,GUS_tabl_1!$A$7:$B$22,2,FALSE))),IF(ISERROR(FIND("..",TRIM(VLOOKUP(IF(AND(LEN($A2281)=4,VALUE(RIGHT($A2281,2))&gt;60),$A2281&amp;"01 1",$A2281),IF(AND(LEN($A2281)=4,VALUE(RIGHT($A2281,2))&lt;60),GUS_tabl_2!$A$8:$B$464,GUS_tabl_21!$A$5:$B$4886),2,FALSE)))),TRIM(VLOOKUP(IF(AND(LEN($A2281)=4,VALUE(RIGHT($A2281,2))&gt;60),$A2281&amp;"01 1",$A2281),IF(AND(LEN($A2281)=4,VALUE(RIGHT($A2281,2))&lt;60),GUS_tabl_2!$A$8:$B$464,GUS_tabl_21!$A$5:$B$4886),2,FALSE)),LEFT(TRIM(VLOOKUP(IF(AND(LEN($A2281)=4,VALUE(RIGHT($A2281,2))&gt;60),$A2281&amp;"01 1",$A2281),IF(AND(LEN($A2281)=4,VALUE(RIGHT($A2281,2))&lt;60),GUS_tabl_2!$A$8:$B$464,GUS_tabl_21!$A$5:$B$4886),2,FALSE)),SUM(FIND("..",TRIM(VLOOKUP(IF(AND(LEN($A2281)=4,VALUE(RIGHT($A2281,2))&gt;60),$A2281&amp;"01 1",$A2281),IF(AND(LEN($A2281)=4,VALUE(RIGHT($A2281,2))&lt;60),GUS_tabl_2!$A$8:$B$464,GUS_tabl_21!$A$5:$B$4886),2,FALSE))),-1)))))</f>
        <v/>
      </c>
      <c r="D2281" s="140" t="str">
        <f>IF(OR($A2281="",ISERROR(VALUE(LEFT($A2281,6)))),"",IF(LEN($A2281)=2,SUMIF($A2282:$A$2965,$A2281&amp;"??",$D2282:$D$2965),IF(AND(LEN($A2281)=4,VALUE(RIGHT($A2281,2))&lt;=60),SUMIF($A2282:$A$2965,$A2281&amp;"????",$D2282:$D$2965),VLOOKUP(IF(LEN($A2281)=4,$A2281&amp;"01 1",$A2281),GUS_tabl_21!$A$5:$F$4886,6,FALSE))))</f>
        <v/>
      </c>
      <c r="E2281" s="29"/>
    </row>
    <row r="2282" spans="1:5" ht="12" customHeight="1">
      <c r="A2282" s="152" t="str">
        <f>"26"</f>
        <v>26</v>
      </c>
      <c r="B2282" s="153" t="s">
        <v>58</v>
      </c>
      <c r="C2282" s="154" t="str">
        <f>IF(OR($A2282="",ISERROR(VALUE(LEFT($A2282,6)))),"",IF(LEN($A2282)=2,"WOJ. ",IF(LEN($A2282)=4,IF(VALUE(RIGHT($A2282,2))&gt;60,"","Powiat "),IF(VALUE(RIGHT($A2282,1))=1,"m. ",IF(VALUE(RIGHT($A2282,1))=2,"gm. w. ",IF(VALUE(RIGHT($A2282,1))=8,"dz. ","gm. m.-w. ")))))&amp;IF(LEN($A2282)=2,TRIM(UPPER(VLOOKUP($A2282,GUS_tabl_1!$A$7:$B$22,2,FALSE))),IF(ISERROR(FIND("..",TRIM(VLOOKUP(IF(AND(LEN($A2282)=4,VALUE(RIGHT($A2282,2))&gt;60),$A2282&amp;"01 1",$A2282),IF(AND(LEN($A2282)=4,VALUE(RIGHT($A2282,2))&lt;60),GUS_tabl_2!$A$8:$B$464,GUS_tabl_21!$A$5:$B$4886),2,FALSE)))),TRIM(VLOOKUP(IF(AND(LEN($A2282)=4,VALUE(RIGHT($A2282,2))&gt;60),$A2282&amp;"01 1",$A2282),IF(AND(LEN($A2282)=4,VALUE(RIGHT($A2282,2))&lt;60),GUS_tabl_2!$A$8:$B$464,GUS_tabl_21!$A$5:$B$4886),2,FALSE)),LEFT(TRIM(VLOOKUP(IF(AND(LEN($A2282)=4,VALUE(RIGHT($A2282,2))&gt;60),$A2282&amp;"01 1",$A2282),IF(AND(LEN($A2282)=4,VALUE(RIGHT($A2282,2))&lt;60),GUS_tabl_2!$A$8:$B$464,GUS_tabl_21!$A$5:$B$4886),2,FALSE)),SUM(FIND("..",TRIM(VLOOKUP(IF(AND(LEN($A2282)=4,VALUE(RIGHT($A2282,2))&gt;60),$A2282&amp;"01 1",$A2282),IF(AND(LEN($A2282)=4,VALUE(RIGHT($A2282,2))&lt;60),GUS_tabl_2!$A$8:$B$464,GUS_tabl_21!$A$5:$B$4886),2,FALSE))),-1)))))</f>
        <v>WOJ. ŚWIĘTOKRZYSKIE</v>
      </c>
      <c r="D2282" s="140">
        <f>IF(OR($A2282="",ISERROR(VALUE(LEFT($A2282,6)))),"",IF(LEN($A2282)=2,SUMIF($A2283:$A$2965,$A2282&amp;"??",$D2283:$D$2965),IF(AND(LEN($A2282)=4,VALUE(RIGHT($A2282,2))&lt;=60),SUMIF($A2283:$A$2965,$A2282&amp;"????",$D2283:$D$2965),VLOOKUP(IF(LEN($A2282)=4,$A2282&amp;"01 1",$A2282),GUS_tabl_21!$A$5:$F$4886,6,FALSE))))</f>
        <v>1233961</v>
      </c>
      <c r="E2282" s="29"/>
    </row>
    <row r="2283" spans="1:5" ht="12" customHeight="1">
      <c r="A2283" s="152"/>
      <c r="B2283" s="153" t="s">
        <v>58</v>
      </c>
      <c r="C2283" s="156" t="str">
        <f>IF(OR($A2283="",ISERROR(VALUE(LEFT($A2283,6)))),"",IF(LEN($A2283)=2,"WOJ. ",IF(LEN($A2283)=4,IF(VALUE(RIGHT($A2283,2))&gt;60,"","Powiat "),IF(VALUE(RIGHT($A2283,1))=1,"m. ",IF(VALUE(RIGHT($A2283,1))=2,"gm. w. ",IF(VALUE(RIGHT($A2283,1))=8,"dz. ","gm. m.-w. ")))))&amp;IF(LEN($A2283)=2,TRIM(UPPER(VLOOKUP($A2283,GUS_tabl_1!$A$7:$B$22,2,FALSE))),IF(ISERROR(FIND("..",TRIM(VLOOKUP(IF(AND(LEN($A2283)=4,VALUE(RIGHT($A2283,2))&gt;60),$A2283&amp;"01 1",$A2283),IF(AND(LEN($A2283)=4,VALUE(RIGHT($A2283,2))&lt;60),GUS_tabl_2!$A$8:$B$464,GUS_tabl_21!$A$5:$B$4886),2,FALSE)))),TRIM(VLOOKUP(IF(AND(LEN($A2283)=4,VALUE(RIGHT($A2283,2))&gt;60),$A2283&amp;"01 1",$A2283),IF(AND(LEN($A2283)=4,VALUE(RIGHT($A2283,2))&lt;60),GUS_tabl_2!$A$8:$B$464,GUS_tabl_21!$A$5:$B$4886),2,FALSE)),LEFT(TRIM(VLOOKUP(IF(AND(LEN($A2283)=4,VALUE(RIGHT($A2283,2))&gt;60),$A2283&amp;"01 1",$A2283),IF(AND(LEN($A2283)=4,VALUE(RIGHT($A2283,2))&lt;60),GUS_tabl_2!$A$8:$B$464,GUS_tabl_21!$A$5:$B$4886),2,FALSE)),SUM(FIND("..",TRIM(VLOOKUP(IF(AND(LEN($A2283)=4,VALUE(RIGHT($A2283,2))&gt;60),$A2283&amp;"01 1",$A2283),IF(AND(LEN($A2283)=4,VALUE(RIGHT($A2283,2))&lt;60),GUS_tabl_2!$A$8:$B$464,GUS_tabl_21!$A$5:$B$4886),2,FALSE))),-1)))))</f>
        <v/>
      </c>
      <c r="D2283" s="140" t="str">
        <f>IF(OR($A2283="",ISERROR(VALUE(LEFT($A2283,6)))),"",IF(LEN($A2283)=2,SUMIF($A2284:$A$2965,$A2283&amp;"??",$D2284:$D$2965),IF(AND(LEN($A2283)=4,VALUE(RIGHT($A2283,2))&lt;=60),SUMIF($A2284:$A$2965,$A2283&amp;"????",$D2284:$D$2965),VLOOKUP(IF(LEN($A2283)=4,$A2283&amp;"01 1",$A2283),GUS_tabl_21!$A$5:$F$4886,6,FALSE))))</f>
        <v/>
      </c>
      <c r="E2283" s="29"/>
    </row>
    <row r="2284" spans="1:5" ht="12" customHeight="1">
      <c r="A2284" s="152" t="str">
        <f>"2601"</f>
        <v>2601</v>
      </c>
      <c r="B2284" s="153" t="s">
        <v>58</v>
      </c>
      <c r="C2284" s="154" t="str">
        <f>IF(OR($A2284="",ISERROR(VALUE(LEFT($A2284,6)))),"",IF(LEN($A2284)=2,"WOJ. ",IF(LEN($A2284)=4,IF(VALUE(RIGHT($A2284,2))&gt;60,"","Powiat "),IF(VALUE(RIGHT($A2284,1))=1,"m. ",IF(VALUE(RIGHT($A2284,1))=2,"gm. w. ",IF(VALUE(RIGHT($A2284,1))=8,"dz. ","gm. m.-w. ")))))&amp;IF(LEN($A2284)=2,TRIM(UPPER(VLOOKUP($A2284,GUS_tabl_1!$A$7:$B$22,2,FALSE))),IF(ISERROR(FIND("..",TRIM(VLOOKUP(IF(AND(LEN($A2284)=4,VALUE(RIGHT($A2284,2))&gt;60),$A2284&amp;"01 1",$A2284),IF(AND(LEN($A2284)=4,VALUE(RIGHT($A2284,2))&lt;60),GUS_tabl_2!$A$8:$B$464,GUS_tabl_21!$A$5:$B$4886),2,FALSE)))),TRIM(VLOOKUP(IF(AND(LEN($A2284)=4,VALUE(RIGHT($A2284,2))&gt;60),$A2284&amp;"01 1",$A2284),IF(AND(LEN($A2284)=4,VALUE(RIGHT($A2284,2))&lt;60),GUS_tabl_2!$A$8:$B$464,GUS_tabl_21!$A$5:$B$4886),2,FALSE)),LEFT(TRIM(VLOOKUP(IF(AND(LEN($A2284)=4,VALUE(RIGHT($A2284,2))&gt;60),$A2284&amp;"01 1",$A2284),IF(AND(LEN($A2284)=4,VALUE(RIGHT($A2284,2))&lt;60),GUS_tabl_2!$A$8:$B$464,GUS_tabl_21!$A$5:$B$4886),2,FALSE)),SUM(FIND("..",TRIM(VLOOKUP(IF(AND(LEN($A2284)=4,VALUE(RIGHT($A2284,2))&gt;60),$A2284&amp;"01 1",$A2284),IF(AND(LEN($A2284)=4,VALUE(RIGHT($A2284,2))&lt;60),GUS_tabl_2!$A$8:$B$464,GUS_tabl_21!$A$5:$B$4886),2,FALSE))),-1)))))</f>
        <v>Powiat buski</v>
      </c>
      <c r="D2284" s="140">
        <f>IF(OR($A2284="",ISERROR(VALUE(LEFT($A2284,6)))),"",IF(LEN($A2284)=2,SUMIF($A2285:$A$2965,$A2284&amp;"??",$D2285:$D$2965),IF(AND(LEN($A2284)=4,VALUE(RIGHT($A2284,2))&lt;=60),SUMIF($A2285:$A$2965,$A2284&amp;"????",$D2285:$D$2965),VLOOKUP(IF(LEN($A2284)=4,$A2284&amp;"01 1",$A2284),GUS_tabl_21!$A$5:$F$4886,6,FALSE))))</f>
        <v>71596</v>
      </c>
      <c r="E2284" s="29"/>
    </row>
    <row r="2285" spans="1:5" ht="12" customHeight="1">
      <c r="A2285" s="155" t="str">
        <f>"260101 3"</f>
        <v>260101 3</v>
      </c>
      <c r="B2285" s="153" t="s">
        <v>58</v>
      </c>
      <c r="C2285" s="156" t="str">
        <f>IF(OR($A2285="",ISERROR(VALUE(LEFT($A2285,6)))),"",IF(LEN($A2285)=2,"WOJ. ",IF(LEN($A2285)=4,IF(VALUE(RIGHT($A2285,2))&gt;60,"","Powiat "),IF(VALUE(RIGHT($A2285,1))=1,"m. ",IF(VALUE(RIGHT($A2285,1))=2,"gm. w. ",IF(VALUE(RIGHT($A2285,1))=8,"dz. ","gm. m.-w. ")))))&amp;IF(LEN($A2285)=2,TRIM(UPPER(VLOOKUP($A2285,GUS_tabl_1!$A$7:$B$22,2,FALSE))),IF(ISERROR(FIND("..",TRIM(VLOOKUP(IF(AND(LEN($A2285)=4,VALUE(RIGHT($A2285,2))&gt;60),$A2285&amp;"01 1",$A2285),IF(AND(LEN($A2285)=4,VALUE(RIGHT($A2285,2))&lt;60),GUS_tabl_2!$A$8:$B$464,GUS_tabl_21!$A$5:$B$4886),2,FALSE)))),TRIM(VLOOKUP(IF(AND(LEN($A2285)=4,VALUE(RIGHT($A2285,2))&gt;60),$A2285&amp;"01 1",$A2285),IF(AND(LEN($A2285)=4,VALUE(RIGHT($A2285,2))&lt;60),GUS_tabl_2!$A$8:$B$464,GUS_tabl_21!$A$5:$B$4886),2,FALSE)),LEFT(TRIM(VLOOKUP(IF(AND(LEN($A2285)=4,VALUE(RIGHT($A2285,2))&gt;60),$A2285&amp;"01 1",$A2285),IF(AND(LEN($A2285)=4,VALUE(RIGHT($A2285,2))&lt;60),GUS_tabl_2!$A$8:$B$464,GUS_tabl_21!$A$5:$B$4886),2,FALSE)),SUM(FIND("..",TRIM(VLOOKUP(IF(AND(LEN($A2285)=4,VALUE(RIGHT($A2285,2))&gt;60),$A2285&amp;"01 1",$A2285),IF(AND(LEN($A2285)=4,VALUE(RIGHT($A2285,2))&lt;60),GUS_tabl_2!$A$8:$B$464,GUS_tabl_21!$A$5:$B$4886),2,FALSE))),-1)))))</f>
        <v>gm. m.-w. Busko-Zdrój</v>
      </c>
      <c r="D2285" s="141">
        <f>IF(OR($A2285="",ISERROR(VALUE(LEFT($A2285,6)))),"",IF(LEN($A2285)=2,SUMIF($A2286:$A$2965,$A2285&amp;"??",$D2286:$D$2965),IF(AND(LEN($A2285)=4,VALUE(RIGHT($A2285,2))&lt;=60),SUMIF($A2286:$A$2965,$A2285&amp;"????",$D2286:$D$2965),VLOOKUP(IF(LEN($A2285)=4,$A2285&amp;"01 1",$A2285),GUS_tabl_21!$A$5:$F$4886,6,FALSE))))</f>
        <v>32189</v>
      </c>
      <c r="E2285" s="29"/>
    </row>
    <row r="2286" spans="1:5" ht="12" customHeight="1">
      <c r="A2286" s="155" t="str">
        <f>"260102 2"</f>
        <v>260102 2</v>
      </c>
      <c r="B2286" s="153" t="s">
        <v>58</v>
      </c>
      <c r="C2286" s="156" t="str">
        <f>IF(OR($A2286="",ISERROR(VALUE(LEFT($A2286,6)))),"",IF(LEN($A2286)=2,"WOJ. ",IF(LEN($A2286)=4,IF(VALUE(RIGHT($A2286,2))&gt;60,"","Powiat "),IF(VALUE(RIGHT($A2286,1))=1,"m. ",IF(VALUE(RIGHT($A2286,1))=2,"gm. w. ",IF(VALUE(RIGHT($A2286,1))=8,"dz. ","gm. m.-w. ")))))&amp;IF(LEN($A2286)=2,TRIM(UPPER(VLOOKUP($A2286,GUS_tabl_1!$A$7:$B$22,2,FALSE))),IF(ISERROR(FIND("..",TRIM(VLOOKUP(IF(AND(LEN($A2286)=4,VALUE(RIGHT($A2286,2))&gt;60),$A2286&amp;"01 1",$A2286),IF(AND(LEN($A2286)=4,VALUE(RIGHT($A2286,2))&lt;60),GUS_tabl_2!$A$8:$B$464,GUS_tabl_21!$A$5:$B$4886),2,FALSE)))),TRIM(VLOOKUP(IF(AND(LEN($A2286)=4,VALUE(RIGHT($A2286,2))&gt;60),$A2286&amp;"01 1",$A2286),IF(AND(LEN($A2286)=4,VALUE(RIGHT($A2286,2))&lt;60),GUS_tabl_2!$A$8:$B$464,GUS_tabl_21!$A$5:$B$4886),2,FALSE)),LEFT(TRIM(VLOOKUP(IF(AND(LEN($A2286)=4,VALUE(RIGHT($A2286,2))&gt;60),$A2286&amp;"01 1",$A2286),IF(AND(LEN($A2286)=4,VALUE(RIGHT($A2286,2))&lt;60),GUS_tabl_2!$A$8:$B$464,GUS_tabl_21!$A$5:$B$4886),2,FALSE)),SUM(FIND("..",TRIM(VLOOKUP(IF(AND(LEN($A2286)=4,VALUE(RIGHT($A2286,2))&gt;60),$A2286&amp;"01 1",$A2286),IF(AND(LEN($A2286)=4,VALUE(RIGHT($A2286,2))&lt;60),GUS_tabl_2!$A$8:$B$464,GUS_tabl_21!$A$5:$B$4886),2,FALSE))),-1)))))</f>
        <v>gm. w. Gnojno</v>
      </c>
      <c r="D2286" s="141">
        <f>IF(OR($A2286="",ISERROR(VALUE(LEFT($A2286,6)))),"",IF(LEN($A2286)=2,SUMIF($A2287:$A$2965,$A2286&amp;"??",$D2287:$D$2965),IF(AND(LEN($A2286)=4,VALUE(RIGHT($A2286,2))&lt;=60),SUMIF($A2287:$A$2965,$A2286&amp;"????",$D2287:$D$2965),VLOOKUP(IF(LEN($A2286)=4,$A2286&amp;"01 1",$A2286),GUS_tabl_21!$A$5:$F$4886,6,FALSE))))</f>
        <v>4351</v>
      </c>
      <c r="E2286" s="29"/>
    </row>
    <row r="2287" spans="1:5" ht="12" customHeight="1">
      <c r="A2287" s="155" t="str">
        <f>"260103 3"</f>
        <v>260103 3</v>
      </c>
      <c r="B2287" s="153" t="s">
        <v>58</v>
      </c>
      <c r="C2287" s="156" t="str">
        <f>IF(OR($A2287="",ISERROR(VALUE(LEFT($A2287,6)))),"",IF(LEN($A2287)=2,"WOJ. ",IF(LEN($A2287)=4,IF(VALUE(RIGHT($A2287,2))&gt;60,"","Powiat "),IF(VALUE(RIGHT($A2287,1))=1,"m. ",IF(VALUE(RIGHT($A2287,1))=2,"gm. w. ",IF(VALUE(RIGHT($A2287,1))=8,"dz. ","gm. m.-w. ")))))&amp;IF(LEN($A2287)=2,TRIM(UPPER(VLOOKUP($A2287,GUS_tabl_1!$A$7:$B$22,2,FALSE))),IF(ISERROR(FIND("..",TRIM(VLOOKUP(IF(AND(LEN($A2287)=4,VALUE(RIGHT($A2287,2))&gt;60),$A2287&amp;"01 1",$A2287),IF(AND(LEN($A2287)=4,VALUE(RIGHT($A2287,2))&lt;60),GUS_tabl_2!$A$8:$B$464,GUS_tabl_21!$A$5:$B$4886),2,FALSE)))),TRIM(VLOOKUP(IF(AND(LEN($A2287)=4,VALUE(RIGHT($A2287,2))&gt;60),$A2287&amp;"01 1",$A2287),IF(AND(LEN($A2287)=4,VALUE(RIGHT($A2287,2))&lt;60),GUS_tabl_2!$A$8:$B$464,GUS_tabl_21!$A$5:$B$4886),2,FALSE)),LEFT(TRIM(VLOOKUP(IF(AND(LEN($A2287)=4,VALUE(RIGHT($A2287,2))&gt;60),$A2287&amp;"01 1",$A2287),IF(AND(LEN($A2287)=4,VALUE(RIGHT($A2287,2))&lt;60),GUS_tabl_2!$A$8:$B$464,GUS_tabl_21!$A$5:$B$4886),2,FALSE)),SUM(FIND("..",TRIM(VLOOKUP(IF(AND(LEN($A2287)=4,VALUE(RIGHT($A2287,2))&gt;60),$A2287&amp;"01 1",$A2287),IF(AND(LEN($A2287)=4,VALUE(RIGHT($A2287,2))&lt;60),GUS_tabl_2!$A$8:$B$464,GUS_tabl_21!$A$5:$B$4886),2,FALSE))),-1)))))</f>
        <v>gm. m.-w. Nowy Korczyn</v>
      </c>
      <c r="D2287" s="141">
        <f>IF(OR($A2287="",ISERROR(VALUE(LEFT($A2287,6)))),"",IF(LEN($A2287)=2,SUMIF($A2288:$A$2965,$A2287&amp;"??",$D2288:$D$2965),IF(AND(LEN($A2287)=4,VALUE(RIGHT($A2287,2))&lt;=60),SUMIF($A2288:$A$2965,$A2287&amp;"????",$D2288:$D$2965),VLOOKUP(IF(LEN($A2287)=4,$A2287&amp;"01 1",$A2287),GUS_tabl_21!$A$5:$F$4886,6,FALSE))))</f>
        <v>5916</v>
      </c>
      <c r="E2287" s="29"/>
    </row>
    <row r="2288" spans="1:5" ht="12" customHeight="1">
      <c r="A2288" s="155" t="str">
        <f>"260104 3"</f>
        <v>260104 3</v>
      </c>
      <c r="B2288" s="153" t="s">
        <v>58</v>
      </c>
      <c r="C2288" s="156" t="str">
        <f>IF(OR($A2288="",ISERROR(VALUE(LEFT($A2288,6)))),"",IF(LEN($A2288)=2,"WOJ. ",IF(LEN($A2288)=4,IF(VALUE(RIGHT($A2288,2))&gt;60,"","Powiat "),IF(VALUE(RIGHT($A2288,1))=1,"m. ",IF(VALUE(RIGHT($A2288,1))=2,"gm. w. ",IF(VALUE(RIGHT($A2288,1))=8,"dz. ","gm. m.-w. ")))))&amp;IF(LEN($A2288)=2,TRIM(UPPER(VLOOKUP($A2288,GUS_tabl_1!$A$7:$B$22,2,FALSE))),IF(ISERROR(FIND("..",TRIM(VLOOKUP(IF(AND(LEN($A2288)=4,VALUE(RIGHT($A2288,2))&gt;60),$A2288&amp;"01 1",$A2288),IF(AND(LEN($A2288)=4,VALUE(RIGHT($A2288,2))&lt;60),GUS_tabl_2!$A$8:$B$464,GUS_tabl_21!$A$5:$B$4886),2,FALSE)))),TRIM(VLOOKUP(IF(AND(LEN($A2288)=4,VALUE(RIGHT($A2288,2))&gt;60),$A2288&amp;"01 1",$A2288),IF(AND(LEN($A2288)=4,VALUE(RIGHT($A2288,2))&lt;60),GUS_tabl_2!$A$8:$B$464,GUS_tabl_21!$A$5:$B$4886),2,FALSE)),LEFT(TRIM(VLOOKUP(IF(AND(LEN($A2288)=4,VALUE(RIGHT($A2288,2))&gt;60),$A2288&amp;"01 1",$A2288),IF(AND(LEN($A2288)=4,VALUE(RIGHT($A2288,2))&lt;60),GUS_tabl_2!$A$8:$B$464,GUS_tabl_21!$A$5:$B$4886),2,FALSE)),SUM(FIND("..",TRIM(VLOOKUP(IF(AND(LEN($A2288)=4,VALUE(RIGHT($A2288,2))&gt;60),$A2288&amp;"01 1",$A2288),IF(AND(LEN($A2288)=4,VALUE(RIGHT($A2288,2))&lt;60),GUS_tabl_2!$A$8:$B$464,GUS_tabl_21!$A$5:$B$4886),2,FALSE))),-1)))))</f>
        <v>gm. m.-w. Pacanów</v>
      </c>
      <c r="D2288" s="141">
        <f>IF(OR($A2288="",ISERROR(VALUE(LEFT($A2288,6)))),"",IF(LEN($A2288)=2,SUMIF($A2289:$A$2965,$A2288&amp;"??",$D2289:$D$2965),IF(AND(LEN($A2288)=4,VALUE(RIGHT($A2288,2))&lt;=60),SUMIF($A2289:$A$2965,$A2288&amp;"????",$D2289:$D$2965),VLOOKUP(IF(LEN($A2288)=4,$A2288&amp;"01 1",$A2288),GUS_tabl_21!$A$5:$F$4886,6,FALSE))))</f>
        <v>7322</v>
      </c>
      <c r="E2288" s="29"/>
    </row>
    <row r="2289" spans="1:5" ht="12" customHeight="1">
      <c r="A2289" s="155" t="str">
        <f>"260105 2"</f>
        <v>260105 2</v>
      </c>
      <c r="B2289" s="153" t="s">
        <v>58</v>
      </c>
      <c r="C2289" s="156" t="str">
        <f>IF(OR($A2289="",ISERROR(VALUE(LEFT($A2289,6)))),"",IF(LEN($A2289)=2,"WOJ. ",IF(LEN($A2289)=4,IF(VALUE(RIGHT($A2289,2))&gt;60,"","Powiat "),IF(VALUE(RIGHT($A2289,1))=1,"m. ",IF(VALUE(RIGHT($A2289,1))=2,"gm. w. ",IF(VALUE(RIGHT($A2289,1))=8,"dz. ","gm. m.-w. ")))))&amp;IF(LEN($A2289)=2,TRIM(UPPER(VLOOKUP($A2289,GUS_tabl_1!$A$7:$B$22,2,FALSE))),IF(ISERROR(FIND("..",TRIM(VLOOKUP(IF(AND(LEN($A2289)=4,VALUE(RIGHT($A2289,2))&gt;60),$A2289&amp;"01 1",$A2289),IF(AND(LEN($A2289)=4,VALUE(RIGHT($A2289,2))&lt;60),GUS_tabl_2!$A$8:$B$464,GUS_tabl_21!$A$5:$B$4886),2,FALSE)))),TRIM(VLOOKUP(IF(AND(LEN($A2289)=4,VALUE(RIGHT($A2289,2))&gt;60),$A2289&amp;"01 1",$A2289),IF(AND(LEN($A2289)=4,VALUE(RIGHT($A2289,2))&lt;60),GUS_tabl_2!$A$8:$B$464,GUS_tabl_21!$A$5:$B$4886),2,FALSE)),LEFT(TRIM(VLOOKUP(IF(AND(LEN($A2289)=4,VALUE(RIGHT($A2289,2))&gt;60),$A2289&amp;"01 1",$A2289),IF(AND(LEN($A2289)=4,VALUE(RIGHT($A2289,2))&lt;60),GUS_tabl_2!$A$8:$B$464,GUS_tabl_21!$A$5:$B$4886),2,FALSE)),SUM(FIND("..",TRIM(VLOOKUP(IF(AND(LEN($A2289)=4,VALUE(RIGHT($A2289,2))&gt;60),$A2289&amp;"01 1",$A2289),IF(AND(LEN($A2289)=4,VALUE(RIGHT($A2289,2))&lt;60),GUS_tabl_2!$A$8:$B$464,GUS_tabl_21!$A$5:$B$4886),2,FALSE))),-1)))))</f>
        <v>gm. w. Solec-Zdrój</v>
      </c>
      <c r="D2289" s="141">
        <f>IF(OR($A2289="",ISERROR(VALUE(LEFT($A2289,6)))),"",IF(LEN($A2289)=2,SUMIF($A2290:$A$2965,$A2289&amp;"??",$D2290:$D$2965),IF(AND(LEN($A2289)=4,VALUE(RIGHT($A2289,2))&lt;=60),SUMIF($A2290:$A$2965,$A2289&amp;"????",$D2290:$D$2965),VLOOKUP(IF(LEN($A2289)=4,$A2289&amp;"01 1",$A2289),GUS_tabl_21!$A$5:$F$4886,6,FALSE))))</f>
        <v>5036</v>
      </c>
      <c r="E2289" s="29"/>
    </row>
    <row r="2290" spans="1:5" ht="12" customHeight="1">
      <c r="A2290" s="155" t="str">
        <f>"260106 3"</f>
        <v>260106 3</v>
      </c>
      <c r="B2290" s="153" t="s">
        <v>58</v>
      </c>
      <c r="C2290" s="159" t="str">
        <f>IF(OR($A2290="",ISERROR(VALUE(LEFT($A2290,6)))),"",IF(LEN($A2290)=2,"WOJ. ",IF(LEN($A2290)=4,IF(VALUE(RIGHT($A2290,2))&gt;60,"","Powiat "),IF(VALUE(RIGHT($A2290,1))=1,"m. ",IF(VALUE(RIGHT($A2290,1))=2,"gm. w. ",IF(VALUE(RIGHT($A2290,1))=8,"dz. ","gm. m.-w. ")))))&amp;IF(LEN($A2290)=2,TRIM(UPPER(VLOOKUP($A2290,GUS_tabl_1!$A$7:$B$22,2,FALSE))),IF(ISERROR(FIND("..",TRIM(VLOOKUP(IF(AND(LEN($A2290)=4,VALUE(RIGHT($A2290,2))&gt;60),$A2290&amp;"01 1",$A2290),IF(AND(LEN($A2290)=4,VALUE(RIGHT($A2290,2))&lt;60),GUS_tabl_2!$A$8:$B$464,GUS_tabl_21!$A$5:$B$4886),2,FALSE)))),TRIM(VLOOKUP(IF(AND(LEN($A2290)=4,VALUE(RIGHT($A2290,2))&gt;60),$A2290&amp;"01 1",$A2290),IF(AND(LEN($A2290)=4,VALUE(RIGHT($A2290,2))&lt;60),GUS_tabl_2!$A$8:$B$464,GUS_tabl_21!$A$5:$B$4886),2,FALSE)),LEFT(TRIM(VLOOKUP(IF(AND(LEN($A2290)=4,VALUE(RIGHT($A2290,2))&gt;60),$A2290&amp;"01 1",$A2290),IF(AND(LEN($A2290)=4,VALUE(RIGHT($A2290,2))&lt;60),GUS_tabl_2!$A$8:$B$464,GUS_tabl_21!$A$5:$B$4886),2,FALSE)),SUM(FIND("..",TRIM(VLOOKUP(IF(AND(LEN($A2290)=4,VALUE(RIGHT($A2290,2))&gt;60),$A2290&amp;"01 1",$A2290),IF(AND(LEN($A2290)=4,VALUE(RIGHT($A2290,2))&lt;60),GUS_tabl_2!$A$8:$B$464,GUS_tabl_21!$A$5:$B$4886),2,FALSE))),-1)))))</f>
        <v>gm. m.-w. Stopnica</v>
      </c>
      <c r="D2290" s="141">
        <f>IF(OR($A2290="",ISERROR(VALUE(LEFT($A2290,6)))),"",IF(LEN($A2290)=2,SUMIF($A2291:$A$2965,$A2290&amp;"??",$D2291:$D$2965),IF(AND(LEN($A2290)=4,VALUE(RIGHT($A2290,2))&lt;=60),SUMIF($A2291:$A$2965,$A2290&amp;"????",$D2291:$D$2965),VLOOKUP(IF(LEN($A2290)=4,$A2290&amp;"01 1",$A2290),GUS_tabl_21!$A$5:$F$4886,6,FALSE))))</f>
        <v>7589</v>
      </c>
      <c r="E2290" s="29"/>
    </row>
    <row r="2291" spans="1:5" ht="12" customHeight="1">
      <c r="A2291" s="155" t="str">
        <f>"260107 2"</f>
        <v>260107 2</v>
      </c>
      <c r="B2291" s="153" t="s">
        <v>58</v>
      </c>
      <c r="C2291" s="156" t="str">
        <f>IF(OR($A2291="",ISERROR(VALUE(LEFT($A2291,6)))),"",IF(LEN($A2291)=2,"WOJ. ",IF(LEN($A2291)=4,IF(VALUE(RIGHT($A2291,2))&gt;60,"","Powiat "),IF(VALUE(RIGHT($A2291,1))=1,"m. ",IF(VALUE(RIGHT($A2291,1))=2,"gm. w. ",IF(VALUE(RIGHT($A2291,1))=8,"dz. ","gm. m.-w. ")))))&amp;IF(LEN($A2291)=2,TRIM(UPPER(VLOOKUP($A2291,GUS_tabl_1!$A$7:$B$22,2,FALSE))),IF(ISERROR(FIND("..",TRIM(VLOOKUP(IF(AND(LEN($A2291)=4,VALUE(RIGHT($A2291,2))&gt;60),$A2291&amp;"01 1",$A2291),IF(AND(LEN($A2291)=4,VALUE(RIGHT($A2291,2))&lt;60),GUS_tabl_2!$A$8:$B$464,GUS_tabl_21!$A$5:$B$4886),2,FALSE)))),TRIM(VLOOKUP(IF(AND(LEN($A2291)=4,VALUE(RIGHT($A2291,2))&gt;60),$A2291&amp;"01 1",$A2291),IF(AND(LEN($A2291)=4,VALUE(RIGHT($A2291,2))&lt;60),GUS_tabl_2!$A$8:$B$464,GUS_tabl_21!$A$5:$B$4886),2,FALSE)),LEFT(TRIM(VLOOKUP(IF(AND(LEN($A2291)=4,VALUE(RIGHT($A2291,2))&gt;60),$A2291&amp;"01 1",$A2291),IF(AND(LEN($A2291)=4,VALUE(RIGHT($A2291,2))&lt;60),GUS_tabl_2!$A$8:$B$464,GUS_tabl_21!$A$5:$B$4886),2,FALSE)),SUM(FIND("..",TRIM(VLOOKUP(IF(AND(LEN($A2291)=4,VALUE(RIGHT($A2291,2))&gt;60),$A2291&amp;"01 1",$A2291),IF(AND(LEN($A2291)=4,VALUE(RIGHT($A2291,2))&lt;60),GUS_tabl_2!$A$8:$B$464,GUS_tabl_21!$A$5:$B$4886),2,FALSE))),-1)))))</f>
        <v>gm. w. Tuczępy</v>
      </c>
      <c r="D2291" s="141">
        <f>IF(OR($A2291="",ISERROR(VALUE(LEFT($A2291,6)))),"",IF(LEN($A2291)=2,SUMIF($A2292:$A$2965,$A2291&amp;"??",$D2292:$D$2965),IF(AND(LEN($A2291)=4,VALUE(RIGHT($A2291,2))&lt;=60),SUMIF($A2292:$A$2965,$A2291&amp;"????",$D2292:$D$2965),VLOOKUP(IF(LEN($A2291)=4,$A2291&amp;"01 1",$A2291),GUS_tabl_21!$A$5:$F$4886,6,FALSE))))</f>
        <v>3740</v>
      </c>
      <c r="E2291" s="29"/>
    </row>
    <row r="2292" spans="1:5" ht="12" customHeight="1">
      <c r="A2292" s="155" t="str">
        <f>"260108 3"</f>
        <v>260108 3</v>
      </c>
      <c r="B2292" s="153" t="s">
        <v>58</v>
      </c>
      <c r="C2292" s="156" t="str">
        <f>IF(OR($A2292="",ISERROR(VALUE(LEFT($A2292,6)))),"",IF(LEN($A2292)=2,"WOJ. ",IF(LEN($A2292)=4,IF(VALUE(RIGHT($A2292,2))&gt;60,"","Powiat "),IF(VALUE(RIGHT($A2292,1))=1,"m. ",IF(VALUE(RIGHT($A2292,1))=2,"gm. w. ",IF(VALUE(RIGHT($A2292,1))=8,"dz. ","gm. m.-w. ")))))&amp;IF(LEN($A2292)=2,TRIM(UPPER(VLOOKUP($A2292,GUS_tabl_1!$A$7:$B$22,2,FALSE))),IF(ISERROR(FIND("..",TRIM(VLOOKUP(IF(AND(LEN($A2292)=4,VALUE(RIGHT($A2292,2))&gt;60),$A2292&amp;"01 1",$A2292),IF(AND(LEN($A2292)=4,VALUE(RIGHT($A2292,2))&lt;60),GUS_tabl_2!$A$8:$B$464,GUS_tabl_21!$A$5:$B$4886),2,FALSE)))),TRIM(VLOOKUP(IF(AND(LEN($A2292)=4,VALUE(RIGHT($A2292,2))&gt;60),$A2292&amp;"01 1",$A2292),IF(AND(LEN($A2292)=4,VALUE(RIGHT($A2292,2))&lt;60),GUS_tabl_2!$A$8:$B$464,GUS_tabl_21!$A$5:$B$4886),2,FALSE)),LEFT(TRIM(VLOOKUP(IF(AND(LEN($A2292)=4,VALUE(RIGHT($A2292,2))&gt;60),$A2292&amp;"01 1",$A2292),IF(AND(LEN($A2292)=4,VALUE(RIGHT($A2292,2))&lt;60),GUS_tabl_2!$A$8:$B$464,GUS_tabl_21!$A$5:$B$4886),2,FALSE)),SUM(FIND("..",TRIM(VLOOKUP(IF(AND(LEN($A2292)=4,VALUE(RIGHT($A2292,2))&gt;60),$A2292&amp;"01 1",$A2292),IF(AND(LEN($A2292)=4,VALUE(RIGHT($A2292,2))&lt;60),GUS_tabl_2!$A$8:$B$464,GUS_tabl_21!$A$5:$B$4886),2,FALSE))),-1)))))</f>
        <v>gm. m.-w. Wiślica</v>
      </c>
      <c r="D2292" s="141">
        <f>IF(OR($A2292="",ISERROR(VALUE(LEFT($A2292,6)))),"",IF(LEN($A2292)=2,SUMIF($A2293:$A$2965,$A2292&amp;"??",$D2293:$D$2965),IF(AND(LEN($A2292)=4,VALUE(RIGHT($A2292,2))&lt;=60),SUMIF($A2293:$A$2965,$A2292&amp;"????",$D2293:$D$2965),VLOOKUP(IF(LEN($A2292)=4,$A2292&amp;"01 1",$A2292),GUS_tabl_21!$A$5:$F$4886,6,FALSE))))</f>
        <v>5453</v>
      </c>
      <c r="E2292" s="29"/>
    </row>
    <row r="2293" spans="1:5" ht="12" customHeight="1">
      <c r="A2293" s="152" t="str">
        <f>"2602"</f>
        <v>2602</v>
      </c>
      <c r="B2293" s="153" t="s">
        <v>58</v>
      </c>
      <c r="C2293" s="154" t="str">
        <f>IF(OR($A2293="",ISERROR(VALUE(LEFT($A2293,6)))),"",IF(LEN($A2293)=2,"WOJ. ",IF(LEN($A2293)=4,IF(VALUE(RIGHT($A2293,2))&gt;60,"","Powiat "),IF(VALUE(RIGHT($A2293,1))=1,"m. ",IF(VALUE(RIGHT($A2293,1))=2,"gm. w. ",IF(VALUE(RIGHT($A2293,1))=8,"dz. ","gm. m.-w. ")))))&amp;IF(LEN($A2293)=2,TRIM(UPPER(VLOOKUP($A2293,GUS_tabl_1!$A$7:$B$22,2,FALSE))),IF(ISERROR(FIND("..",TRIM(VLOOKUP(IF(AND(LEN($A2293)=4,VALUE(RIGHT($A2293,2))&gt;60),$A2293&amp;"01 1",$A2293),IF(AND(LEN($A2293)=4,VALUE(RIGHT($A2293,2))&lt;60),GUS_tabl_2!$A$8:$B$464,GUS_tabl_21!$A$5:$B$4886),2,FALSE)))),TRIM(VLOOKUP(IF(AND(LEN($A2293)=4,VALUE(RIGHT($A2293,2))&gt;60),$A2293&amp;"01 1",$A2293),IF(AND(LEN($A2293)=4,VALUE(RIGHT($A2293,2))&lt;60),GUS_tabl_2!$A$8:$B$464,GUS_tabl_21!$A$5:$B$4886),2,FALSE)),LEFT(TRIM(VLOOKUP(IF(AND(LEN($A2293)=4,VALUE(RIGHT($A2293,2))&gt;60),$A2293&amp;"01 1",$A2293),IF(AND(LEN($A2293)=4,VALUE(RIGHT($A2293,2))&lt;60),GUS_tabl_2!$A$8:$B$464,GUS_tabl_21!$A$5:$B$4886),2,FALSE)),SUM(FIND("..",TRIM(VLOOKUP(IF(AND(LEN($A2293)=4,VALUE(RIGHT($A2293,2))&gt;60),$A2293&amp;"01 1",$A2293),IF(AND(LEN($A2293)=4,VALUE(RIGHT($A2293,2))&lt;60),GUS_tabl_2!$A$8:$B$464,GUS_tabl_21!$A$5:$B$4886),2,FALSE))),-1)))))</f>
        <v>Powiat jędrzejowski</v>
      </c>
      <c r="D2293" s="140">
        <f>IF(OR($A2293="",ISERROR(VALUE(LEFT($A2293,6)))),"",IF(LEN($A2293)=2,SUMIF($A2294:$A$2965,$A2293&amp;"??",$D2294:$D$2965),IF(AND(LEN($A2293)=4,VALUE(RIGHT($A2293,2))&lt;=60),SUMIF($A2294:$A$2965,$A2293&amp;"????",$D2294:$D$2965),VLOOKUP(IF(LEN($A2293)=4,$A2293&amp;"01 1",$A2293),GUS_tabl_21!$A$5:$F$4886,6,FALSE))))</f>
        <v>85379</v>
      </c>
      <c r="E2293" s="29"/>
    </row>
    <row r="2294" spans="1:5" ht="12" customHeight="1">
      <c r="A2294" s="155" t="str">
        <f>"260201 2"</f>
        <v>260201 2</v>
      </c>
      <c r="B2294" s="153" t="s">
        <v>58</v>
      </c>
      <c r="C2294" s="156" t="str">
        <f>IF(OR($A2294="",ISERROR(VALUE(LEFT($A2294,6)))),"",IF(LEN($A2294)=2,"WOJ. ",IF(LEN($A2294)=4,IF(VALUE(RIGHT($A2294,2))&gt;60,"","Powiat "),IF(VALUE(RIGHT($A2294,1))=1,"m. ",IF(VALUE(RIGHT($A2294,1))=2,"gm. w. ",IF(VALUE(RIGHT($A2294,1))=8,"dz. ","gm. m.-w. ")))))&amp;IF(LEN($A2294)=2,TRIM(UPPER(VLOOKUP($A2294,GUS_tabl_1!$A$7:$B$22,2,FALSE))),IF(ISERROR(FIND("..",TRIM(VLOOKUP(IF(AND(LEN($A2294)=4,VALUE(RIGHT($A2294,2))&gt;60),$A2294&amp;"01 1",$A2294),IF(AND(LEN($A2294)=4,VALUE(RIGHT($A2294,2))&lt;60),GUS_tabl_2!$A$8:$B$464,GUS_tabl_21!$A$5:$B$4886),2,FALSE)))),TRIM(VLOOKUP(IF(AND(LEN($A2294)=4,VALUE(RIGHT($A2294,2))&gt;60),$A2294&amp;"01 1",$A2294),IF(AND(LEN($A2294)=4,VALUE(RIGHT($A2294,2))&lt;60),GUS_tabl_2!$A$8:$B$464,GUS_tabl_21!$A$5:$B$4886),2,FALSE)),LEFT(TRIM(VLOOKUP(IF(AND(LEN($A2294)=4,VALUE(RIGHT($A2294,2))&gt;60),$A2294&amp;"01 1",$A2294),IF(AND(LEN($A2294)=4,VALUE(RIGHT($A2294,2))&lt;60),GUS_tabl_2!$A$8:$B$464,GUS_tabl_21!$A$5:$B$4886),2,FALSE)),SUM(FIND("..",TRIM(VLOOKUP(IF(AND(LEN($A2294)=4,VALUE(RIGHT($A2294,2))&gt;60),$A2294&amp;"01 1",$A2294),IF(AND(LEN($A2294)=4,VALUE(RIGHT($A2294,2))&lt;60),GUS_tabl_2!$A$8:$B$464,GUS_tabl_21!$A$5:$B$4886),2,FALSE))),-1)))))</f>
        <v>gm. w. Imielno</v>
      </c>
      <c r="D2294" s="141">
        <f>IF(OR($A2294="",ISERROR(VALUE(LEFT($A2294,6)))),"",IF(LEN($A2294)=2,SUMIF($A2295:$A$2965,$A2294&amp;"??",$D2295:$D$2965),IF(AND(LEN($A2294)=4,VALUE(RIGHT($A2294,2))&lt;=60),SUMIF($A2295:$A$2965,$A2294&amp;"????",$D2295:$D$2965),VLOOKUP(IF(LEN($A2294)=4,$A2294&amp;"01 1",$A2294),GUS_tabl_21!$A$5:$F$4886,6,FALSE))))</f>
        <v>4338</v>
      </c>
      <c r="E2294" s="29"/>
    </row>
    <row r="2295" spans="1:5" ht="12" customHeight="1">
      <c r="A2295" s="155" t="str">
        <f>"260202 3"</f>
        <v>260202 3</v>
      </c>
      <c r="B2295" s="153" t="s">
        <v>58</v>
      </c>
      <c r="C2295" s="156" t="str">
        <f>IF(OR($A2295="",ISERROR(VALUE(LEFT($A2295,6)))),"",IF(LEN($A2295)=2,"WOJ. ",IF(LEN($A2295)=4,IF(VALUE(RIGHT($A2295,2))&gt;60,"","Powiat "),IF(VALUE(RIGHT($A2295,1))=1,"m. ",IF(VALUE(RIGHT($A2295,1))=2,"gm. w. ",IF(VALUE(RIGHT($A2295,1))=8,"dz. ","gm. m.-w. ")))))&amp;IF(LEN($A2295)=2,TRIM(UPPER(VLOOKUP($A2295,GUS_tabl_1!$A$7:$B$22,2,FALSE))),IF(ISERROR(FIND("..",TRIM(VLOOKUP(IF(AND(LEN($A2295)=4,VALUE(RIGHT($A2295,2))&gt;60),$A2295&amp;"01 1",$A2295),IF(AND(LEN($A2295)=4,VALUE(RIGHT($A2295,2))&lt;60),GUS_tabl_2!$A$8:$B$464,GUS_tabl_21!$A$5:$B$4886),2,FALSE)))),TRIM(VLOOKUP(IF(AND(LEN($A2295)=4,VALUE(RIGHT($A2295,2))&gt;60),$A2295&amp;"01 1",$A2295),IF(AND(LEN($A2295)=4,VALUE(RIGHT($A2295,2))&lt;60),GUS_tabl_2!$A$8:$B$464,GUS_tabl_21!$A$5:$B$4886),2,FALSE)),LEFT(TRIM(VLOOKUP(IF(AND(LEN($A2295)=4,VALUE(RIGHT($A2295,2))&gt;60),$A2295&amp;"01 1",$A2295),IF(AND(LEN($A2295)=4,VALUE(RIGHT($A2295,2))&lt;60),GUS_tabl_2!$A$8:$B$464,GUS_tabl_21!$A$5:$B$4886),2,FALSE)),SUM(FIND("..",TRIM(VLOOKUP(IF(AND(LEN($A2295)=4,VALUE(RIGHT($A2295,2))&gt;60),$A2295&amp;"01 1",$A2295),IF(AND(LEN($A2295)=4,VALUE(RIGHT($A2295,2))&lt;60),GUS_tabl_2!$A$8:$B$464,GUS_tabl_21!$A$5:$B$4886),2,FALSE))),-1)))))</f>
        <v>gm. m.-w. Jędrzejów</v>
      </c>
      <c r="D2295" s="141">
        <f>IF(OR($A2295="",ISERROR(VALUE(LEFT($A2295,6)))),"",IF(LEN($A2295)=2,SUMIF($A2296:$A$2965,$A2295&amp;"??",$D2296:$D$2965),IF(AND(LEN($A2295)=4,VALUE(RIGHT($A2295,2))&lt;=60),SUMIF($A2296:$A$2965,$A2295&amp;"????",$D2296:$D$2965),VLOOKUP(IF(LEN($A2295)=4,$A2295&amp;"01 1",$A2295),GUS_tabl_21!$A$5:$F$4886,6,FALSE))))</f>
        <v>27898</v>
      </c>
      <c r="E2295" s="29"/>
    </row>
    <row r="2296" spans="1:5" ht="12" customHeight="1">
      <c r="A2296" s="155" t="str">
        <f>"260203 3"</f>
        <v>260203 3</v>
      </c>
      <c r="B2296" s="153" t="s">
        <v>58</v>
      </c>
      <c r="C2296" s="156" t="str">
        <f>IF(OR($A2296="",ISERROR(VALUE(LEFT($A2296,6)))),"",IF(LEN($A2296)=2,"WOJ. ",IF(LEN($A2296)=4,IF(VALUE(RIGHT($A2296,2))&gt;60,"","Powiat "),IF(VALUE(RIGHT($A2296,1))=1,"m. ",IF(VALUE(RIGHT($A2296,1))=2,"gm. w. ",IF(VALUE(RIGHT($A2296,1))=8,"dz. ","gm. m.-w. ")))))&amp;IF(LEN($A2296)=2,TRIM(UPPER(VLOOKUP($A2296,GUS_tabl_1!$A$7:$B$22,2,FALSE))),IF(ISERROR(FIND("..",TRIM(VLOOKUP(IF(AND(LEN($A2296)=4,VALUE(RIGHT($A2296,2))&gt;60),$A2296&amp;"01 1",$A2296),IF(AND(LEN($A2296)=4,VALUE(RIGHT($A2296,2))&lt;60),GUS_tabl_2!$A$8:$B$464,GUS_tabl_21!$A$5:$B$4886),2,FALSE)))),TRIM(VLOOKUP(IF(AND(LEN($A2296)=4,VALUE(RIGHT($A2296,2))&gt;60),$A2296&amp;"01 1",$A2296),IF(AND(LEN($A2296)=4,VALUE(RIGHT($A2296,2))&lt;60),GUS_tabl_2!$A$8:$B$464,GUS_tabl_21!$A$5:$B$4886),2,FALSE)),LEFT(TRIM(VLOOKUP(IF(AND(LEN($A2296)=4,VALUE(RIGHT($A2296,2))&gt;60),$A2296&amp;"01 1",$A2296),IF(AND(LEN($A2296)=4,VALUE(RIGHT($A2296,2))&lt;60),GUS_tabl_2!$A$8:$B$464,GUS_tabl_21!$A$5:$B$4886),2,FALSE)),SUM(FIND("..",TRIM(VLOOKUP(IF(AND(LEN($A2296)=4,VALUE(RIGHT($A2296,2))&gt;60),$A2296&amp;"01 1",$A2296),IF(AND(LEN($A2296)=4,VALUE(RIGHT($A2296,2))&lt;60),GUS_tabl_2!$A$8:$B$464,GUS_tabl_21!$A$5:$B$4886),2,FALSE))),-1)))))</f>
        <v>gm. m.-w. Małogoszcz</v>
      </c>
      <c r="D2296" s="141">
        <f>IF(OR($A2296="",ISERROR(VALUE(LEFT($A2296,6)))),"",IF(LEN($A2296)=2,SUMIF($A2297:$A$2965,$A2296&amp;"??",$D2297:$D$2965),IF(AND(LEN($A2296)=4,VALUE(RIGHT($A2296,2))&lt;=60),SUMIF($A2297:$A$2965,$A2296&amp;"????",$D2297:$D$2965),VLOOKUP(IF(LEN($A2296)=4,$A2296&amp;"01 1",$A2296),GUS_tabl_21!$A$5:$F$4886,6,FALSE))))</f>
        <v>11536</v>
      </c>
      <c r="E2296" s="29"/>
    </row>
    <row r="2297" spans="1:5" ht="12" customHeight="1">
      <c r="A2297" s="155" t="str">
        <f>"260204 2"</f>
        <v>260204 2</v>
      </c>
      <c r="B2297" s="153" t="s">
        <v>58</v>
      </c>
      <c r="C2297" s="156" t="str">
        <f>IF(OR($A2297="",ISERROR(VALUE(LEFT($A2297,6)))),"",IF(LEN($A2297)=2,"WOJ. ",IF(LEN($A2297)=4,IF(VALUE(RIGHT($A2297,2))&gt;60,"","Powiat "),IF(VALUE(RIGHT($A2297,1))=1,"m. ",IF(VALUE(RIGHT($A2297,1))=2,"gm. w. ",IF(VALUE(RIGHT($A2297,1))=8,"dz. ","gm. m.-w. ")))))&amp;IF(LEN($A2297)=2,TRIM(UPPER(VLOOKUP($A2297,GUS_tabl_1!$A$7:$B$22,2,FALSE))),IF(ISERROR(FIND("..",TRIM(VLOOKUP(IF(AND(LEN($A2297)=4,VALUE(RIGHT($A2297,2))&gt;60),$A2297&amp;"01 1",$A2297),IF(AND(LEN($A2297)=4,VALUE(RIGHT($A2297,2))&lt;60),GUS_tabl_2!$A$8:$B$464,GUS_tabl_21!$A$5:$B$4886),2,FALSE)))),TRIM(VLOOKUP(IF(AND(LEN($A2297)=4,VALUE(RIGHT($A2297,2))&gt;60),$A2297&amp;"01 1",$A2297),IF(AND(LEN($A2297)=4,VALUE(RIGHT($A2297,2))&lt;60),GUS_tabl_2!$A$8:$B$464,GUS_tabl_21!$A$5:$B$4886),2,FALSE)),LEFT(TRIM(VLOOKUP(IF(AND(LEN($A2297)=4,VALUE(RIGHT($A2297,2))&gt;60),$A2297&amp;"01 1",$A2297),IF(AND(LEN($A2297)=4,VALUE(RIGHT($A2297,2))&lt;60),GUS_tabl_2!$A$8:$B$464,GUS_tabl_21!$A$5:$B$4886),2,FALSE)),SUM(FIND("..",TRIM(VLOOKUP(IF(AND(LEN($A2297)=4,VALUE(RIGHT($A2297,2))&gt;60),$A2297&amp;"01 1",$A2297),IF(AND(LEN($A2297)=4,VALUE(RIGHT($A2297,2))&lt;60),GUS_tabl_2!$A$8:$B$464,GUS_tabl_21!$A$5:$B$4886),2,FALSE))),-1)))))</f>
        <v>gm. w. Nagłowice</v>
      </c>
      <c r="D2297" s="141">
        <f>IF(OR($A2297="",ISERROR(VALUE(LEFT($A2297,6)))),"",IF(LEN($A2297)=2,SUMIF($A2298:$A$2965,$A2297&amp;"??",$D2298:$D$2965),IF(AND(LEN($A2297)=4,VALUE(RIGHT($A2297,2))&lt;=60),SUMIF($A2298:$A$2965,$A2297&amp;"????",$D2298:$D$2965),VLOOKUP(IF(LEN($A2297)=4,$A2297&amp;"01 1",$A2297),GUS_tabl_21!$A$5:$F$4886,6,FALSE))))</f>
        <v>4915</v>
      </c>
      <c r="E2297" s="29"/>
    </row>
    <row r="2298" spans="1:5" ht="12" customHeight="1">
      <c r="A2298" s="155" t="str">
        <f>"260205 2"</f>
        <v>260205 2</v>
      </c>
      <c r="B2298" s="153" t="s">
        <v>58</v>
      </c>
      <c r="C2298" s="156" t="str">
        <f>IF(OR($A2298="",ISERROR(VALUE(LEFT($A2298,6)))),"",IF(LEN($A2298)=2,"WOJ. ",IF(LEN($A2298)=4,IF(VALUE(RIGHT($A2298,2))&gt;60,"","Powiat "),IF(VALUE(RIGHT($A2298,1))=1,"m. ",IF(VALUE(RIGHT($A2298,1))=2,"gm. w. ",IF(VALUE(RIGHT($A2298,1))=8,"dz. ","gm. m.-w. ")))))&amp;IF(LEN($A2298)=2,TRIM(UPPER(VLOOKUP($A2298,GUS_tabl_1!$A$7:$B$22,2,FALSE))),IF(ISERROR(FIND("..",TRIM(VLOOKUP(IF(AND(LEN($A2298)=4,VALUE(RIGHT($A2298,2))&gt;60),$A2298&amp;"01 1",$A2298),IF(AND(LEN($A2298)=4,VALUE(RIGHT($A2298,2))&lt;60),GUS_tabl_2!$A$8:$B$464,GUS_tabl_21!$A$5:$B$4886),2,FALSE)))),TRIM(VLOOKUP(IF(AND(LEN($A2298)=4,VALUE(RIGHT($A2298,2))&gt;60),$A2298&amp;"01 1",$A2298),IF(AND(LEN($A2298)=4,VALUE(RIGHT($A2298,2))&lt;60),GUS_tabl_2!$A$8:$B$464,GUS_tabl_21!$A$5:$B$4886),2,FALSE)),LEFT(TRIM(VLOOKUP(IF(AND(LEN($A2298)=4,VALUE(RIGHT($A2298,2))&gt;60),$A2298&amp;"01 1",$A2298),IF(AND(LEN($A2298)=4,VALUE(RIGHT($A2298,2))&lt;60),GUS_tabl_2!$A$8:$B$464,GUS_tabl_21!$A$5:$B$4886),2,FALSE)),SUM(FIND("..",TRIM(VLOOKUP(IF(AND(LEN($A2298)=4,VALUE(RIGHT($A2298,2))&gt;60),$A2298&amp;"01 1",$A2298),IF(AND(LEN($A2298)=4,VALUE(RIGHT($A2298,2))&lt;60),GUS_tabl_2!$A$8:$B$464,GUS_tabl_21!$A$5:$B$4886),2,FALSE))),-1)))))</f>
        <v>gm. w. Oksa</v>
      </c>
      <c r="D2298" s="141">
        <f>IF(OR($A2298="",ISERROR(VALUE(LEFT($A2298,6)))),"",IF(LEN($A2298)=2,SUMIF($A2299:$A$2965,$A2298&amp;"??",$D2299:$D$2965),IF(AND(LEN($A2298)=4,VALUE(RIGHT($A2298,2))&lt;=60),SUMIF($A2299:$A$2965,$A2298&amp;"????",$D2299:$D$2965),VLOOKUP(IF(LEN($A2298)=4,$A2298&amp;"01 1",$A2298),GUS_tabl_21!$A$5:$F$4886,6,FALSE))))</f>
        <v>4574</v>
      </c>
      <c r="E2298" s="29"/>
    </row>
    <row r="2299" spans="1:5" ht="12" customHeight="1">
      <c r="A2299" s="155" t="str">
        <f>"260206 3"</f>
        <v>260206 3</v>
      </c>
      <c r="B2299" s="153" t="s">
        <v>58</v>
      </c>
      <c r="C2299" s="156" t="str">
        <f>IF(OR($A2299="",ISERROR(VALUE(LEFT($A2299,6)))),"",IF(LEN($A2299)=2,"WOJ. ",IF(LEN($A2299)=4,IF(VALUE(RIGHT($A2299,2))&gt;60,"","Powiat "),IF(VALUE(RIGHT($A2299,1))=1,"m. ",IF(VALUE(RIGHT($A2299,1))=2,"gm. w. ",IF(VALUE(RIGHT($A2299,1))=8,"dz. ","gm. m.-w. ")))))&amp;IF(LEN($A2299)=2,TRIM(UPPER(VLOOKUP($A2299,GUS_tabl_1!$A$7:$B$22,2,FALSE))),IF(ISERROR(FIND("..",TRIM(VLOOKUP(IF(AND(LEN($A2299)=4,VALUE(RIGHT($A2299,2))&gt;60),$A2299&amp;"01 1",$A2299),IF(AND(LEN($A2299)=4,VALUE(RIGHT($A2299,2))&lt;60),GUS_tabl_2!$A$8:$B$464,GUS_tabl_21!$A$5:$B$4886),2,FALSE)))),TRIM(VLOOKUP(IF(AND(LEN($A2299)=4,VALUE(RIGHT($A2299,2))&gt;60),$A2299&amp;"01 1",$A2299),IF(AND(LEN($A2299)=4,VALUE(RIGHT($A2299,2))&lt;60),GUS_tabl_2!$A$8:$B$464,GUS_tabl_21!$A$5:$B$4886),2,FALSE)),LEFT(TRIM(VLOOKUP(IF(AND(LEN($A2299)=4,VALUE(RIGHT($A2299,2))&gt;60),$A2299&amp;"01 1",$A2299),IF(AND(LEN($A2299)=4,VALUE(RIGHT($A2299,2))&lt;60),GUS_tabl_2!$A$8:$B$464,GUS_tabl_21!$A$5:$B$4886),2,FALSE)),SUM(FIND("..",TRIM(VLOOKUP(IF(AND(LEN($A2299)=4,VALUE(RIGHT($A2299,2))&gt;60),$A2299&amp;"01 1",$A2299),IF(AND(LEN($A2299)=4,VALUE(RIGHT($A2299,2))&lt;60),GUS_tabl_2!$A$8:$B$464,GUS_tabl_21!$A$5:$B$4886),2,FALSE))),-1)))))</f>
        <v>gm. m.-w. Sędziszów</v>
      </c>
      <c r="D2299" s="141">
        <f>IF(OR($A2299="",ISERROR(VALUE(LEFT($A2299,6)))),"",IF(LEN($A2299)=2,SUMIF($A2300:$A$2965,$A2299&amp;"??",$D2300:$D$2965),IF(AND(LEN($A2299)=4,VALUE(RIGHT($A2299,2))&lt;=60),SUMIF($A2300:$A$2965,$A2299&amp;"????",$D2300:$D$2965),VLOOKUP(IF(LEN($A2299)=4,$A2299&amp;"01 1",$A2299),GUS_tabl_21!$A$5:$F$4886,6,FALSE))))</f>
        <v>12413</v>
      </c>
      <c r="E2299" s="29"/>
    </row>
    <row r="2300" spans="1:5" ht="12" customHeight="1">
      <c r="A2300" s="155" t="str">
        <f>"260207 2"</f>
        <v>260207 2</v>
      </c>
      <c r="B2300" s="153" t="s">
        <v>58</v>
      </c>
      <c r="C2300" s="156" t="str">
        <f>IF(OR($A2300="",ISERROR(VALUE(LEFT($A2300,6)))),"",IF(LEN($A2300)=2,"WOJ. ",IF(LEN($A2300)=4,IF(VALUE(RIGHT($A2300,2))&gt;60,"","Powiat "),IF(VALUE(RIGHT($A2300,1))=1,"m. ",IF(VALUE(RIGHT($A2300,1))=2,"gm. w. ",IF(VALUE(RIGHT($A2300,1))=8,"dz. ","gm. m.-w. ")))))&amp;IF(LEN($A2300)=2,TRIM(UPPER(VLOOKUP($A2300,GUS_tabl_1!$A$7:$B$22,2,FALSE))),IF(ISERROR(FIND("..",TRIM(VLOOKUP(IF(AND(LEN($A2300)=4,VALUE(RIGHT($A2300,2))&gt;60),$A2300&amp;"01 1",$A2300),IF(AND(LEN($A2300)=4,VALUE(RIGHT($A2300,2))&lt;60),GUS_tabl_2!$A$8:$B$464,GUS_tabl_21!$A$5:$B$4886),2,FALSE)))),TRIM(VLOOKUP(IF(AND(LEN($A2300)=4,VALUE(RIGHT($A2300,2))&gt;60),$A2300&amp;"01 1",$A2300),IF(AND(LEN($A2300)=4,VALUE(RIGHT($A2300,2))&lt;60),GUS_tabl_2!$A$8:$B$464,GUS_tabl_21!$A$5:$B$4886),2,FALSE)),LEFT(TRIM(VLOOKUP(IF(AND(LEN($A2300)=4,VALUE(RIGHT($A2300,2))&gt;60),$A2300&amp;"01 1",$A2300),IF(AND(LEN($A2300)=4,VALUE(RIGHT($A2300,2))&lt;60),GUS_tabl_2!$A$8:$B$464,GUS_tabl_21!$A$5:$B$4886),2,FALSE)),SUM(FIND("..",TRIM(VLOOKUP(IF(AND(LEN($A2300)=4,VALUE(RIGHT($A2300,2))&gt;60),$A2300&amp;"01 1",$A2300),IF(AND(LEN($A2300)=4,VALUE(RIGHT($A2300,2))&lt;60),GUS_tabl_2!$A$8:$B$464,GUS_tabl_21!$A$5:$B$4886),2,FALSE))),-1)))))</f>
        <v>gm. w. Słupia</v>
      </c>
      <c r="D2300" s="141">
        <f>IF(OR($A2300="",ISERROR(VALUE(LEFT($A2300,6)))),"",IF(LEN($A2300)=2,SUMIF($A2301:$A$2965,$A2300&amp;"??",$D2301:$D$2965),IF(AND(LEN($A2300)=4,VALUE(RIGHT($A2300,2))&lt;=60),SUMIF($A2301:$A$2965,$A2300&amp;"????",$D2301:$D$2965),VLOOKUP(IF(LEN($A2300)=4,$A2300&amp;"01 1",$A2300),GUS_tabl_21!$A$5:$F$4886,6,FALSE))))</f>
        <v>4290</v>
      </c>
      <c r="E2300" s="29"/>
    </row>
    <row r="2301" spans="1:5" ht="12" customHeight="1">
      <c r="A2301" s="155" t="str">
        <f>"260208 2"</f>
        <v>260208 2</v>
      </c>
      <c r="B2301" s="153" t="s">
        <v>58</v>
      </c>
      <c r="C2301" s="156" t="str">
        <f>IF(OR($A2301="",ISERROR(VALUE(LEFT($A2301,6)))),"",IF(LEN($A2301)=2,"WOJ. ",IF(LEN($A2301)=4,IF(VALUE(RIGHT($A2301,2))&gt;60,"","Powiat "),IF(VALUE(RIGHT($A2301,1))=1,"m. ",IF(VALUE(RIGHT($A2301,1))=2,"gm. w. ",IF(VALUE(RIGHT($A2301,1))=8,"dz. ","gm. m.-w. ")))))&amp;IF(LEN($A2301)=2,TRIM(UPPER(VLOOKUP($A2301,GUS_tabl_1!$A$7:$B$22,2,FALSE))),IF(ISERROR(FIND("..",TRIM(VLOOKUP(IF(AND(LEN($A2301)=4,VALUE(RIGHT($A2301,2))&gt;60),$A2301&amp;"01 1",$A2301),IF(AND(LEN($A2301)=4,VALUE(RIGHT($A2301,2))&lt;60),GUS_tabl_2!$A$8:$B$464,GUS_tabl_21!$A$5:$B$4886),2,FALSE)))),TRIM(VLOOKUP(IF(AND(LEN($A2301)=4,VALUE(RIGHT($A2301,2))&gt;60),$A2301&amp;"01 1",$A2301),IF(AND(LEN($A2301)=4,VALUE(RIGHT($A2301,2))&lt;60),GUS_tabl_2!$A$8:$B$464,GUS_tabl_21!$A$5:$B$4886),2,FALSE)),LEFT(TRIM(VLOOKUP(IF(AND(LEN($A2301)=4,VALUE(RIGHT($A2301,2))&gt;60),$A2301&amp;"01 1",$A2301),IF(AND(LEN($A2301)=4,VALUE(RIGHT($A2301,2))&lt;60),GUS_tabl_2!$A$8:$B$464,GUS_tabl_21!$A$5:$B$4886),2,FALSE)),SUM(FIND("..",TRIM(VLOOKUP(IF(AND(LEN($A2301)=4,VALUE(RIGHT($A2301,2))&gt;60),$A2301&amp;"01 1",$A2301),IF(AND(LEN($A2301)=4,VALUE(RIGHT($A2301,2))&lt;60),GUS_tabl_2!$A$8:$B$464,GUS_tabl_21!$A$5:$B$4886),2,FALSE))),-1)))))</f>
        <v>gm. w. Sobków</v>
      </c>
      <c r="D2301" s="141">
        <f>IF(OR($A2301="",ISERROR(VALUE(LEFT($A2301,6)))),"",IF(LEN($A2301)=2,SUMIF($A2302:$A$2965,$A2301&amp;"??",$D2302:$D$2965),IF(AND(LEN($A2301)=4,VALUE(RIGHT($A2301,2))&lt;=60),SUMIF($A2302:$A$2965,$A2301&amp;"????",$D2302:$D$2965),VLOOKUP(IF(LEN($A2301)=4,$A2301&amp;"01 1",$A2301),GUS_tabl_21!$A$5:$F$4886,6,FALSE))))</f>
        <v>8466</v>
      </c>
      <c r="E2301" s="29"/>
    </row>
    <row r="2302" spans="1:5" ht="12" customHeight="1">
      <c r="A2302" s="155" t="str">
        <f>"260209 2"</f>
        <v>260209 2</v>
      </c>
      <c r="B2302" s="153" t="s">
        <v>58</v>
      </c>
      <c r="C2302" s="156" t="str">
        <f>IF(OR($A2302="",ISERROR(VALUE(LEFT($A2302,6)))),"",IF(LEN($A2302)=2,"WOJ. ",IF(LEN($A2302)=4,IF(VALUE(RIGHT($A2302,2))&gt;60,"","Powiat "),IF(VALUE(RIGHT($A2302,1))=1,"m. ",IF(VALUE(RIGHT($A2302,1))=2,"gm. w. ",IF(VALUE(RIGHT($A2302,1))=8,"dz. ","gm. m.-w. ")))))&amp;IF(LEN($A2302)=2,TRIM(UPPER(VLOOKUP($A2302,GUS_tabl_1!$A$7:$B$22,2,FALSE))),IF(ISERROR(FIND("..",TRIM(VLOOKUP(IF(AND(LEN($A2302)=4,VALUE(RIGHT($A2302,2))&gt;60),$A2302&amp;"01 1",$A2302),IF(AND(LEN($A2302)=4,VALUE(RIGHT($A2302,2))&lt;60),GUS_tabl_2!$A$8:$B$464,GUS_tabl_21!$A$5:$B$4886),2,FALSE)))),TRIM(VLOOKUP(IF(AND(LEN($A2302)=4,VALUE(RIGHT($A2302,2))&gt;60),$A2302&amp;"01 1",$A2302),IF(AND(LEN($A2302)=4,VALUE(RIGHT($A2302,2))&lt;60),GUS_tabl_2!$A$8:$B$464,GUS_tabl_21!$A$5:$B$4886),2,FALSE)),LEFT(TRIM(VLOOKUP(IF(AND(LEN($A2302)=4,VALUE(RIGHT($A2302,2))&gt;60),$A2302&amp;"01 1",$A2302),IF(AND(LEN($A2302)=4,VALUE(RIGHT($A2302,2))&lt;60),GUS_tabl_2!$A$8:$B$464,GUS_tabl_21!$A$5:$B$4886),2,FALSE)),SUM(FIND("..",TRIM(VLOOKUP(IF(AND(LEN($A2302)=4,VALUE(RIGHT($A2302,2))&gt;60),$A2302&amp;"01 1",$A2302),IF(AND(LEN($A2302)=4,VALUE(RIGHT($A2302,2))&lt;60),GUS_tabl_2!$A$8:$B$464,GUS_tabl_21!$A$5:$B$4886),2,FALSE))),-1)))))</f>
        <v>gm. w. Wodzisław</v>
      </c>
      <c r="D2302" s="141">
        <f>IF(OR($A2302="",ISERROR(VALUE(LEFT($A2302,6)))),"",IF(LEN($A2302)=2,SUMIF($A2303:$A$2965,$A2302&amp;"??",$D2303:$D$2965),IF(AND(LEN($A2302)=4,VALUE(RIGHT($A2302,2))&lt;=60),SUMIF($A2303:$A$2965,$A2302&amp;"????",$D2303:$D$2965),VLOOKUP(IF(LEN($A2302)=4,$A2302&amp;"01 1",$A2302),GUS_tabl_21!$A$5:$F$4886,6,FALSE))))</f>
        <v>6949</v>
      </c>
      <c r="E2302" s="29"/>
    </row>
    <row r="2303" spans="1:5" ht="12" customHeight="1">
      <c r="A2303" s="152" t="str">
        <f>"2603"</f>
        <v>2603</v>
      </c>
      <c r="B2303" s="153" t="s">
        <v>58</v>
      </c>
      <c r="C2303" s="154" t="str">
        <f>IF(OR($A2303="",ISERROR(VALUE(LEFT($A2303,6)))),"",IF(LEN($A2303)=2,"WOJ. ",IF(LEN($A2303)=4,IF(VALUE(RIGHT($A2303,2))&gt;60,"","Powiat "),IF(VALUE(RIGHT($A2303,1))=1,"m. ",IF(VALUE(RIGHT($A2303,1))=2,"gm. w. ",IF(VALUE(RIGHT($A2303,1))=8,"dz. ","gm. m.-w. ")))))&amp;IF(LEN($A2303)=2,TRIM(UPPER(VLOOKUP($A2303,GUS_tabl_1!$A$7:$B$22,2,FALSE))),IF(ISERROR(FIND("..",TRIM(VLOOKUP(IF(AND(LEN($A2303)=4,VALUE(RIGHT($A2303,2))&gt;60),$A2303&amp;"01 1",$A2303),IF(AND(LEN($A2303)=4,VALUE(RIGHT($A2303,2))&lt;60),GUS_tabl_2!$A$8:$B$464,GUS_tabl_21!$A$5:$B$4886),2,FALSE)))),TRIM(VLOOKUP(IF(AND(LEN($A2303)=4,VALUE(RIGHT($A2303,2))&gt;60),$A2303&amp;"01 1",$A2303),IF(AND(LEN($A2303)=4,VALUE(RIGHT($A2303,2))&lt;60),GUS_tabl_2!$A$8:$B$464,GUS_tabl_21!$A$5:$B$4886),2,FALSE)),LEFT(TRIM(VLOOKUP(IF(AND(LEN($A2303)=4,VALUE(RIGHT($A2303,2))&gt;60),$A2303&amp;"01 1",$A2303),IF(AND(LEN($A2303)=4,VALUE(RIGHT($A2303,2))&lt;60),GUS_tabl_2!$A$8:$B$464,GUS_tabl_21!$A$5:$B$4886),2,FALSE)),SUM(FIND("..",TRIM(VLOOKUP(IF(AND(LEN($A2303)=4,VALUE(RIGHT($A2303,2))&gt;60),$A2303&amp;"01 1",$A2303),IF(AND(LEN($A2303)=4,VALUE(RIGHT($A2303,2))&lt;60),GUS_tabl_2!$A$8:$B$464,GUS_tabl_21!$A$5:$B$4886),2,FALSE))),-1)))))</f>
        <v>Powiat kazimierski</v>
      </c>
      <c r="D2303" s="140">
        <f>IF(OR($A2303="",ISERROR(VALUE(LEFT($A2303,6)))),"",IF(LEN($A2303)=2,SUMIF($A2304:$A$2965,$A2303&amp;"??",$D2304:$D$2965),IF(AND(LEN($A2303)=4,VALUE(RIGHT($A2303,2))&lt;=60),SUMIF($A2304:$A$2965,$A2303&amp;"????",$D2304:$D$2965),VLOOKUP(IF(LEN($A2303)=4,$A2303&amp;"01 1",$A2303),GUS_tabl_21!$A$5:$F$4886,6,FALSE))))</f>
        <v>33619</v>
      </c>
      <c r="E2303" s="29"/>
    </row>
    <row r="2304" spans="1:5" ht="12" customHeight="1">
      <c r="A2304" s="155" t="str">
        <f>"260301 2"</f>
        <v>260301 2</v>
      </c>
      <c r="B2304" s="153" t="s">
        <v>58</v>
      </c>
      <c r="C2304" s="156" t="str">
        <f>IF(OR($A2304="",ISERROR(VALUE(LEFT($A2304,6)))),"",IF(LEN($A2304)=2,"WOJ. ",IF(LEN($A2304)=4,IF(VALUE(RIGHT($A2304,2))&gt;60,"","Powiat "),IF(VALUE(RIGHT($A2304,1))=1,"m. ",IF(VALUE(RIGHT($A2304,1))=2,"gm. w. ",IF(VALUE(RIGHT($A2304,1))=8,"dz. ","gm. m.-w. ")))))&amp;IF(LEN($A2304)=2,TRIM(UPPER(VLOOKUP($A2304,GUS_tabl_1!$A$7:$B$22,2,FALSE))),IF(ISERROR(FIND("..",TRIM(VLOOKUP(IF(AND(LEN($A2304)=4,VALUE(RIGHT($A2304,2))&gt;60),$A2304&amp;"01 1",$A2304),IF(AND(LEN($A2304)=4,VALUE(RIGHT($A2304,2))&lt;60),GUS_tabl_2!$A$8:$B$464,GUS_tabl_21!$A$5:$B$4886),2,FALSE)))),TRIM(VLOOKUP(IF(AND(LEN($A2304)=4,VALUE(RIGHT($A2304,2))&gt;60),$A2304&amp;"01 1",$A2304),IF(AND(LEN($A2304)=4,VALUE(RIGHT($A2304,2))&lt;60),GUS_tabl_2!$A$8:$B$464,GUS_tabl_21!$A$5:$B$4886),2,FALSE)),LEFT(TRIM(VLOOKUP(IF(AND(LEN($A2304)=4,VALUE(RIGHT($A2304,2))&gt;60),$A2304&amp;"01 1",$A2304),IF(AND(LEN($A2304)=4,VALUE(RIGHT($A2304,2))&lt;60),GUS_tabl_2!$A$8:$B$464,GUS_tabl_21!$A$5:$B$4886),2,FALSE)),SUM(FIND("..",TRIM(VLOOKUP(IF(AND(LEN($A2304)=4,VALUE(RIGHT($A2304,2))&gt;60),$A2304&amp;"01 1",$A2304),IF(AND(LEN($A2304)=4,VALUE(RIGHT($A2304,2))&lt;60),GUS_tabl_2!$A$8:$B$464,GUS_tabl_21!$A$5:$B$4886),2,FALSE))),-1)))))</f>
        <v>gm. w. Bejsce</v>
      </c>
      <c r="D2304" s="141">
        <f>IF(OR($A2304="",ISERROR(VALUE(LEFT($A2304,6)))),"",IF(LEN($A2304)=2,SUMIF($A2305:$A$2965,$A2304&amp;"??",$D2305:$D$2965),IF(AND(LEN($A2304)=4,VALUE(RIGHT($A2304,2))&lt;=60),SUMIF($A2305:$A$2965,$A2304&amp;"????",$D2305:$D$2965),VLOOKUP(IF(LEN($A2304)=4,$A2304&amp;"01 1",$A2304),GUS_tabl_21!$A$5:$F$4886,6,FALSE))))</f>
        <v>3997</v>
      </c>
      <c r="E2304" s="29"/>
    </row>
    <row r="2305" spans="1:5" ht="12" customHeight="1">
      <c r="A2305" s="155" t="str">
        <f>"260302 2"</f>
        <v>260302 2</v>
      </c>
      <c r="B2305" s="153" t="s">
        <v>58</v>
      </c>
      <c r="C2305" s="156" t="str">
        <f>IF(OR($A2305="",ISERROR(VALUE(LEFT($A2305,6)))),"",IF(LEN($A2305)=2,"WOJ. ",IF(LEN($A2305)=4,IF(VALUE(RIGHT($A2305,2))&gt;60,"","Powiat "),IF(VALUE(RIGHT($A2305,1))=1,"m. ",IF(VALUE(RIGHT($A2305,1))=2,"gm. w. ",IF(VALUE(RIGHT($A2305,1))=8,"dz. ","gm. m.-w. ")))))&amp;IF(LEN($A2305)=2,TRIM(UPPER(VLOOKUP($A2305,GUS_tabl_1!$A$7:$B$22,2,FALSE))),IF(ISERROR(FIND("..",TRIM(VLOOKUP(IF(AND(LEN($A2305)=4,VALUE(RIGHT($A2305,2))&gt;60),$A2305&amp;"01 1",$A2305),IF(AND(LEN($A2305)=4,VALUE(RIGHT($A2305,2))&lt;60),GUS_tabl_2!$A$8:$B$464,GUS_tabl_21!$A$5:$B$4886),2,FALSE)))),TRIM(VLOOKUP(IF(AND(LEN($A2305)=4,VALUE(RIGHT($A2305,2))&gt;60),$A2305&amp;"01 1",$A2305),IF(AND(LEN($A2305)=4,VALUE(RIGHT($A2305,2))&lt;60),GUS_tabl_2!$A$8:$B$464,GUS_tabl_21!$A$5:$B$4886),2,FALSE)),LEFT(TRIM(VLOOKUP(IF(AND(LEN($A2305)=4,VALUE(RIGHT($A2305,2))&gt;60),$A2305&amp;"01 1",$A2305),IF(AND(LEN($A2305)=4,VALUE(RIGHT($A2305,2))&lt;60),GUS_tabl_2!$A$8:$B$464,GUS_tabl_21!$A$5:$B$4886),2,FALSE)),SUM(FIND("..",TRIM(VLOOKUP(IF(AND(LEN($A2305)=4,VALUE(RIGHT($A2305,2))&gt;60),$A2305&amp;"01 1",$A2305),IF(AND(LEN($A2305)=4,VALUE(RIGHT($A2305,2))&lt;60),GUS_tabl_2!$A$8:$B$464,GUS_tabl_21!$A$5:$B$4886),2,FALSE))),-1)))))</f>
        <v>gm. w. Czarnocin</v>
      </c>
      <c r="D2305" s="141">
        <f>IF(OR($A2305="",ISERROR(VALUE(LEFT($A2305,6)))),"",IF(LEN($A2305)=2,SUMIF($A2306:$A$2965,$A2305&amp;"??",$D2306:$D$2965),IF(AND(LEN($A2305)=4,VALUE(RIGHT($A2305,2))&lt;=60),SUMIF($A2306:$A$2965,$A2305&amp;"????",$D2306:$D$2965),VLOOKUP(IF(LEN($A2305)=4,$A2305&amp;"01 1",$A2305),GUS_tabl_21!$A$5:$F$4886,6,FALSE))))</f>
        <v>3758</v>
      </c>
      <c r="E2305" s="29"/>
    </row>
    <row r="2306" spans="1:5" ht="12" customHeight="1">
      <c r="A2306" s="155" t="str">
        <f>"260303 3"</f>
        <v>260303 3</v>
      </c>
      <c r="B2306" s="153" t="s">
        <v>58</v>
      </c>
      <c r="C2306" s="156" t="str">
        <f>IF(OR($A2306="",ISERROR(VALUE(LEFT($A2306,6)))),"",IF(LEN($A2306)=2,"WOJ. ",IF(LEN($A2306)=4,IF(VALUE(RIGHT($A2306,2))&gt;60,"","Powiat "),IF(VALUE(RIGHT($A2306,1))=1,"m. ",IF(VALUE(RIGHT($A2306,1))=2,"gm. w. ",IF(VALUE(RIGHT($A2306,1))=8,"dz. ","gm. m.-w. ")))))&amp;IF(LEN($A2306)=2,TRIM(UPPER(VLOOKUP($A2306,GUS_tabl_1!$A$7:$B$22,2,FALSE))),IF(ISERROR(FIND("..",TRIM(VLOOKUP(IF(AND(LEN($A2306)=4,VALUE(RIGHT($A2306,2))&gt;60),$A2306&amp;"01 1",$A2306),IF(AND(LEN($A2306)=4,VALUE(RIGHT($A2306,2))&lt;60),GUS_tabl_2!$A$8:$B$464,GUS_tabl_21!$A$5:$B$4886),2,FALSE)))),TRIM(VLOOKUP(IF(AND(LEN($A2306)=4,VALUE(RIGHT($A2306,2))&gt;60),$A2306&amp;"01 1",$A2306),IF(AND(LEN($A2306)=4,VALUE(RIGHT($A2306,2))&lt;60),GUS_tabl_2!$A$8:$B$464,GUS_tabl_21!$A$5:$B$4886),2,FALSE)),LEFT(TRIM(VLOOKUP(IF(AND(LEN($A2306)=4,VALUE(RIGHT($A2306,2))&gt;60),$A2306&amp;"01 1",$A2306),IF(AND(LEN($A2306)=4,VALUE(RIGHT($A2306,2))&lt;60),GUS_tabl_2!$A$8:$B$464,GUS_tabl_21!$A$5:$B$4886),2,FALSE)),SUM(FIND("..",TRIM(VLOOKUP(IF(AND(LEN($A2306)=4,VALUE(RIGHT($A2306,2))&gt;60),$A2306&amp;"01 1",$A2306),IF(AND(LEN($A2306)=4,VALUE(RIGHT($A2306,2))&lt;60),GUS_tabl_2!$A$8:$B$464,GUS_tabl_21!$A$5:$B$4886),2,FALSE))),-1)))))</f>
        <v>gm. m.-w. Kazimierza Wielka</v>
      </c>
      <c r="D2306" s="141">
        <f>IF(OR($A2306="",ISERROR(VALUE(LEFT($A2306,6)))),"",IF(LEN($A2306)=2,SUMIF($A2307:$A$2965,$A2306&amp;"??",$D2307:$D$2965),IF(AND(LEN($A2306)=4,VALUE(RIGHT($A2306,2))&lt;=60),SUMIF($A2307:$A$2965,$A2306&amp;"????",$D2307:$D$2965),VLOOKUP(IF(LEN($A2306)=4,$A2306&amp;"01 1",$A2306),GUS_tabl_21!$A$5:$F$4886,6,FALSE))))</f>
        <v>16118</v>
      </c>
      <c r="E2306" s="29"/>
    </row>
    <row r="2307" spans="1:5" ht="12" customHeight="1">
      <c r="A2307" s="155" t="str">
        <f>"260304 3"</f>
        <v>260304 3</v>
      </c>
      <c r="B2307" s="153" t="s">
        <v>58</v>
      </c>
      <c r="C2307" s="156" t="str">
        <f>IF(OR($A2307="",ISERROR(VALUE(LEFT($A2307,6)))),"",IF(LEN($A2307)=2,"WOJ. ",IF(LEN($A2307)=4,IF(VALUE(RIGHT($A2307,2))&gt;60,"","Powiat "),IF(VALUE(RIGHT($A2307,1))=1,"m. ",IF(VALUE(RIGHT($A2307,1))=2,"gm. w. ",IF(VALUE(RIGHT($A2307,1))=8,"dz. ","gm. m.-w. ")))))&amp;IF(LEN($A2307)=2,TRIM(UPPER(VLOOKUP($A2307,GUS_tabl_1!$A$7:$B$22,2,FALSE))),IF(ISERROR(FIND("..",TRIM(VLOOKUP(IF(AND(LEN($A2307)=4,VALUE(RIGHT($A2307,2))&gt;60),$A2307&amp;"01 1",$A2307),IF(AND(LEN($A2307)=4,VALUE(RIGHT($A2307,2))&lt;60),GUS_tabl_2!$A$8:$B$464,GUS_tabl_21!$A$5:$B$4886),2,FALSE)))),TRIM(VLOOKUP(IF(AND(LEN($A2307)=4,VALUE(RIGHT($A2307,2))&gt;60),$A2307&amp;"01 1",$A2307),IF(AND(LEN($A2307)=4,VALUE(RIGHT($A2307,2))&lt;60),GUS_tabl_2!$A$8:$B$464,GUS_tabl_21!$A$5:$B$4886),2,FALSE)),LEFT(TRIM(VLOOKUP(IF(AND(LEN($A2307)=4,VALUE(RIGHT($A2307,2))&gt;60),$A2307&amp;"01 1",$A2307),IF(AND(LEN($A2307)=4,VALUE(RIGHT($A2307,2))&lt;60),GUS_tabl_2!$A$8:$B$464,GUS_tabl_21!$A$5:$B$4886),2,FALSE)),SUM(FIND("..",TRIM(VLOOKUP(IF(AND(LEN($A2307)=4,VALUE(RIGHT($A2307,2))&gt;60),$A2307&amp;"01 1",$A2307),IF(AND(LEN($A2307)=4,VALUE(RIGHT($A2307,2))&lt;60),GUS_tabl_2!$A$8:$B$464,GUS_tabl_21!$A$5:$B$4886),2,FALSE))),-1)))))</f>
        <v>gm. m.-w. Opatowiec</v>
      </c>
      <c r="D2307" s="141">
        <f>IF(OR($A2307="",ISERROR(VALUE(LEFT($A2307,6)))),"",IF(LEN($A2307)=2,SUMIF($A2308:$A$2965,$A2307&amp;"??",$D2308:$D$2965),IF(AND(LEN($A2307)=4,VALUE(RIGHT($A2307,2))&lt;=60),SUMIF($A2308:$A$2965,$A2307&amp;"????",$D2308:$D$2965),VLOOKUP(IF(LEN($A2307)=4,$A2307&amp;"01 1",$A2307),GUS_tabl_21!$A$5:$F$4886,6,FALSE))))</f>
        <v>3283</v>
      </c>
      <c r="E2307" s="29"/>
    </row>
    <row r="2308" spans="1:5" ht="12" customHeight="1">
      <c r="A2308" s="155" t="str">
        <f>"260305 3"</f>
        <v>260305 3</v>
      </c>
      <c r="B2308" s="153" t="s">
        <v>58</v>
      </c>
      <c r="C2308" s="156" t="str">
        <f>IF(OR($A2308="",ISERROR(VALUE(LEFT($A2308,6)))),"",IF(LEN($A2308)=2,"WOJ. ",IF(LEN($A2308)=4,IF(VALUE(RIGHT($A2308,2))&gt;60,"","Powiat "),IF(VALUE(RIGHT($A2308,1))=1,"m. ",IF(VALUE(RIGHT($A2308,1))=2,"gm. w. ",IF(VALUE(RIGHT($A2308,1))=8,"dz. ","gm. m.-w. ")))))&amp;IF(LEN($A2308)=2,TRIM(UPPER(VLOOKUP($A2308,GUS_tabl_1!$A$7:$B$22,2,FALSE))),IF(ISERROR(FIND("..",TRIM(VLOOKUP(IF(AND(LEN($A2308)=4,VALUE(RIGHT($A2308,2))&gt;60),$A2308&amp;"01 1",$A2308),IF(AND(LEN($A2308)=4,VALUE(RIGHT($A2308,2))&lt;60),GUS_tabl_2!$A$8:$B$464,GUS_tabl_21!$A$5:$B$4886),2,FALSE)))),TRIM(VLOOKUP(IF(AND(LEN($A2308)=4,VALUE(RIGHT($A2308,2))&gt;60),$A2308&amp;"01 1",$A2308),IF(AND(LEN($A2308)=4,VALUE(RIGHT($A2308,2))&lt;60),GUS_tabl_2!$A$8:$B$464,GUS_tabl_21!$A$5:$B$4886),2,FALSE)),LEFT(TRIM(VLOOKUP(IF(AND(LEN($A2308)=4,VALUE(RIGHT($A2308,2))&gt;60),$A2308&amp;"01 1",$A2308),IF(AND(LEN($A2308)=4,VALUE(RIGHT($A2308,2))&lt;60),GUS_tabl_2!$A$8:$B$464,GUS_tabl_21!$A$5:$B$4886),2,FALSE)),SUM(FIND("..",TRIM(VLOOKUP(IF(AND(LEN($A2308)=4,VALUE(RIGHT($A2308,2))&gt;60),$A2308&amp;"01 1",$A2308),IF(AND(LEN($A2308)=4,VALUE(RIGHT($A2308,2))&lt;60),GUS_tabl_2!$A$8:$B$464,GUS_tabl_21!$A$5:$B$4886),2,FALSE))),-1)))))</f>
        <v>gm. m.-w. Skalbmierz</v>
      </c>
      <c r="D2308" s="141">
        <f>IF(OR($A2308="",ISERROR(VALUE(LEFT($A2308,6)))),"",IF(LEN($A2308)=2,SUMIF($A2309:$A$2965,$A2308&amp;"??",$D2309:$D$2965),IF(AND(LEN($A2308)=4,VALUE(RIGHT($A2308,2))&lt;=60),SUMIF($A2309:$A$2965,$A2308&amp;"????",$D2309:$D$2965),VLOOKUP(IF(LEN($A2308)=4,$A2308&amp;"01 1",$A2308),GUS_tabl_21!$A$5:$F$4886,6,FALSE))))</f>
        <v>6463</v>
      </c>
      <c r="E2308" s="29"/>
    </row>
    <row r="2309" spans="1:5" ht="12" customHeight="1">
      <c r="A2309" s="152" t="str">
        <f>"2604"</f>
        <v>2604</v>
      </c>
      <c r="B2309" s="153" t="s">
        <v>58</v>
      </c>
      <c r="C2309" s="154" t="str">
        <f>IF(OR($A2309="",ISERROR(VALUE(LEFT($A2309,6)))),"",IF(LEN($A2309)=2,"WOJ. ",IF(LEN($A2309)=4,IF(VALUE(RIGHT($A2309,2))&gt;60,"","Powiat "),IF(VALUE(RIGHT($A2309,1))=1,"m. ",IF(VALUE(RIGHT($A2309,1))=2,"gm. w. ",IF(VALUE(RIGHT($A2309,1))=8,"dz. ","gm. m.-w. ")))))&amp;IF(LEN($A2309)=2,TRIM(UPPER(VLOOKUP($A2309,GUS_tabl_1!$A$7:$B$22,2,FALSE))),IF(ISERROR(FIND("..",TRIM(VLOOKUP(IF(AND(LEN($A2309)=4,VALUE(RIGHT($A2309,2))&gt;60),$A2309&amp;"01 1",$A2309),IF(AND(LEN($A2309)=4,VALUE(RIGHT($A2309,2))&lt;60),GUS_tabl_2!$A$8:$B$464,GUS_tabl_21!$A$5:$B$4886),2,FALSE)))),TRIM(VLOOKUP(IF(AND(LEN($A2309)=4,VALUE(RIGHT($A2309,2))&gt;60),$A2309&amp;"01 1",$A2309),IF(AND(LEN($A2309)=4,VALUE(RIGHT($A2309,2))&lt;60),GUS_tabl_2!$A$8:$B$464,GUS_tabl_21!$A$5:$B$4886),2,FALSE)),LEFT(TRIM(VLOOKUP(IF(AND(LEN($A2309)=4,VALUE(RIGHT($A2309,2))&gt;60),$A2309&amp;"01 1",$A2309),IF(AND(LEN($A2309)=4,VALUE(RIGHT($A2309,2))&lt;60),GUS_tabl_2!$A$8:$B$464,GUS_tabl_21!$A$5:$B$4886),2,FALSE)),SUM(FIND("..",TRIM(VLOOKUP(IF(AND(LEN($A2309)=4,VALUE(RIGHT($A2309,2))&gt;60),$A2309&amp;"01 1",$A2309),IF(AND(LEN($A2309)=4,VALUE(RIGHT($A2309,2))&lt;60),GUS_tabl_2!$A$8:$B$464,GUS_tabl_21!$A$5:$B$4886),2,FALSE))),-1)))))</f>
        <v>Powiat kielecki</v>
      </c>
      <c r="D2309" s="140">
        <f>IF(OR($A2309="",ISERROR(VALUE(LEFT($A2309,6)))),"",IF(LEN($A2309)=2,SUMIF($A2310:$A$2965,$A2309&amp;"??",$D2310:$D$2965),IF(AND(LEN($A2309)=4,VALUE(RIGHT($A2309,2))&lt;=60),SUMIF($A2310:$A$2965,$A2309&amp;"????",$D2310:$D$2965),VLOOKUP(IF(LEN($A2309)=4,$A2309&amp;"01 1",$A2309),GUS_tabl_21!$A$5:$F$4886,6,FALSE))))</f>
        <v>211259</v>
      </c>
      <c r="E2309" s="29"/>
    </row>
    <row r="2310" spans="1:5" ht="12" customHeight="1">
      <c r="A2310" s="155" t="str">
        <f>"260401 2"</f>
        <v>260401 2</v>
      </c>
      <c r="B2310" s="153" t="s">
        <v>58</v>
      </c>
      <c r="C2310" s="156" t="str">
        <f>IF(OR($A2310="",ISERROR(VALUE(LEFT($A2310,6)))),"",IF(LEN($A2310)=2,"WOJ. ",IF(LEN($A2310)=4,IF(VALUE(RIGHT($A2310,2))&gt;60,"","Powiat "),IF(VALUE(RIGHT($A2310,1))=1,"m. ",IF(VALUE(RIGHT($A2310,1))=2,"gm. w. ",IF(VALUE(RIGHT($A2310,1))=8,"dz. ","gm. m.-w. ")))))&amp;IF(LEN($A2310)=2,TRIM(UPPER(VLOOKUP($A2310,GUS_tabl_1!$A$7:$B$22,2,FALSE))),IF(ISERROR(FIND("..",TRIM(VLOOKUP(IF(AND(LEN($A2310)=4,VALUE(RIGHT($A2310,2))&gt;60),$A2310&amp;"01 1",$A2310),IF(AND(LEN($A2310)=4,VALUE(RIGHT($A2310,2))&lt;60),GUS_tabl_2!$A$8:$B$464,GUS_tabl_21!$A$5:$B$4886),2,FALSE)))),TRIM(VLOOKUP(IF(AND(LEN($A2310)=4,VALUE(RIGHT($A2310,2))&gt;60),$A2310&amp;"01 1",$A2310),IF(AND(LEN($A2310)=4,VALUE(RIGHT($A2310,2))&lt;60),GUS_tabl_2!$A$8:$B$464,GUS_tabl_21!$A$5:$B$4886),2,FALSE)),LEFT(TRIM(VLOOKUP(IF(AND(LEN($A2310)=4,VALUE(RIGHT($A2310,2))&gt;60),$A2310&amp;"01 1",$A2310),IF(AND(LEN($A2310)=4,VALUE(RIGHT($A2310,2))&lt;60),GUS_tabl_2!$A$8:$B$464,GUS_tabl_21!$A$5:$B$4886),2,FALSE)),SUM(FIND("..",TRIM(VLOOKUP(IF(AND(LEN($A2310)=4,VALUE(RIGHT($A2310,2))&gt;60),$A2310&amp;"01 1",$A2310),IF(AND(LEN($A2310)=4,VALUE(RIGHT($A2310,2))&lt;60),GUS_tabl_2!$A$8:$B$464,GUS_tabl_21!$A$5:$B$4886),2,FALSE))),-1)))))</f>
        <v>gm. w. Bieliny</v>
      </c>
      <c r="D2310" s="141">
        <f>IF(OR($A2310="",ISERROR(VALUE(LEFT($A2310,6)))),"",IF(LEN($A2310)=2,SUMIF($A2311:$A$2965,$A2310&amp;"??",$D2311:$D$2965),IF(AND(LEN($A2310)=4,VALUE(RIGHT($A2310,2))&lt;=60),SUMIF($A2311:$A$2965,$A2310&amp;"????",$D2311:$D$2965),VLOOKUP(IF(LEN($A2310)=4,$A2310&amp;"01 1",$A2310),GUS_tabl_21!$A$5:$F$4886,6,FALSE))))</f>
        <v>10299</v>
      </c>
      <c r="E2310" s="29"/>
    </row>
    <row r="2311" spans="1:5" ht="12" customHeight="1">
      <c r="A2311" s="155" t="str">
        <f>"260402 3"</f>
        <v>260402 3</v>
      </c>
      <c r="B2311" s="153" t="s">
        <v>58</v>
      </c>
      <c r="C2311" s="156" t="str">
        <f>IF(OR($A2311="",ISERROR(VALUE(LEFT($A2311,6)))),"",IF(LEN($A2311)=2,"WOJ. ",IF(LEN($A2311)=4,IF(VALUE(RIGHT($A2311,2))&gt;60,"","Powiat "),IF(VALUE(RIGHT($A2311,1))=1,"m. ",IF(VALUE(RIGHT($A2311,1))=2,"gm. w. ",IF(VALUE(RIGHT($A2311,1))=8,"dz. ","gm. m.-w. ")))))&amp;IF(LEN($A2311)=2,TRIM(UPPER(VLOOKUP($A2311,GUS_tabl_1!$A$7:$B$22,2,FALSE))),IF(ISERROR(FIND("..",TRIM(VLOOKUP(IF(AND(LEN($A2311)=4,VALUE(RIGHT($A2311,2))&gt;60),$A2311&amp;"01 1",$A2311),IF(AND(LEN($A2311)=4,VALUE(RIGHT($A2311,2))&lt;60),GUS_tabl_2!$A$8:$B$464,GUS_tabl_21!$A$5:$B$4886),2,FALSE)))),TRIM(VLOOKUP(IF(AND(LEN($A2311)=4,VALUE(RIGHT($A2311,2))&gt;60),$A2311&amp;"01 1",$A2311),IF(AND(LEN($A2311)=4,VALUE(RIGHT($A2311,2))&lt;60),GUS_tabl_2!$A$8:$B$464,GUS_tabl_21!$A$5:$B$4886),2,FALSE)),LEFT(TRIM(VLOOKUP(IF(AND(LEN($A2311)=4,VALUE(RIGHT($A2311,2))&gt;60),$A2311&amp;"01 1",$A2311),IF(AND(LEN($A2311)=4,VALUE(RIGHT($A2311,2))&lt;60),GUS_tabl_2!$A$8:$B$464,GUS_tabl_21!$A$5:$B$4886),2,FALSE)),SUM(FIND("..",TRIM(VLOOKUP(IF(AND(LEN($A2311)=4,VALUE(RIGHT($A2311,2))&gt;60),$A2311&amp;"01 1",$A2311),IF(AND(LEN($A2311)=4,VALUE(RIGHT($A2311,2))&lt;60),GUS_tabl_2!$A$8:$B$464,GUS_tabl_21!$A$5:$B$4886),2,FALSE))),-1)))))</f>
        <v>gm. m.-w. Bodzentyn</v>
      </c>
      <c r="D2311" s="141">
        <f>IF(OR($A2311="",ISERROR(VALUE(LEFT($A2311,6)))),"",IF(LEN($A2311)=2,SUMIF($A2312:$A$2965,$A2311&amp;"??",$D2312:$D$2965),IF(AND(LEN($A2311)=4,VALUE(RIGHT($A2311,2))&lt;=60),SUMIF($A2312:$A$2965,$A2311&amp;"????",$D2312:$D$2965),VLOOKUP(IF(LEN($A2311)=4,$A2311&amp;"01 1",$A2311),GUS_tabl_21!$A$5:$F$4886,6,FALSE))))</f>
        <v>11479</v>
      </c>
      <c r="E2311" s="29"/>
    </row>
    <row r="2312" spans="1:5" ht="12" customHeight="1">
      <c r="A2312" s="155" t="str">
        <f>"260403 3"</f>
        <v>260403 3</v>
      </c>
      <c r="B2312" s="153" t="s">
        <v>58</v>
      </c>
      <c r="C2312" s="156" t="str">
        <f>IF(OR($A2312="",ISERROR(VALUE(LEFT($A2312,6)))),"",IF(LEN($A2312)=2,"WOJ. ",IF(LEN($A2312)=4,IF(VALUE(RIGHT($A2312,2))&gt;60,"","Powiat "),IF(VALUE(RIGHT($A2312,1))=1,"m. ",IF(VALUE(RIGHT($A2312,1))=2,"gm. w. ",IF(VALUE(RIGHT($A2312,1))=8,"dz. ","gm. m.-w. ")))))&amp;IF(LEN($A2312)=2,TRIM(UPPER(VLOOKUP($A2312,GUS_tabl_1!$A$7:$B$22,2,FALSE))),IF(ISERROR(FIND("..",TRIM(VLOOKUP(IF(AND(LEN($A2312)=4,VALUE(RIGHT($A2312,2))&gt;60),$A2312&amp;"01 1",$A2312),IF(AND(LEN($A2312)=4,VALUE(RIGHT($A2312,2))&lt;60),GUS_tabl_2!$A$8:$B$464,GUS_tabl_21!$A$5:$B$4886),2,FALSE)))),TRIM(VLOOKUP(IF(AND(LEN($A2312)=4,VALUE(RIGHT($A2312,2))&gt;60),$A2312&amp;"01 1",$A2312),IF(AND(LEN($A2312)=4,VALUE(RIGHT($A2312,2))&lt;60),GUS_tabl_2!$A$8:$B$464,GUS_tabl_21!$A$5:$B$4886),2,FALSE)),LEFT(TRIM(VLOOKUP(IF(AND(LEN($A2312)=4,VALUE(RIGHT($A2312,2))&gt;60),$A2312&amp;"01 1",$A2312),IF(AND(LEN($A2312)=4,VALUE(RIGHT($A2312,2))&lt;60),GUS_tabl_2!$A$8:$B$464,GUS_tabl_21!$A$5:$B$4886),2,FALSE)),SUM(FIND("..",TRIM(VLOOKUP(IF(AND(LEN($A2312)=4,VALUE(RIGHT($A2312,2))&gt;60),$A2312&amp;"01 1",$A2312),IF(AND(LEN($A2312)=4,VALUE(RIGHT($A2312,2))&lt;60),GUS_tabl_2!$A$8:$B$464,GUS_tabl_21!$A$5:$B$4886),2,FALSE))),-1)))))</f>
        <v>gm. m.-w. Chęciny</v>
      </c>
      <c r="D2312" s="141">
        <f>IF(OR($A2312="",ISERROR(VALUE(LEFT($A2312,6)))),"",IF(LEN($A2312)=2,SUMIF($A2313:$A$2965,$A2312&amp;"??",$D2313:$D$2965),IF(AND(LEN($A2312)=4,VALUE(RIGHT($A2312,2))&lt;=60),SUMIF($A2313:$A$2965,$A2312&amp;"????",$D2313:$D$2965),VLOOKUP(IF(LEN($A2312)=4,$A2312&amp;"01 1",$A2312),GUS_tabl_21!$A$5:$F$4886,6,FALSE))))</f>
        <v>15111</v>
      </c>
      <c r="E2312" s="29"/>
    </row>
    <row r="2313" spans="1:5" ht="12" customHeight="1">
      <c r="A2313" s="155" t="str">
        <f>"260404 3"</f>
        <v>260404 3</v>
      </c>
      <c r="B2313" s="153" t="s">
        <v>58</v>
      </c>
      <c r="C2313" s="156" t="str">
        <f>IF(OR($A2313="",ISERROR(VALUE(LEFT($A2313,6)))),"",IF(LEN($A2313)=2,"WOJ. ",IF(LEN($A2313)=4,IF(VALUE(RIGHT($A2313,2))&gt;60,"","Powiat "),IF(VALUE(RIGHT($A2313,1))=1,"m. ",IF(VALUE(RIGHT($A2313,1))=2,"gm. w. ",IF(VALUE(RIGHT($A2313,1))=8,"dz. ","gm. m.-w. ")))))&amp;IF(LEN($A2313)=2,TRIM(UPPER(VLOOKUP($A2313,GUS_tabl_1!$A$7:$B$22,2,FALSE))),IF(ISERROR(FIND("..",TRIM(VLOOKUP(IF(AND(LEN($A2313)=4,VALUE(RIGHT($A2313,2))&gt;60),$A2313&amp;"01 1",$A2313),IF(AND(LEN($A2313)=4,VALUE(RIGHT($A2313,2))&lt;60),GUS_tabl_2!$A$8:$B$464,GUS_tabl_21!$A$5:$B$4886),2,FALSE)))),TRIM(VLOOKUP(IF(AND(LEN($A2313)=4,VALUE(RIGHT($A2313,2))&gt;60),$A2313&amp;"01 1",$A2313),IF(AND(LEN($A2313)=4,VALUE(RIGHT($A2313,2))&lt;60),GUS_tabl_2!$A$8:$B$464,GUS_tabl_21!$A$5:$B$4886),2,FALSE)),LEFT(TRIM(VLOOKUP(IF(AND(LEN($A2313)=4,VALUE(RIGHT($A2313,2))&gt;60),$A2313&amp;"01 1",$A2313),IF(AND(LEN($A2313)=4,VALUE(RIGHT($A2313,2))&lt;60),GUS_tabl_2!$A$8:$B$464,GUS_tabl_21!$A$5:$B$4886),2,FALSE)),SUM(FIND("..",TRIM(VLOOKUP(IF(AND(LEN($A2313)=4,VALUE(RIGHT($A2313,2))&gt;60),$A2313&amp;"01 1",$A2313),IF(AND(LEN($A2313)=4,VALUE(RIGHT($A2313,2))&lt;60),GUS_tabl_2!$A$8:$B$464,GUS_tabl_21!$A$5:$B$4886),2,FALSE))),-1)))))</f>
        <v>gm. m.-w. Chmielnik</v>
      </c>
      <c r="D2313" s="141">
        <f>IF(OR($A2313="",ISERROR(VALUE(LEFT($A2313,6)))),"",IF(LEN($A2313)=2,SUMIF($A2314:$A$2965,$A2313&amp;"??",$D2314:$D$2965),IF(AND(LEN($A2313)=4,VALUE(RIGHT($A2313,2))&lt;=60),SUMIF($A2314:$A$2965,$A2313&amp;"????",$D2314:$D$2965),VLOOKUP(IF(LEN($A2313)=4,$A2313&amp;"01 1",$A2313),GUS_tabl_21!$A$5:$F$4886,6,FALSE))))</f>
        <v>11264</v>
      </c>
      <c r="E2313" s="29"/>
    </row>
    <row r="2314" spans="1:5" ht="12" customHeight="1">
      <c r="A2314" s="155" t="str">
        <f>"260405 3"</f>
        <v>260405 3</v>
      </c>
      <c r="B2314" s="153" t="s">
        <v>58</v>
      </c>
      <c r="C2314" s="156" t="str">
        <f>IF(OR($A2314="",ISERROR(VALUE(LEFT($A2314,6)))),"",IF(LEN($A2314)=2,"WOJ. ",IF(LEN($A2314)=4,IF(VALUE(RIGHT($A2314,2))&gt;60,"","Powiat "),IF(VALUE(RIGHT($A2314,1))=1,"m. ",IF(VALUE(RIGHT($A2314,1))=2,"gm. w. ",IF(VALUE(RIGHT($A2314,1))=8,"dz. ","gm. m.-w. ")))))&amp;IF(LEN($A2314)=2,TRIM(UPPER(VLOOKUP($A2314,GUS_tabl_1!$A$7:$B$22,2,FALSE))),IF(ISERROR(FIND("..",TRIM(VLOOKUP(IF(AND(LEN($A2314)=4,VALUE(RIGHT($A2314,2))&gt;60),$A2314&amp;"01 1",$A2314),IF(AND(LEN($A2314)=4,VALUE(RIGHT($A2314,2))&lt;60),GUS_tabl_2!$A$8:$B$464,GUS_tabl_21!$A$5:$B$4886),2,FALSE)))),TRIM(VLOOKUP(IF(AND(LEN($A2314)=4,VALUE(RIGHT($A2314,2))&gt;60),$A2314&amp;"01 1",$A2314),IF(AND(LEN($A2314)=4,VALUE(RIGHT($A2314,2))&lt;60),GUS_tabl_2!$A$8:$B$464,GUS_tabl_21!$A$5:$B$4886),2,FALSE)),LEFT(TRIM(VLOOKUP(IF(AND(LEN($A2314)=4,VALUE(RIGHT($A2314,2))&gt;60),$A2314&amp;"01 1",$A2314),IF(AND(LEN($A2314)=4,VALUE(RIGHT($A2314,2))&lt;60),GUS_tabl_2!$A$8:$B$464,GUS_tabl_21!$A$5:$B$4886),2,FALSE)),SUM(FIND("..",TRIM(VLOOKUP(IF(AND(LEN($A2314)=4,VALUE(RIGHT($A2314,2))&gt;60),$A2314&amp;"01 1",$A2314),IF(AND(LEN($A2314)=4,VALUE(RIGHT($A2314,2))&lt;60),GUS_tabl_2!$A$8:$B$464,GUS_tabl_21!$A$5:$B$4886),2,FALSE))),-1)))))</f>
        <v>gm. m.-w. Daleszyce</v>
      </c>
      <c r="D2314" s="141">
        <f>IF(OR($A2314="",ISERROR(VALUE(LEFT($A2314,6)))),"",IF(LEN($A2314)=2,SUMIF($A2315:$A$2965,$A2314&amp;"??",$D2315:$D$2965),IF(AND(LEN($A2314)=4,VALUE(RIGHT($A2314,2))&lt;=60),SUMIF($A2315:$A$2965,$A2314&amp;"????",$D2315:$D$2965),VLOOKUP(IF(LEN($A2314)=4,$A2314&amp;"01 1",$A2314),GUS_tabl_21!$A$5:$F$4886,6,FALSE))))</f>
        <v>15865</v>
      </c>
      <c r="E2314" s="29"/>
    </row>
    <row r="2315" spans="1:5" ht="12" customHeight="1">
      <c r="A2315" s="155" t="str">
        <f>"260406 2"</f>
        <v>260406 2</v>
      </c>
      <c r="B2315" s="153" t="s">
        <v>58</v>
      </c>
      <c r="C2315" s="156" t="str">
        <f>IF(OR($A2315="",ISERROR(VALUE(LEFT($A2315,6)))),"",IF(LEN($A2315)=2,"WOJ. ",IF(LEN($A2315)=4,IF(VALUE(RIGHT($A2315,2))&gt;60,"","Powiat "),IF(VALUE(RIGHT($A2315,1))=1,"m. ",IF(VALUE(RIGHT($A2315,1))=2,"gm. w. ",IF(VALUE(RIGHT($A2315,1))=8,"dz. ","gm. m.-w. ")))))&amp;IF(LEN($A2315)=2,TRIM(UPPER(VLOOKUP($A2315,GUS_tabl_1!$A$7:$B$22,2,FALSE))),IF(ISERROR(FIND("..",TRIM(VLOOKUP(IF(AND(LEN($A2315)=4,VALUE(RIGHT($A2315,2))&gt;60),$A2315&amp;"01 1",$A2315),IF(AND(LEN($A2315)=4,VALUE(RIGHT($A2315,2))&lt;60),GUS_tabl_2!$A$8:$B$464,GUS_tabl_21!$A$5:$B$4886),2,FALSE)))),TRIM(VLOOKUP(IF(AND(LEN($A2315)=4,VALUE(RIGHT($A2315,2))&gt;60),$A2315&amp;"01 1",$A2315),IF(AND(LEN($A2315)=4,VALUE(RIGHT($A2315,2))&lt;60),GUS_tabl_2!$A$8:$B$464,GUS_tabl_21!$A$5:$B$4886),2,FALSE)),LEFT(TRIM(VLOOKUP(IF(AND(LEN($A2315)=4,VALUE(RIGHT($A2315,2))&gt;60),$A2315&amp;"01 1",$A2315),IF(AND(LEN($A2315)=4,VALUE(RIGHT($A2315,2))&lt;60),GUS_tabl_2!$A$8:$B$464,GUS_tabl_21!$A$5:$B$4886),2,FALSE)),SUM(FIND("..",TRIM(VLOOKUP(IF(AND(LEN($A2315)=4,VALUE(RIGHT($A2315,2))&gt;60),$A2315&amp;"01 1",$A2315),IF(AND(LEN($A2315)=4,VALUE(RIGHT($A2315,2))&lt;60),GUS_tabl_2!$A$8:$B$464,GUS_tabl_21!$A$5:$B$4886),2,FALSE))),-1)))))</f>
        <v>gm. w. Górno</v>
      </c>
      <c r="D2315" s="141">
        <f>IF(OR($A2315="",ISERROR(VALUE(LEFT($A2315,6)))),"",IF(LEN($A2315)=2,SUMIF($A2316:$A$2965,$A2315&amp;"??",$D2316:$D$2965),IF(AND(LEN($A2315)=4,VALUE(RIGHT($A2315,2))&lt;=60),SUMIF($A2316:$A$2965,$A2315&amp;"????",$D2316:$D$2965),VLOOKUP(IF(LEN($A2315)=4,$A2315&amp;"01 1",$A2315),GUS_tabl_21!$A$5:$F$4886,6,FALSE))))</f>
        <v>14559</v>
      </c>
      <c r="E2315" s="29"/>
    </row>
    <row r="2316" spans="1:5" ht="12" customHeight="1">
      <c r="A2316" s="155" t="str">
        <f>"260407 3"</f>
        <v>260407 3</v>
      </c>
      <c r="B2316" s="153" t="s">
        <v>58</v>
      </c>
      <c r="C2316" s="156" t="str">
        <f>IF(OR($A2316="",ISERROR(VALUE(LEFT($A2316,6)))),"",IF(LEN($A2316)=2,"WOJ. ",IF(LEN($A2316)=4,IF(VALUE(RIGHT($A2316,2))&gt;60,"","Powiat "),IF(VALUE(RIGHT($A2316,1))=1,"m. ",IF(VALUE(RIGHT($A2316,1))=2,"gm. w. ",IF(VALUE(RIGHT($A2316,1))=8,"dz. ","gm. m.-w. ")))))&amp;IF(LEN($A2316)=2,TRIM(UPPER(VLOOKUP($A2316,GUS_tabl_1!$A$7:$B$22,2,FALSE))),IF(ISERROR(FIND("..",TRIM(VLOOKUP(IF(AND(LEN($A2316)=4,VALUE(RIGHT($A2316,2))&gt;60),$A2316&amp;"01 1",$A2316),IF(AND(LEN($A2316)=4,VALUE(RIGHT($A2316,2))&lt;60),GUS_tabl_2!$A$8:$B$464,GUS_tabl_21!$A$5:$B$4886),2,FALSE)))),TRIM(VLOOKUP(IF(AND(LEN($A2316)=4,VALUE(RIGHT($A2316,2))&gt;60),$A2316&amp;"01 1",$A2316),IF(AND(LEN($A2316)=4,VALUE(RIGHT($A2316,2))&lt;60),GUS_tabl_2!$A$8:$B$464,GUS_tabl_21!$A$5:$B$4886),2,FALSE)),LEFT(TRIM(VLOOKUP(IF(AND(LEN($A2316)=4,VALUE(RIGHT($A2316,2))&gt;60),$A2316&amp;"01 1",$A2316),IF(AND(LEN($A2316)=4,VALUE(RIGHT($A2316,2))&lt;60),GUS_tabl_2!$A$8:$B$464,GUS_tabl_21!$A$5:$B$4886),2,FALSE)),SUM(FIND("..",TRIM(VLOOKUP(IF(AND(LEN($A2316)=4,VALUE(RIGHT($A2316,2))&gt;60),$A2316&amp;"01 1",$A2316),IF(AND(LEN($A2316)=4,VALUE(RIGHT($A2316,2))&lt;60),GUS_tabl_2!$A$8:$B$464,GUS_tabl_21!$A$5:$B$4886),2,FALSE))),-1)))))</f>
        <v>gm. m.-w. Łagów</v>
      </c>
      <c r="D2316" s="141">
        <f>IF(OR($A2316="",ISERROR(VALUE(LEFT($A2316,6)))),"",IF(LEN($A2316)=2,SUMIF($A2317:$A$2965,$A2316&amp;"??",$D2317:$D$2965),IF(AND(LEN($A2316)=4,VALUE(RIGHT($A2316,2))&lt;=60),SUMIF($A2317:$A$2965,$A2316&amp;"????",$D2317:$D$2965),VLOOKUP(IF(LEN($A2316)=4,$A2316&amp;"01 1",$A2316),GUS_tabl_21!$A$5:$F$4886,6,FALSE))))</f>
        <v>6880</v>
      </c>
      <c r="E2316" s="29"/>
    </row>
    <row r="2317" spans="1:5" ht="12" customHeight="1">
      <c r="A2317" s="155" t="str">
        <f>"260408 2"</f>
        <v>260408 2</v>
      </c>
      <c r="B2317" s="153" t="s">
        <v>58</v>
      </c>
      <c r="C2317" s="156" t="str">
        <f>IF(OR($A2317="",ISERROR(VALUE(LEFT($A2317,6)))),"",IF(LEN($A2317)=2,"WOJ. ",IF(LEN($A2317)=4,IF(VALUE(RIGHT($A2317,2))&gt;60,"","Powiat "),IF(VALUE(RIGHT($A2317,1))=1,"m. ",IF(VALUE(RIGHT($A2317,1))=2,"gm. w. ",IF(VALUE(RIGHT($A2317,1))=8,"dz. ","gm. m.-w. ")))))&amp;IF(LEN($A2317)=2,TRIM(UPPER(VLOOKUP($A2317,GUS_tabl_1!$A$7:$B$22,2,FALSE))),IF(ISERROR(FIND("..",TRIM(VLOOKUP(IF(AND(LEN($A2317)=4,VALUE(RIGHT($A2317,2))&gt;60),$A2317&amp;"01 1",$A2317),IF(AND(LEN($A2317)=4,VALUE(RIGHT($A2317,2))&lt;60),GUS_tabl_2!$A$8:$B$464,GUS_tabl_21!$A$5:$B$4886),2,FALSE)))),TRIM(VLOOKUP(IF(AND(LEN($A2317)=4,VALUE(RIGHT($A2317,2))&gt;60),$A2317&amp;"01 1",$A2317),IF(AND(LEN($A2317)=4,VALUE(RIGHT($A2317,2))&lt;60),GUS_tabl_2!$A$8:$B$464,GUS_tabl_21!$A$5:$B$4886),2,FALSE)),LEFT(TRIM(VLOOKUP(IF(AND(LEN($A2317)=4,VALUE(RIGHT($A2317,2))&gt;60),$A2317&amp;"01 1",$A2317),IF(AND(LEN($A2317)=4,VALUE(RIGHT($A2317,2))&lt;60),GUS_tabl_2!$A$8:$B$464,GUS_tabl_21!$A$5:$B$4886),2,FALSE)),SUM(FIND("..",TRIM(VLOOKUP(IF(AND(LEN($A2317)=4,VALUE(RIGHT($A2317,2))&gt;60),$A2317&amp;"01 1",$A2317),IF(AND(LEN($A2317)=4,VALUE(RIGHT($A2317,2))&lt;60),GUS_tabl_2!$A$8:$B$464,GUS_tabl_21!$A$5:$B$4886),2,FALSE))),-1)))))</f>
        <v>gm. w. Łopuszno</v>
      </c>
      <c r="D2317" s="141">
        <f>IF(OR($A2317="",ISERROR(VALUE(LEFT($A2317,6)))),"",IF(LEN($A2317)=2,SUMIF($A2318:$A$2965,$A2317&amp;"??",$D2318:$D$2965),IF(AND(LEN($A2317)=4,VALUE(RIGHT($A2317,2))&lt;=60),SUMIF($A2318:$A$2965,$A2317&amp;"????",$D2318:$D$2965),VLOOKUP(IF(LEN($A2317)=4,$A2317&amp;"01 1",$A2317),GUS_tabl_21!$A$5:$F$4886,6,FALSE))))</f>
        <v>8984</v>
      </c>
      <c r="E2317" s="29"/>
    </row>
    <row r="2318" spans="1:5" ht="12" customHeight="1">
      <c r="A2318" s="155" t="str">
        <f>"260409 2"</f>
        <v>260409 2</v>
      </c>
      <c r="B2318" s="153" t="s">
        <v>58</v>
      </c>
      <c r="C2318" s="156" t="str">
        <f>IF(OR($A2318="",ISERROR(VALUE(LEFT($A2318,6)))),"",IF(LEN($A2318)=2,"WOJ. ",IF(LEN($A2318)=4,IF(VALUE(RIGHT($A2318,2))&gt;60,"","Powiat "),IF(VALUE(RIGHT($A2318,1))=1,"m. ",IF(VALUE(RIGHT($A2318,1))=2,"gm. w. ",IF(VALUE(RIGHT($A2318,1))=8,"dz. ","gm. m.-w. ")))))&amp;IF(LEN($A2318)=2,TRIM(UPPER(VLOOKUP($A2318,GUS_tabl_1!$A$7:$B$22,2,FALSE))),IF(ISERROR(FIND("..",TRIM(VLOOKUP(IF(AND(LEN($A2318)=4,VALUE(RIGHT($A2318,2))&gt;60),$A2318&amp;"01 1",$A2318),IF(AND(LEN($A2318)=4,VALUE(RIGHT($A2318,2))&lt;60),GUS_tabl_2!$A$8:$B$464,GUS_tabl_21!$A$5:$B$4886),2,FALSE)))),TRIM(VLOOKUP(IF(AND(LEN($A2318)=4,VALUE(RIGHT($A2318,2))&gt;60),$A2318&amp;"01 1",$A2318),IF(AND(LEN($A2318)=4,VALUE(RIGHT($A2318,2))&lt;60),GUS_tabl_2!$A$8:$B$464,GUS_tabl_21!$A$5:$B$4886),2,FALSE)),LEFT(TRIM(VLOOKUP(IF(AND(LEN($A2318)=4,VALUE(RIGHT($A2318,2))&gt;60),$A2318&amp;"01 1",$A2318),IF(AND(LEN($A2318)=4,VALUE(RIGHT($A2318,2))&lt;60),GUS_tabl_2!$A$8:$B$464,GUS_tabl_21!$A$5:$B$4886),2,FALSE)),SUM(FIND("..",TRIM(VLOOKUP(IF(AND(LEN($A2318)=4,VALUE(RIGHT($A2318,2))&gt;60),$A2318&amp;"01 1",$A2318),IF(AND(LEN($A2318)=4,VALUE(RIGHT($A2318,2))&lt;60),GUS_tabl_2!$A$8:$B$464,GUS_tabl_21!$A$5:$B$4886),2,FALSE))),-1)))))</f>
        <v>gm. w. Masłów</v>
      </c>
      <c r="D2318" s="141">
        <f>IF(OR($A2318="",ISERROR(VALUE(LEFT($A2318,6)))),"",IF(LEN($A2318)=2,SUMIF($A2319:$A$2965,$A2318&amp;"??",$D2319:$D$2965),IF(AND(LEN($A2318)=4,VALUE(RIGHT($A2318,2))&lt;=60),SUMIF($A2319:$A$2965,$A2318&amp;"????",$D2319:$D$2965),VLOOKUP(IF(LEN($A2318)=4,$A2318&amp;"01 1",$A2318),GUS_tabl_21!$A$5:$F$4886,6,FALSE))))</f>
        <v>11063</v>
      </c>
      <c r="E2318" s="29"/>
    </row>
    <row r="2319" spans="1:5" ht="12" customHeight="1">
      <c r="A2319" s="155" t="str">
        <f>"260410 2"</f>
        <v>260410 2</v>
      </c>
      <c r="B2319" s="153" t="s">
        <v>58</v>
      </c>
      <c r="C2319" s="156" t="str">
        <f>IF(OR($A2319="",ISERROR(VALUE(LEFT($A2319,6)))),"",IF(LEN($A2319)=2,"WOJ. ",IF(LEN($A2319)=4,IF(VALUE(RIGHT($A2319,2))&gt;60,"","Powiat "),IF(VALUE(RIGHT($A2319,1))=1,"m. ",IF(VALUE(RIGHT($A2319,1))=2,"gm. w. ",IF(VALUE(RIGHT($A2319,1))=8,"dz. ","gm. m.-w. ")))))&amp;IF(LEN($A2319)=2,TRIM(UPPER(VLOOKUP($A2319,GUS_tabl_1!$A$7:$B$22,2,FALSE))),IF(ISERROR(FIND("..",TRIM(VLOOKUP(IF(AND(LEN($A2319)=4,VALUE(RIGHT($A2319,2))&gt;60),$A2319&amp;"01 1",$A2319),IF(AND(LEN($A2319)=4,VALUE(RIGHT($A2319,2))&lt;60),GUS_tabl_2!$A$8:$B$464,GUS_tabl_21!$A$5:$B$4886),2,FALSE)))),TRIM(VLOOKUP(IF(AND(LEN($A2319)=4,VALUE(RIGHT($A2319,2))&gt;60),$A2319&amp;"01 1",$A2319),IF(AND(LEN($A2319)=4,VALUE(RIGHT($A2319,2))&lt;60),GUS_tabl_2!$A$8:$B$464,GUS_tabl_21!$A$5:$B$4886),2,FALSE)),LEFT(TRIM(VLOOKUP(IF(AND(LEN($A2319)=4,VALUE(RIGHT($A2319,2))&gt;60),$A2319&amp;"01 1",$A2319),IF(AND(LEN($A2319)=4,VALUE(RIGHT($A2319,2))&lt;60),GUS_tabl_2!$A$8:$B$464,GUS_tabl_21!$A$5:$B$4886),2,FALSE)),SUM(FIND("..",TRIM(VLOOKUP(IF(AND(LEN($A2319)=4,VALUE(RIGHT($A2319,2))&gt;60),$A2319&amp;"01 1",$A2319),IF(AND(LEN($A2319)=4,VALUE(RIGHT($A2319,2))&lt;60),GUS_tabl_2!$A$8:$B$464,GUS_tabl_21!$A$5:$B$4886),2,FALSE))),-1)))))</f>
        <v>gm. w. Miedziana Góra</v>
      </c>
      <c r="D2319" s="141">
        <f>IF(OR($A2319="",ISERROR(VALUE(LEFT($A2319,6)))),"",IF(LEN($A2319)=2,SUMIF($A2320:$A$2965,$A2319&amp;"??",$D2320:$D$2965),IF(AND(LEN($A2319)=4,VALUE(RIGHT($A2319,2))&lt;=60),SUMIF($A2320:$A$2965,$A2319&amp;"????",$D2320:$D$2965),VLOOKUP(IF(LEN($A2319)=4,$A2319&amp;"01 1",$A2319),GUS_tabl_21!$A$5:$F$4886,6,FALSE))))</f>
        <v>11632</v>
      </c>
      <c r="E2319" s="29"/>
    </row>
    <row r="2320" spans="1:5" ht="12" customHeight="1">
      <c r="A2320" s="155" t="str">
        <f>"260411 2"</f>
        <v>260411 2</v>
      </c>
      <c r="B2320" s="153" t="s">
        <v>58</v>
      </c>
      <c r="C2320" s="156" t="str">
        <f>IF(OR($A2320="",ISERROR(VALUE(LEFT($A2320,6)))),"",IF(LEN($A2320)=2,"WOJ. ",IF(LEN($A2320)=4,IF(VALUE(RIGHT($A2320,2))&gt;60,"","Powiat "),IF(VALUE(RIGHT($A2320,1))=1,"m. ",IF(VALUE(RIGHT($A2320,1))=2,"gm. w. ",IF(VALUE(RIGHT($A2320,1))=8,"dz. ","gm. m.-w. ")))))&amp;IF(LEN($A2320)=2,TRIM(UPPER(VLOOKUP($A2320,GUS_tabl_1!$A$7:$B$22,2,FALSE))),IF(ISERROR(FIND("..",TRIM(VLOOKUP(IF(AND(LEN($A2320)=4,VALUE(RIGHT($A2320,2))&gt;60),$A2320&amp;"01 1",$A2320),IF(AND(LEN($A2320)=4,VALUE(RIGHT($A2320,2))&lt;60),GUS_tabl_2!$A$8:$B$464,GUS_tabl_21!$A$5:$B$4886),2,FALSE)))),TRIM(VLOOKUP(IF(AND(LEN($A2320)=4,VALUE(RIGHT($A2320,2))&gt;60),$A2320&amp;"01 1",$A2320),IF(AND(LEN($A2320)=4,VALUE(RIGHT($A2320,2))&lt;60),GUS_tabl_2!$A$8:$B$464,GUS_tabl_21!$A$5:$B$4886),2,FALSE)),LEFT(TRIM(VLOOKUP(IF(AND(LEN($A2320)=4,VALUE(RIGHT($A2320,2))&gt;60),$A2320&amp;"01 1",$A2320),IF(AND(LEN($A2320)=4,VALUE(RIGHT($A2320,2))&lt;60),GUS_tabl_2!$A$8:$B$464,GUS_tabl_21!$A$5:$B$4886),2,FALSE)),SUM(FIND("..",TRIM(VLOOKUP(IF(AND(LEN($A2320)=4,VALUE(RIGHT($A2320,2))&gt;60),$A2320&amp;"01 1",$A2320),IF(AND(LEN($A2320)=4,VALUE(RIGHT($A2320,2))&lt;60),GUS_tabl_2!$A$8:$B$464,GUS_tabl_21!$A$5:$B$4886),2,FALSE))),-1)))))</f>
        <v>gm. w. Mniów</v>
      </c>
      <c r="D2320" s="141">
        <f>IF(OR($A2320="",ISERROR(VALUE(LEFT($A2320,6)))),"",IF(LEN($A2320)=2,SUMIF($A2321:$A$2965,$A2320&amp;"??",$D2321:$D$2965),IF(AND(LEN($A2320)=4,VALUE(RIGHT($A2320,2))&lt;=60),SUMIF($A2321:$A$2965,$A2320&amp;"????",$D2321:$D$2965),VLOOKUP(IF(LEN($A2320)=4,$A2320&amp;"01 1",$A2320),GUS_tabl_21!$A$5:$F$4886,6,FALSE))))</f>
        <v>9346</v>
      </c>
      <c r="E2320" s="29"/>
    </row>
    <row r="2321" spans="1:5" ht="12" customHeight="1">
      <c r="A2321" s="155" t="str">
        <f>"260412 3"</f>
        <v>260412 3</v>
      </c>
      <c r="B2321" s="153" t="s">
        <v>58</v>
      </c>
      <c r="C2321" s="159" t="str">
        <f>IF(OR($A2321="",ISERROR(VALUE(LEFT($A2321,6)))),"",IF(LEN($A2321)=2,"WOJ. ",IF(LEN($A2321)=4,IF(VALUE(RIGHT($A2321,2))&gt;60,"","Powiat "),IF(VALUE(RIGHT($A2321,1))=1,"m. ",IF(VALUE(RIGHT($A2321,1))=2,"gm. w. ",IF(VALUE(RIGHT($A2321,1))=8,"dz. ","gm. m.-w. ")))))&amp;IF(LEN($A2321)=2,TRIM(UPPER(VLOOKUP($A2321,GUS_tabl_1!$A$7:$B$22,2,FALSE))),IF(ISERROR(FIND("..",TRIM(VLOOKUP(IF(AND(LEN($A2321)=4,VALUE(RIGHT($A2321,2))&gt;60),$A2321&amp;"01 1",$A2321),IF(AND(LEN($A2321)=4,VALUE(RIGHT($A2321,2))&lt;60),GUS_tabl_2!$A$8:$B$464,GUS_tabl_21!$A$5:$B$4886),2,FALSE)))),TRIM(VLOOKUP(IF(AND(LEN($A2321)=4,VALUE(RIGHT($A2321,2))&gt;60),$A2321&amp;"01 1",$A2321),IF(AND(LEN($A2321)=4,VALUE(RIGHT($A2321,2))&lt;60),GUS_tabl_2!$A$8:$B$464,GUS_tabl_21!$A$5:$B$4886),2,FALSE)),LEFT(TRIM(VLOOKUP(IF(AND(LEN($A2321)=4,VALUE(RIGHT($A2321,2))&gt;60),$A2321&amp;"01 1",$A2321),IF(AND(LEN($A2321)=4,VALUE(RIGHT($A2321,2))&lt;60),GUS_tabl_2!$A$8:$B$464,GUS_tabl_21!$A$5:$B$4886),2,FALSE)),SUM(FIND("..",TRIM(VLOOKUP(IF(AND(LEN($A2321)=4,VALUE(RIGHT($A2321,2))&gt;60),$A2321&amp;"01 1",$A2321),IF(AND(LEN($A2321)=4,VALUE(RIGHT($A2321,2))&lt;60),GUS_tabl_2!$A$8:$B$464,GUS_tabl_21!$A$5:$B$4886),2,FALSE))),-1)))))</f>
        <v>gm. m.-w. Morawica</v>
      </c>
      <c r="D2321" s="141">
        <f>IF(OR($A2321="",ISERROR(VALUE(LEFT($A2321,6)))),"",IF(LEN($A2321)=2,SUMIF($A2322:$A$2965,$A2321&amp;"??",$D2322:$D$2965),IF(AND(LEN($A2321)=4,VALUE(RIGHT($A2321,2))&lt;=60),SUMIF($A2322:$A$2965,$A2321&amp;"????",$D2322:$D$2965),VLOOKUP(IF(LEN($A2321)=4,$A2321&amp;"01 1",$A2321),GUS_tabl_21!$A$5:$F$4886,6,FALSE))))</f>
        <v>16756</v>
      </c>
      <c r="E2321" s="29"/>
    </row>
    <row r="2322" spans="1:5" ht="12" customHeight="1">
      <c r="A2322" s="155" t="str">
        <f>"260413 3"</f>
        <v>260413 3</v>
      </c>
      <c r="B2322" s="153" t="s">
        <v>58</v>
      </c>
      <c r="C2322" s="156" t="str">
        <f>IF(OR($A2322="",ISERROR(VALUE(LEFT($A2322,6)))),"",IF(LEN($A2322)=2,"WOJ. ",IF(LEN($A2322)=4,IF(VALUE(RIGHT($A2322,2))&gt;60,"","Powiat "),IF(VALUE(RIGHT($A2322,1))=1,"m. ",IF(VALUE(RIGHT($A2322,1))=2,"gm. w. ",IF(VALUE(RIGHT($A2322,1))=8,"dz. ","gm. m.-w. ")))))&amp;IF(LEN($A2322)=2,TRIM(UPPER(VLOOKUP($A2322,GUS_tabl_1!$A$7:$B$22,2,FALSE))),IF(ISERROR(FIND("..",TRIM(VLOOKUP(IF(AND(LEN($A2322)=4,VALUE(RIGHT($A2322,2))&gt;60),$A2322&amp;"01 1",$A2322),IF(AND(LEN($A2322)=4,VALUE(RIGHT($A2322,2))&lt;60),GUS_tabl_2!$A$8:$B$464,GUS_tabl_21!$A$5:$B$4886),2,FALSE)))),TRIM(VLOOKUP(IF(AND(LEN($A2322)=4,VALUE(RIGHT($A2322,2))&gt;60),$A2322&amp;"01 1",$A2322),IF(AND(LEN($A2322)=4,VALUE(RIGHT($A2322,2))&lt;60),GUS_tabl_2!$A$8:$B$464,GUS_tabl_21!$A$5:$B$4886),2,FALSE)),LEFT(TRIM(VLOOKUP(IF(AND(LEN($A2322)=4,VALUE(RIGHT($A2322,2))&gt;60),$A2322&amp;"01 1",$A2322),IF(AND(LEN($A2322)=4,VALUE(RIGHT($A2322,2))&lt;60),GUS_tabl_2!$A$8:$B$464,GUS_tabl_21!$A$5:$B$4886),2,FALSE)),SUM(FIND("..",TRIM(VLOOKUP(IF(AND(LEN($A2322)=4,VALUE(RIGHT($A2322,2))&gt;60),$A2322&amp;"01 1",$A2322),IF(AND(LEN($A2322)=4,VALUE(RIGHT($A2322,2))&lt;60),GUS_tabl_2!$A$8:$B$464,GUS_tabl_21!$A$5:$B$4886),2,FALSE))),-1)))))</f>
        <v>gm. m.-w. Nowa Słupia</v>
      </c>
      <c r="D2322" s="141">
        <f>IF(OR($A2322="",ISERROR(VALUE(LEFT($A2322,6)))),"",IF(LEN($A2322)=2,SUMIF($A2323:$A$2965,$A2322&amp;"??",$D2323:$D$2965),IF(AND(LEN($A2322)=4,VALUE(RIGHT($A2322,2))&lt;=60),SUMIF($A2323:$A$2965,$A2322&amp;"????",$D2323:$D$2965),VLOOKUP(IF(LEN($A2322)=4,$A2322&amp;"01 1",$A2322),GUS_tabl_21!$A$5:$F$4886,6,FALSE))))</f>
        <v>9471</v>
      </c>
      <c r="E2322" s="29"/>
    </row>
    <row r="2323" spans="1:5" ht="12" customHeight="1">
      <c r="A2323" s="155" t="str">
        <f>"260414 2"</f>
        <v>260414 2</v>
      </c>
      <c r="B2323" s="153" t="s">
        <v>58</v>
      </c>
      <c r="C2323" s="156" t="str">
        <f>IF(OR($A2323="",ISERROR(VALUE(LEFT($A2323,6)))),"",IF(LEN($A2323)=2,"WOJ. ",IF(LEN($A2323)=4,IF(VALUE(RIGHT($A2323,2))&gt;60,"","Powiat "),IF(VALUE(RIGHT($A2323,1))=1,"m. ",IF(VALUE(RIGHT($A2323,1))=2,"gm. w. ",IF(VALUE(RIGHT($A2323,1))=8,"dz. ","gm. m.-w. ")))))&amp;IF(LEN($A2323)=2,TRIM(UPPER(VLOOKUP($A2323,GUS_tabl_1!$A$7:$B$22,2,FALSE))),IF(ISERROR(FIND("..",TRIM(VLOOKUP(IF(AND(LEN($A2323)=4,VALUE(RIGHT($A2323,2))&gt;60),$A2323&amp;"01 1",$A2323),IF(AND(LEN($A2323)=4,VALUE(RIGHT($A2323,2))&lt;60),GUS_tabl_2!$A$8:$B$464,GUS_tabl_21!$A$5:$B$4886),2,FALSE)))),TRIM(VLOOKUP(IF(AND(LEN($A2323)=4,VALUE(RIGHT($A2323,2))&gt;60),$A2323&amp;"01 1",$A2323),IF(AND(LEN($A2323)=4,VALUE(RIGHT($A2323,2))&lt;60),GUS_tabl_2!$A$8:$B$464,GUS_tabl_21!$A$5:$B$4886),2,FALSE)),LEFT(TRIM(VLOOKUP(IF(AND(LEN($A2323)=4,VALUE(RIGHT($A2323,2))&gt;60),$A2323&amp;"01 1",$A2323),IF(AND(LEN($A2323)=4,VALUE(RIGHT($A2323,2))&lt;60),GUS_tabl_2!$A$8:$B$464,GUS_tabl_21!$A$5:$B$4886),2,FALSE)),SUM(FIND("..",TRIM(VLOOKUP(IF(AND(LEN($A2323)=4,VALUE(RIGHT($A2323,2))&gt;60),$A2323&amp;"01 1",$A2323),IF(AND(LEN($A2323)=4,VALUE(RIGHT($A2323,2))&lt;60),GUS_tabl_2!$A$8:$B$464,GUS_tabl_21!$A$5:$B$4886),2,FALSE))),-1)))))</f>
        <v>gm. w. Piekoszów</v>
      </c>
      <c r="D2323" s="141">
        <f>IF(OR($A2323="",ISERROR(VALUE(LEFT($A2323,6)))),"",IF(LEN($A2323)=2,SUMIF($A2324:$A$2965,$A2323&amp;"??",$D2324:$D$2965),IF(AND(LEN($A2323)=4,VALUE(RIGHT($A2323,2))&lt;=60),SUMIF($A2324:$A$2965,$A2323&amp;"????",$D2324:$D$2965),VLOOKUP(IF(LEN($A2323)=4,$A2323&amp;"01 1",$A2323),GUS_tabl_21!$A$5:$F$4886,6,FALSE))))</f>
        <v>16489</v>
      </c>
      <c r="E2323" s="29"/>
    </row>
    <row r="2324" spans="1:5" ht="12" customHeight="1">
      <c r="A2324" s="155" t="str">
        <f>"260415 3"</f>
        <v>260415 3</v>
      </c>
      <c r="B2324" s="153" t="s">
        <v>58</v>
      </c>
      <c r="C2324" s="156" t="str">
        <f>IF(OR($A2324="",ISERROR(VALUE(LEFT($A2324,6)))),"",IF(LEN($A2324)=2,"WOJ. ",IF(LEN($A2324)=4,IF(VALUE(RIGHT($A2324,2))&gt;60,"","Powiat "),IF(VALUE(RIGHT($A2324,1))=1,"m. ",IF(VALUE(RIGHT($A2324,1))=2,"gm. w. ",IF(VALUE(RIGHT($A2324,1))=8,"dz. ","gm. m.-w. ")))))&amp;IF(LEN($A2324)=2,TRIM(UPPER(VLOOKUP($A2324,GUS_tabl_1!$A$7:$B$22,2,FALSE))),IF(ISERROR(FIND("..",TRIM(VLOOKUP(IF(AND(LEN($A2324)=4,VALUE(RIGHT($A2324,2))&gt;60),$A2324&amp;"01 1",$A2324),IF(AND(LEN($A2324)=4,VALUE(RIGHT($A2324,2))&lt;60),GUS_tabl_2!$A$8:$B$464,GUS_tabl_21!$A$5:$B$4886),2,FALSE)))),TRIM(VLOOKUP(IF(AND(LEN($A2324)=4,VALUE(RIGHT($A2324,2))&gt;60),$A2324&amp;"01 1",$A2324),IF(AND(LEN($A2324)=4,VALUE(RIGHT($A2324,2))&lt;60),GUS_tabl_2!$A$8:$B$464,GUS_tabl_21!$A$5:$B$4886),2,FALSE)),LEFT(TRIM(VLOOKUP(IF(AND(LEN($A2324)=4,VALUE(RIGHT($A2324,2))&gt;60),$A2324&amp;"01 1",$A2324),IF(AND(LEN($A2324)=4,VALUE(RIGHT($A2324,2))&lt;60),GUS_tabl_2!$A$8:$B$464,GUS_tabl_21!$A$5:$B$4886),2,FALSE)),SUM(FIND("..",TRIM(VLOOKUP(IF(AND(LEN($A2324)=4,VALUE(RIGHT($A2324,2))&gt;60),$A2324&amp;"01 1",$A2324),IF(AND(LEN($A2324)=4,VALUE(RIGHT($A2324,2))&lt;60),GUS_tabl_2!$A$8:$B$464,GUS_tabl_21!$A$5:$B$4886),2,FALSE))),-1)))))</f>
        <v>gm. m.-w. Pierzchnica</v>
      </c>
      <c r="D2324" s="141">
        <f>IF(OR($A2324="",ISERROR(VALUE(LEFT($A2324,6)))),"",IF(LEN($A2324)=2,SUMIF($A2325:$A$2965,$A2324&amp;"??",$D2325:$D$2965),IF(AND(LEN($A2324)=4,VALUE(RIGHT($A2324,2))&lt;=60),SUMIF($A2325:$A$2965,$A2324&amp;"????",$D2325:$D$2965),VLOOKUP(IF(LEN($A2324)=4,$A2324&amp;"01 1",$A2324),GUS_tabl_21!$A$5:$F$4886,6,FALSE))))</f>
        <v>4700</v>
      </c>
      <c r="E2324" s="29"/>
    </row>
    <row r="2325" spans="1:5" ht="12" customHeight="1">
      <c r="A2325" s="155" t="str">
        <f>"260416 2"</f>
        <v>260416 2</v>
      </c>
      <c r="B2325" s="153" t="s">
        <v>58</v>
      </c>
      <c r="C2325" s="156" t="str">
        <f>IF(OR($A2325="",ISERROR(VALUE(LEFT($A2325,6)))),"",IF(LEN($A2325)=2,"WOJ. ",IF(LEN($A2325)=4,IF(VALUE(RIGHT($A2325,2))&gt;60,"","Powiat "),IF(VALUE(RIGHT($A2325,1))=1,"m. ",IF(VALUE(RIGHT($A2325,1))=2,"gm. w. ",IF(VALUE(RIGHT($A2325,1))=8,"dz. ","gm. m.-w. ")))))&amp;IF(LEN($A2325)=2,TRIM(UPPER(VLOOKUP($A2325,GUS_tabl_1!$A$7:$B$22,2,FALSE))),IF(ISERROR(FIND("..",TRIM(VLOOKUP(IF(AND(LEN($A2325)=4,VALUE(RIGHT($A2325,2))&gt;60),$A2325&amp;"01 1",$A2325),IF(AND(LEN($A2325)=4,VALUE(RIGHT($A2325,2))&lt;60),GUS_tabl_2!$A$8:$B$464,GUS_tabl_21!$A$5:$B$4886),2,FALSE)))),TRIM(VLOOKUP(IF(AND(LEN($A2325)=4,VALUE(RIGHT($A2325,2))&gt;60),$A2325&amp;"01 1",$A2325),IF(AND(LEN($A2325)=4,VALUE(RIGHT($A2325,2))&lt;60),GUS_tabl_2!$A$8:$B$464,GUS_tabl_21!$A$5:$B$4886),2,FALSE)),LEFT(TRIM(VLOOKUP(IF(AND(LEN($A2325)=4,VALUE(RIGHT($A2325,2))&gt;60),$A2325&amp;"01 1",$A2325),IF(AND(LEN($A2325)=4,VALUE(RIGHT($A2325,2))&lt;60),GUS_tabl_2!$A$8:$B$464,GUS_tabl_21!$A$5:$B$4886),2,FALSE)),SUM(FIND("..",TRIM(VLOOKUP(IF(AND(LEN($A2325)=4,VALUE(RIGHT($A2325,2))&gt;60),$A2325&amp;"01 1",$A2325),IF(AND(LEN($A2325)=4,VALUE(RIGHT($A2325,2))&lt;60),GUS_tabl_2!$A$8:$B$464,GUS_tabl_21!$A$5:$B$4886),2,FALSE))),-1)))))</f>
        <v>gm. w. Raków</v>
      </c>
      <c r="D2325" s="141">
        <f>IF(OR($A2325="",ISERROR(VALUE(LEFT($A2325,6)))),"",IF(LEN($A2325)=2,SUMIF($A2326:$A$2965,$A2325&amp;"??",$D2326:$D$2965),IF(AND(LEN($A2325)=4,VALUE(RIGHT($A2325,2))&lt;=60),SUMIF($A2326:$A$2965,$A2325&amp;"????",$D2326:$D$2965),VLOOKUP(IF(LEN($A2325)=4,$A2325&amp;"01 1",$A2325),GUS_tabl_21!$A$5:$F$4886,6,FALSE))))</f>
        <v>5595</v>
      </c>
      <c r="E2325" s="29"/>
    </row>
    <row r="2326" spans="1:5" ht="12" customHeight="1">
      <c r="A2326" s="155" t="str">
        <f>"260417 2"</f>
        <v>260417 2</v>
      </c>
      <c r="B2326" s="153" t="s">
        <v>58</v>
      </c>
      <c r="C2326" s="156" t="str">
        <f>IF(OR($A2326="",ISERROR(VALUE(LEFT($A2326,6)))),"",IF(LEN($A2326)=2,"WOJ. ",IF(LEN($A2326)=4,IF(VALUE(RIGHT($A2326,2))&gt;60,"","Powiat "),IF(VALUE(RIGHT($A2326,1))=1,"m. ",IF(VALUE(RIGHT($A2326,1))=2,"gm. w. ",IF(VALUE(RIGHT($A2326,1))=8,"dz. ","gm. m.-w. ")))))&amp;IF(LEN($A2326)=2,TRIM(UPPER(VLOOKUP($A2326,GUS_tabl_1!$A$7:$B$22,2,FALSE))),IF(ISERROR(FIND("..",TRIM(VLOOKUP(IF(AND(LEN($A2326)=4,VALUE(RIGHT($A2326,2))&gt;60),$A2326&amp;"01 1",$A2326),IF(AND(LEN($A2326)=4,VALUE(RIGHT($A2326,2))&lt;60),GUS_tabl_2!$A$8:$B$464,GUS_tabl_21!$A$5:$B$4886),2,FALSE)))),TRIM(VLOOKUP(IF(AND(LEN($A2326)=4,VALUE(RIGHT($A2326,2))&gt;60),$A2326&amp;"01 1",$A2326),IF(AND(LEN($A2326)=4,VALUE(RIGHT($A2326,2))&lt;60),GUS_tabl_2!$A$8:$B$464,GUS_tabl_21!$A$5:$B$4886),2,FALSE)),LEFT(TRIM(VLOOKUP(IF(AND(LEN($A2326)=4,VALUE(RIGHT($A2326,2))&gt;60),$A2326&amp;"01 1",$A2326),IF(AND(LEN($A2326)=4,VALUE(RIGHT($A2326,2))&lt;60),GUS_tabl_2!$A$8:$B$464,GUS_tabl_21!$A$5:$B$4886),2,FALSE)),SUM(FIND("..",TRIM(VLOOKUP(IF(AND(LEN($A2326)=4,VALUE(RIGHT($A2326,2))&gt;60),$A2326&amp;"01 1",$A2326),IF(AND(LEN($A2326)=4,VALUE(RIGHT($A2326,2))&lt;60),GUS_tabl_2!$A$8:$B$464,GUS_tabl_21!$A$5:$B$4886),2,FALSE))),-1)))))</f>
        <v>gm. w. Sitkówka-Nowiny</v>
      </c>
      <c r="D2326" s="141">
        <f>IF(OR($A2326="",ISERROR(VALUE(LEFT($A2326,6)))),"",IF(LEN($A2326)=2,SUMIF($A2327:$A$2965,$A2326&amp;"??",$D2327:$D$2965),IF(AND(LEN($A2326)=4,VALUE(RIGHT($A2326,2))&lt;=60),SUMIF($A2327:$A$2965,$A2326&amp;"????",$D2327:$D$2965),VLOOKUP(IF(LEN($A2326)=4,$A2326&amp;"01 1",$A2326),GUS_tabl_21!$A$5:$F$4886,6,FALSE))))</f>
        <v>7910</v>
      </c>
      <c r="E2326" s="29"/>
    </row>
    <row r="2327" spans="1:5" ht="12" customHeight="1">
      <c r="A2327" s="155" t="str">
        <f>"260418 2"</f>
        <v>260418 2</v>
      </c>
      <c r="B2327" s="153" t="s">
        <v>58</v>
      </c>
      <c r="C2327" s="156" t="str">
        <f>IF(OR($A2327="",ISERROR(VALUE(LEFT($A2327,6)))),"",IF(LEN($A2327)=2,"WOJ. ",IF(LEN($A2327)=4,IF(VALUE(RIGHT($A2327,2))&gt;60,"","Powiat "),IF(VALUE(RIGHT($A2327,1))=1,"m. ",IF(VALUE(RIGHT($A2327,1))=2,"gm. w. ",IF(VALUE(RIGHT($A2327,1))=8,"dz. ","gm. m.-w. ")))))&amp;IF(LEN($A2327)=2,TRIM(UPPER(VLOOKUP($A2327,GUS_tabl_1!$A$7:$B$22,2,FALSE))),IF(ISERROR(FIND("..",TRIM(VLOOKUP(IF(AND(LEN($A2327)=4,VALUE(RIGHT($A2327,2))&gt;60),$A2327&amp;"01 1",$A2327),IF(AND(LEN($A2327)=4,VALUE(RIGHT($A2327,2))&lt;60),GUS_tabl_2!$A$8:$B$464,GUS_tabl_21!$A$5:$B$4886),2,FALSE)))),TRIM(VLOOKUP(IF(AND(LEN($A2327)=4,VALUE(RIGHT($A2327,2))&gt;60),$A2327&amp;"01 1",$A2327),IF(AND(LEN($A2327)=4,VALUE(RIGHT($A2327,2))&lt;60),GUS_tabl_2!$A$8:$B$464,GUS_tabl_21!$A$5:$B$4886),2,FALSE)),LEFT(TRIM(VLOOKUP(IF(AND(LEN($A2327)=4,VALUE(RIGHT($A2327,2))&gt;60),$A2327&amp;"01 1",$A2327),IF(AND(LEN($A2327)=4,VALUE(RIGHT($A2327,2))&lt;60),GUS_tabl_2!$A$8:$B$464,GUS_tabl_21!$A$5:$B$4886),2,FALSE)),SUM(FIND("..",TRIM(VLOOKUP(IF(AND(LEN($A2327)=4,VALUE(RIGHT($A2327,2))&gt;60),$A2327&amp;"01 1",$A2327),IF(AND(LEN($A2327)=4,VALUE(RIGHT($A2327,2))&lt;60),GUS_tabl_2!$A$8:$B$464,GUS_tabl_21!$A$5:$B$4886),2,FALSE))),-1)))))</f>
        <v>gm. w. Strawczyn</v>
      </c>
      <c r="D2327" s="141">
        <f>IF(OR($A2327="",ISERROR(VALUE(LEFT($A2327,6)))),"",IF(LEN($A2327)=2,SUMIF($A2328:$A$2965,$A2327&amp;"??",$D2328:$D$2965),IF(AND(LEN($A2327)=4,VALUE(RIGHT($A2327,2))&lt;=60),SUMIF($A2328:$A$2965,$A2327&amp;"????",$D2328:$D$2965),VLOOKUP(IF(LEN($A2327)=4,$A2327&amp;"01 1",$A2327),GUS_tabl_21!$A$5:$F$4886,6,FALSE))))</f>
        <v>10874</v>
      </c>
      <c r="E2327" s="29"/>
    </row>
    <row r="2328" spans="1:5" ht="12" customHeight="1">
      <c r="A2328" s="155" t="str">
        <f>"260419 2"</f>
        <v>260419 2</v>
      </c>
      <c r="B2328" s="153" t="s">
        <v>58</v>
      </c>
      <c r="C2328" s="156" t="str">
        <f>IF(OR($A2328="",ISERROR(VALUE(LEFT($A2328,6)))),"",IF(LEN($A2328)=2,"WOJ. ",IF(LEN($A2328)=4,IF(VALUE(RIGHT($A2328,2))&gt;60,"","Powiat "),IF(VALUE(RIGHT($A2328,1))=1,"m. ",IF(VALUE(RIGHT($A2328,1))=2,"gm. w. ",IF(VALUE(RIGHT($A2328,1))=8,"dz. ","gm. m.-w. ")))))&amp;IF(LEN($A2328)=2,TRIM(UPPER(VLOOKUP($A2328,GUS_tabl_1!$A$7:$B$22,2,FALSE))),IF(ISERROR(FIND("..",TRIM(VLOOKUP(IF(AND(LEN($A2328)=4,VALUE(RIGHT($A2328,2))&gt;60),$A2328&amp;"01 1",$A2328),IF(AND(LEN($A2328)=4,VALUE(RIGHT($A2328,2))&lt;60),GUS_tabl_2!$A$8:$B$464,GUS_tabl_21!$A$5:$B$4886),2,FALSE)))),TRIM(VLOOKUP(IF(AND(LEN($A2328)=4,VALUE(RIGHT($A2328,2))&gt;60),$A2328&amp;"01 1",$A2328),IF(AND(LEN($A2328)=4,VALUE(RIGHT($A2328,2))&lt;60),GUS_tabl_2!$A$8:$B$464,GUS_tabl_21!$A$5:$B$4886),2,FALSE)),LEFT(TRIM(VLOOKUP(IF(AND(LEN($A2328)=4,VALUE(RIGHT($A2328,2))&gt;60),$A2328&amp;"01 1",$A2328),IF(AND(LEN($A2328)=4,VALUE(RIGHT($A2328,2))&lt;60),GUS_tabl_2!$A$8:$B$464,GUS_tabl_21!$A$5:$B$4886),2,FALSE)),SUM(FIND("..",TRIM(VLOOKUP(IF(AND(LEN($A2328)=4,VALUE(RIGHT($A2328,2))&gt;60),$A2328&amp;"01 1",$A2328),IF(AND(LEN($A2328)=4,VALUE(RIGHT($A2328,2))&lt;60),GUS_tabl_2!$A$8:$B$464,GUS_tabl_21!$A$5:$B$4886),2,FALSE))),-1)))))</f>
        <v>gm. w. Zagnańsk</v>
      </c>
      <c r="D2328" s="141">
        <f>IF(OR($A2328="",ISERROR(VALUE(LEFT($A2328,6)))),"",IF(LEN($A2328)=2,SUMIF($A2329:$A$2965,$A2328&amp;"??",$D2329:$D$2965),IF(AND(LEN($A2328)=4,VALUE(RIGHT($A2328,2))&lt;=60),SUMIF($A2329:$A$2965,$A2328&amp;"????",$D2329:$D$2965),VLOOKUP(IF(LEN($A2328)=4,$A2328&amp;"01 1",$A2328),GUS_tabl_21!$A$5:$F$4886,6,FALSE))))</f>
        <v>12982</v>
      </c>
      <c r="E2328" s="29"/>
    </row>
    <row r="2329" spans="1:5" ht="12" customHeight="1">
      <c r="A2329" s="152" t="str">
        <f>"2605"</f>
        <v>2605</v>
      </c>
      <c r="B2329" s="153" t="s">
        <v>58</v>
      </c>
      <c r="C2329" s="154" t="str">
        <f>IF(OR($A2329="",ISERROR(VALUE(LEFT($A2329,6)))),"",IF(LEN($A2329)=2,"WOJ. ",IF(LEN($A2329)=4,IF(VALUE(RIGHT($A2329,2))&gt;60,"","Powiat "),IF(VALUE(RIGHT($A2329,1))=1,"m. ",IF(VALUE(RIGHT($A2329,1))=2,"gm. w. ",IF(VALUE(RIGHT($A2329,1))=8,"dz. ","gm. m.-w. ")))))&amp;IF(LEN($A2329)=2,TRIM(UPPER(VLOOKUP($A2329,GUS_tabl_1!$A$7:$B$22,2,FALSE))),IF(ISERROR(FIND("..",TRIM(VLOOKUP(IF(AND(LEN($A2329)=4,VALUE(RIGHT($A2329,2))&gt;60),$A2329&amp;"01 1",$A2329),IF(AND(LEN($A2329)=4,VALUE(RIGHT($A2329,2))&lt;60),GUS_tabl_2!$A$8:$B$464,GUS_tabl_21!$A$5:$B$4886),2,FALSE)))),TRIM(VLOOKUP(IF(AND(LEN($A2329)=4,VALUE(RIGHT($A2329,2))&gt;60),$A2329&amp;"01 1",$A2329),IF(AND(LEN($A2329)=4,VALUE(RIGHT($A2329,2))&lt;60),GUS_tabl_2!$A$8:$B$464,GUS_tabl_21!$A$5:$B$4886),2,FALSE)),LEFT(TRIM(VLOOKUP(IF(AND(LEN($A2329)=4,VALUE(RIGHT($A2329,2))&gt;60),$A2329&amp;"01 1",$A2329),IF(AND(LEN($A2329)=4,VALUE(RIGHT($A2329,2))&lt;60),GUS_tabl_2!$A$8:$B$464,GUS_tabl_21!$A$5:$B$4886),2,FALSE)),SUM(FIND("..",TRIM(VLOOKUP(IF(AND(LEN($A2329)=4,VALUE(RIGHT($A2329,2))&gt;60),$A2329&amp;"01 1",$A2329),IF(AND(LEN($A2329)=4,VALUE(RIGHT($A2329,2))&lt;60),GUS_tabl_2!$A$8:$B$464,GUS_tabl_21!$A$5:$B$4886),2,FALSE))),-1)))))</f>
        <v>Powiat konecki</v>
      </c>
      <c r="D2329" s="140">
        <f>IF(OR($A2329="",ISERROR(VALUE(LEFT($A2329,6)))),"",IF(LEN($A2329)=2,SUMIF($A2330:$A$2965,$A2329&amp;"??",$D2330:$D$2965),IF(AND(LEN($A2329)=4,VALUE(RIGHT($A2329,2))&lt;=60),SUMIF($A2330:$A$2965,$A2329&amp;"????",$D2330:$D$2965),VLOOKUP(IF(LEN($A2329)=4,$A2329&amp;"01 1",$A2329),GUS_tabl_21!$A$5:$F$4886,6,FALSE))))</f>
        <v>79858</v>
      </c>
      <c r="E2329" s="29"/>
    </row>
    <row r="2330" spans="1:5" ht="12" customHeight="1">
      <c r="A2330" s="155" t="str">
        <f>"260501 2"</f>
        <v>260501 2</v>
      </c>
      <c r="B2330" s="153" t="s">
        <v>58</v>
      </c>
      <c r="C2330" s="156" t="str">
        <f>IF(OR($A2330="",ISERROR(VALUE(LEFT($A2330,6)))),"",IF(LEN($A2330)=2,"WOJ. ",IF(LEN($A2330)=4,IF(VALUE(RIGHT($A2330,2))&gt;60,"","Powiat "),IF(VALUE(RIGHT($A2330,1))=1,"m. ",IF(VALUE(RIGHT($A2330,1))=2,"gm. w. ",IF(VALUE(RIGHT($A2330,1))=8,"dz. ","gm. m.-w. ")))))&amp;IF(LEN($A2330)=2,TRIM(UPPER(VLOOKUP($A2330,GUS_tabl_1!$A$7:$B$22,2,FALSE))),IF(ISERROR(FIND("..",TRIM(VLOOKUP(IF(AND(LEN($A2330)=4,VALUE(RIGHT($A2330,2))&gt;60),$A2330&amp;"01 1",$A2330),IF(AND(LEN($A2330)=4,VALUE(RIGHT($A2330,2))&lt;60),GUS_tabl_2!$A$8:$B$464,GUS_tabl_21!$A$5:$B$4886),2,FALSE)))),TRIM(VLOOKUP(IF(AND(LEN($A2330)=4,VALUE(RIGHT($A2330,2))&gt;60),$A2330&amp;"01 1",$A2330),IF(AND(LEN($A2330)=4,VALUE(RIGHT($A2330,2))&lt;60),GUS_tabl_2!$A$8:$B$464,GUS_tabl_21!$A$5:$B$4886),2,FALSE)),LEFT(TRIM(VLOOKUP(IF(AND(LEN($A2330)=4,VALUE(RIGHT($A2330,2))&gt;60),$A2330&amp;"01 1",$A2330),IF(AND(LEN($A2330)=4,VALUE(RIGHT($A2330,2))&lt;60),GUS_tabl_2!$A$8:$B$464,GUS_tabl_21!$A$5:$B$4886),2,FALSE)),SUM(FIND("..",TRIM(VLOOKUP(IF(AND(LEN($A2330)=4,VALUE(RIGHT($A2330,2))&gt;60),$A2330&amp;"01 1",$A2330),IF(AND(LEN($A2330)=4,VALUE(RIGHT($A2330,2))&lt;60),GUS_tabl_2!$A$8:$B$464,GUS_tabl_21!$A$5:$B$4886),2,FALSE))),-1)))))</f>
        <v>gm. w. Fałków</v>
      </c>
      <c r="D2330" s="141">
        <f>IF(OR($A2330="",ISERROR(VALUE(LEFT($A2330,6)))),"",IF(LEN($A2330)=2,SUMIF($A2331:$A$2965,$A2330&amp;"??",$D2331:$D$2965),IF(AND(LEN($A2330)=4,VALUE(RIGHT($A2330,2))&lt;=60),SUMIF($A2331:$A$2965,$A2330&amp;"????",$D2331:$D$2965),VLOOKUP(IF(LEN($A2330)=4,$A2330&amp;"01 1",$A2330),GUS_tabl_21!$A$5:$F$4886,6,FALSE))))</f>
        <v>4393</v>
      </c>
      <c r="E2330" s="29"/>
    </row>
    <row r="2331" spans="1:5" ht="12" customHeight="1">
      <c r="A2331" s="155" t="str">
        <f>"260502 2"</f>
        <v>260502 2</v>
      </c>
      <c r="B2331" s="153" t="s">
        <v>58</v>
      </c>
      <c r="C2331" s="156" t="str">
        <f>IF(OR($A2331="",ISERROR(VALUE(LEFT($A2331,6)))),"",IF(LEN($A2331)=2,"WOJ. ",IF(LEN($A2331)=4,IF(VALUE(RIGHT($A2331,2))&gt;60,"","Powiat "),IF(VALUE(RIGHT($A2331,1))=1,"m. ",IF(VALUE(RIGHT($A2331,1))=2,"gm. w. ",IF(VALUE(RIGHT($A2331,1))=8,"dz. ","gm. m.-w. ")))))&amp;IF(LEN($A2331)=2,TRIM(UPPER(VLOOKUP($A2331,GUS_tabl_1!$A$7:$B$22,2,FALSE))),IF(ISERROR(FIND("..",TRIM(VLOOKUP(IF(AND(LEN($A2331)=4,VALUE(RIGHT($A2331,2))&gt;60),$A2331&amp;"01 1",$A2331),IF(AND(LEN($A2331)=4,VALUE(RIGHT($A2331,2))&lt;60),GUS_tabl_2!$A$8:$B$464,GUS_tabl_21!$A$5:$B$4886),2,FALSE)))),TRIM(VLOOKUP(IF(AND(LEN($A2331)=4,VALUE(RIGHT($A2331,2))&gt;60),$A2331&amp;"01 1",$A2331),IF(AND(LEN($A2331)=4,VALUE(RIGHT($A2331,2))&lt;60),GUS_tabl_2!$A$8:$B$464,GUS_tabl_21!$A$5:$B$4886),2,FALSE)),LEFT(TRIM(VLOOKUP(IF(AND(LEN($A2331)=4,VALUE(RIGHT($A2331,2))&gt;60),$A2331&amp;"01 1",$A2331),IF(AND(LEN($A2331)=4,VALUE(RIGHT($A2331,2))&lt;60),GUS_tabl_2!$A$8:$B$464,GUS_tabl_21!$A$5:$B$4886),2,FALSE)),SUM(FIND("..",TRIM(VLOOKUP(IF(AND(LEN($A2331)=4,VALUE(RIGHT($A2331,2))&gt;60),$A2331&amp;"01 1",$A2331),IF(AND(LEN($A2331)=4,VALUE(RIGHT($A2331,2))&lt;60),GUS_tabl_2!$A$8:$B$464,GUS_tabl_21!$A$5:$B$4886),2,FALSE))),-1)))))</f>
        <v>gm. w. Gowarczów</v>
      </c>
      <c r="D2331" s="141">
        <f>IF(OR($A2331="",ISERROR(VALUE(LEFT($A2331,6)))),"",IF(LEN($A2331)=2,SUMIF($A2332:$A$2965,$A2331&amp;"??",$D2332:$D$2965),IF(AND(LEN($A2331)=4,VALUE(RIGHT($A2331,2))&lt;=60),SUMIF($A2332:$A$2965,$A2331&amp;"????",$D2332:$D$2965),VLOOKUP(IF(LEN($A2331)=4,$A2331&amp;"01 1",$A2331),GUS_tabl_21!$A$5:$F$4886,6,FALSE))))</f>
        <v>4583</v>
      </c>
      <c r="E2331" s="29"/>
    </row>
    <row r="2332" spans="1:5" ht="12" customHeight="1">
      <c r="A2332" s="155" t="str">
        <f>"260503 3"</f>
        <v>260503 3</v>
      </c>
      <c r="B2332" s="153" t="s">
        <v>58</v>
      </c>
      <c r="C2332" s="156" t="str">
        <f>IF(OR($A2332="",ISERROR(VALUE(LEFT($A2332,6)))),"",IF(LEN($A2332)=2,"WOJ. ",IF(LEN($A2332)=4,IF(VALUE(RIGHT($A2332,2))&gt;60,"","Powiat "),IF(VALUE(RIGHT($A2332,1))=1,"m. ",IF(VALUE(RIGHT($A2332,1))=2,"gm. w. ",IF(VALUE(RIGHT($A2332,1))=8,"dz. ","gm. m.-w. ")))))&amp;IF(LEN($A2332)=2,TRIM(UPPER(VLOOKUP($A2332,GUS_tabl_1!$A$7:$B$22,2,FALSE))),IF(ISERROR(FIND("..",TRIM(VLOOKUP(IF(AND(LEN($A2332)=4,VALUE(RIGHT($A2332,2))&gt;60),$A2332&amp;"01 1",$A2332),IF(AND(LEN($A2332)=4,VALUE(RIGHT($A2332,2))&lt;60),GUS_tabl_2!$A$8:$B$464,GUS_tabl_21!$A$5:$B$4886),2,FALSE)))),TRIM(VLOOKUP(IF(AND(LEN($A2332)=4,VALUE(RIGHT($A2332,2))&gt;60),$A2332&amp;"01 1",$A2332),IF(AND(LEN($A2332)=4,VALUE(RIGHT($A2332,2))&lt;60),GUS_tabl_2!$A$8:$B$464,GUS_tabl_21!$A$5:$B$4886),2,FALSE)),LEFT(TRIM(VLOOKUP(IF(AND(LEN($A2332)=4,VALUE(RIGHT($A2332,2))&gt;60),$A2332&amp;"01 1",$A2332),IF(AND(LEN($A2332)=4,VALUE(RIGHT($A2332,2))&lt;60),GUS_tabl_2!$A$8:$B$464,GUS_tabl_21!$A$5:$B$4886),2,FALSE)),SUM(FIND("..",TRIM(VLOOKUP(IF(AND(LEN($A2332)=4,VALUE(RIGHT($A2332,2))&gt;60),$A2332&amp;"01 1",$A2332),IF(AND(LEN($A2332)=4,VALUE(RIGHT($A2332,2))&lt;60),GUS_tabl_2!$A$8:$B$464,GUS_tabl_21!$A$5:$B$4886),2,FALSE))),-1)))))</f>
        <v>gm. m.-w. Końskie</v>
      </c>
      <c r="D2332" s="141">
        <f>IF(OR($A2332="",ISERROR(VALUE(LEFT($A2332,6)))),"",IF(LEN($A2332)=2,SUMIF($A2333:$A$2965,$A2332&amp;"??",$D2333:$D$2965),IF(AND(LEN($A2332)=4,VALUE(RIGHT($A2332,2))&lt;=60),SUMIF($A2333:$A$2965,$A2332&amp;"????",$D2333:$D$2965),VLOOKUP(IF(LEN($A2332)=4,$A2332&amp;"01 1",$A2332),GUS_tabl_21!$A$5:$F$4886,6,FALSE))))</f>
        <v>35112</v>
      </c>
      <c r="E2332" s="29"/>
    </row>
    <row r="2333" spans="1:5" ht="12" customHeight="1">
      <c r="A2333" s="155" t="str">
        <f>"260504 3"</f>
        <v>260504 3</v>
      </c>
      <c r="B2333" s="153" t="s">
        <v>58</v>
      </c>
      <c r="C2333" s="156" t="str">
        <f>IF(OR($A2333="",ISERROR(VALUE(LEFT($A2333,6)))),"",IF(LEN($A2333)=2,"WOJ. ",IF(LEN($A2333)=4,IF(VALUE(RIGHT($A2333,2))&gt;60,"","Powiat "),IF(VALUE(RIGHT($A2333,1))=1,"m. ",IF(VALUE(RIGHT($A2333,1))=2,"gm. w. ",IF(VALUE(RIGHT($A2333,1))=8,"dz. ","gm. m.-w. ")))))&amp;IF(LEN($A2333)=2,TRIM(UPPER(VLOOKUP($A2333,GUS_tabl_1!$A$7:$B$22,2,FALSE))),IF(ISERROR(FIND("..",TRIM(VLOOKUP(IF(AND(LEN($A2333)=4,VALUE(RIGHT($A2333,2))&gt;60),$A2333&amp;"01 1",$A2333),IF(AND(LEN($A2333)=4,VALUE(RIGHT($A2333,2))&lt;60),GUS_tabl_2!$A$8:$B$464,GUS_tabl_21!$A$5:$B$4886),2,FALSE)))),TRIM(VLOOKUP(IF(AND(LEN($A2333)=4,VALUE(RIGHT($A2333,2))&gt;60),$A2333&amp;"01 1",$A2333),IF(AND(LEN($A2333)=4,VALUE(RIGHT($A2333,2))&lt;60),GUS_tabl_2!$A$8:$B$464,GUS_tabl_21!$A$5:$B$4886),2,FALSE)),LEFT(TRIM(VLOOKUP(IF(AND(LEN($A2333)=4,VALUE(RIGHT($A2333,2))&gt;60),$A2333&amp;"01 1",$A2333),IF(AND(LEN($A2333)=4,VALUE(RIGHT($A2333,2))&lt;60),GUS_tabl_2!$A$8:$B$464,GUS_tabl_21!$A$5:$B$4886),2,FALSE)),SUM(FIND("..",TRIM(VLOOKUP(IF(AND(LEN($A2333)=4,VALUE(RIGHT($A2333,2))&gt;60),$A2333&amp;"01 1",$A2333),IF(AND(LEN($A2333)=4,VALUE(RIGHT($A2333,2))&lt;60),GUS_tabl_2!$A$8:$B$464,GUS_tabl_21!$A$5:$B$4886),2,FALSE))),-1)))))</f>
        <v>gm. m.-w. Radoszyce</v>
      </c>
      <c r="D2333" s="141">
        <f>IF(OR($A2333="",ISERROR(VALUE(LEFT($A2333,6)))),"",IF(LEN($A2333)=2,SUMIF($A2334:$A$2965,$A2333&amp;"??",$D2334:$D$2965),IF(AND(LEN($A2333)=4,VALUE(RIGHT($A2333,2))&lt;=60),SUMIF($A2334:$A$2965,$A2333&amp;"????",$D2334:$D$2965),VLOOKUP(IF(LEN($A2333)=4,$A2333&amp;"01 1",$A2333),GUS_tabl_21!$A$5:$F$4886,6,FALSE))))</f>
        <v>8891</v>
      </c>
      <c r="E2333" s="29"/>
    </row>
    <row r="2334" spans="1:5" ht="12" customHeight="1">
      <c r="A2334" s="155" t="str">
        <f>"260505 2"</f>
        <v>260505 2</v>
      </c>
      <c r="B2334" s="153" t="s">
        <v>58</v>
      </c>
      <c r="C2334" s="156" t="str">
        <f>IF(OR($A2334="",ISERROR(VALUE(LEFT($A2334,6)))),"",IF(LEN($A2334)=2,"WOJ. ",IF(LEN($A2334)=4,IF(VALUE(RIGHT($A2334,2))&gt;60,"","Powiat "),IF(VALUE(RIGHT($A2334,1))=1,"m. ",IF(VALUE(RIGHT($A2334,1))=2,"gm. w. ",IF(VALUE(RIGHT($A2334,1))=8,"dz. ","gm. m.-w. ")))))&amp;IF(LEN($A2334)=2,TRIM(UPPER(VLOOKUP($A2334,GUS_tabl_1!$A$7:$B$22,2,FALSE))),IF(ISERROR(FIND("..",TRIM(VLOOKUP(IF(AND(LEN($A2334)=4,VALUE(RIGHT($A2334,2))&gt;60),$A2334&amp;"01 1",$A2334),IF(AND(LEN($A2334)=4,VALUE(RIGHT($A2334,2))&lt;60),GUS_tabl_2!$A$8:$B$464,GUS_tabl_21!$A$5:$B$4886),2,FALSE)))),TRIM(VLOOKUP(IF(AND(LEN($A2334)=4,VALUE(RIGHT($A2334,2))&gt;60),$A2334&amp;"01 1",$A2334),IF(AND(LEN($A2334)=4,VALUE(RIGHT($A2334,2))&lt;60),GUS_tabl_2!$A$8:$B$464,GUS_tabl_21!$A$5:$B$4886),2,FALSE)),LEFT(TRIM(VLOOKUP(IF(AND(LEN($A2334)=4,VALUE(RIGHT($A2334,2))&gt;60),$A2334&amp;"01 1",$A2334),IF(AND(LEN($A2334)=4,VALUE(RIGHT($A2334,2))&lt;60),GUS_tabl_2!$A$8:$B$464,GUS_tabl_21!$A$5:$B$4886),2,FALSE)),SUM(FIND("..",TRIM(VLOOKUP(IF(AND(LEN($A2334)=4,VALUE(RIGHT($A2334,2))&gt;60),$A2334&amp;"01 1",$A2334),IF(AND(LEN($A2334)=4,VALUE(RIGHT($A2334,2))&lt;60),GUS_tabl_2!$A$8:$B$464,GUS_tabl_21!$A$5:$B$4886),2,FALSE))),-1)))))</f>
        <v>gm. w. Ruda Maleniecka</v>
      </c>
      <c r="D2334" s="141">
        <f>IF(OR($A2334="",ISERROR(VALUE(LEFT($A2334,6)))),"",IF(LEN($A2334)=2,SUMIF($A2335:$A$2965,$A2334&amp;"??",$D2335:$D$2965),IF(AND(LEN($A2334)=4,VALUE(RIGHT($A2334,2))&lt;=60),SUMIF($A2335:$A$2965,$A2334&amp;"????",$D2335:$D$2965),VLOOKUP(IF(LEN($A2334)=4,$A2334&amp;"01 1",$A2334),GUS_tabl_21!$A$5:$F$4886,6,FALSE))))</f>
        <v>3069</v>
      </c>
      <c r="E2334" s="29"/>
    </row>
    <row r="2335" spans="1:5" ht="12" customHeight="1">
      <c r="A2335" s="155" t="str">
        <f>"260506 2"</f>
        <v>260506 2</v>
      </c>
      <c r="B2335" s="153" t="s">
        <v>58</v>
      </c>
      <c r="C2335" s="156" t="str">
        <f>IF(OR($A2335="",ISERROR(VALUE(LEFT($A2335,6)))),"",IF(LEN($A2335)=2,"WOJ. ",IF(LEN($A2335)=4,IF(VALUE(RIGHT($A2335,2))&gt;60,"","Powiat "),IF(VALUE(RIGHT($A2335,1))=1,"m. ",IF(VALUE(RIGHT($A2335,1))=2,"gm. w. ",IF(VALUE(RIGHT($A2335,1))=8,"dz. ","gm. m.-w. ")))))&amp;IF(LEN($A2335)=2,TRIM(UPPER(VLOOKUP($A2335,GUS_tabl_1!$A$7:$B$22,2,FALSE))),IF(ISERROR(FIND("..",TRIM(VLOOKUP(IF(AND(LEN($A2335)=4,VALUE(RIGHT($A2335,2))&gt;60),$A2335&amp;"01 1",$A2335),IF(AND(LEN($A2335)=4,VALUE(RIGHT($A2335,2))&lt;60),GUS_tabl_2!$A$8:$B$464,GUS_tabl_21!$A$5:$B$4886),2,FALSE)))),TRIM(VLOOKUP(IF(AND(LEN($A2335)=4,VALUE(RIGHT($A2335,2))&gt;60),$A2335&amp;"01 1",$A2335),IF(AND(LEN($A2335)=4,VALUE(RIGHT($A2335,2))&lt;60),GUS_tabl_2!$A$8:$B$464,GUS_tabl_21!$A$5:$B$4886),2,FALSE)),LEFT(TRIM(VLOOKUP(IF(AND(LEN($A2335)=4,VALUE(RIGHT($A2335,2))&gt;60),$A2335&amp;"01 1",$A2335),IF(AND(LEN($A2335)=4,VALUE(RIGHT($A2335,2))&lt;60),GUS_tabl_2!$A$8:$B$464,GUS_tabl_21!$A$5:$B$4886),2,FALSE)),SUM(FIND("..",TRIM(VLOOKUP(IF(AND(LEN($A2335)=4,VALUE(RIGHT($A2335,2))&gt;60),$A2335&amp;"01 1",$A2335),IF(AND(LEN($A2335)=4,VALUE(RIGHT($A2335,2))&lt;60),GUS_tabl_2!$A$8:$B$464,GUS_tabl_21!$A$5:$B$4886),2,FALSE))),-1)))))</f>
        <v>gm. w. Słupia Konecka</v>
      </c>
      <c r="D2335" s="141">
        <f>IF(OR($A2335="",ISERROR(VALUE(LEFT($A2335,6)))),"",IF(LEN($A2335)=2,SUMIF($A2336:$A$2965,$A2335&amp;"??",$D2336:$D$2965),IF(AND(LEN($A2335)=4,VALUE(RIGHT($A2335,2))&lt;=60),SUMIF($A2336:$A$2965,$A2335&amp;"????",$D2336:$D$2965),VLOOKUP(IF(LEN($A2335)=4,$A2335&amp;"01 1",$A2335),GUS_tabl_21!$A$5:$F$4886,6,FALSE))))</f>
        <v>3319</v>
      </c>
      <c r="E2335" s="29"/>
    </row>
    <row r="2336" spans="1:5" ht="12" customHeight="1">
      <c r="A2336" s="155" t="str">
        <f>"260507 2"</f>
        <v>260507 2</v>
      </c>
      <c r="B2336" s="153" t="s">
        <v>58</v>
      </c>
      <c r="C2336" s="156" t="str">
        <f>IF(OR($A2336="",ISERROR(VALUE(LEFT($A2336,6)))),"",IF(LEN($A2336)=2,"WOJ. ",IF(LEN($A2336)=4,IF(VALUE(RIGHT($A2336,2))&gt;60,"","Powiat "),IF(VALUE(RIGHT($A2336,1))=1,"m. ",IF(VALUE(RIGHT($A2336,1))=2,"gm. w. ",IF(VALUE(RIGHT($A2336,1))=8,"dz. ","gm. m.-w. ")))))&amp;IF(LEN($A2336)=2,TRIM(UPPER(VLOOKUP($A2336,GUS_tabl_1!$A$7:$B$22,2,FALSE))),IF(ISERROR(FIND("..",TRIM(VLOOKUP(IF(AND(LEN($A2336)=4,VALUE(RIGHT($A2336,2))&gt;60),$A2336&amp;"01 1",$A2336),IF(AND(LEN($A2336)=4,VALUE(RIGHT($A2336,2))&lt;60),GUS_tabl_2!$A$8:$B$464,GUS_tabl_21!$A$5:$B$4886),2,FALSE)))),TRIM(VLOOKUP(IF(AND(LEN($A2336)=4,VALUE(RIGHT($A2336,2))&gt;60),$A2336&amp;"01 1",$A2336),IF(AND(LEN($A2336)=4,VALUE(RIGHT($A2336,2))&lt;60),GUS_tabl_2!$A$8:$B$464,GUS_tabl_21!$A$5:$B$4886),2,FALSE)),LEFT(TRIM(VLOOKUP(IF(AND(LEN($A2336)=4,VALUE(RIGHT($A2336,2))&gt;60),$A2336&amp;"01 1",$A2336),IF(AND(LEN($A2336)=4,VALUE(RIGHT($A2336,2))&lt;60),GUS_tabl_2!$A$8:$B$464,GUS_tabl_21!$A$5:$B$4886),2,FALSE)),SUM(FIND("..",TRIM(VLOOKUP(IF(AND(LEN($A2336)=4,VALUE(RIGHT($A2336,2))&gt;60),$A2336&amp;"01 1",$A2336),IF(AND(LEN($A2336)=4,VALUE(RIGHT($A2336,2))&lt;60),GUS_tabl_2!$A$8:$B$464,GUS_tabl_21!$A$5:$B$4886),2,FALSE))),-1)))))</f>
        <v>gm. w. Smyków</v>
      </c>
      <c r="D2336" s="141">
        <f>IF(OR($A2336="",ISERROR(VALUE(LEFT($A2336,6)))),"",IF(LEN($A2336)=2,SUMIF($A2337:$A$2965,$A2336&amp;"??",$D2337:$D$2965),IF(AND(LEN($A2336)=4,VALUE(RIGHT($A2336,2))&lt;=60),SUMIF($A2337:$A$2965,$A2336&amp;"????",$D2337:$D$2965),VLOOKUP(IF(LEN($A2336)=4,$A2336&amp;"01 1",$A2336),GUS_tabl_21!$A$5:$F$4886,6,FALSE))))</f>
        <v>3792</v>
      </c>
      <c r="E2336" s="29"/>
    </row>
    <row r="2337" spans="1:5" ht="12" customHeight="1">
      <c r="A2337" s="155" t="str">
        <f>"260508 3"</f>
        <v>260508 3</v>
      </c>
      <c r="B2337" s="153" t="s">
        <v>58</v>
      </c>
      <c r="C2337" s="156" t="str">
        <f>IF(OR($A2337="",ISERROR(VALUE(LEFT($A2337,6)))),"",IF(LEN($A2337)=2,"WOJ. ",IF(LEN($A2337)=4,IF(VALUE(RIGHT($A2337,2))&gt;60,"","Powiat "),IF(VALUE(RIGHT($A2337,1))=1,"m. ",IF(VALUE(RIGHT($A2337,1))=2,"gm. w. ",IF(VALUE(RIGHT($A2337,1))=8,"dz. ","gm. m.-w. ")))))&amp;IF(LEN($A2337)=2,TRIM(UPPER(VLOOKUP($A2337,GUS_tabl_1!$A$7:$B$22,2,FALSE))),IF(ISERROR(FIND("..",TRIM(VLOOKUP(IF(AND(LEN($A2337)=4,VALUE(RIGHT($A2337,2))&gt;60),$A2337&amp;"01 1",$A2337),IF(AND(LEN($A2337)=4,VALUE(RIGHT($A2337,2))&lt;60),GUS_tabl_2!$A$8:$B$464,GUS_tabl_21!$A$5:$B$4886),2,FALSE)))),TRIM(VLOOKUP(IF(AND(LEN($A2337)=4,VALUE(RIGHT($A2337,2))&gt;60),$A2337&amp;"01 1",$A2337),IF(AND(LEN($A2337)=4,VALUE(RIGHT($A2337,2))&lt;60),GUS_tabl_2!$A$8:$B$464,GUS_tabl_21!$A$5:$B$4886),2,FALSE)),LEFT(TRIM(VLOOKUP(IF(AND(LEN($A2337)=4,VALUE(RIGHT($A2337,2))&gt;60),$A2337&amp;"01 1",$A2337),IF(AND(LEN($A2337)=4,VALUE(RIGHT($A2337,2))&lt;60),GUS_tabl_2!$A$8:$B$464,GUS_tabl_21!$A$5:$B$4886),2,FALSE)),SUM(FIND("..",TRIM(VLOOKUP(IF(AND(LEN($A2337)=4,VALUE(RIGHT($A2337,2))&gt;60),$A2337&amp;"01 1",$A2337),IF(AND(LEN($A2337)=4,VALUE(RIGHT($A2337,2))&lt;60),GUS_tabl_2!$A$8:$B$464,GUS_tabl_21!$A$5:$B$4886),2,FALSE))),-1)))))</f>
        <v>gm. m.-w. Stąporków</v>
      </c>
      <c r="D2337" s="141">
        <f>IF(OR($A2337="",ISERROR(VALUE(LEFT($A2337,6)))),"",IF(LEN($A2337)=2,SUMIF($A2338:$A$2965,$A2337&amp;"??",$D2338:$D$2965),IF(AND(LEN($A2337)=4,VALUE(RIGHT($A2337,2))&lt;=60),SUMIF($A2338:$A$2965,$A2337&amp;"????",$D2338:$D$2965),VLOOKUP(IF(LEN($A2337)=4,$A2337&amp;"01 1",$A2337),GUS_tabl_21!$A$5:$F$4886,6,FALSE))))</f>
        <v>16699</v>
      </c>
      <c r="E2337" s="29"/>
    </row>
    <row r="2338" spans="1:5" ht="12" customHeight="1">
      <c r="A2338" s="152" t="str">
        <f>"2606"</f>
        <v>2606</v>
      </c>
      <c r="B2338" s="153" t="s">
        <v>58</v>
      </c>
      <c r="C2338" s="154" t="str">
        <f>IF(OR($A2338="",ISERROR(VALUE(LEFT($A2338,6)))),"",IF(LEN($A2338)=2,"WOJ. ",IF(LEN($A2338)=4,IF(VALUE(RIGHT($A2338,2))&gt;60,"","Powiat "),IF(VALUE(RIGHT($A2338,1))=1,"m. ",IF(VALUE(RIGHT($A2338,1))=2,"gm. w. ",IF(VALUE(RIGHT($A2338,1))=8,"dz. ","gm. m.-w. ")))))&amp;IF(LEN($A2338)=2,TRIM(UPPER(VLOOKUP($A2338,GUS_tabl_1!$A$7:$B$22,2,FALSE))),IF(ISERROR(FIND("..",TRIM(VLOOKUP(IF(AND(LEN($A2338)=4,VALUE(RIGHT($A2338,2))&gt;60),$A2338&amp;"01 1",$A2338),IF(AND(LEN($A2338)=4,VALUE(RIGHT($A2338,2))&lt;60),GUS_tabl_2!$A$8:$B$464,GUS_tabl_21!$A$5:$B$4886),2,FALSE)))),TRIM(VLOOKUP(IF(AND(LEN($A2338)=4,VALUE(RIGHT($A2338,2))&gt;60),$A2338&amp;"01 1",$A2338),IF(AND(LEN($A2338)=4,VALUE(RIGHT($A2338,2))&lt;60),GUS_tabl_2!$A$8:$B$464,GUS_tabl_21!$A$5:$B$4886),2,FALSE)),LEFT(TRIM(VLOOKUP(IF(AND(LEN($A2338)=4,VALUE(RIGHT($A2338,2))&gt;60),$A2338&amp;"01 1",$A2338),IF(AND(LEN($A2338)=4,VALUE(RIGHT($A2338,2))&lt;60),GUS_tabl_2!$A$8:$B$464,GUS_tabl_21!$A$5:$B$4886),2,FALSE)),SUM(FIND("..",TRIM(VLOOKUP(IF(AND(LEN($A2338)=4,VALUE(RIGHT($A2338,2))&gt;60),$A2338&amp;"01 1",$A2338),IF(AND(LEN($A2338)=4,VALUE(RIGHT($A2338,2))&lt;60),GUS_tabl_2!$A$8:$B$464,GUS_tabl_21!$A$5:$B$4886),2,FALSE))),-1)))))</f>
        <v>Powiat opatowski</v>
      </c>
      <c r="D2338" s="140">
        <f>IF(OR($A2338="",ISERROR(VALUE(LEFT($A2338,6)))),"",IF(LEN($A2338)=2,SUMIF($A2339:$A$2965,$A2338&amp;"??",$D2339:$D$2965),IF(AND(LEN($A2338)=4,VALUE(RIGHT($A2338,2))&lt;=60),SUMIF($A2339:$A$2965,$A2338&amp;"????",$D2339:$D$2965),VLOOKUP(IF(LEN($A2338)=4,$A2338&amp;"01 1",$A2338),GUS_tabl_21!$A$5:$F$4886,6,FALSE))))</f>
        <v>52089</v>
      </c>
      <c r="E2338" s="29"/>
    </row>
    <row r="2339" spans="1:5" ht="12" customHeight="1">
      <c r="A2339" s="155" t="str">
        <f>"260601 2"</f>
        <v>260601 2</v>
      </c>
      <c r="B2339" s="153" t="s">
        <v>58</v>
      </c>
      <c r="C2339" s="156" t="str">
        <f>IF(OR($A2339="",ISERROR(VALUE(LEFT($A2339,6)))),"",IF(LEN($A2339)=2,"WOJ. ",IF(LEN($A2339)=4,IF(VALUE(RIGHT($A2339,2))&gt;60,"","Powiat "),IF(VALUE(RIGHT($A2339,1))=1,"m. ",IF(VALUE(RIGHT($A2339,1))=2,"gm. w. ",IF(VALUE(RIGHT($A2339,1))=8,"dz. ","gm. m.-w. ")))))&amp;IF(LEN($A2339)=2,TRIM(UPPER(VLOOKUP($A2339,GUS_tabl_1!$A$7:$B$22,2,FALSE))),IF(ISERROR(FIND("..",TRIM(VLOOKUP(IF(AND(LEN($A2339)=4,VALUE(RIGHT($A2339,2))&gt;60),$A2339&amp;"01 1",$A2339),IF(AND(LEN($A2339)=4,VALUE(RIGHT($A2339,2))&lt;60),GUS_tabl_2!$A$8:$B$464,GUS_tabl_21!$A$5:$B$4886),2,FALSE)))),TRIM(VLOOKUP(IF(AND(LEN($A2339)=4,VALUE(RIGHT($A2339,2))&gt;60),$A2339&amp;"01 1",$A2339),IF(AND(LEN($A2339)=4,VALUE(RIGHT($A2339,2))&lt;60),GUS_tabl_2!$A$8:$B$464,GUS_tabl_21!$A$5:$B$4886),2,FALSE)),LEFT(TRIM(VLOOKUP(IF(AND(LEN($A2339)=4,VALUE(RIGHT($A2339,2))&gt;60),$A2339&amp;"01 1",$A2339),IF(AND(LEN($A2339)=4,VALUE(RIGHT($A2339,2))&lt;60),GUS_tabl_2!$A$8:$B$464,GUS_tabl_21!$A$5:$B$4886),2,FALSE)),SUM(FIND("..",TRIM(VLOOKUP(IF(AND(LEN($A2339)=4,VALUE(RIGHT($A2339,2))&gt;60),$A2339&amp;"01 1",$A2339),IF(AND(LEN($A2339)=4,VALUE(RIGHT($A2339,2))&lt;60),GUS_tabl_2!$A$8:$B$464,GUS_tabl_21!$A$5:$B$4886),2,FALSE))),-1)))))</f>
        <v>gm. w. Baćkowice</v>
      </c>
      <c r="D2339" s="141">
        <f>IF(OR($A2339="",ISERROR(VALUE(LEFT($A2339,6)))),"",IF(LEN($A2339)=2,SUMIF($A2340:$A$2965,$A2339&amp;"??",$D2340:$D$2965),IF(AND(LEN($A2339)=4,VALUE(RIGHT($A2339,2))&lt;=60),SUMIF($A2340:$A$2965,$A2339&amp;"????",$D2340:$D$2965),VLOOKUP(IF(LEN($A2339)=4,$A2339&amp;"01 1",$A2339),GUS_tabl_21!$A$5:$F$4886,6,FALSE))))</f>
        <v>4868</v>
      </c>
      <c r="E2339" s="29"/>
    </row>
    <row r="2340" spans="1:5" ht="12" customHeight="1">
      <c r="A2340" s="155" t="str">
        <f>"260602 2"</f>
        <v>260602 2</v>
      </c>
      <c r="B2340" s="153" t="s">
        <v>58</v>
      </c>
      <c r="C2340" s="156" t="str">
        <f>IF(OR($A2340="",ISERROR(VALUE(LEFT($A2340,6)))),"",IF(LEN($A2340)=2,"WOJ. ",IF(LEN($A2340)=4,IF(VALUE(RIGHT($A2340,2))&gt;60,"","Powiat "),IF(VALUE(RIGHT($A2340,1))=1,"m. ",IF(VALUE(RIGHT($A2340,1))=2,"gm. w. ",IF(VALUE(RIGHT($A2340,1))=8,"dz. ","gm. m.-w. ")))))&amp;IF(LEN($A2340)=2,TRIM(UPPER(VLOOKUP($A2340,GUS_tabl_1!$A$7:$B$22,2,FALSE))),IF(ISERROR(FIND("..",TRIM(VLOOKUP(IF(AND(LEN($A2340)=4,VALUE(RIGHT($A2340,2))&gt;60),$A2340&amp;"01 1",$A2340),IF(AND(LEN($A2340)=4,VALUE(RIGHT($A2340,2))&lt;60),GUS_tabl_2!$A$8:$B$464,GUS_tabl_21!$A$5:$B$4886),2,FALSE)))),TRIM(VLOOKUP(IF(AND(LEN($A2340)=4,VALUE(RIGHT($A2340,2))&gt;60),$A2340&amp;"01 1",$A2340),IF(AND(LEN($A2340)=4,VALUE(RIGHT($A2340,2))&lt;60),GUS_tabl_2!$A$8:$B$464,GUS_tabl_21!$A$5:$B$4886),2,FALSE)),LEFT(TRIM(VLOOKUP(IF(AND(LEN($A2340)=4,VALUE(RIGHT($A2340,2))&gt;60),$A2340&amp;"01 1",$A2340),IF(AND(LEN($A2340)=4,VALUE(RIGHT($A2340,2))&lt;60),GUS_tabl_2!$A$8:$B$464,GUS_tabl_21!$A$5:$B$4886),2,FALSE)),SUM(FIND("..",TRIM(VLOOKUP(IF(AND(LEN($A2340)=4,VALUE(RIGHT($A2340,2))&gt;60),$A2340&amp;"01 1",$A2340),IF(AND(LEN($A2340)=4,VALUE(RIGHT($A2340,2))&lt;60),GUS_tabl_2!$A$8:$B$464,GUS_tabl_21!$A$5:$B$4886),2,FALSE))),-1)))))</f>
        <v>gm. w. Iwaniska</v>
      </c>
      <c r="D2340" s="141">
        <f>IF(OR($A2340="",ISERROR(VALUE(LEFT($A2340,6)))),"",IF(LEN($A2340)=2,SUMIF($A2341:$A$2965,$A2340&amp;"??",$D2341:$D$2965),IF(AND(LEN($A2340)=4,VALUE(RIGHT($A2340,2))&lt;=60),SUMIF($A2341:$A$2965,$A2340&amp;"????",$D2341:$D$2965),VLOOKUP(IF(LEN($A2340)=4,$A2340&amp;"01 1",$A2340),GUS_tabl_21!$A$5:$F$4886,6,FALSE))))</f>
        <v>6616</v>
      </c>
      <c r="E2340" s="29"/>
    </row>
    <row r="2341" spans="1:5" ht="12" customHeight="1">
      <c r="A2341" s="155" t="str">
        <f>"260603 2"</f>
        <v>260603 2</v>
      </c>
      <c r="B2341" s="153" t="s">
        <v>58</v>
      </c>
      <c r="C2341" s="156" t="str">
        <f>IF(OR($A2341="",ISERROR(VALUE(LEFT($A2341,6)))),"",IF(LEN($A2341)=2,"WOJ. ",IF(LEN($A2341)=4,IF(VALUE(RIGHT($A2341,2))&gt;60,"","Powiat "),IF(VALUE(RIGHT($A2341,1))=1,"m. ",IF(VALUE(RIGHT($A2341,1))=2,"gm. w. ",IF(VALUE(RIGHT($A2341,1))=8,"dz. ","gm. m.-w. ")))))&amp;IF(LEN($A2341)=2,TRIM(UPPER(VLOOKUP($A2341,GUS_tabl_1!$A$7:$B$22,2,FALSE))),IF(ISERROR(FIND("..",TRIM(VLOOKUP(IF(AND(LEN($A2341)=4,VALUE(RIGHT($A2341,2))&gt;60),$A2341&amp;"01 1",$A2341),IF(AND(LEN($A2341)=4,VALUE(RIGHT($A2341,2))&lt;60),GUS_tabl_2!$A$8:$B$464,GUS_tabl_21!$A$5:$B$4886),2,FALSE)))),TRIM(VLOOKUP(IF(AND(LEN($A2341)=4,VALUE(RIGHT($A2341,2))&gt;60),$A2341&amp;"01 1",$A2341),IF(AND(LEN($A2341)=4,VALUE(RIGHT($A2341,2))&lt;60),GUS_tabl_2!$A$8:$B$464,GUS_tabl_21!$A$5:$B$4886),2,FALSE)),LEFT(TRIM(VLOOKUP(IF(AND(LEN($A2341)=4,VALUE(RIGHT($A2341,2))&gt;60),$A2341&amp;"01 1",$A2341),IF(AND(LEN($A2341)=4,VALUE(RIGHT($A2341,2))&lt;60),GUS_tabl_2!$A$8:$B$464,GUS_tabl_21!$A$5:$B$4886),2,FALSE)),SUM(FIND("..",TRIM(VLOOKUP(IF(AND(LEN($A2341)=4,VALUE(RIGHT($A2341,2))&gt;60),$A2341&amp;"01 1",$A2341),IF(AND(LEN($A2341)=4,VALUE(RIGHT($A2341,2))&lt;60),GUS_tabl_2!$A$8:$B$464,GUS_tabl_21!$A$5:$B$4886),2,FALSE))),-1)))))</f>
        <v>gm. w. Lipnik</v>
      </c>
      <c r="D2341" s="141">
        <f>IF(OR($A2341="",ISERROR(VALUE(LEFT($A2341,6)))),"",IF(LEN($A2341)=2,SUMIF($A2342:$A$2965,$A2341&amp;"??",$D2342:$D$2965),IF(AND(LEN($A2341)=4,VALUE(RIGHT($A2341,2))&lt;=60),SUMIF($A2342:$A$2965,$A2341&amp;"????",$D2342:$D$2965),VLOOKUP(IF(LEN($A2341)=4,$A2341&amp;"01 1",$A2341),GUS_tabl_21!$A$5:$F$4886,6,FALSE))))</f>
        <v>5206</v>
      </c>
      <c r="E2341" s="29"/>
    </row>
    <row r="2342" spans="1:5" ht="12" customHeight="1">
      <c r="A2342" s="155" t="str">
        <f>"260604 3"</f>
        <v>260604 3</v>
      </c>
      <c r="B2342" s="153" t="s">
        <v>58</v>
      </c>
      <c r="C2342" s="156" t="str">
        <f>IF(OR($A2342="",ISERROR(VALUE(LEFT($A2342,6)))),"",IF(LEN($A2342)=2,"WOJ. ",IF(LEN($A2342)=4,IF(VALUE(RIGHT($A2342,2))&gt;60,"","Powiat "),IF(VALUE(RIGHT($A2342,1))=1,"m. ",IF(VALUE(RIGHT($A2342,1))=2,"gm. w. ",IF(VALUE(RIGHT($A2342,1))=8,"dz. ","gm. m.-w. ")))))&amp;IF(LEN($A2342)=2,TRIM(UPPER(VLOOKUP($A2342,GUS_tabl_1!$A$7:$B$22,2,FALSE))),IF(ISERROR(FIND("..",TRIM(VLOOKUP(IF(AND(LEN($A2342)=4,VALUE(RIGHT($A2342,2))&gt;60),$A2342&amp;"01 1",$A2342),IF(AND(LEN($A2342)=4,VALUE(RIGHT($A2342,2))&lt;60),GUS_tabl_2!$A$8:$B$464,GUS_tabl_21!$A$5:$B$4886),2,FALSE)))),TRIM(VLOOKUP(IF(AND(LEN($A2342)=4,VALUE(RIGHT($A2342,2))&gt;60),$A2342&amp;"01 1",$A2342),IF(AND(LEN($A2342)=4,VALUE(RIGHT($A2342,2))&lt;60),GUS_tabl_2!$A$8:$B$464,GUS_tabl_21!$A$5:$B$4886),2,FALSE)),LEFT(TRIM(VLOOKUP(IF(AND(LEN($A2342)=4,VALUE(RIGHT($A2342,2))&gt;60),$A2342&amp;"01 1",$A2342),IF(AND(LEN($A2342)=4,VALUE(RIGHT($A2342,2))&lt;60),GUS_tabl_2!$A$8:$B$464,GUS_tabl_21!$A$5:$B$4886),2,FALSE)),SUM(FIND("..",TRIM(VLOOKUP(IF(AND(LEN($A2342)=4,VALUE(RIGHT($A2342,2))&gt;60),$A2342&amp;"01 1",$A2342),IF(AND(LEN($A2342)=4,VALUE(RIGHT($A2342,2))&lt;60),GUS_tabl_2!$A$8:$B$464,GUS_tabl_21!$A$5:$B$4886),2,FALSE))),-1)))))</f>
        <v>gm. m.-w. Opatów</v>
      </c>
      <c r="D2342" s="141">
        <f>IF(OR($A2342="",ISERROR(VALUE(LEFT($A2342,6)))),"",IF(LEN($A2342)=2,SUMIF($A2343:$A$2965,$A2342&amp;"??",$D2343:$D$2965),IF(AND(LEN($A2342)=4,VALUE(RIGHT($A2342,2))&lt;=60),SUMIF($A2343:$A$2965,$A2342&amp;"????",$D2343:$D$2965),VLOOKUP(IF(LEN($A2342)=4,$A2342&amp;"01 1",$A2342),GUS_tabl_21!$A$5:$F$4886,6,FALSE))))</f>
        <v>11663</v>
      </c>
      <c r="E2342" s="29"/>
    </row>
    <row r="2343" spans="1:5" ht="12" customHeight="1">
      <c r="A2343" s="155" t="str">
        <f>"260605 3"</f>
        <v>260605 3</v>
      </c>
      <c r="B2343" s="153" t="s">
        <v>58</v>
      </c>
      <c r="C2343" s="156" t="str">
        <f>IF(OR($A2343="",ISERROR(VALUE(LEFT($A2343,6)))),"",IF(LEN($A2343)=2,"WOJ. ",IF(LEN($A2343)=4,IF(VALUE(RIGHT($A2343,2))&gt;60,"","Powiat "),IF(VALUE(RIGHT($A2343,1))=1,"m. ",IF(VALUE(RIGHT($A2343,1))=2,"gm. w. ",IF(VALUE(RIGHT($A2343,1))=8,"dz. ","gm. m.-w. ")))))&amp;IF(LEN($A2343)=2,TRIM(UPPER(VLOOKUP($A2343,GUS_tabl_1!$A$7:$B$22,2,FALSE))),IF(ISERROR(FIND("..",TRIM(VLOOKUP(IF(AND(LEN($A2343)=4,VALUE(RIGHT($A2343,2))&gt;60),$A2343&amp;"01 1",$A2343),IF(AND(LEN($A2343)=4,VALUE(RIGHT($A2343,2))&lt;60),GUS_tabl_2!$A$8:$B$464,GUS_tabl_21!$A$5:$B$4886),2,FALSE)))),TRIM(VLOOKUP(IF(AND(LEN($A2343)=4,VALUE(RIGHT($A2343,2))&gt;60),$A2343&amp;"01 1",$A2343),IF(AND(LEN($A2343)=4,VALUE(RIGHT($A2343,2))&lt;60),GUS_tabl_2!$A$8:$B$464,GUS_tabl_21!$A$5:$B$4886),2,FALSE)),LEFT(TRIM(VLOOKUP(IF(AND(LEN($A2343)=4,VALUE(RIGHT($A2343,2))&gt;60),$A2343&amp;"01 1",$A2343),IF(AND(LEN($A2343)=4,VALUE(RIGHT($A2343,2))&lt;60),GUS_tabl_2!$A$8:$B$464,GUS_tabl_21!$A$5:$B$4886),2,FALSE)),SUM(FIND("..",TRIM(VLOOKUP(IF(AND(LEN($A2343)=4,VALUE(RIGHT($A2343,2))&gt;60),$A2343&amp;"01 1",$A2343),IF(AND(LEN($A2343)=4,VALUE(RIGHT($A2343,2))&lt;60),GUS_tabl_2!$A$8:$B$464,GUS_tabl_21!$A$5:$B$4886),2,FALSE))),-1)))))</f>
        <v>gm. m.-w. Ożarów</v>
      </c>
      <c r="D2343" s="141">
        <f>IF(OR($A2343="",ISERROR(VALUE(LEFT($A2343,6)))),"",IF(LEN($A2343)=2,SUMIF($A2344:$A$2965,$A2343&amp;"??",$D2344:$D$2965),IF(AND(LEN($A2343)=4,VALUE(RIGHT($A2343,2))&lt;=60),SUMIF($A2344:$A$2965,$A2343&amp;"????",$D2344:$D$2965),VLOOKUP(IF(LEN($A2343)=4,$A2343&amp;"01 1",$A2343),GUS_tabl_21!$A$5:$F$4886,6,FALSE))))</f>
        <v>10662</v>
      </c>
      <c r="E2343" s="29"/>
    </row>
    <row r="2344" spans="1:5" ht="12" customHeight="1">
      <c r="A2344" s="155" t="str">
        <f>"260606 2"</f>
        <v>260606 2</v>
      </c>
      <c r="B2344" s="153" t="s">
        <v>58</v>
      </c>
      <c r="C2344" s="156" t="str">
        <f>IF(OR($A2344="",ISERROR(VALUE(LEFT($A2344,6)))),"",IF(LEN($A2344)=2,"WOJ. ",IF(LEN($A2344)=4,IF(VALUE(RIGHT($A2344,2))&gt;60,"","Powiat "),IF(VALUE(RIGHT($A2344,1))=1,"m. ",IF(VALUE(RIGHT($A2344,1))=2,"gm. w. ",IF(VALUE(RIGHT($A2344,1))=8,"dz. ","gm. m.-w. ")))))&amp;IF(LEN($A2344)=2,TRIM(UPPER(VLOOKUP($A2344,GUS_tabl_1!$A$7:$B$22,2,FALSE))),IF(ISERROR(FIND("..",TRIM(VLOOKUP(IF(AND(LEN($A2344)=4,VALUE(RIGHT($A2344,2))&gt;60),$A2344&amp;"01 1",$A2344),IF(AND(LEN($A2344)=4,VALUE(RIGHT($A2344,2))&lt;60),GUS_tabl_2!$A$8:$B$464,GUS_tabl_21!$A$5:$B$4886),2,FALSE)))),TRIM(VLOOKUP(IF(AND(LEN($A2344)=4,VALUE(RIGHT($A2344,2))&gt;60),$A2344&amp;"01 1",$A2344),IF(AND(LEN($A2344)=4,VALUE(RIGHT($A2344,2))&lt;60),GUS_tabl_2!$A$8:$B$464,GUS_tabl_21!$A$5:$B$4886),2,FALSE)),LEFT(TRIM(VLOOKUP(IF(AND(LEN($A2344)=4,VALUE(RIGHT($A2344,2))&gt;60),$A2344&amp;"01 1",$A2344),IF(AND(LEN($A2344)=4,VALUE(RIGHT($A2344,2))&lt;60),GUS_tabl_2!$A$8:$B$464,GUS_tabl_21!$A$5:$B$4886),2,FALSE)),SUM(FIND("..",TRIM(VLOOKUP(IF(AND(LEN($A2344)=4,VALUE(RIGHT($A2344,2))&gt;60),$A2344&amp;"01 1",$A2344),IF(AND(LEN($A2344)=4,VALUE(RIGHT($A2344,2))&lt;60),GUS_tabl_2!$A$8:$B$464,GUS_tabl_21!$A$5:$B$4886),2,FALSE))),-1)))))</f>
        <v>gm. w. Sadowie</v>
      </c>
      <c r="D2344" s="141">
        <f>IF(OR($A2344="",ISERROR(VALUE(LEFT($A2344,6)))),"",IF(LEN($A2344)=2,SUMIF($A2345:$A$2965,$A2344&amp;"??",$D2345:$D$2965),IF(AND(LEN($A2344)=4,VALUE(RIGHT($A2344,2))&lt;=60),SUMIF($A2345:$A$2965,$A2344&amp;"????",$D2345:$D$2965),VLOOKUP(IF(LEN($A2344)=4,$A2344&amp;"01 1",$A2344),GUS_tabl_21!$A$5:$F$4886,6,FALSE))))</f>
        <v>3929</v>
      </c>
      <c r="E2344" s="29"/>
    </row>
    <row r="2345" spans="1:5" ht="12" customHeight="1">
      <c r="A2345" s="155" t="str">
        <f>"260607 2"</f>
        <v>260607 2</v>
      </c>
      <c r="B2345" s="153" t="s">
        <v>58</v>
      </c>
      <c r="C2345" s="156" t="str">
        <f>IF(OR($A2345="",ISERROR(VALUE(LEFT($A2345,6)))),"",IF(LEN($A2345)=2,"WOJ. ",IF(LEN($A2345)=4,IF(VALUE(RIGHT($A2345,2))&gt;60,"","Powiat "),IF(VALUE(RIGHT($A2345,1))=1,"m. ",IF(VALUE(RIGHT($A2345,1))=2,"gm. w. ",IF(VALUE(RIGHT($A2345,1))=8,"dz. ","gm. m.-w. ")))))&amp;IF(LEN($A2345)=2,TRIM(UPPER(VLOOKUP($A2345,GUS_tabl_1!$A$7:$B$22,2,FALSE))),IF(ISERROR(FIND("..",TRIM(VLOOKUP(IF(AND(LEN($A2345)=4,VALUE(RIGHT($A2345,2))&gt;60),$A2345&amp;"01 1",$A2345),IF(AND(LEN($A2345)=4,VALUE(RIGHT($A2345,2))&lt;60),GUS_tabl_2!$A$8:$B$464,GUS_tabl_21!$A$5:$B$4886),2,FALSE)))),TRIM(VLOOKUP(IF(AND(LEN($A2345)=4,VALUE(RIGHT($A2345,2))&gt;60),$A2345&amp;"01 1",$A2345),IF(AND(LEN($A2345)=4,VALUE(RIGHT($A2345,2))&lt;60),GUS_tabl_2!$A$8:$B$464,GUS_tabl_21!$A$5:$B$4886),2,FALSE)),LEFT(TRIM(VLOOKUP(IF(AND(LEN($A2345)=4,VALUE(RIGHT($A2345,2))&gt;60),$A2345&amp;"01 1",$A2345),IF(AND(LEN($A2345)=4,VALUE(RIGHT($A2345,2))&lt;60),GUS_tabl_2!$A$8:$B$464,GUS_tabl_21!$A$5:$B$4886),2,FALSE)),SUM(FIND("..",TRIM(VLOOKUP(IF(AND(LEN($A2345)=4,VALUE(RIGHT($A2345,2))&gt;60),$A2345&amp;"01 1",$A2345),IF(AND(LEN($A2345)=4,VALUE(RIGHT($A2345,2))&lt;60),GUS_tabl_2!$A$8:$B$464,GUS_tabl_21!$A$5:$B$4886),2,FALSE))),-1)))))</f>
        <v>gm. w. Tarłów</v>
      </c>
      <c r="D2345" s="141">
        <f>IF(OR($A2345="",ISERROR(VALUE(LEFT($A2345,6)))),"",IF(LEN($A2345)=2,SUMIF($A2346:$A$2965,$A2345&amp;"??",$D2346:$D$2965),IF(AND(LEN($A2345)=4,VALUE(RIGHT($A2345,2))&lt;=60),SUMIF($A2346:$A$2965,$A2345&amp;"????",$D2346:$D$2965),VLOOKUP(IF(LEN($A2345)=4,$A2345&amp;"01 1",$A2345),GUS_tabl_21!$A$5:$F$4886,6,FALSE))))</f>
        <v>5139</v>
      </c>
      <c r="E2345" s="29"/>
    </row>
    <row r="2346" spans="1:5" ht="12" customHeight="1">
      <c r="A2346" s="155" t="str">
        <f>"260608 2"</f>
        <v>260608 2</v>
      </c>
      <c r="B2346" s="153" t="s">
        <v>58</v>
      </c>
      <c r="C2346" s="156" t="str">
        <f>IF(OR($A2346="",ISERROR(VALUE(LEFT($A2346,6)))),"",IF(LEN($A2346)=2,"WOJ. ",IF(LEN($A2346)=4,IF(VALUE(RIGHT($A2346,2))&gt;60,"","Powiat "),IF(VALUE(RIGHT($A2346,1))=1,"m. ",IF(VALUE(RIGHT($A2346,1))=2,"gm. w. ",IF(VALUE(RIGHT($A2346,1))=8,"dz. ","gm. m.-w. ")))))&amp;IF(LEN($A2346)=2,TRIM(UPPER(VLOOKUP($A2346,GUS_tabl_1!$A$7:$B$22,2,FALSE))),IF(ISERROR(FIND("..",TRIM(VLOOKUP(IF(AND(LEN($A2346)=4,VALUE(RIGHT($A2346,2))&gt;60),$A2346&amp;"01 1",$A2346),IF(AND(LEN($A2346)=4,VALUE(RIGHT($A2346,2))&lt;60),GUS_tabl_2!$A$8:$B$464,GUS_tabl_21!$A$5:$B$4886),2,FALSE)))),TRIM(VLOOKUP(IF(AND(LEN($A2346)=4,VALUE(RIGHT($A2346,2))&gt;60),$A2346&amp;"01 1",$A2346),IF(AND(LEN($A2346)=4,VALUE(RIGHT($A2346,2))&lt;60),GUS_tabl_2!$A$8:$B$464,GUS_tabl_21!$A$5:$B$4886),2,FALSE)),LEFT(TRIM(VLOOKUP(IF(AND(LEN($A2346)=4,VALUE(RIGHT($A2346,2))&gt;60),$A2346&amp;"01 1",$A2346),IF(AND(LEN($A2346)=4,VALUE(RIGHT($A2346,2))&lt;60),GUS_tabl_2!$A$8:$B$464,GUS_tabl_21!$A$5:$B$4886),2,FALSE)),SUM(FIND("..",TRIM(VLOOKUP(IF(AND(LEN($A2346)=4,VALUE(RIGHT($A2346,2))&gt;60),$A2346&amp;"01 1",$A2346),IF(AND(LEN($A2346)=4,VALUE(RIGHT($A2346,2))&lt;60),GUS_tabl_2!$A$8:$B$464,GUS_tabl_21!$A$5:$B$4886),2,FALSE))),-1)))))</f>
        <v>gm. w. Wojciechowice</v>
      </c>
      <c r="D2346" s="141">
        <f>IF(OR($A2346="",ISERROR(VALUE(LEFT($A2346,6)))),"",IF(LEN($A2346)=2,SUMIF($A2347:$A$2965,$A2346&amp;"??",$D2347:$D$2965),IF(AND(LEN($A2346)=4,VALUE(RIGHT($A2346,2))&lt;=60),SUMIF($A2347:$A$2965,$A2346&amp;"????",$D2347:$D$2965),VLOOKUP(IF(LEN($A2346)=4,$A2346&amp;"01 1",$A2346),GUS_tabl_21!$A$5:$F$4886,6,FALSE))))</f>
        <v>4006</v>
      </c>
      <c r="E2346" s="29"/>
    </row>
    <row r="2347" spans="1:5" ht="12" customHeight="1">
      <c r="A2347" s="152" t="str">
        <f>"2607"</f>
        <v>2607</v>
      </c>
      <c r="B2347" s="153" t="s">
        <v>58</v>
      </c>
      <c r="C2347" s="154" t="str">
        <f>IF(OR($A2347="",ISERROR(VALUE(LEFT($A2347,6)))),"",IF(LEN($A2347)=2,"WOJ. ",IF(LEN($A2347)=4,IF(VALUE(RIGHT($A2347,2))&gt;60,"","Powiat "),IF(VALUE(RIGHT($A2347,1))=1,"m. ",IF(VALUE(RIGHT($A2347,1))=2,"gm. w. ",IF(VALUE(RIGHT($A2347,1))=8,"dz. ","gm. m.-w. ")))))&amp;IF(LEN($A2347)=2,TRIM(UPPER(VLOOKUP($A2347,GUS_tabl_1!$A$7:$B$22,2,FALSE))),IF(ISERROR(FIND("..",TRIM(VLOOKUP(IF(AND(LEN($A2347)=4,VALUE(RIGHT($A2347,2))&gt;60),$A2347&amp;"01 1",$A2347),IF(AND(LEN($A2347)=4,VALUE(RIGHT($A2347,2))&lt;60),GUS_tabl_2!$A$8:$B$464,GUS_tabl_21!$A$5:$B$4886),2,FALSE)))),TRIM(VLOOKUP(IF(AND(LEN($A2347)=4,VALUE(RIGHT($A2347,2))&gt;60),$A2347&amp;"01 1",$A2347),IF(AND(LEN($A2347)=4,VALUE(RIGHT($A2347,2))&lt;60),GUS_tabl_2!$A$8:$B$464,GUS_tabl_21!$A$5:$B$4886),2,FALSE)),LEFT(TRIM(VLOOKUP(IF(AND(LEN($A2347)=4,VALUE(RIGHT($A2347,2))&gt;60),$A2347&amp;"01 1",$A2347),IF(AND(LEN($A2347)=4,VALUE(RIGHT($A2347,2))&lt;60),GUS_tabl_2!$A$8:$B$464,GUS_tabl_21!$A$5:$B$4886),2,FALSE)),SUM(FIND("..",TRIM(VLOOKUP(IF(AND(LEN($A2347)=4,VALUE(RIGHT($A2347,2))&gt;60),$A2347&amp;"01 1",$A2347),IF(AND(LEN($A2347)=4,VALUE(RIGHT($A2347,2))&lt;60),GUS_tabl_2!$A$8:$B$464,GUS_tabl_21!$A$5:$B$4886),2,FALSE))),-1)))))</f>
        <v>Powiat ostrowiecki</v>
      </c>
      <c r="D2347" s="140">
        <f>IF(OR($A2347="",ISERROR(VALUE(LEFT($A2347,6)))),"",IF(LEN($A2347)=2,SUMIF($A2348:$A$2965,$A2347&amp;"??",$D2348:$D$2965),IF(AND(LEN($A2347)=4,VALUE(RIGHT($A2347,2))&lt;=60),SUMIF($A2348:$A$2965,$A2347&amp;"????",$D2348:$D$2965),VLOOKUP(IF(LEN($A2347)=4,$A2347&amp;"01 1",$A2347),GUS_tabl_21!$A$5:$F$4886,6,FALSE))))</f>
        <v>108964</v>
      </c>
      <c r="E2347" s="29"/>
    </row>
    <row r="2348" spans="1:5" ht="12" customHeight="1">
      <c r="A2348" s="155" t="str">
        <f>"260701 1"</f>
        <v>260701 1</v>
      </c>
      <c r="B2348" s="153" t="s">
        <v>58</v>
      </c>
      <c r="C2348" s="156" t="str">
        <f>IF(OR($A2348="",ISERROR(VALUE(LEFT($A2348,6)))),"",IF(LEN($A2348)=2,"WOJ. ",IF(LEN($A2348)=4,IF(VALUE(RIGHT($A2348,2))&gt;60,"","Powiat "),IF(VALUE(RIGHT($A2348,1))=1,"m. ",IF(VALUE(RIGHT($A2348,1))=2,"gm. w. ",IF(VALUE(RIGHT($A2348,1))=8,"dz. ","gm. m.-w. ")))))&amp;IF(LEN($A2348)=2,TRIM(UPPER(VLOOKUP($A2348,GUS_tabl_1!$A$7:$B$22,2,FALSE))),IF(ISERROR(FIND("..",TRIM(VLOOKUP(IF(AND(LEN($A2348)=4,VALUE(RIGHT($A2348,2))&gt;60),$A2348&amp;"01 1",$A2348),IF(AND(LEN($A2348)=4,VALUE(RIGHT($A2348,2))&lt;60),GUS_tabl_2!$A$8:$B$464,GUS_tabl_21!$A$5:$B$4886),2,FALSE)))),TRIM(VLOOKUP(IF(AND(LEN($A2348)=4,VALUE(RIGHT($A2348,2))&gt;60),$A2348&amp;"01 1",$A2348),IF(AND(LEN($A2348)=4,VALUE(RIGHT($A2348,2))&lt;60),GUS_tabl_2!$A$8:$B$464,GUS_tabl_21!$A$5:$B$4886),2,FALSE)),LEFT(TRIM(VLOOKUP(IF(AND(LEN($A2348)=4,VALUE(RIGHT($A2348,2))&gt;60),$A2348&amp;"01 1",$A2348),IF(AND(LEN($A2348)=4,VALUE(RIGHT($A2348,2))&lt;60),GUS_tabl_2!$A$8:$B$464,GUS_tabl_21!$A$5:$B$4886),2,FALSE)),SUM(FIND("..",TRIM(VLOOKUP(IF(AND(LEN($A2348)=4,VALUE(RIGHT($A2348,2))&gt;60),$A2348&amp;"01 1",$A2348),IF(AND(LEN($A2348)=4,VALUE(RIGHT($A2348,2))&lt;60),GUS_tabl_2!$A$8:$B$464,GUS_tabl_21!$A$5:$B$4886),2,FALSE))),-1)))))</f>
        <v>m. Ostrowiec Świętokrzyski</v>
      </c>
      <c r="D2348" s="141">
        <f>IF(OR($A2348="",ISERROR(VALUE(LEFT($A2348,6)))),"",IF(LEN($A2348)=2,SUMIF($A2349:$A$2965,$A2348&amp;"??",$D2349:$D$2965),IF(AND(LEN($A2348)=4,VALUE(RIGHT($A2348,2))&lt;=60),SUMIF($A2349:$A$2965,$A2348&amp;"????",$D2349:$D$2965),VLOOKUP(IF(LEN($A2348)=4,$A2348&amp;"01 1",$A2348),GUS_tabl_21!$A$5:$F$4886,6,FALSE))))</f>
        <v>68338</v>
      </c>
      <c r="E2348" s="29"/>
    </row>
    <row r="2349" spans="1:5" ht="12" customHeight="1">
      <c r="A2349" s="155" t="str">
        <f>"260702 2"</f>
        <v>260702 2</v>
      </c>
      <c r="B2349" s="153" t="s">
        <v>58</v>
      </c>
      <c r="C2349" s="156" t="str">
        <f>IF(OR($A2349="",ISERROR(VALUE(LEFT($A2349,6)))),"",IF(LEN($A2349)=2,"WOJ. ",IF(LEN($A2349)=4,IF(VALUE(RIGHT($A2349,2))&gt;60,"","Powiat "),IF(VALUE(RIGHT($A2349,1))=1,"m. ",IF(VALUE(RIGHT($A2349,1))=2,"gm. w. ",IF(VALUE(RIGHT($A2349,1))=8,"dz. ","gm. m.-w. ")))))&amp;IF(LEN($A2349)=2,TRIM(UPPER(VLOOKUP($A2349,GUS_tabl_1!$A$7:$B$22,2,FALSE))),IF(ISERROR(FIND("..",TRIM(VLOOKUP(IF(AND(LEN($A2349)=4,VALUE(RIGHT($A2349,2))&gt;60),$A2349&amp;"01 1",$A2349),IF(AND(LEN($A2349)=4,VALUE(RIGHT($A2349,2))&lt;60),GUS_tabl_2!$A$8:$B$464,GUS_tabl_21!$A$5:$B$4886),2,FALSE)))),TRIM(VLOOKUP(IF(AND(LEN($A2349)=4,VALUE(RIGHT($A2349,2))&gt;60),$A2349&amp;"01 1",$A2349),IF(AND(LEN($A2349)=4,VALUE(RIGHT($A2349,2))&lt;60),GUS_tabl_2!$A$8:$B$464,GUS_tabl_21!$A$5:$B$4886),2,FALSE)),LEFT(TRIM(VLOOKUP(IF(AND(LEN($A2349)=4,VALUE(RIGHT($A2349,2))&gt;60),$A2349&amp;"01 1",$A2349),IF(AND(LEN($A2349)=4,VALUE(RIGHT($A2349,2))&lt;60),GUS_tabl_2!$A$8:$B$464,GUS_tabl_21!$A$5:$B$4886),2,FALSE)),SUM(FIND("..",TRIM(VLOOKUP(IF(AND(LEN($A2349)=4,VALUE(RIGHT($A2349,2))&gt;60),$A2349&amp;"01 1",$A2349),IF(AND(LEN($A2349)=4,VALUE(RIGHT($A2349,2))&lt;60),GUS_tabl_2!$A$8:$B$464,GUS_tabl_21!$A$5:$B$4886),2,FALSE))),-1)))))</f>
        <v>gm. w. Bałtów</v>
      </c>
      <c r="D2349" s="141">
        <f>IF(OR($A2349="",ISERROR(VALUE(LEFT($A2349,6)))),"",IF(LEN($A2349)=2,SUMIF($A2350:$A$2965,$A2349&amp;"??",$D2350:$D$2965),IF(AND(LEN($A2349)=4,VALUE(RIGHT($A2349,2))&lt;=60),SUMIF($A2350:$A$2965,$A2349&amp;"????",$D2350:$D$2965),VLOOKUP(IF(LEN($A2349)=4,$A2349&amp;"01 1",$A2349),GUS_tabl_21!$A$5:$F$4886,6,FALSE))))</f>
        <v>3410</v>
      </c>
      <c r="E2349" s="29"/>
    </row>
    <row r="2350" spans="1:5" ht="12" customHeight="1">
      <c r="A2350" s="155" t="str">
        <f>"260703 2"</f>
        <v>260703 2</v>
      </c>
      <c r="B2350" s="153" t="s">
        <v>58</v>
      </c>
      <c r="C2350" s="156" t="str">
        <f>IF(OR($A2350="",ISERROR(VALUE(LEFT($A2350,6)))),"",IF(LEN($A2350)=2,"WOJ. ",IF(LEN($A2350)=4,IF(VALUE(RIGHT($A2350,2))&gt;60,"","Powiat "),IF(VALUE(RIGHT($A2350,1))=1,"m. ",IF(VALUE(RIGHT($A2350,1))=2,"gm. w. ",IF(VALUE(RIGHT($A2350,1))=8,"dz. ","gm. m.-w. ")))))&amp;IF(LEN($A2350)=2,TRIM(UPPER(VLOOKUP($A2350,GUS_tabl_1!$A$7:$B$22,2,FALSE))),IF(ISERROR(FIND("..",TRIM(VLOOKUP(IF(AND(LEN($A2350)=4,VALUE(RIGHT($A2350,2))&gt;60),$A2350&amp;"01 1",$A2350),IF(AND(LEN($A2350)=4,VALUE(RIGHT($A2350,2))&lt;60),GUS_tabl_2!$A$8:$B$464,GUS_tabl_21!$A$5:$B$4886),2,FALSE)))),TRIM(VLOOKUP(IF(AND(LEN($A2350)=4,VALUE(RIGHT($A2350,2))&gt;60),$A2350&amp;"01 1",$A2350),IF(AND(LEN($A2350)=4,VALUE(RIGHT($A2350,2))&lt;60),GUS_tabl_2!$A$8:$B$464,GUS_tabl_21!$A$5:$B$4886),2,FALSE)),LEFT(TRIM(VLOOKUP(IF(AND(LEN($A2350)=4,VALUE(RIGHT($A2350,2))&gt;60),$A2350&amp;"01 1",$A2350),IF(AND(LEN($A2350)=4,VALUE(RIGHT($A2350,2))&lt;60),GUS_tabl_2!$A$8:$B$464,GUS_tabl_21!$A$5:$B$4886),2,FALSE)),SUM(FIND("..",TRIM(VLOOKUP(IF(AND(LEN($A2350)=4,VALUE(RIGHT($A2350,2))&gt;60),$A2350&amp;"01 1",$A2350),IF(AND(LEN($A2350)=4,VALUE(RIGHT($A2350,2))&lt;60),GUS_tabl_2!$A$8:$B$464,GUS_tabl_21!$A$5:$B$4886),2,FALSE))),-1)))))</f>
        <v>gm. w. Bodzechów</v>
      </c>
      <c r="D2350" s="141">
        <f>IF(OR($A2350="",ISERROR(VALUE(LEFT($A2350,6)))),"",IF(LEN($A2350)=2,SUMIF($A2351:$A$2965,$A2350&amp;"??",$D2351:$D$2965),IF(AND(LEN($A2350)=4,VALUE(RIGHT($A2350,2))&lt;=60),SUMIF($A2351:$A$2965,$A2350&amp;"????",$D2351:$D$2965),VLOOKUP(IF(LEN($A2350)=4,$A2350&amp;"01 1",$A2350),GUS_tabl_21!$A$5:$F$4886,6,FALSE))))</f>
        <v>13326</v>
      </c>
      <c r="E2350" s="29"/>
    </row>
    <row r="2351" spans="1:5" ht="12" customHeight="1">
      <c r="A2351" s="155" t="str">
        <f>"260704 3"</f>
        <v>260704 3</v>
      </c>
      <c r="B2351" s="153" t="s">
        <v>58</v>
      </c>
      <c r="C2351" s="156" t="str">
        <f>IF(OR($A2351="",ISERROR(VALUE(LEFT($A2351,6)))),"",IF(LEN($A2351)=2,"WOJ. ",IF(LEN($A2351)=4,IF(VALUE(RIGHT($A2351,2))&gt;60,"","Powiat "),IF(VALUE(RIGHT($A2351,1))=1,"m. ",IF(VALUE(RIGHT($A2351,1))=2,"gm. w. ",IF(VALUE(RIGHT($A2351,1))=8,"dz. ","gm. m.-w. ")))))&amp;IF(LEN($A2351)=2,TRIM(UPPER(VLOOKUP($A2351,GUS_tabl_1!$A$7:$B$22,2,FALSE))),IF(ISERROR(FIND("..",TRIM(VLOOKUP(IF(AND(LEN($A2351)=4,VALUE(RIGHT($A2351,2))&gt;60),$A2351&amp;"01 1",$A2351),IF(AND(LEN($A2351)=4,VALUE(RIGHT($A2351,2))&lt;60),GUS_tabl_2!$A$8:$B$464,GUS_tabl_21!$A$5:$B$4886),2,FALSE)))),TRIM(VLOOKUP(IF(AND(LEN($A2351)=4,VALUE(RIGHT($A2351,2))&gt;60),$A2351&amp;"01 1",$A2351),IF(AND(LEN($A2351)=4,VALUE(RIGHT($A2351,2))&lt;60),GUS_tabl_2!$A$8:$B$464,GUS_tabl_21!$A$5:$B$4886),2,FALSE)),LEFT(TRIM(VLOOKUP(IF(AND(LEN($A2351)=4,VALUE(RIGHT($A2351,2))&gt;60),$A2351&amp;"01 1",$A2351),IF(AND(LEN($A2351)=4,VALUE(RIGHT($A2351,2))&lt;60),GUS_tabl_2!$A$8:$B$464,GUS_tabl_21!$A$5:$B$4886),2,FALSE)),SUM(FIND("..",TRIM(VLOOKUP(IF(AND(LEN($A2351)=4,VALUE(RIGHT($A2351,2))&gt;60),$A2351&amp;"01 1",$A2351),IF(AND(LEN($A2351)=4,VALUE(RIGHT($A2351,2))&lt;60),GUS_tabl_2!$A$8:$B$464,GUS_tabl_21!$A$5:$B$4886),2,FALSE))),-1)))))</f>
        <v>gm. m.-w. Ćmielów</v>
      </c>
      <c r="D2351" s="141">
        <f>IF(OR($A2351="",ISERROR(VALUE(LEFT($A2351,6)))),"",IF(LEN($A2351)=2,SUMIF($A2352:$A$2965,$A2351&amp;"??",$D2352:$D$2965),IF(AND(LEN($A2351)=4,VALUE(RIGHT($A2351,2))&lt;=60),SUMIF($A2352:$A$2965,$A2351&amp;"????",$D2352:$D$2965),VLOOKUP(IF(LEN($A2351)=4,$A2351&amp;"01 1",$A2351),GUS_tabl_21!$A$5:$F$4886,6,FALSE))))</f>
        <v>7330</v>
      </c>
      <c r="E2351" s="29"/>
    </row>
    <row r="2352" spans="1:5" ht="12" customHeight="1">
      <c r="A2352" s="155" t="str">
        <f>"260705 3"</f>
        <v>260705 3</v>
      </c>
      <c r="B2352" s="153" t="s">
        <v>58</v>
      </c>
      <c r="C2352" s="156" t="str">
        <f>IF(OR($A2352="",ISERROR(VALUE(LEFT($A2352,6)))),"",IF(LEN($A2352)=2,"WOJ. ",IF(LEN($A2352)=4,IF(VALUE(RIGHT($A2352,2))&gt;60,"","Powiat "),IF(VALUE(RIGHT($A2352,1))=1,"m. ",IF(VALUE(RIGHT($A2352,1))=2,"gm. w. ",IF(VALUE(RIGHT($A2352,1))=8,"dz. ","gm. m.-w. ")))))&amp;IF(LEN($A2352)=2,TRIM(UPPER(VLOOKUP($A2352,GUS_tabl_1!$A$7:$B$22,2,FALSE))),IF(ISERROR(FIND("..",TRIM(VLOOKUP(IF(AND(LEN($A2352)=4,VALUE(RIGHT($A2352,2))&gt;60),$A2352&amp;"01 1",$A2352),IF(AND(LEN($A2352)=4,VALUE(RIGHT($A2352,2))&lt;60),GUS_tabl_2!$A$8:$B$464,GUS_tabl_21!$A$5:$B$4886),2,FALSE)))),TRIM(VLOOKUP(IF(AND(LEN($A2352)=4,VALUE(RIGHT($A2352,2))&gt;60),$A2352&amp;"01 1",$A2352),IF(AND(LEN($A2352)=4,VALUE(RIGHT($A2352,2))&lt;60),GUS_tabl_2!$A$8:$B$464,GUS_tabl_21!$A$5:$B$4886),2,FALSE)),LEFT(TRIM(VLOOKUP(IF(AND(LEN($A2352)=4,VALUE(RIGHT($A2352,2))&gt;60),$A2352&amp;"01 1",$A2352),IF(AND(LEN($A2352)=4,VALUE(RIGHT($A2352,2))&lt;60),GUS_tabl_2!$A$8:$B$464,GUS_tabl_21!$A$5:$B$4886),2,FALSE)),SUM(FIND("..",TRIM(VLOOKUP(IF(AND(LEN($A2352)=4,VALUE(RIGHT($A2352,2))&gt;60),$A2352&amp;"01 1",$A2352),IF(AND(LEN($A2352)=4,VALUE(RIGHT($A2352,2))&lt;60),GUS_tabl_2!$A$8:$B$464,GUS_tabl_21!$A$5:$B$4886),2,FALSE))),-1)))))</f>
        <v>gm. m.-w. Kunów</v>
      </c>
      <c r="D2352" s="141">
        <f>IF(OR($A2352="",ISERROR(VALUE(LEFT($A2352,6)))),"",IF(LEN($A2352)=2,SUMIF($A2353:$A$2965,$A2352&amp;"??",$D2353:$D$2965),IF(AND(LEN($A2352)=4,VALUE(RIGHT($A2352,2))&lt;=60),SUMIF($A2353:$A$2965,$A2352&amp;"????",$D2353:$D$2965),VLOOKUP(IF(LEN($A2352)=4,$A2352&amp;"01 1",$A2352),GUS_tabl_21!$A$5:$F$4886,6,FALSE))))</f>
        <v>9779</v>
      </c>
      <c r="E2352" s="29"/>
    </row>
    <row r="2353" spans="1:5" ht="12" customHeight="1">
      <c r="A2353" s="155" t="str">
        <f>"260706 2"</f>
        <v>260706 2</v>
      </c>
      <c r="B2353" s="153" t="s">
        <v>58</v>
      </c>
      <c r="C2353" s="156" t="str">
        <f>IF(OR($A2353="",ISERROR(VALUE(LEFT($A2353,6)))),"",IF(LEN($A2353)=2,"WOJ. ",IF(LEN($A2353)=4,IF(VALUE(RIGHT($A2353,2))&gt;60,"","Powiat "),IF(VALUE(RIGHT($A2353,1))=1,"m. ",IF(VALUE(RIGHT($A2353,1))=2,"gm. w. ",IF(VALUE(RIGHT($A2353,1))=8,"dz. ","gm. m.-w. ")))))&amp;IF(LEN($A2353)=2,TRIM(UPPER(VLOOKUP($A2353,GUS_tabl_1!$A$7:$B$22,2,FALSE))),IF(ISERROR(FIND("..",TRIM(VLOOKUP(IF(AND(LEN($A2353)=4,VALUE(RIGHT($A2353,2))&gt;60),$A2353&amp;"01 1",$A2353),IF(AND(LEN($A2353)=4,VALUE(RIGHT($A2353,2))&lt;60),GUS_tabl_2!$A$8:$B$464,GUS_tabl_21!$A$5:$B$4886),2,FALSE)))),TRIM(VLOOKUP(IF(AND(LEN($A2353)=4,VALUE(RIGHT($A2353,2))&gt;60),$A2353&amp;"01 1",$A2353),IF(AND(LEN($A2353)=4,VALUE(RIGHT($A2353,2))&lt;60),GUS_tabl_2!$A$8:$B$464,GUS_tabl_21!$A$5:$B$4886),2,FALSE)),LEFT(TRIM(VLOOKUP(IF(AND(LEN($A2353)=4,VALUE(RIGHT($A2353,2))&gt;60),$A2353&amp;"01 1",$A2353),IF(AND(LEN($A2353)=4,VALUE(RIGHT($A2353,2))&lt;60),GUS_tabl_2!$A$8:$B$464,GUS_tabl_21!$A$5:$B$4886),2,FALSE)),SUM(FIND("..",TRIM(VLOOKUP(IF(AND(LEN($A2353)=4,VALUE(RIGHT($A2353,2))&gt;60),$A2353&amp;"01 1",$A2353),IF(AND(LEN($A2353)=4,VALUE(RIGHT($A2353,2))&lt;60),GUS_tabl_2!$A$8:$B$464,GUS_tabl_21!$A$5:$B$4886),2,FALSE))),-1)))))</f>
        <v>gm. w. Waśniów</v>
      </c>
      <c r="D2353" s="141">
        <f>IF(OR($A2353="",ISERROR(VALUE(LEFT($A2353,6)))),"",IF(LEN($A2353)=2,SUMIF($A2354:$A$2965,$A2353&amp;"??",$D2354:$D$2965),IF(AND(LEN($A2353)=4,VALUE(RIGHT($A2353,2))&lt;=60),SUMIF($A2354:$A$2965,$A2353&amp;"????",$D2354:$D$2965),VLOOKUP(IF(LEN($A2353)=4,$A2353&amp;"01 1",$A2353),GUS_tabl_21!$A$5:$F$4886,6,FALSE))))</f>
        <v>6781</v>
      </c>
      <c r="E2353" s="29"/>
    </row>
    <row r="2354" spans="1:5" ht="12" customHeight="1">
      <c r="A2354" s="152" t="str">
        <f>"2608"</f>
        <v>2608</v>
      </c>
      <c r="B2354" s="153" t="s">
        <v>58</v>
      </c>
      <c r="C2354" s="154" t="str">
        <f>IF(OR($A2354="",ISERROR(VALUE(LEFT($A2354,6)))),"",IF(LEN($A2354)=2,"WOJ. ",IF(LEN($A2354)=4,IF(VALUE(RIGHT($A2354,2))&gt;60,"","Powiat "),IF(VALUE(RIGHT($A2354,1))=1,"m. ",IF(VALUE(RIGHT($A2354,1))=2,"gm. w. ",IF(VALUE(RIGHT($A2354,1))=8,"dz. ","gm. m.-w. ")))))&amp;IF(LEN($A2354)=2,TRIM(UPPER(VLOOKUP($A2354,GUS_tabl_1!$A$7:$B$22,2,FALSE))),IF(ISERROR(FIND("..",TRIM(VLOOKUP(IF(AND(LEN($A2354)=4,VALUE(RIGHT($A2354,2))&gt;60),$A2354&amp;"01 1",$A2354),IF(AND(LEN($A2354)=4,VALUE(RIGHT($A2354,2))&lt;60),GUS_tabl_2!$A$8:$B$464,GUS_tabl_21!$A$5:$B$4886),2,FALSE)))),TRIM(VLOOKUP(IF(AND(LEN($A2354)=4,VALUE(RIGHT($A2354,2))&gt;60),$A2354&amp;"01 1",$A2354),IF(AND(LEN($A2354)=4,VALUE(RIGHT($A2354,2))&lt;60),GUS_tabl_2!$A$8:$B$464,GUS_tabl_21!$A$5:$B$4886),2,FALSE)),LEFT(TRIM(VLOOKUP(IF(AND(LEN($A2354)=4,VALUE(RIGHT($A2354,2))&gt;60),$A2354&amp;"01 1",$A2354),IF(AND(LEN($A2354)=4,VALUE(RIGHT($A2354,2))&lt;60),GUS_tabl_2!$A$8:$B$464,GUS_tabl_21!$A$5:$B$4886),2,FALSE)),SUM(FIND("..",TRIM(VLOOKUP(IF(AND(LEN($A2354)=4,VALUE(RIGHT($A2354,2))&gt;60),$A2354&amp;"01 1",$A2354),IF(AND(LEN($A2354)=4,VALUE(RIGHT($A2354,2))&lt;60),GUS_tabl_2!$A$8:$B$464,GUS_tabl_21!$A$5:$B$4886),2,FALSE))),-1)))))</f>
        <v>Powiat pińczowski</v>
      </c>
      <c r="D2354" s="140">
        <f>IF(OR($A2354="",ISERROR(VALUE(LEFT($A2354,6)))),"",IF(LEN($A2354)=2,SUMIF($A2355:$A$2965,$A2354&amp;"??",$D2355:$D$2965),IF(AND(LEN($A2354)=4,VALUE(RIGHT($A2354,2))&lt;=60),SUMIF($A2355:$A$2965,$A2354&amp;"????",$D2355:$D$2965),VLOOKUP(IF(LEN($A2354)=4,$A2354&amp;"01 1",$A2354),GUS_tabl_21!$A$5:$F$4886,6,FALSE))))</f>
        <v>38926</v>
      </c>
      <c r="E2354" s="29"/>
    </row>
    <row r="2355" spans="1:5" ht="12" customHeight="1">
      <c r="A2355" s="155" t="str">
        <f>"260801 3"</f>
        <v>260801 3</v>
      </c>
      <c r="B2355" s="153" t="s">
        <v>58</v>
      </c>
      <c r="C2355" s="156" t="str">
        <f>IF(OR($A2355="",ISERROR(VALUE(LEFT($A2355,6)))),"",IF(LEN($A2355)=2,"WOJ. ",IF(LEN($A2355)=4,IF(VALUE(RIGHT($A2355,2))&gt;60,"","Powiat "),IF(VALUE(RIGHT($A2355,1))=1,"m. ",IF(VALUE(RIGHT($A2355,1))=2,"gm. w. ",IF(VALUE(RIGHT($A2355,1))=8,"dz. ","gm. m.-w. ")))))&amp;IF(LEN($A2355)=2,TRIM(UPPER(VLOOKUP($A2355,GUS_tabl_1!$A$7:$B$22,2,FALSE))),IF(ISERROR(FIND("..",TRIM(VLOOKUP(IF(AND(LEN($A2355)=4,VALUE(RIGHT($A2355,2))&gt;60),$A2355&amp;"01 1",$A2355),IF(AND(LEN($A2355)=4,VALUE(RIGHT($A2355,2))&lt;60),GUS_tabl_2!$A$8:$B$464,GUS_tabl_21!$A$5:$B$4886),2,FALSE)))),TRIM(VLOOKUP(IF(AND(LEN($A2355)=4,VALUE(RIGHT($A2355,2))&gt;60),$A2355&amp;"01 1",$A2355),IF(AND(LEN($A2355)=4,VALUE(RIGHT($A2355,2))&lt;60),GUS_tabl_2!$A$8:$B$464,GUS_tabl_21!$A$5:$B$4886),2,FALSE)),LEFT(TRIM(VLOOKUP(IF(AND(LEN($A2355)=4,VALUE(RIGHT($A2355,2))&gt;60),$A2355&amp;"01 1",$A2355),IF(AND(LEN($A2355)=4,VALUE(RIGHT($A2355,2))&lt;60),GUS_tabl_2!$A$8:$B$464,GUS_tabl_21!$A$5:$B$4886),2,FALSE)),SUM(FIND("..",TRIM(VLOOKUP(IF(AND(LEN($A2355)=4,VALUE(RIGHT($A2355,2))&gt;60),$A2355&amp;"01 1",$A2355),IF(AND(LEN($A2355)=4,VALUE(RIGHT($A2355,2))&lt;60),GUS_tabl_2!$A$8:$B$464,GUS_tabl_21!$A$5:$B$4886),2,FALSE))),-1)))))</f>
        <v>gm. m.-w. Działoszyce</v>
      </c>
      <c r="D2355" s="141">
        <f>IF(OR($A2355="",ISERROR(VALUE(LEFT($A2355,6)))),"",IF(LEN($A2355)=2,SUMIF($A2356:$A$2965,$A2355&amp;"??",$D2356:$D$2965),IF(AND(LEN($A2355)=4,VALUE(RIGHT($A2355,2))&lt;=60),SUMIF($A2356:$A$2965,$A2355&amp;"????",$D2356:$D$2965),VLOOKUP(IF(LEN($A2355)=4,$A2355&amp;"01 1",$A2355),GUS_tabl_21!$A$5:$F$4886,6,FALSE))))</f>
        <v>4900</v>
      </c>
      <c r="E2355" s="29"/>
    </row>
    <row r="2356" spans="1:5" ht="12" customHeight="1">
      <c r="A2356" s="155" t="str">
        <f>"260802 2"</f>
        <v>260802 2</v>
      </c>
      <c r="B2356" s="153" t="s">
        <v>58</v>
      </c>
      <c r="C2356" s="156" t="str">
        <f>IF(OR($A2356="",ISERROR(VALUE(LEFT($A2356,6)))),"",IF(LEN($A2356)=2,"WOJ. ",IF(LEN($A2356)=4,IF(VALUE(RIGHT($A2356,2))&gt;60,"","Powiat "),IF(VALUE(RIGHT($A2356,1))=1,"m. ",IF(VALUE(RIGHT($A2356,1))=2,"gm. w. ",IF(VALUE(RIGHT($A2356,1))=8,"dz. ","gm. m.-w. ")))))&amp;IF(LEN($A2356)=2,TRIM(UPPER(VLOOKUP($A2356,GUS_tabl_1!$A$7:$B$22,2,FALSE))),IF(ISERROR(FIND("..",TRIM(VLOOKUP(IF(AND(LEN($A2356)=4,VALUE(RIGHT($A2356,2))&gt;60),$A2356&amp;"01 1",$A2356),IF(AND(LEN($A2356)=4,VALUE(RIGHT($A2356,2))&lt;60),GUS_tabl_2!$A$8:$B$464,GUS_tabl_21!$A$5:$B$4886),2,FALSE)))),TRIM(VLOOKUP(IF(AND(LEN($A2356)=4,VALUE(RIGHT($A2356,2))&gt;60),$A2356&amp;"01 1",$A2356),IF(AND(LEN($A2356)=4,VALUE(RIGHT($A2356,2))&lt;60),GUS_tabl_2!$A$8:$B$464,GUS_tabl_21!$A$5:$B$4886),2,FALSE)),LEFT(TRIM(VLOOKUP(IF(AND(LEN($A2356)=4,VALUE(RIGHT($A2356,2))&gt;60),$A2356&amp;"01 1",$A2356),IF(AND(LEN($A2356)=4,VALUE(RIGHT($A2356,2))&lt;60),GUS_tabl_2!$A$8:$B$464,GUS_tabl_21!$A$5:$B$4886),2,FALSE)),SUM(FIND("..",TRIM(VLOOKUP(IF(AND(LEN($A2356)=4,VALUE(RIGHT($A2356,2))&gt;60),$A2356&amp;"01 1",$A2356),IF(AND(LEN($A2356)=4,VALUE(RIGHT($A2356,2))&lt;60),GUS_tabl_2!$A$8:$B$464,GUS_tabl_21!$A$5:$B$4886),2,FALSE))),-1)))))</f>
        <v>gm. w. Kije</v>
      </c>
      <c r="D2356" s="141">
        <f>IF(OR($A2356="",ISERROR(VALUE(LEFT($A2356,6)))),"",IF(LEN($A2356)=2,SUMIF($A2357:$A$2965,$A2356&amp;"??",$D2357:$D$2965),IF(AND(LEN($A2356)=4,VALUE(RIGHT($A2356,2))&lt;=60),SUMIF($A2357:$A$2965,$A2356&amp;"????",$D2357:$D$2965),VLOOKUP(IF(LEN($A2356)=4,$A2356&amp;"01 1",$A2356),GUS_tabl_21!$A$5:$F$4886,6,FALSE))))</f>
        <v>4373</v>
      </c>
      <c r="E2356" s="29"/>
    </row>
    <row r="2357" spans="1:5" ht="12" customHeight="1">
      <c r="A2357" s="155" t="str">
        <f>"260803 2"</f>
        <v>260803 2</v>
      </c>
      <c r="B2357" s="153" t="s">
        <v>58</v>
      </c>
      <c r="C2357" s="156" t="str">
        <f>IF(OR($A2357="",ISERROR(VALUE(LEFT($A2357,6)))),"",IF(LEN($A2357)=2,"WOJ. ",IF(LEN($A2357)=4,IF(VALUE(RIGHT($A2357,2))&gt;60,"","Powiat "),IF(VALUE(RIGHT($A2357,1))=1,"m. ",IF(VALUE(RIGHT($A2357,1))=2,"gm. w. ",IF(VALUE(RIGHT($A2357,1))=8,"dz. ","gm. m.-w. ")))))&amp;IF(LEN($A2357)=2,TRIM(UPPER(VLOOKUP($A2357,GUS_tabl_1!$A$7:$B$22,2,FALSE))),IF(ISERROR(FIND("..",TRIM(VLOOKUP(IF(AND(LEN($A2357)=4,VALUE(RIGHT($A2357,2))&gt;60),$A2357&amp;"01 1",$A2357),IF(AND(LEN($A2357)=4,VALUE(RIGHT($A2357,2))&lt;60),GUS_tabl_2!$A$8:$B$464,GUS_tabl_21!$A$5:$B$4886),2,FALSE)))),TRIM(VLOOKUP(IF(AND(LEN($A2357)=4,VALUE(RIGHT($A2357,2))&gt;60),$A2357&amp;"01 1",$A2357),IF(AND(LEN($A2357)=4,VALUE(RIGHT($A2357,2))&lt;60),GUS_tabl_2!$A$8:$B$464,GUS_tabl_21!$A$5:$B$4886),2,FALSE)),LEFT(TRIM(VLOOKUP(IF(AND(LEN($A2357)=4,VALUE(RIGHT($A2357,2))&gt;60),$A2357&amp;"01 1",$A2357),IF(AND(LEN($A2357)=4,VALUE(RIGHT($A2357,2))&lt;60),GUS_tabl_2!$A$8:$B$464,GUS_tabl_21!$A$5:$B$4886),2,FALSE)),SUM(FIND("..",TRIM(VLOOKUP(IF(AND(LEN($A2357)=4,VALUE(RIGHT($A2357,2))&gt;60),$A2357&amp;"01 1",$A2357),IF(AND(LEN($A2357)=4,VALUE(RIGHT($A2357,2))&lt;60),GUS_tabl_2!$A$8:$B$464,GUS_tabl_21!$A$5:$B$4886),2,FALSE))),-1)))))</f>
        <v>gm. w. Michałów</v>
      </c>
      <c r="D2357" s="141">
        <f>IF(OR($A2357="",ISERROR(VALUE(LEFT($A2357,6)))),"",IF(LEN($A2357)=2,SUMIF($A2358:$A$2965,$A2357&amp;"??",$D2358:$D$2965),IF(AND(LEN($A2357)=4,VALUE(RIGHT($A2357,2))&lt;=60),SUMIF($A2358:$A$2965,$A2357&amp;"????",$D2358:$D$2965),VLOOKUP(IF(LEN($A2357)=4,$A2357&amp;"01 1",$A2357),GUS_tabl_21!$A$5:$F$4886,6,FALSE))))</f>
        <v>4564</v>
      </c>
      <c r="E2357" s="29"/>
    </row>
    <row r="2358" spans="1:5" ht="12" customHeight="1">
      <c r="A2358" s="155" t="str">
        <f>"260804 3"</f>
        <v>260804 3</v>
      </c>
      <c r="B2358" s="153" t="s">
        <v>58</v>
      </c>
      <c r="C2358" s="156" t="str">
        <f>IF(OR($A2358="",ISERROR(VALUE(LEFT($A2358,6)))),"",IF(LEN($A2358)=2,"WOJ. ",IF(LEN($A2358)=4,IF(VALUE(RIGHT($A2358,2))&gt;60,"","Powiat "),IF(VALUE(RIGHT($A2358,1))=1,"m. ",IF(VALUE(RIGHT($A2358,1))=2,"gm. w. ",IF(VALUE(RIGHT($A2358,1))=8,"dz. ","gm. m.-w. ")))))&amp;IF(LEN($A2358)=2,TRIM(UPPER(VLOOKUP($A2358,GUS_tabl_1!$A$7:$B$22,2,FALSE))),IF(ISERROR(FIND("..",TRIM(VLOOKUP(IF(AND(LEN($A2358)=4,VALUE(RIGHT($A2358,2))&gt;60),$A2358&amp;"01 1",$A2358),IF(AND(LEN($A2358)=4,VALUE(RIGHT($A2358,2))&lt;60),GUS_tabl_2!$A$8:$B$464,GUS_tabl_21!$A$5:$B$4886),2,FALSE)))),TRIM(VLOOKUP(IF(AND(LEN($A2358)=4,VALUE(RIGHT($A2358,2))&gt;60),$A2358&amp;"01 1",$A2358),IF(AND(LEN($A2358)=4,VALUE(RIGHT($A2358,2))&lt;60),GUS_tabl_2!$A$8:$B$464,GUS_tabl_21!$A$5:$B$4886),2,FALSE)),LEFT(TRIM(VLOOKUP(IF(AND(LEN($A2358)=4,VALUE(RIGHT($A2358,2))&gt;60),$A2358&amp;"01 1",$A2358),IF(AND(LEN($A2358)=4,VALUE(RIGHT($A2358,2))&lt;60),GUS_tabl_2!$A$8:$B$464,GUS_tabl_21!$A$5:$B$4886),2,FALSE)),SUM(FIND("..",TRIM(VLOOKUP(IF(AND(LEN($A2358)=4,VALUE(RIGHT($A2358,2))&gt;60),$A2358&amp;"01 1",$A2358),IF(AND(LEN($A2358)=4,VALUE(RIGHT($A2358,2))&lt;60),GUS_tabl_2!$A$8:$B$464,GUS_tabl_21!$A$5:$B$4886),2,FALSE))),-1)))))</f>
        <v>gm. m.-w. Pińczów</v>
      </c>
      <c r="D2358" s="141">
        <f>IF(OR($A2358="",ISERROR(VALUE(LEFT($A2358,6)))),"",IF(LEN($A2358)=2,SUMIF($A2359:$A$2965,$A2358&amp;"??",$D2359:$D$2965),IF(AND(LEN($A2358)=4,VALUE(RIGHT($A2358,2))&lt;=60),SUMIF($A2359:$A$2965,$A2358&amp;"????",$D2359:$D$2965),VLOOKUP(IF(LEN($A2358)=4,$A2358&amp;"01 1",$A2358),GUS_tabl_21!$A$5:$F$4886,6,FALSE))))</f>
        <v>20626</v>
      </c>
      <c r="E2358" s="29"/>
    </row>
    <row r="2359" spans="1:5" ht="12" customHeight="1">
      <c r="A2359" s="155" t="str">
        <f>"260805 2"</f>
        <v>260805 2</v>
      </c>
      <c r="B2359" s="153" t="s">
        <v>58</v>
      </c>
      <c r="C2359" s="156" t="str">
        <f>IF(OR($A2359="",ISERROR(VALUE(LEFT($A2359,6)))),"",IF(LEN($A2359)=2,"WOJ. ",IF(LEN($A2359)=4,IF(VALUE(RIGHT($A2359,2))&gt;60,"","Powiat "),IF(VALUE(RIGHT($A2359,1))=1,"m. ",IF(VALUE(RIGHT($A2359,1))=2,"gm. w. ",IF(VALUE(RIGHT($A2359,1))=8,"dz. ","gm. m.-w. ")))))&amp;IF(LEN($A2359)=2,TRIM(UPPER(VLOOKUP($A2359,GUS_tabl_1!$A$7:$B$22,2,FALSE))),IF(ISERROR(FIND("..",TRIM(VLOOKUP(IF(AND(LEN($A2359)=4,VALUE(RIGHT($A2359,2))&gt;60),$A2359&amp;"01 1",$A2359),IF(AND(LEN($A2359)=4,VALUE(RIGHT($A2359,2))&lt;60),GUS_tabl_2!$A$8:$B$464,GUS_tabl_21!$A$5:$B$4886),2,FALSE)))),TRIM(VLOOKUP(IF(AND(LEN($A2359)=4,VALUE(RIGHT($A2359,2))&gt;60),$A2359&amp;"01 1",$A2359),IF(AND(LEN($A2359)=4,VALUE(RIGHT($A2359,2))&lt;60),GUS_tabl_2!$A$8:$B$464,GUS_tabl_21!$A$5:$B$4886),2,FALSE)),LEFT(TRIM(VLOOKUP(IF(AND(LEN($A2359)=4,VALUE(RIGHT($A2359,2))&gt;60),$A2359&amp;"01 1",$A2359),IF(AND(LEN($A2359)=4,VALUE(RIGHT($A2359,2))&lt;60),GUS_tabl_2!$A$8:$B$464,GUS_tabl_21!$A$5:$B$4886),2,FALSE)),SUM(FIND("..",TRIM(VLOOKUP(IF(AND(LEN($A2359)=4,VALUE(RIGHT($A2359,2))&gt;60),$A2359&amp;"01 1",$A2359),IF(AND(LEN($A2359)=4,VALUE(RIGHT($A2359,2))&lt;60),GUS_tabl_2!$A$8:$B$464,GUS_tabl_21!$A$5:$B$4886),2,FALSE))),-1)))))</f>
        <v>gm. w. Złota</v>
      </c>
      <c r="D2359" s="141">
        <f>IF(OR($A2359="",ISERROR(VALUE(LEFT($A2359,6)))),"",IF(LEN($A2359)=2,SUMIF($A2360:$A$2965,$A2359&amp;"??",$D2360:$D$2965),IF(AND(LEN($A2359)=4,VALUE(RIGHT($A2359,2))&lt;=60),SUMIF($A2360:$A$2965,$A2359&amp;"????",$D2360:$D$2965),VLOOKUP(IF(LEN($A2359)=4,$A2359&amp;"01 1",$A2359),GUS_tabl_21!$A$5:$F$4886,6,FALSE))))</f>
        <v>4463</v>
      </c>
      <c r="E2359" s="29"/>
    </row>
    <row r="2360" spans="1:5" ht="12" customHeight="1">
      <c r="A2360" s="152" t="str">
        <f>"2609"</f>
        <v>2609</v>
      </c>
      <c r="B2360" s="153" t="s">
        <v>58</v>
      </c>
      <c r="C2360" s="154" t="str">
        <f>IF(OR($A2360="",ISERROR(VALUE(LEFT($A2360,6)))),"",IF(LEN($A2360)=2,"WOJ. ",IF(LEN($A2360)=4,IF(VALUE(RIGHT($A2360,2))&gt;60,"","Powiat "),IF(VALUE(RIGHT($A2360,1))=1,"m. ",IF(VALUE(RIGHT($A2360,1))=2,"gm. w. ",IF(VALUE(RIGHT($A2360,1))=8,"dz. ","gm. m.-w. ")))))&amp;IF(LEN($A2360)=2,TRIM(UPPER(VLOOKUP($A2360,GUS_tabl_1!$A$7:$B$22,2,FALSE))),IF(ISERROR(FIND("..",TRIM(VLOOKUP(IF(AND(LEN($A2360)=4,VALUE(RIGHT($A2360,2))&gt;60),$A2360&amp;"01 1",$A2360),IF(AND(LEN($A2360)=4,VALUE(RIGHT($A2360,2))&lt;60),GUS_tabl_2!$A$8:$B$464,GUS_tabl_21!$A$5:$B$4886),2,FALSE)))),TRIM(VLOOKUP(IF(AND(LEN($A2360)=4,VALUE(RIGHT($A2360,2))&gt;60),$A2360&amp;"01 1",$A2360),IF(AND(LEN($A2360)=4,VALUE(RIGHT($A2360,2))&lt;60),GUS_tabl_2!$A$8:$B$464,GUS_tabl_21!$A$5:$B$4886),2,FALSE)),LEFT(TRIM(VLOOKUP(IF(AND(LEN($A2360)=4,VALUE(RIGHT($A2360,2))&gt;60),$A2360&amp;"01 1",$A2360),IF(AND(LEN($A2360)=4,VALUE(RIGHT($A2360,2))&lt;60),GUS_tabl_2!$A$8:$B$464,GUS_tabl_21!$A$5:$B$4886),2,FALSE)),SUM(FIND("..",TRIM(VLOOKUP(IF(AND(LEN($A2360)=4,VALUE(RIGHT($A2360,2))&gt;60),$A2360&amp;"01 1",$A2360),IF(AND(LEN($A2360)=4,VALUE(RIGHT($A2360,2))&lt;60),GUS_tabl_2!$A$8:$B$464,GUS_tabl_21!$A$5:$B$4886),2,FALSE))),-1)))))</f>
        <v>Powiat sandomierski</v>
      </c>
      <c r="D2360" s="140">
        <f>IF(OR($A2360="",ISERROR(VALUE(LEFT($A2360,6)))),"",IF(LEN($A2360)=2,SUMIF($A2361:$A$2965,$A2360&amp;"??",$D2361:$D$2965),IF(AND(LEN($A2360)=4,VALUE(RIGHT($A2360,2))&lt;=60),SUMIF($A2361:$A$2965,$A2360&amp;"????",$D2361:$D$2965),VLOOKUP(IF(LEN($A2360)=4,$A2360&amp;"01 1",$A2360),GUS_tabl_21!$A$5:$F$4886,6,FALSE))))</f>
        <v>77017</v>
      </c>
      <c r="E2360" s="29"/>
    </row>
    <row r="2361" spans="1:5" ht="12" customHeight="1">
      <c r="A2361" s="155" t="str">
        <f>"260901 1"</f>
        <v>260901 1</v>
      </c>
      <c r="B2361" s="153" t="s">
        <v>58</v>
      </c>
      <c r="C2361" s="156" t="str">
        <f>IF(OR($A2361="",ISERROR(VALUE(LEFT($A2361,6)))),"",IF(LEN($A2361)=2,"WOJ. ",IF(LEN($A2361)=4,IF(VALUE(RIGHT($A2361,2))&gt;60,"","Powiat "),IF(VALUE(RIGHT($A2361,1))=1,"m. ",IF(VALUE(RIGHT($A2361,1))=2,"gm. w. ",IF(VALUE(RIGHT($A2361,1))=8,"dz. ","gm. m.-w. ")))))&amp;IF(LEN($A2361)=2,TRIM(UPPER(VLOOKUP($A2361,GUS_tabl_1!$A$7:$B$22,2,FALSE))),IF(ISERROR(FIND("..",TRIM(VLOOKUP(IF(AND(LEN($A2361)=4,VALUE(RIGHT($A2361,2))&gt;60),$A2361&amp;"01 1",$A2361),IF(AND(LEN($A2361)=4,VALUE(RIGHT($A2361,2))&lt;60),GUS_tabl_2!$A$8:$B$464,GUS_tabl_21!$A$5:$B$4886),2,FALSE)))),TRIM(VLOOKUP(IF(AND(LEN($A2361)=4,VALUE(RIGHT($A2361,2))&gt;60),$A2361&amp;"01 1",$A2361),IF(AND(LEN($A2361)=4,VALUE(RIGHT($A2361,2))&lt;60),GUS_tabl_2!$A$8:$B$464,GUS_tabl_21!$A$5:$B$4886),2,FALSE)),LEFT(TRIM(VLOOKUP(IF(AND(LEN($A2361)=4,VALUE(RIGHT($A2361,2))&gt;60),$A2361&amp;"01 1",$A2361),IF(AND(LEN($A2361)=4,VALUE(RIGHT($A2361,2))&lt;60),GUS_tabl_2!$A$8:$B$464,GUS_tabl_21!$A$5:$B$4886),2,FALSE)),SUM(FIND("..",TRIM(VLOOKUP(IF(AND(LEN($A2361)=4,VALUE(RIGHT($A2361,2))&gt;60),$A2361&amp;"01 1",$A2361),IF(AND(LEN($A2361)=4,VALUE(RIGHT($A2361,2))&lt;60),GUS_tabl_2!$A$8:$B$464,GUS_tabl_21!$A$5:$B$4886),2,FALSE))),-1)))))</f>
        <v>m. Sandomierz</v>
      </c>
      <c r="D2361" s="141">
        <f>IF(OR($A2361="",ISERROR(VALUE(LEFT($A2361,6)))),"",IF(LEN($A2361)=2,SUMIF($A2362:$A$2965,$A2361&amp;"??",$D2362:$D$2965),IF(AND(LEN($A2361)=4,VALUE(RIGHT($A2361,2))&lt;=60),SUMIF($A2362:$A$2965,$A2361&amp;"????",$D2362:$D$2965),VLOOKUP(IF(LEN($A2361)=4,$A2361&amp;"01 1",$A2361),GUS_tabl_21!$A$5:$F$4886,6,FALSE))))</f>
        <v>23362</v>
      </c>
      <c r="E2361" s="29"/>
    </row>
    <row r="2362" spans="1:5" ht="12" customHeight="1">
      <c r="A2362" s="155" t="str">
        <f>"260902 2"</f>
        <v>260902 2</v>
      </c>
      <c r="B2362" s="153" t="s">
        <v>58</v>
      </c>
      <c r="C2362" s="156" t="str">
        <f>IF(OR($A2362="",ISERROR(VALUE(LEFT($A2362,6)))),"",IF(LEN($A2362)=2,"WOJ. ",IF(LEN($A2362)=4,IF(VALUE(RIGHT($A2362,2))&gt;60,"","Powiat "),IF(VALUE(RIGHT($A2362,1))=1,"m. ",IF(VALUE(RIGHT($A2362,1))=2,"gm. w. ",IF(VALUE(RIGHT($A2362,1))=8,"dz. ","gm. m.-w. ")))))&amp;IF(LEN($A2362)=2,TRIM(UPPER(VLOOKUP($A2362,GUS_tabl_1!$A$7:$B$22,2,FALSE))),IF(ISERROR(FIND("..",TRIM(VLOOKUP(IF(AND(LEN($A2362)=4,VALUE(RIGHT($A2362,2))&gt;60),$A2362&amp;"01 1",$A2362),IF(AND(LEN($A2362)=4,VALUE(RIGHT($A2362,2))&lt;60),GUS_tabl_2!$A$8:$B$464,GUS_tabl_21!$A$5:$B$4886),2,FALSE)))),TRIM(VLOOKUP(IF(AND(LEN($A2362)=4,VALUE(RIGHT($A2362,2))&gt;60),$A2362&amp;"01 1",$A2362),IF(AND(LEN($A2362)=4,VALUE(RIGHT($A2362,2))&lt;60),GUS_tabl_2!$A$8:$B$464,GUS_tabl_21!$A$5:$B$4886),2,FALSE)),LEFT(TRIM(VLOOKUP(IF(AND(LEN($A2362)=4,VALUE(RIGHT($A2362,2))&gt;60),$A2362&amp;"01 1",$A2362),IF(AND(LEN($A2362)=4,VALUE(RIGHT($A2362,2))&lt;60),GUS_tabl_2!$A$8:$B$464,GUS_tabl_21!$A$5:$B$4886),2,FALSE)),SUM(FIND("..",TRIM(VLOOKUP(IF(AND(LEN($A2362)=4,VALUE(RIGHT($A2362,2))&gt;60),$A2362&amp;"01 1",$A2362),IF(AND(LEN($A2362)=4,VALUE(RIGHT($A2362,2))&lt;60),GUS_tabl_2!$A$8:$B$464,GUS_tabl_21!$A$5:$B$4886),2,FALSE))),-1)))))</f>
        <v>gm. w. Dwikozy</v>
      </c>
      <c r="D2362" s="141">
        <f>IF(OR($A2362="",ISERROR(VALUE(LEFT($A2362,6)))),"",IF(LEN($A2362)=2,SUMIF($A2363:$A$2965,$A2362&amp;"??",$D2363:$D$2965),IF(AND(LEN($A2362)=4,VALUE(RIGHT($A2362,2))&lt;=60),SUMIF($A2363:$A$2965,$A2362&amp;"????",$D2363:$D$2965),VLOOKUP(IF(LEN($A2362)=4,$A2362&amp;"01 1",$A2362),GUS_tabl_21!$A$5:$F$4886,6,FALSE))))</f>
        <v>8709</v>
      </c>
      <c r="E2362" s="29"/>
    </row>
    <row r="2363" spans="1:5" ht="12" customHeight="1">
      <c r="A2363" s="155" t="str">
        <f>"260903 3"</f>
        <v>260903 3</v>
      </c>
      <c r="B2363" s="153" t="s">
        <v>58</v>
      </c>
      <c r="C2363" s="156" t="str">
        <f>IF(OR($A2363="",ISERROR(VALUE(LEFT($A2363,6)))),"",IF(LEN($A2363)=2,"WOJ. ",IF(LEN($A2363)=4,IF(VALUE(RIGHT($A2363,2))&gt;60,"","Powiat "),IF(VALUE(RIGHT($A2363,1))=1,"m. ",IF(VALUE(RIGHT($A2363,1))=2,"gm. w. ",IF(VALUE(RIGHT($A2363,1))=8,"dz. ","gm. m.-w. ")))))&amp;IF(LEN($A2363)=2,TRIM(UPPER(VLOOKUP($A2363,GUS_tabl_1!$A$7:$B$22,2,FALSE))),IF(ISERROR(FIND("..",TRIM(VLOOKUP(IF(AND(LEN($A2363)=4,VALUE(RIGHT($A2363,2))&gt;60),$A2363&amp;"01 1",$A2363),IF(AND(LEN($A2363)=4,VALUE(RIGHT($A2363,2))&lt;60),GUS_tabl_2!$A$8:$B$464,GUS_tabl_21!$A$5:$B$4886),2,FALSE)))),TRIM(VLOOKUP(IF(AND(LEN($A2363)=4,VALUE(RIGHT($A2363,2))&gt;60),$A2363&amp;"01 1",$A2363),IF(AND(LEN($A2363)=4,VALUE(RIGHT($A2363,2))&lt;60),GUS_tabl_2!$A$8:$B$464,GUS_tabl_21!$A$5:$B$4886),2,FALSE)),LEFT(TRIM(VLOOKUP(IF(AND(LEN($A2363)=4,VALUE(RIGHT($A2363,2))&gt;60),$A2363&amp;"01 1",$A2363),IF(AND(LEN($A2363)=4,VALUE(RIGHT($A2363,2))&lt;60),GUS_tabl_2!$A$8:$B$464,GUS_tabl_21!$A$5:$B$4886),2,FALSE)),SUM(FIND("..",TRIM(VLOOKUP(IF(AND(LEN($A2363)=4,VALUE(RIGHT($A2363,2))&gt;60),$A2363&amp;"01 1",$A2363),IF(AND(LEN($A2363)=4,VALUE(RIGHT($A2363,2))&lt;60),GUS_tabl_2!$A$8:$B$464,GUS_tabl_21!$A$5:$B$4886),2,FALSE))),-1)))))</f>
        <v>gm. m.-w. Klimontów</v>
      </c>
      <c r="D2363" s="141">
        <f>IF(OR($A2363="",ISERROR(VALUE(LEFT($A2363,6)))),"",IF(LEN($A2363)=2,SUMIF($A2364:$A$2965,$A2363&amp;"??",$D2364:$D$2965),IF(AND(LEN($A2363)=4,VALUE(RIGHT($A2363,2))&lt;=60),SUMIF($A2364:$A$2965,$A2363&amp;"????",$D2364:$D$2965),VLOOKUP(IF(LEN($A2363)=4,$A2363&amp;"01 1",$A2363),GUS_tabl_21!$A$5:$F$4886,6,FALSE))))</f>
        <v>7994</v>
      </c>
      <c r="E2363" s="29"/>
    </row>
    <row r="2364" spans="1:5" ht="12" customHeight="1">
      <c r="A2364" s="155" t="str">
        <f>"260904 3"</f>
        <v>260904 3</v>
      </c>
      <c r="B2364" s="153" t="s">
        <v>58</v>
      </c>
      <c r="C2364" s="156" t="str">
        <f>IF(OR($A2364="",ISERROR(VALUE(LEFT($A2364,6)))),"",IF(LEN($A2364)=2,"WOJ. ",IF(LEN($A2364)=4,IF(VALUE(RIGHT($A2364,2))&gt;60,"","Powiat "),IF(VALUE(RIGHT($A2364,1))=1,"m. ",IF(VALUE(RIGHT($A2364,1))=2,"gm. w. ",IF(VALUE(RIGHT($A2364,1))=8,"dz. ","gm. m.-w. ")))))&amp;IF(LEN($A2364)=2,TRIM(UPPER(VLOOKUP($A2364,GUS_tabl_1!$A$7:$B$22,2,FALSE))),IF(ISERROR(FIND("..",TRIM(VLOOKUP(IF(AND(LEN($A2364)=4,VALUE(RIGHT($A2364,2))&gt;60),$A2364&amp;"01 1",$A2364),IF(AND(LEN($A2364)=4,VALUE(RIGHT($A2364,2))&lt;60),GUS_tabl_2!$A$8:$B$464,GUS_tabl_21!$A$5:$B$4886),2,FALSE)))),TRIM(VLOOKUP(IF(AND(LEN($A2364)=4,VALUE(RIGHT($A2364,2))&gt;60),$A2364&amp;"01 1",$A2364),IF(AND(LEN($A2364)=4,VALUE(RIGHT($A2364,2))&lt;60),GUS_tabl_2!$A$8:$B$464,GUS_tabl_21!$A$5:$B$4886),2,FALSE)),LEFT(TRIM(VLOOKUP(IF(AND(LEN($A2364)=4,VALUE(RIGHT($A2364,2))&gt;60),$A2364&amp;"01 1",$A2364),IF(AND(LEN($A2364)=4,VALUE(RIGHT($A2364,2))&lt;60),GUS_tabl_2!$A$8:$B$464,GUS_tabl_21!$A$5:$B$4886),2,FALSE)),SUM(FIND("..",TRIM(VLOOKUP(IF(AND(LEN($A2364)=4,VALUE(RIGHT($A2364,2))&gt;60),$A2364&amp;"01 1",$A2364),IF(AND(LEN($A2364)=4,VALUE(RIGHT($A2364,2))&lt;60),GUS_tabl_2!$A$8:$B$464,GUS_tabl_21!$A$5:$B$4886),2,FALSE))),-1)))))</f>
        <v>gm. m.-w. Koprzywnica</v>
      </c>
      <c r="D2364" s="141">
        <f>IF(OR($A2364="",ISERROR(VALUE(LEFT($A2364,6)))),"",IF(LEN($A2364)=2,SUMIF($A2365:$A$2965,$A2364&amp;"??",$D2365:$D$2965),IF(AND(LEN($A2364)=4,VALUE(RIGHT($A2364,2))&lt;=60),SUMIF($A2365:$A$2965,$A2364&amp;"????",$D2365:$D$2965),VLOOKUP(IF(LEN($A2364)=4,$A2364&amp;"01 1",$A2364),GUS_tabl_21!$A$5:$F$4886,6,FALSE))))</f>
        <v>6634</v>
      </c>
      <c r="E2364" s="29"/>
    </row>
    <row r="2365" spans="1:5" ht="12" customHeight="1">
      <c r="A2365" s="155" t="str">
        <f>"260905 2"</f>
        <v>260905 2</v>
      </c>
      <c r="B2365" s="153" t="s">
        <v>58</v>
      </c>
      <c r="C2365" s="156" t="str">
        <f>IF(OR($A2365="",ISERROR(VALUE(LEFT($A2365,6)))),"",IF(LEN($A2365)=2,"WOJ. ",IF(LEN($A2365)=4,IF(VALUE(RIGHT($A2365,2))&gt;60,"","Powiat "),IF(VALUE(RIGHT($A2365,1))=1,"m. ",IF(VALUE(RIGHT($A2365,1))=2,"gm. w. ",IF(VALUE(RIGHT($A2365,1))=8,"dz. ","gm. m.-w. ")))))&amp;IF(LEN($A2365)=2,TRIM(UPPER(VLOOKUP($A2365,GUS_tabl_1!$A$7:$B$22,2,FALSE))),IF(ISERROR(FIND("..",TRIM(VLOOKUP(IF(AND(LEN($A2365)=4,VALUE(RIGHT($A2365,2))&gt;60),$A2365&amp;"01 1",$A2365),IF(AND(LEN($A2365)=4,VALUE(RIGHT($A2365,2))&lt;60),GUS_tabl_2!$A$8:$B$464,GUS_tabl_21!$A$5:$B$4886),2,FALSE)))),TRIM(VLOOKUP(IF(AND(LEN($A2365)=4,VALUE(RIGHT($A2365,2))&gt;60),$A2365&amp;"01 1",$A2365),IF(AND(LEN($A2365)=4,VALUE(RIGHT($A2365,2))&lt;60),GUS_tabl_2!$A$8:$B$464,GUS_tabl_21!$A$5:$B$4886),2,FALSE)),LEFT(TRIM(VLOOKUP(IF(AND(LEN($A2365)=4,VALUE(RIGHT($A2365,2))&gt;60),$A2365&amp;"01 1",$A2365),IF(AND(LEN($A2365)=4,VALUE(RIGHT($A2365,2))&lt;60),GUS_tabl_2!$A$8:$B$464,GUS_tabl_21!$A$5:$B$4886),2,FALSE)),SUM(FIND("..",TRIM(VLOOKUP(IF(AND(LEN($A2365)=4,VALUE(RIGHT($A2365,2))&gt;60),$A2365&amp;"01 1",$A2365),IF(AND(LEN($A2365)=4,VALUE(RIGHT($A2365,2))&lt;60),GUS_tabl_2!$A$8:$B$464,GUS_tabl_21!$A$5:$B$4886),2,FALSE))),-1)))))</f>
        <v>gm. w. Łoniów</v>
      </c>
      <c r="D2365" s="141">
        <f>IF(OR($A2365="",ISERROR(VALUE(LEFT($A2365,6)))),"",IF(LEN($A2365)=2,SUMIF($A2366:$A$2965,$A2365&amp;"??",$D2366:$D$2965),IF(AND(LEN($A2365)=4,VALUE(RIGHT($A2365,2))&lt;=60),SUMIF($A2366:$A$2965,$A2365&amp;"????",$D2366:$D$2965),VLOOKUP(IF(LEN($A2365)=4,$A2365&amp;"01 1",$A2365),GUS_tabl_21!$A$5:$F$4886,6,FALSE))))</f>
        <v>7451</v>
      </c>
      <c r="E2365" s="29"/>
    </row>
    <row r="2366" spans="1:5" ht="12" customHeight="1">
      <c r="A2366" s="155" t="str">
        <f>"260906 2"</f>
        <v>260906 2</v>
      </c>
      <c r="B2366" s="153" t="s">
        <v>58</v>
      </c>
      <c r="C2366" s="156" t="str">
        <f>IF(OR($A2366="",ISERROR(VALUE(LEFT($A2366,6)))),"",IF(LEN($A2366)=2,"WOJ. ",IF(LEN($A2366)=4,IF(VALUE(RIGHT($A2366,2))&gt;60,"","Powiat "),IF(VALUE(RIGHT($A2366,1))=1,"m. ",IF(VALUE(RIGHT($A2366,1))=2,"gm. w. ",IF(VALUE(RIGHT($A2366,1))=8,"dz. ","gm. m.-w. ")))))&amp;IF(LEN($A2366)=2,TRIM(UPPER(VLOOKUP($A2366,GUS_tabl_1!$A$7:$B$22,2,FALSE))),IF(ISERROR(FIND("..",TRIM(VLOOKUP(IF(AND(LEN($A2366)=4,VALUE(RIGHT($A2366,2))&gt;60),$A2366&amp;"01 1",$A2366),IF(AND(LEN($A2366)=4,VALUE(RIGHT($A2366,2))&lt;60),GUS_tabl_2!$A$8:$B$464,GUS_tabl_21!$A$5:$B$4886),2,FALSE)))),TRIM(VLOOKUP(IF(AND(LEN($A2366)=4,VALUE(RIGHT($A2366,2))&gt;60),$A2366&amp;"01 1",$A2366),IF(AND(LEN($A2366)=4,VALUE(RIGHT($A2366,2))&lt;60),GUS_tabl_2!$A$8:$B$464,GUS_tabl_21!$A$5:$B$4886),2,FALSE)),LEFT(TRIM(VLOOKUP(IF(AND(LEN($A2366)=4,VALUE(RIGHT($A2366,2))&gt;60),$A2366&amp;"01 1",$A2366),IF(AND(LEN($A2366)=4,VALUE(RIGHT($A2366,2))&lt;60),GUS_tabl_2!$A$8:$B$464,GUS_tabl_21!$A$5:$B$4886),2,FALSE)),SUM(FIND("..",TRIM(VLOOKUP(IF(AND(LEN($A2366)=4,VALUE(RIGHT($A2366,2))&gt;60),$A2366&amp;"01 1",$A2366),IF(AND(LEN($A2366)=4,VALUE(RIGHT($A2366,2))&lt;60),GUS_tabl_2!$A$8:$B$464,GUS_tabl_21!$A$5:$B$4886),2,FALSE))),-1)))))</f>
        <v>gm. w. Obrazów</v>
      </c>
      <c r="D2366" s="141">
        <f>IF(OR($A2366="",ISERROR(VALUE(LEFT($A2366,6)))),"",IF(LEN($A2366)=2,SUMIF($A2367:$A$2965,$A2366&amp;"??",$D2367:$D$2965),IF(AND(LEN($A2366)=4,VALUE(RIGHT($A2366,2))&lt;=60),SUMIF($A2367:$A$2965,$A2366&amp;"????",$D2367:$D$2965),VLOOKUP(IF(LEN($A2366)=4,$A2366&amp;"01 1",$A2366),GUS_tabl_21!$A$5:$F$4886,6,FALSE))))</f>
        <v>6375</v>
      </c>
      <c r="E2366" s="29"/>
    </row>
    <row r="2367" spans="1:5" ht="12" customHeight="1">
      <c r="A2367" s="155" t="str">
        <f>"260907 2"</f>
        <v>260907 2</v>
      </c>
      <c r="B2367" s="153" t="s">
        <v>58</v>
      </c>
      <c r="C2367" s="156" t="str">
        <f>IF(OR($A2367="",ISERROR(VALUE(LEFT($A2367,6)))),"",IF(LEN($A2367)=2,"WOJ. ",IF(LEN($A2367)=4,IF(VALUE(RIGHT($A2367,2))&gt;60,"","Powiat "),IF(VALUE(RIGHT($A2367,1))=1,"m. ",IF(VALUE(RIGHT($A2367,1))=2,"gm. w. ",IF(VALUE(RIGHT($A2367,1))=8,"dz. ","gm. m.-w. ")))))&amp;IF(LEN($A2367)=2,TRIM(UPPER(VLOOKUP($A2367,GUS_tabl_1!$A$7:$B$22,2,FALSE))),IF(ISERROR(FIND("..",TRIM(VLOOKUP(IF(AND(LEN($A2367)=4,VALUE(RIGHT($A2367,2))&gt;60),$A2367&amp;"01 1",$A2367),IF(AND(LEN($A2367)=4,VALUE(RIGHT($A2367,2))&lt;60),GUS_tabl_2!$A$8:$B$464,GUS_tabl_21!$A$5:$B$4886),2,FALSE)))),TRIM(VLOOKUP(IF(AND(LEN($A2367)=4,VALUE(RIGHT($A2367,2))&gt;60),$A2367&amp;"01 1",$A2367),IF(AND(LEN($A2367)=4,VALUE(RIGHT($A2367,2))&lt;60),GUS_tabl_2!$A$8:$B$464,GUS_tabl_21!$A$5:$B$4886),2,FALSE)),LEFT(TRIM(VLOOKUP(IF(AND(LEN($A2367)=4,VALUE(RIGHT($A2367,2))&gt;60),$A2367&amp;"01 1",$A2367),IF(AND(LEN($A2367)=4,VALUE(RIGHT($A2367,2))&lt;60),GUS_tabl_2!$A$8:$B$464,GUS_tabl_21!$A$5:$B$4886),2,FALSE)),SUM(FIND("..",TRIM(VLOOKUP(IF(AND(LEN($A2367)=4,VALUE(RIGHT($A2367,2))&gt;60),$A2367&amp;"01 1",$A2367),IF(AND(LEN($A2367)=4,VALUE(RIGHT($A2367,2))&lt;60),GUS_tabl_2!$A$8:$B$464,GUS_tabl_21!$A$5:$B$4886),2,FALSE))),-1)))))</f>
        <v>gm. w. Samborzec</v>
      </c>
      <c r="D2367" s="141">
        <f>IF(OR($A2367="",ISERROR(VALUE(LEFT($A2367,6)))),"",IF(LEN($A2367)=2,SUMIF($A2368:$A$2965,$A2367&amp;"??",$D2368:$D$2965),IF(AND(LEN($A2367)=4,VALUE(RIGHT($A2367,2))&lt;=60),SUMIF($A2368:$A$2965,$A2367&amp;"????",$D2368:$D$2965),VLOOKUP(IF(LEN($A2367)=4,$A2367&amp;"01 1",$A2367),GUS_tabl_21!$A$5:$F$4886,6,FALSE))))</f>
        <v>8420</v>
      </c>
      <c r="E2367" s="29"/>
    </row>
    <row r="2368" spans="1:5" ht="12" customHeight="1">
      <c r="A2368" s="155" t="str">
        <f>"260908 2"</f>
        <v>260908 2</v>
      </c>
      <c r="B2368" s="153" t="s">
        <v>58</v>
      </c>
      <c r="C2368" s="156" t="str">
        <f>IF(OR($A2368="",ISERROR(VALUE(LEFT($A2368,6)))),"",IF(LEN($A2368)=2,"WOJ. ",IF(LEN($A2368)=4,IF(VALUE(RIGHT($A2368,2))&gt;60,"","Powiat "),IF(VALUE(RIGHT($A2368,1))=1,"m. ",IF(VALUE(RIGHT($A2368,1))=2,"gm. w. ",IF(VALUE(RIGHT($A2368,1))=8,"dz. ","gm. m.-w. ")))))&amp;IF(LEN($A2368)=2,TRIM(UPPER(VLOOKUP($A2368,GUS_tabl_1!$A$7:$B$22,2,FALSE))),IF(ISERROR(FIND("..",TRIM(VLOOKUP(IF(AND(LEN($A2368)=4,VALUE(RIGHT($A2368,2))&gt;60),$A2368&amp;"01 1",$A2368),IF(AND(LEN($A2368)=4,VALUE(RIGHT($A2368,2))&lt;60),GUS_tabl_2!$A$8:$B$464,GUS_tabl_21!$A$5:$B$4886),2,FALSE)))),TRIM(VLOOKUP(IF(AND(LEN($A2368)=4,VALUE(RIGHT($A2368,2))&gt;60),$A2368&amp;"01 1",$A2368),IF(AND(LEN($A2368)=4,VALUE(RIGHT($A2368,2))&lt;60),GUS_tabl_2!$A$8:$B$464,GUS_tabl_21!$A$5:$B$4886),2,FALSE)),LEFT(TRIM(VLOOKUP(IF(AND(LEN($A2368)=4,VALUE(RIGHT($A2368,2))&gt;60),$A2368&amp;"01 1",$A2368),IF(AND(LEN($A2368)=4,VALUE(RIGHT($A2368,2))&lt;60),GUS_tabl_2!$A$8:$B$464,GUS_tabl_21!$A$5:$B$4886),2,FALSE)),SUM(FIND("..",TRIM(VLOOKUP(IF(AND(LEN($A2368)=4,VALUE(RIGHT($A2368,2))&gt;60),$A2368&amp;"01 1",$A2368),IF(AND(LEN($A2368)=4,VALUE(RIGHT($A2368,2))&lt;60),GUS_tabl_2!$A$8:$B$464,GUS_tabl_21!$A$5:$B$4886),2,FALSE))),-1)))))</f>
        <v>gm. w. Wilczyce</v>
      </c>
      <c r="D2368" s="141">
        <f>IF(OR($A2368="",ISERROR(VALUE(LEFT($A2368,6)))),"",IF(LEN($A2368)=2,SUMIF($A2369:$A$2965,$A2368&amp;"??",$D2369:$D$2965),IF(AND(LEN($A2368)=4,VALUE(RIGHT($A2368,2))&lt;=60),SUMIF($A2369:$A$2965,$A2368&amp;"????",$D2369:$D$2965),VLOOKUP(IF(LEN($A2368)=4,$A2368&amp;"01 1",$A2368),GUS_tabl_21!$A$5:$F$4886,6,FALSE))))</f>
        <v>3687</v>
      </c>
      <c r="E2368" s="29"/>
    </row>
    <row r="2369" spans="1:5" ht="12" customHeight="1">
      <c r="A2369" s="155" t="str">
        <f>"260909 3"</f>
        <v>260909 3</v>
      </c>
      <c r="B2369" s="153" t="s">
        <v>58</v>
      </c>
      <c r="C2369" s="156" t="str">
        <f>IF(OR($A2369="",ISERROR(VALUE(LEFT($A2369,6)))),"",IF(LEN($A2369)=2,"WOJ. ",IF(LEN($A2369)=4,IF(VALUE(RIGHT($A2369,2))&gt;60,"","Powiat "),IF(VALUE(RIGHT($A2369,1))=1,"m. ",IF(VALUE(RIGHT($A2369,1))=2,"gm. w. ",IF(VALUE(RIGHT($A2369,1))=8,"dz. ","gm. m.-w. ")))))&amp;IF(LEN($A2369)=2,TRIM(UPPER(VLOOKUP($A2369,GUS_tabl_1!$A$7:$B$22,2,FALSE))),IF(ISERROR(FIND("..",TRIM(VLOOKUP(IF(AND(LEN($A2369)=4,VALUE(RIGHT($A2369,2))&gt;60),$A2369&amp;"01 1",$A2369),IF(AND(LEN($A2369)=4,VALUE(RIGHT($A2369,2))&lt;60),GUS_tabl_2!$A$8:$B$464,GUS_tabl_21!$A$5:$B$4886),2,FALSE)))),TRIM(VLOOKUP(IF(AND(LEN($A2369)=4,VALUE(RIGHT($A2369,2))&gt;60),$A2369&amp;"01 1",$A2369),IF(AND(LEN($A2369)=4,VALUE(RIGHT($A2369,2))&lt;60),GUS_tabl_2!$A$8:$B$464,GUS_tabl_21!$A$5:$B$4886),2,FALSE)),LEFT(TRIM(VLOOKUP(IF(AND(LEN($A2369)=4,VALUE(RIGHT($A2369,2))&gt;60),$A2369&amp;"01 1",$A2369),IF(AND(LEN($A2369)=4,VALUE(RIGHT($A2369,2))&lt;60),GUS_tabl_2!$A$8:$B$464,GUS_tabl_21!$A$5:$B$4886),2,FALSE)),SUM(FIND("..",TRIM(VLOOKUP(IF(AND(LEN($A2369)=4,VALUE(RIGHT($A2369,2))&gt;60),$A2369&amp;"01 1",$A2369),IF(AND(LEN($A2369)=4,VALUE(RIGHT($A2369,2))&lt;60),GUS_tabl_2!$A$8:$B$464,GUS_tabl_21!$A$5:$B$4886),2,FALSE))),-1)))))</f>
        <v>gm. m.-w. Zawichost</v>
      </c>
      <c r="D2369" s="141">
        <f>IF(OR($A2369="",ISERROR(VALUE(LEFT($A2369,6)))),"",IF(LEN($A2369)=2,SUMIF($A2370:$A$2965,$A2369&amp;"??",$D2370:$D$2965),IF(AND(LEN($A2369)=4,VALUE(RIGHT($A2369,2))&lt;=60),SUMIF($A2370:$A$2965,$A2369&amp;"????",$D2370:$D$2965),VLOOKUP(IF(LEN($A2369)=4,$A2369&amp;"01 1",$A2369),GUS_tabl_21!$A$5:$F$4886,6,FALSE))))</f>
        <v>4385</v>
      </c>
      <c r="E2369" s="29"/>
    </row>
    <row r="2370" spans="1:5" ht="12" customHeight="1">
      <c r="A2370" s="152" t="str">
        <f>"2610"</f>
        <v>2610</v>
      </c>
      <c r="B2370" s="153" t="s">
        <v>58</v>
      </c>
      <c r="C2370" s="154" t="str">
        <f>IF(OR($A2370="",ISERROR(VALUE(LEFT($A2370,6)))),"",IF(LEN($A2370)=2,"WOJ. ",IF(LEN($A2370)=4,IF(VALUE(RIGHT($A2370,2))&gt;60,"","Powiat "),IF(VALUE(RIGHT($A2370,1))=1,"m. ",IF(VALUE(RIGHT($A2370,1))=2,"gm. w. ",IF(VALUE(RIGHT($A2370,1))=8,"dz. ","gm. m.-w. ")))))&amp;IF(LEN($A2370)=2,TRIM(UPPER(VLOOKUP($A2370,GUS_tabl_1!$A$7:$B$22,2,FALSE))),IF(ISERROR(FIND("..",TRIM(VLOOKUP(IF(AND(LEN($A2370)=4,VALUE(RIGHT($A2370,2))&gt;60),$A2370&amp;"01 1",$A2370),IF(AND(LEN($A2370)=4,VALUE(RIGHT($A2370,2))&lt;60),GUS_tabl_2!$A$8:$B$464,GUS_tabl_21!$A$5:$B$4886),2,FALSE)))),TRIM(VLOOKUP(IF(AND(LEN($A2370)=4,VALUE(RIGHT($A2370,2))&gt;60),$A2370&amp;"01 1",$A2370),IF(AND(LEN($A2370)=4,VALUE(RIGHT($A2370,2))&lt;60),GUS_tabl_2!$A$8:$B$464,GUS_tabl_21!$A$5:$B$4886),2,FALSE)),LEFT(TRIM(VLOOKUP(IF(AND(LEN($A2370)=4,VALUE(RIGHT($A2370,2))&gt;60),$A2370&amp;"01 1",$A2370),IF(AND(LEN($A2370)=4,VALUE(RIGHT($A2370,2))&lt;60),GUS_tabl_2!$A$8:$B$464,GUS_tabl_21!$A$5:$B$4886),2,FALSE)),SUM(FIND("..",TRIM(VLOOKUP(IF(AND(LEN($A2370)=4,VALUE(RIGHT($A2370,2))&gt;60),$A2370&amp;"01 1",$A2370),IF(AND(LEN($A2370)=4,VALUE(RIGHT($A2370,2))&lt;60),GUS_tabl_2!$A$8:$B$464,GUS_tabl_21!$A$5:$B$4886),2,FALSE))),-1)))))</f>
        <v>Powiat skarżyski</v>
      </c>
      <c r="D2370" s="140">
        <f>IF(OR($A2370="",ISERROR(VALUE(LEFT($A2370,6)))),"",IF(LEN($A2370)=2,SUMIF($A2371:$A$2965,$A2370&amp;"??",$D2371:$D$2965),IF(AND(LEN($A2370)=4,VALUE(RIGHT($A2370,2))&lt;=60),SUMIF($A2371:$A$2965,$A2370&amp;"????",$D2371:$D$2965),VLOOKUP(IF(LEN($A2370)=4,$A2370&amp;"01 1",$A2370),GUS_tabl_21!$A$5:$F$4886,6,FALSE))))</f>
        <v>73991</v>
      </c>
      <c r="E2370" s="29"/>
    </row>
    <row r="2371" spans="1:5" ht="12" customHeight="1">
      <c r="A2371" s="155" t="str">
        <f>"261001 1"</f>
        <v>261001 1</v>
      </c>
      <c r="B2371" s="153" t="s">
        <v>58</v>
      </c>
      <c r="C2371" s="156" t="str">
        <f>IF(OR($A2371="",ISERROR(VALUE(LEFT($A2371,6)))),"",IF(LEN($A2371)=2,"WOJ. ",IF(LEN($A2371)=4,IF(VALUE(RIGHT($A2371,2))&gt;60,"","Powiat "),IF(VALUE(RIGHT($A2371,1))=1,"m. ",IF(VALUE(RIGHT($A2371,1))=2,"gm. w. ",IF(VALUE(RIGHT($A2371,1))=8,"dz. ","gm. m.-w. ")))))&amp;IF(LEN($A2371)=2,TRIM(UPPER(VLOOKUP($A2371,GUS_tabl_1!$A$7:$B$22,2,FALSE))),IF(ISERROR(FIND("..",TRIM(VLOOKUP(IF(AND(LEN($A2371)=4,VALUE(RIGHT($A2371,2))&gt;60),$A2371&amp;"01 1",$A2371),IF(AND(LEN($A2371)=4,VALUE(RIGHT($A2371,2))&lt;60),GUS_tabl_2!$A$8:$B$464,GUS_tabl_21!$A$5:$B$4886),2,FALSE)))),TRIM(VLOOKUP(IF(AND(LEN($A2371)=4,VALUE(RIGHT($A2371,2))&gt;60),$A2371&amp;"01 1",$A2371),IF(AND(LEN($A2371)=4,VALUE(RIGHT($A2371,2))&lt;60),GUS_tabl_2!$A$8:$B$464,GUS_tabl_21!$A$5:$B$4886),2,FALSE)),LEFT(TRIM(VLOOKUP(IF(AND(LEN($A2371)=4,VALUE(RIGHT($A2371,2))&gt;60),$A2371&amp;"01 1",$A2371),IF(AND(LEN($A2371)=4,VALUE(RIGHT($A2371,2))&lt;60),GUS_tabl_2!$A$8:$B$464,GUS_tabl_21!$A$5:$B$4886),2,FALSE)),SUM(FIND("..",TRIM(VLOOKUP(IF(AND(LEN($A2371)=4,VALUE(RIGHT($A2371,2))&gt;60),$A2371&amp;"01 1",$A2371),IF(AND(LEN($A2371)=4,VALUE(RIGHT($A2371,2))&lt;60),GUS_tabl_2!$A$8:$B$464,GUS_tabl_21!$A$5:$B$4886),2,FALSE))),-1)))))</f>
        <v>m. Skarżysko-Kamienna</v>
      </c>
      <c r="D2371" s="141">
        <f>IF(OR($A2371="",ISERROR(VALUE(LEFT($A2371,6)))),"",IF(LEN($A2371)=2,SUMIF($A2372:$A$2965,$A2371&amp;"??",$D2372:$D$2965),IF(AND(LEN($A2371)=4,VALUE(RIGHT($A2371,2))&lt;=60),SUMIF($A2372:$A$2965,$A2371&amp;"????",$D2372:$D$2965),VLOOKUP(IF(LEN($A2371)=4,$A2371&amp;"01 1",$A2371),GUS_tabl_21!$A$5:$F$4886,6,FALSE))))</f>
        <v>44848</v>
      </c>
      <c r="E2371" s="29"/>
    </row>
    <row r="2372" spans="1:5" ht="12" customHeight="1">
      <c r="A2372" s="155" t="str">
        <f>"261002 2"</f>
        <v>261002 2</v>
      </c>
      <c r="B2372" s="153" t="s">
        <v>58</v>
      </c>
      <c r="C2372" s="156" t="str">
        <f>IF(OR($A2372="",ISERROR(VALUE(LEFT($A2372,6)))),"",IF(LEN($A2372)=2,"WOJ. ",IF(LEN($A2372)=4,IF(VALUE(RIGHT($A2372,2))&gt;60,"","Powiat "),IF(VALUE(RIGHT($A2372,1))=1,"m. ",IF(VALUE(RIGHT($A2372,1))=2,"gm. w. ",IF(VALUE(RIGHT($A2372,1))=8,"dz. ","gm. m.-w. ")))))&amp;IF(LEN($A2372)=2,TRIM(UPPER(VLOOKUP($A2372,GUS_tabl_1!$A$7:$B$22,2,FALSE))),IF(ISERROR(FIND("..",TRIM(VLOOKUP(IF(AND(LEN($A2372)=4,VALUE(RIGHT($A2372,2))&gt;60),$A2372&amp;"01 1",$A2372),IF(AND(LEN($A2372)=4,VALUE(RIGHT($A2372,2))&lt;60),GUS_tabl_2!$A$8:$B$464,GUS_tabl_21!$A$5:$B$4886),2,FALSE)))),TRIM(VLOOKUP(IF(AND(LEN($A2372)=4,VALUE(RIGHT($A2372,2))&gt;60),$A2372&amp;"01 1",$A2372),IF(AND(LEN($A2372)=4,VALUE(RIGHT($A2372,2))&lt;60),GUS_tabl_2!$A$8:$B$464,GUS_tabl_21!$A$5:$B$4886),2,FALSE)),LEFT(TRIM(VLOOKUP(IF(AND(LEN($A2372)=4,VALUE(RIGHT($A2372,2))&gt;60),$A2372&amp;"01 1",$A2372),IF(AND(LEN($A2372)=4,VALUE(RIGHT($A2372,2))&lt;60),GUS_tabl_2!$A$8:$B$464,GUS_tabl_21!$A$5:$B$4886),2,FALSE)),SUM(FIND("..",TRIM(VLOOKUP(IF(AND(LEN($A2372)=4,VALUE(RIGHT($A2372,2))&gt;60),$A2372&amp;"01 1",$A2372),IF(AND(LEN($A2372)=4,VALUE(RIGHT($A2372,2))&lt;60),GUS_tabl_2!$A$8:$B$464,GUS_tabl_21!$A$5:$B$4886),2,FALSE))),-1)))))</f>
        <v>gm. w. Bliżyn</v>
      </c>
      <c r="D2372" s="141">
        <f>IF(OR($A2372="",ISERROR(VALUE(LEFT($A2372,6)))),"",IF(LEN($A2372)=2,SUMIF($A2373:$A$2965,$A2372&amp;"??",$D2373:$D$2965),IF(AND(LEN($A2372)=4,VALUE(RIGHT($A2372,2))&lt;=60),SUMIF($A2373:$A$2965,$A2372&amp;"????",$D2373:$D$2965),VLOOKUP(IF(LEN($A2372)=4,$A2372&amp;"01 1",$A2372),GUS_tabl_21!$A$5:$F$4886,6,FALSE))))</f>
        <v>8037</v>
      </c>
      <c r="E2372" s="29"/>
    </row>
    <row r="2373" spans="1:5" ht="12" customHeight="1">
      <c r="A2373" s="155" t="str">
        <f>"261003 2"</f>
        <v>261003 2</v>
      </c>
      <c r="B2373" s="153" t="s">
        <v>58</v>
      </c>
      <c r="C2373" s="156" t="str">
        <f>IF(OR($A2373="",ISERROR(VALUE(LEFT($A2373,6)))),"",IF(LEN($A2373)=2,"WOJ. ",IF(LEN($A2373)=4,IF(VALUE(RIGHT($A2373,2))&gt;60,"","Powiat "),IF(VALUE(RIGHT($A2373,1))=1,"m. ",IF(VALUE(RIGHT($A2373,1))=2,"gm. w. ",IF(VALUE(RIGHT($A2373,1))=8,"dz. ","gm. m.-w. ")))))&amp;IF(LEN($A2373)=2,TRIM(UPPER(VLOOKUP($A2373,GUS_tabl_1!$A$7:$B$22,2,FALSE))),IF(ISERROR(FIND("..",TRIM(VLOOKUP(IF(AND(LEN($A2373)=4,VALUE(RIGHT($A2373,2))&gt;60),$A2373&amp;"01 1",$A2373),IF(AND(LEN($A2373)=4,VALUE(RIGHT($A2373,2))&lt;60),GUS_tabl_2!$A$8:$B$464,GUS_tabl_21!$A$5:$B$4886),2,FALSE)))),TRIM(VLOOKUP(IF(AND(LEN($A2373)=4,VALUE(RIGHT($A2373,2))&gt;60),$A2373&amp;"01 1",$A2373),IF(AND(LEN($A2373)=4,VALUE(RIGHT($A2373,2))&lt;60),GUS_tabl_2!$A$8:$B$464,GUS_tabl_21!$A$5:$B$4886),2,FALSE)),LEFT(TRIM(VLOOKUP(IF(AND(LEN($A2373)=4,VALUE(RIGHT($A2373,2))&gt;60),$A2373&amp;"01 1",$A2373),IF(AND(LEN($A2373)=4,VALUE(RIGHT($A2373,2))&lt;60),GUS_tabl_2!$A$8:$B$464,GUS_tabl_21!$A$5:$B$4886),2,FALSE)),SUM(FIND("..",TRIM(VLOOKUP(IF(AND(LEN($A2373)=4,VALUE(RIGHT($A2373,2))&gt;60),$A2373&amp;"01 1",$A2373),IF(AND(LEN($A2373)=4,VALUE(RIGHT($A2373,2))&lt;60),GUS_tabl_2!$A$8:$B$464,GUS_tabl_21!$A$5:$B$4886),2,FALSE))),-1)))))</f>
        <v>gm. w. Łączna</v>
      </c>
      <c r="D2373" s="141">
        <f>IF(OR($A2373="",ISERROR(VALUE(LEFT($A2373,6)))),"",IF(LEN($A2373)=2,SUMIF($A2374:$A$2965,$A2373&amp;"??",$D2374:$D$2965),IF(AND(LEN($A2373)=4,VALUE(RIGHT($A2373,2))&lt;=60),SUMIF($A2374:$A$2965,$A2373&amp;"????",$D2374:$D$2965),VLOOKUP(IF(LEN($A2373)=4,$A2373&amp;"01 1",$A2373),GUS_tabl_21!$A$5:$F$4886,6,FALSE))))</f>
        <v>5008</v>
      </c>
      <c r="E2373" s="29"/>
    </row>
    <row r="2374" spans="1:5" ht="12" customHeight="1">
      <c r="A2374" s="155" t="str">
        <f>"261004 2"</f>
        <v>261004 2</v>
      </c>
      <c r="B2374" s="153" t="s">
        <v>58</v>
      </c>
      <c r="C2374" s="156" t="str">
        <f>IF(OR($A2374="",ISERROR(VALUE(LEFT($A2374,6)))),"",IF(LEN($A2374)=2,"WOJ. ",IF(LEN($A2374)=4,IF(VALUE(RIGHT($A2374,2))&gt;60,"","Powiat "),IF(VALUE(RIGHT($A2374,1))=1,"m. ",IF(VALUE(RIGHT($A2374,1))=2,"gm. w. ",IF(VALUE(RIGHT($A2374,1))=8,"dz. ","gm. m.-w. ")))))&amp;IF(LEN($A2374)=2,TRIM(UPPER(VLOOKUP($A2374,GUS_tabl_1!$A$7:$B$22,2,FALSE))),IF(ISERROR(FIND("..",TRIM(VLOOKUP(IF(AND(LEN($A2374)=4,VALUE(RIGHT($A2374,2))&gt;60),$A2374&amp;"01 1",$A2374),IF(AND(LEN($A2374)=4,VALUE(RIGHT($A2374,2))&lt;60),GUS_tabl_2!$A$8:$B$464,GUS_tabl_21!$A$5:$B$4886),2,FALSE)))),TRIM(VLOOKUP(IF(AND(LEN($A2374)=4,VALUE(RIGHT($A2374,2))&gt;60),$A2374&amp;"01 1",$A2374),IF(AND(LEN($A2374)=4,VALUE(RIGHT($A2374,2))&lt;60),GUS_tabl_2!$A$8:$B$464,GUS_tabl_21!$A$5:$B$4886),2,FALSE)),LEFT(TRIM(VLOOKUP(IF(AND(LEN($A2374)=4,VALUE(RIGHT($A2374,2))&gt;60),$A2374&amp;"01 1",$A2374),IF(AND(LEN($A2374)=4,VALUE(RIGHT($A2374,2))&lt;60),GUS_tabl_2!$A$8:$B$464,GUS_tabl_21!$A$5:$B$4886),2,FALSE)),SUM(FIND("..",TRIM(VLOOKUP(IF(AND(LEN($A2374)=4,VALUE(RIGHT($A2374,2))&gt;60),$A2374&amp;"01 1",$A2374),IF(AND(LEN($A2374)=4,VALUE(RIGHT($A2374,2))&lt;60),GUS_tabl_2!$A$8:$B$464,GUS_tabl_21!$A$5:$B$4886),2,FALSE))),-1)))))</f>
        <v>gm. w. Skarżysko Kościelne</v>
      </c>
      <c r="D2374" s="141">
        <f>IF(OR($A2374="",ISERROR(VALUE(LEFT($A2374,6)))),"",IF(LEN($A2374)=2,SUMIF($A2375:$A$2965,$A2374&amp;"??",$D2375:$D$2965),IF(AND(LEN($A2374)=4,VALUE(RIGHT($A2374,2))&lt;=60),SUMIF($A2375:$A$2965,$A2374&amp;"????",$D2375:$D$2965),VLOOKUP(IF(LEN($A2374)=4,$A2374&amp;"01 1",$A2374),GUS_tabl_21!$A$5:$F$4886,6,FALSE))))</f>
        <v>5988</v>
      </c>
      <c r="E2374" s="29"/>
    </row>
    <row r="2375" spans="1:5" ht="12" customHeight="1">
      <c r="A2375" s="155" t="str">
        <f>"261005 3"</f>
        <v>261005 3</v>
      </c>
      <c r="B2375" s="153" t="s">
        <v>58</v>
      </c>
      <c r="C2375" s="156" t="str">
        <f>IF(OR($A2375="",ISERROR(VALUE(LEFT($A2375,6)))),"",IF(LEN($A2375)=2,"WOJ. ",IF(LEN($A2375)=4,IF(VALUE(RIGHT($A2375,2))&gt;60,"","Powiat "),IF(VALUE(RIGHT($A2375,1))=1,"m. ",IF(VALUE(RIGHT($A2375,1))=2,"gm. w. ",IF(VALUE(RIGHT($A2375,1))=8,"dz. ","gm. m.-w. ")))))&amp;IF(LEN($A2375)=2,TRIM(UPPER(VLOOKUP($A2375,GUS_tabl_1!$A$7:$B$22,2,FALSE))),IF(ISERROR(FIND("..",TRIM(VLOOKUP(IF(AND(LEN($A2375)=4,VALUE(RIGHT($A2375,2))&gt;60),$A2375&amp;"01 1",$A2375),IF(AND(LEN($A2375)=4,VALUE(RIGHT($A2375,2))&lt;60),GUS_tabl_2!$A$8:$B$464,GUS_tabl_21!$A$5:$B$4886),2,FALSE)))),TRIM(VLOOKUP(IF(AND(LEN($A2375)=4,VALUE(RIGHT($A2375,2))&gt;60),$A2375&amp;"01 1",$A2375),IF(AND(LEN($A2375)=4,VALUE(RIGHT($A2375,2))&lt;60),GUS_tabl_2!$A$8:$B$464,GUS_tabl_21!$A$5:$B$4886),2,FALSE)),LEFT(TRIM(VLOOKUP(IF(AND(LEN($A2375)=4,VALUE(RIGHT($A2375,2))&gt;60),$A2375&amp;"01 1",$A2375),IF(AND(LEN($A2375)=4,VALUE(RIGHT($A2375,2))&lt;60),GUS_tabl_2!$A$8:$B$464,GUS_tabl_21!$A$5:$B$4886),2,FALSE)),SUM(FIND("..",TRIM(VLOOKUP(IF(AND(LEN($A2375)=4,VALUE(RIGHT($A2375,2))&gt;60),$A2375&amp;"01 1",$A2375),IF(AND(LEN($A2375)=4,VALUE(RIGHT($A2375,2))&lt;60),GUS_tabl_2!$A$8:$B$464,GUS_tabl_21!$A$5:$B$4886),2,FALSE))),-1)))))</f>
        <v>gm. m.-w. Suchedniów</v>
      </c>
      <c r="D2375" s="141">
        <f>IF(OR($A2375="",ISERROR(VALUE(LEFT($A2375,6)))),"",IF(LEN($A2375)=2,SUMIF($A2376:$A$2965,$A2375&amp;"??",$D2376:$D$2965),IF(AND(LEN($A2375)=4,VALUE(RIGHT($A2375,2))&lt;=60),SUMIF($A2376:$A$2965,$A2375&amp;"????",$D2376:$D$2965),VLOOKUP(IF(LEN($A2375)=4,$A2375&amp;"01 1",$A2375),GUS_tabl_21!$A$5:$F$4886,6,FALSE))))</f>
        <v>10110</v>
      </c>
      <c r="E2375" s="29"/>
    </row>
    <row r="2376" spans="1:5" ht="12" customHeight="1">
      <c r="A2376" s="152" t="str">
        <f>"2611"</f>
        <v>2611</v>
      </c>
      <c r="B2376" s="153" t="s">
        <v>58</v>
      </c>
      <c r="C2376" s="154" t="str">
        <f>IF(OR($A2376="",ISERROR(VALUE(LEFT($A2376,6)))),"",IF(LEN($A2376)=2,"WOJ. ",IF(LEN($A2376)=4,IF(VALUE(RIGHT($A2376,2))&gt;60,"","Powiat "),IF(VALUE(RIGHT($A2376,1))=1,"m. ",IF(VALUE(RIGHT($A2376,1))=2,"gm. w. ",IF(VALUE(RIGHT($A2376,1))=8,"dz. ","gm. m.-w. ")))))&amp;IF(LEN($A2376)=2,TRIM(UPPER(VLOOKUP($A2376,GUS_tabl_1!$A$7:$B$22,2,FALSE))),IF(ISERROR(FIND("..",TRIM(VLOOKUP(IF(AND(LEN($A2376)=4,VALUE(RIGHT($A2376,2))&gt;60),$A2376&amp;"01 1",$A2376),IF(AND(LEN($A2376)=4,VALUE(RIGHT($A2376,2))&lt;60),GUS_tabl_2!$A$8:$B$464,GUS_tabl_21!$A$5:$B$4886),2,FALSE)))),TRIM(VLOOKUP(IF(AND(LEN($A2376)=4,VALUE(RIGHT($A2376,2))&gt;60),$A2376&amp;"01 1",$A2376),IF(AND(LEN($A2376)=4,VALUE(RIGHT($A2376,2))&lt;60),GUS_tabl_2!$A$8:$B$464,GUS_tabl_21!$A$5:$B$4886),2,FALSE)),LEFT(TRIM(VLOOKUP(IF(AND(LEN($A2376)=4,VALUE(RIGHT($A2376,2))&gt;60),$A2376&amp;"01 1",$A2376),IF(AND(LEN($A2376)=4,VALUE(RIGHT($A2376,2))&lt;60),GUS_tabl_2!$A$8:$B$464,GUS_tabl_21!$A$5:$B$4886),2,FALSE)),SUM(FIND("..",TRIM(VLOOKUP(IF(AND(LEN($A2376)=4,VALUE(RIGHT($A2376,2))&gt;60),$A2376&amp;"01 1",$A2376),IF(AND(LEN($A2376)=4,VALUE(RIGHT($A2376,2))&lt;60),GUS_tabl_2!$A$8:$B$464,GUS_tabl_21!$A$5:$B$4886),2,FALSE))),-1)))))</f>
        <v>Powiat starachowicki</v>
      </c>
      <c r="D2376" s="140">
        <f>IF(OR($A2376="",ISERROR(VALUE(LEFT($A2376,6)))),"",IF(LEN($A2376)=2,SUMIF($A2377:$A$2965,$A2376&amp;"??",$D2377:$D$2965),IF(AND(LEN($A2376)=4,VALUE(RIGHT($A2376,2))&lt;=60),SUMIF($A2377:$A$2965,$A2376&amp;"????",$D2377:$D$2965),VLOOKUP(IF(LEN($A2376)=4,$A2376&amp;"01 1",$A2376),GUS_tabl_21!$A$5:$F$4886,6,FALSE))))</f>
        <v>89576</v>
      </c>
      <c r="E2376" s="29"/>
    </row>
    <row r="2377" spans="1:5" ht="12" customHeight="1">
      <c r="A2377" s="155" t="str">
        <f>"261101 1"</f>
        <v>261101 1</v>
      </c>
      <c r="B2377" s="153" t="s">
        <v>58</v>
      </c>
      <c r="C2377" s="156" t="str">
        <f>IF(OR($A2377="",ISERROR(VALUE(LEFT($A2377,6)))),"",IF(LEN($A2377)=2,"WOJ. ",IF(LEN($A2377)=4,IF(VALUE(RIGHT($A2377,2))&gt;60,"","Powiat "),IF(VALUE(RIGHT($A2377,1))=1,"m. ",IF(VALUE(RIGHT($A2377,1))=2,"gm. w. ",IF(VALUE(RIGHT($A2377,1))=8,"dz. ","gm. m.-w. ")))))&amp;IF(LEN($A2377)=2,TRIM(UPPER(VLOOKUP($A2377,GUS_tabl_1!$A$7:$B$22,2,FALSE))),IF(ISERROR(FIND("..",TRIM(VLOOKUP(IF(AND(LEN($A2377)=4,VALUE(RIGHT($A2377,2))&gt;60),$A2377&amp;"01 1",$A2377),IF(AND(LEN($A2377)=4,VALUE(RIGHT($A2377,2))&lt;60),GUS_tabl_2!$A$8:$B$464,GUS_tabl_21!$A$5:$B$4886),2,FALSE)))),TRIM(VLOOKUP(IF(AND(LEN($A2377)=4,VALUE(RIGHT($A2377,2))&gt;60),$A2377&amp;"01 1",$A2377),IF(AND(LEN($A2377)=4,VALUE(RIGHT($A2377,2))&lt;60),GUS_tabl_2!$A$8:$B$464,GUS_tabl_21!$A$5:$B$4886),2,FALSE)),LEFT(TRIM(VLOOKUP(IF(AND(LEN($A2377)=4,VALUE(RIGHT($A2377,2))&gt;60),$A2377&amp;"01 1",$A2377),IF(AND(LEN($A2377)=4,VALUE(RIGHT($A2377,2))&lt;60),GUS_tabl_2!$A$8:$B$464,GUS_tabl_21!$A$5:$B$4886),2,FALSE)),SUM(FIND("..",TRIM(VLOOKUP(IF(AND(LEN($A2377)=4,VALUE(RIGHT($A2377,2))&gt;60),$A2377&amp;"01 1",$A2377),IF(AND(LEN($A2377)=4,VALUE(RIGHT($A2377,2))&lt;60),GUS_tabl_2!$A$8:$B$464,GUS_tabl_21!$A$5:$B$4886),2,FALSE))),-1)))))</f>
        <v>m. Starachowice</v>
      </c>
      <c r="D2377" s="141">
        <f>IF(OR($A2377="",ISERROR(VALUE(LEFT($A2377,6)))),"",IF(LEN($A2377)=2,SUMIF($A2378:$A$2965,$A2377&amp;"??",$D2378:$D$2965),IF(AND(LEN($A2377)=4,VALUE(RIGHT($A2377,2))&lt;=60),SUMIF($A2378:$A$2965,$A2377&amp;"????",$D2378:$D$2965),VLOOKUP(IF(LEN($A2377)=4,$A2377&amp;"01 1",$A2377),GUS_tabl_21!$A$5:$F$4886,6,FALSE))))</f>
        <v>48395</v>
      </c>
      <c r="E2377" s="29"/>
    </row>
    <row r="2378" spans="1:5" ht="12" customHeight="1">
      <c r="A2378" s="155" t="str">
        <f>"261102 2"</f>
        <v>261102 2</v>
      </c>
      <c r="B2378" s="153" t="s">
        <v>58</v>
      </c>
      <c r="C2378" s="156" t="str">
        <f>IF(OR($A2378="",ISERROR(VALUE(LEFT($A2378,6)))),"",IF(LEN($A2378)=2,"WOJ. ",IF(LEN($A2378)=4,IF(VALUE(RIGHT($A2378,2))&gt;60,"","Powiat "),IF(VALUE(RIGHT($A2378,1))=1,"m. ",IF(VALUE(RIGHT($A2378,1))=2,"gm. w. ",IF(VALUE(RIGHT($A2378,1))=8,"dz. ","gm. m.-w. ")))))&amp;IF(LEN($A2378)=2,TRIM(UPPER(VLOOKUP($A2378,GUS_tabl_1!$A$7:$B$22,2,FALSE))),IF(ISERROR(FIND("..",TRIM(VLOOKUP(IF(AND(LEN($A2378)=4,VALUE(RIGHT($A2378,2))&gt;60),$A2378&amp;"01 1",$A2378),IF(AND(LEN($A2378)=4,VALUE(RIGHT($A2378,2))&lt;60),GUS_tabl_2!$A$8:$B$464,GUS_tabl_21!$A$5:$B$4886),2,FALSE)))),TRIM(VLOOKUP(IF(AND(LEN($A2378)=4,VALUE(RIGHT($A2378,2))&gt;60),$A2378&amp;"01 1",$A2378),IF(AND(LEN($A2378)=4,VALUE(RIGHT($A2378,2))&lt;60),GUS_tabl_2!$A$8:$B$464,GUS_tabl_21!$A$5:$B$4886),2,FALSE)),LEFT(TRIM(VLOOKUP(IF(AND(LEN($A2378)=4,VALUE(RIGHT($A2378,2))&gt;60),$A2378&amp;"01 1",$A2378),IF(AND(LEN($A2378)=4,VALUE(RIGHT($A2378,2))&lt;60),GUS_tabl_2!$A$8:$B$464,GUS_tabl_21!$A$5:$B$4886),2,FALSE)),SUM(FIND("..",TRIM(VLOOKUP(IF(AND(LEN($A2378)=4,VALUE(RIGHT($A2378,2))&gt;60),$A2378&amp;"01 1",$A2378),IF(AND(LEN($A2378)=4,VALUE(RIGHT($A2378,2))&lt;60),GUS_tabl_2!$A$8:$B$464,GUS_tabl_21!$A$5:$B$4886),2,FALSE))),-1)))))</f>
        <v>gm. w. Brody</v>
      </c>
      <c r="D2378" s="141">
        <f>IF(OR($A2378="",ISERROR(VALUE(LEFT($A2378,6)))),"",IF(LEN($A2378)=2,SUMIF($A2379:$A$2965,$A2378&amp;"??",$D2379:$D$2965),IF(AND(LEN($A2378)=4,VALUE(RIGHT($A2378,2))&lt;=60),SUMIF($A2379:$A$2965,$A2378&amp;"????",$D2379:$D$2965),VLOOKUP(IF(LEN($A2378)=4,$A2378&amp;"01 1",$A2378),GUS_tabl_21!$A$5:$F$4886,6,FALSE))))</f>
        <v>10870</v>
      </c>
      <c r="E2378" s="29"/>
    </row>
    <row r="2379" spans="1:5" ht="12" customHeight="1">
      <c r="A2379" s="155" t="str">
        <f>"261103 2"</f>
        <v>261103 2</v>
      </c>
      <c r="B2379" s="153" t="s">
        <v>58</v>
      </c>
      <c r="C2379" s="156" t="str">
        <f>IF(OR($A2379="",ISERROR(VALUE(LEFT($A2379,6)))),"",IF(LEN($A2379)=2,"WOJ. ",IF(LEN($A2379)=4,IF(VALUE(RIGHT($A2379,2))&gt;60,"","Powiat "),IF(VALUE(RIGHT($A2379,1))=1,"m. ",IF(VALUE(RIGHT($A2379,1))=2,"gm. w. ",IF(VALUE(RIGHT($A2379,1))=8,"dz. ","gm. m.-w. ")))))&amp;IF(LEN($A2379)=2,TRIM(UPPER(VLOOKUP($A2379,GUS_tabl_1!$A$7:$B$22,2,FALSE))),IF(ISERROR(FIND("..",TRIM(VLOOKUP(IF(AND(LEN($A2379)=4,VALUE(RIGHT($A2379,2))&gt;60),$A2379&amp;"01 1",$A2379),IF(AND(LEN($A2379)=4,VALUE(RIGHT($A2379,2))&lt;60),GUS_tabl_2!$A$8:$B$464,GUS_tabl_21!$A$5:$B$4886),2,FALSE)))),TRIM(VLOOKUP(IF(AND(LEN($A2379)=4,VALUE(RIGHT($A2379,2))&gt;60),$A2379&amp;"01 1",$A2379),IF(AND(LEN($A2379)=4,VALUE(RIGHT($A2379,2))&lt;60),GUS_tabl_2!$A$8:$B$464,GUS_tabl_21!$A$5:$B$4886),2,FALSE)),LEFT(TRIM(VLOOKUP(IF(AND(LEN($A2379)=4,VALUE(RIGHT($A2379,2))&gt;60),$A2379&amp;"01 1",$A2379),IF(AND(LEN($A2379)=4,VALUE(RIGHT($A2379,2))&lt;60),GUS_tabl_2!$A$8:$B$464,GUS_tabl_21!$A$5:$B$4886),2,FALSE)),SUM(FIND("..",TRIM(VLOOKUP(IF(AND(LEN($A2379)=4,VALUE(RIGHT($A2379,2))&gt;60),$A2379&amp;"01 1",$A2379),IF(AND(LEN($A2379)=4,VALUE(RIGHT($A2379,2))&lt;60),GUS_tabl_2!$A$8:$B$464,GUS_tabl_21!$A$5:$B$4886),2,FALSE))),-1)))))</f>
        <v>gm. w. Mirzec</v>
      </c>
      <c r="D2379" s="141">
        <f>IF(OR($A2379="",ISERROR(VALUE(LEFT($A2379,6)))),"",IF(LEN($A2379)=2,SUMIF($A2380:$A$2965,$A2379&amp;"??",$D2380:$D$2965),IF(AND(LEN($A2379)=4,VALUE(RIGHT($A2379,2))&lt;=60),SUMIF($A2380:$A$2965,$A2379&amp;"????",$D2380:$D$2965),VLOOKUP(IF(LEN($A2379)=4,$A2379&amp;"01 1",$A2379),GUS_tabl_21!$A$5:$F$4886,6,FALSE))))</f>
        <v>8260</v>
      </c>
      <c r="E2379" s="29"/>
    </row>
    <row r="2380" spans="1:5" ht="12" customHeight="1">
      <c r="A2380" s="155" t="str">
        <f>"261104 2"</f>
        <v>261104 2</v>
      </c>
      <c r="B2380" s="153" t="s">
        <v>58</v>
      </c>
      <c r="C2380" s="156" t="str">
        <f>IF(OR($A2380="",ISERROR(VALUE(LEFT($A2380,6)))),"",IF(LEN($A2380)=2,"WOJ. ",IF(LEN($A2380)=4,IF(VALUE(RIGHT($A2380,2))&gt;60,"","Powiat "),IF(VALUE(RIGHT($A2380,1))=1,"m. ",IF(VALUE(RIGHT($A2380,1))=2,"gm. w. ",IF(VALUE(RIGHT($A2380,1))=8,"dz. ","gm. m.-w. ")))))&amp;IF(LEN($A2380)=2,TRIM(UPPER(VLOOKUP($A2380,GUS_tabl_1!$A$7:$B$22,2,FALSE))),IF(ISERROR(FIND("..",TRIM(VLOOKUP(IF(AND(LEN($A2380)=4,VALUE(RIGHT($A2380,2))&gt;60),$A2380&amp;"01 1",$A2380),IF(AND(LEN($A2380)=4,VALUE(RIGHT($A2380,2))&lt;60),GUS_tabl_2!$A$8:$B$464,GUS_tabl_21!$A$5:$B$4886),2,FALSE)))),TRIM(VLOOKUP(IF(AND(LEN($A2380)=4,VALUE(RIGHT($A2380,2))&gt;60),$A2380&amp;"01 1",$A2380),IF(AND(LEN($A2380)=4,VALUE(RIGHT($A2380,2))&lt;60),GUS_tabl_2!$A$8:$B$464,GUS_tabl_21!$A$5:$B$4886),2,FALSE)),LEFT(TRIM(VLOOKUP(IF(AND(LEN($A2380)=4,VALUE(RIGHT($A2380,2))&gt;60),$A2380&amp;"01 1",$A2380),IF(AND(LEN($A2380)=4,VALUE(RIGHT($A2380,2))&lt;60),GUS_tabl_2!$A$8:$B$464,GUS_tabl_21!$A$5:$B$4886),2,FALSE)),SUM(FIND("..",TRIM(VLOOKUP(IF(AND(LEN($A2380)=4,VALUE(RIGHT($A2380,2))&gt;60),$A2380&amp;"01 1",$A2380),IF(AND(LEN($A2380)=4,VALUE(RIGHT($A2380,2))&lt;60),GUS_tabl_2!$A$8:$B$464,GUS_tabl_21!$A$5:$B$4886),2,FALSE))),-1)))))</f>
        <v>gm. w. Pawłów</v>
      </c>
      <c r="D2380" s="141">
        <f>IF(OR($A2380="",ISERROR(VALUE(LEFT($A2380,6)))),"",IF(LEN($A2380)=2,SUMIF($A2381:$A$2965,$A2380&amp;"??",$D2381:$D$2965),IF(AND(LEN($A2380)=4,VALUE(RIGHT($A2380,2))&lt;=60),SUMIF($A2381:$A$2965,$A2380&amp;"????",$D2381:$D$2965),VLOOKUP(IF(LEN($A2380)=4,$A2380&amp;"01 1",$A2380),GUS_tabl_21!$A$5:$F$4886,6,FALSE))))</f>
        <v>15240</v>
      </c>
      <c r="E2380" s="29"/>
    </row>
    <row r="2381" spans="1:5" ht="12" customHeight="1">
      <c r="A2381" s="155" t="str">
        <f>"261105 3"</f>
        <v>261105 3</v>
      </c>
      <c r="B2381" s="153" t="s">
        <v>58</v>
      </c>
      <c r="C2381" s="156" t="str">
        <f>IF(OR($A2381="",ISERROR(VALUE(LEFT($A2381,6)))),"",IF(LEN($A2381)=2,"WOJ. ",IF(LEN($A2381)=4,IF(VALUE(RIGHT($A2381,2))&gt;60,"","Powiat "),IF(VALUE(RIGHT($A2381,1))=1,"m. ",IF(VALUE(RIGHT($A2381,1))=2,"gm. w. ",IF(VALUE(RIGHT($A2381,1))=8,"dz. ","gm. m.-w. ")))))&amp;IF(LEN($A2381)=2,TRIM(UPPER(VLOOKUP($A2381,GUS_tabl_1!$A$7:$B$22,2,FALSE))),IF(ISERROR(FIND("..",TRIM(VLOOKUP(IF(AND(LEN($A2381)=4,VALUE(RIGHT($A2381,2))&gt;60),$A2381&amp;"01 1",$A2381),IF(AND(LEN($A2381)=4,VALUE(RIGHT($A2381,2))&lt;60),GUS_tabl_2!$A$8:$B$464,GUS_tabl_21!$A$5:$B$4886),2,FALSE)))),TRIM(VLOOKUP(IF(AND(LEN($A2381)=4,VALUE(RIGHT($A2381,2))&gt;60),$A2381&amp;"01 1",$A2381),IF(AND(LEN($A2381)=4,VALUE(RIGHT($A2381,2))&lt;60),GUS_tabl_2!$A$8:$B$464,GUS_tabl_21!$A$5:$B$4886),2,FALSE)),LEFT(TRIM(VLOOKUP(IF(AND(LEN($A2381)=4,VALUE(RIGHT($A2381,2))&gt;60),$A2381&amp;"01 1",$A2381),IF(AND(LEN($A2381)=4,VALUE(RIGHT($A2381,2))&lt;60),GUS_tabl_2!$A$8:$B$464,GUS_tabl_21!$A$5:$B$4886),2,FALSE)),SUM(FIND("..",TRIM(VLOOKUP(IF(AND(LEN($A2381)=4,VALUE(RIGHT($A2381,2))&gt;60),$A2381&amp;"01 1",$A2381),IF(AND(LEN($A2381)=4,VALUE(RIGHT($A2381,2))&lt;60),GUS_tabl_2!$A$8:$B$464,GUS_tabl_21!$A$5:$B$4886),2,FALSE))),-1)))))</f>
        <v>gm. m.-w. Wąchock</v>
      </c>
      <c r="D2381" s="141">
        <f>IF(OR($A2381="",ISERROR(VALUE(LEFT($A2381,6)))),"",IF(LEN($A2381)=2,SUMIF($A2382:$A$2965,$A2381&amp;"??",$D2382:$D$2965),IF(AND(LEN($A2381)=4,VALUE(RIGHT($A2381,2))&lt;=60),SUMIF($A2382:$A$2965,$A2381&amp;"????",$D2382:$D$2965),VLOOKUP(IF(LEN($A2381)=4,$A2381&amp;"01 1",$A2381),GUS_tabl_21!$A$5:$F$4886,6,FALSE))))</f>
        <v>6811</v>
      </c>
      <c r="E2381" s="29"/>
    </row>
    <row r="2382" spans="1:5" ht="12" customHeight="1">
      <c r="A2382" s="152" t="str">
        <f>"2612"</f>
        <v>2612</v>
      </c>
      <c r="B2382" s="153" t="s">
        <v>58</v>
      </c>
      <c r="C2382" s="154" t="str">
        <f>IF(OR($A2382="",ISERROR(VALUE(LEFT($A2382,6)))),"",IF(LEN($A2382)=2,"WOJ. ",IF(LEN($A2382)=4,IF(VALUE(RIGHT($A2382,2))&gt;60,"","Powiat "),IF(VALUE(RIGHT($A2382,1))=1,"m. ",IF(VALUE(RIGHT($A2382,1))=2,"gm. w. ",IF(VALUE(RIGHT($A2382,1))=8,"dz. ","gm. m.-w. ")))))&amp;IF(LEN($A2382)=2,TRIM(UPPER(VLOOKUP($A2382,GUS_tabl_1!$A$7:$B$22,2,FALSE))),IF(ISERROR(FIND("..",TRIM(VLOOKUP(IF(AND(LEN($A2382)=4,VALUE(RIGHT($A2382,2))&gt;60),$A2382&amp;"01 1",$A2382),IF(AND(LEN($A2382)=4,VALUE(RIGHT($A2382,2))&lt;60),GUS_tabl_2!$A$8:$B$464,GUS_tabl_21!$A$5:$B$4886),2,FALSE)))),TRIM(VLOOKUP(IF(AND(LEN($A2382)=4,VALUE(RIGHT($A2382,2))&gt;60),$A2382&amp;"01 1",$A2382),IF(AND(LEN($A2382)=4,VALUE(RIGHT($A2382,2))&lt;60),GUS_tabl_2!$A$8:$B$464,GUS_tabl_21!$A$5:$B$4886),2,FALSE)),LEFT(TRIM(VLOOKUP(IF(AND(LEN($A2382)=4,VALUE(RIGHT($A2382,2))&gt;60),$A2382&amp;"01 1",$A2382),IF(AND(LEN($A2382)=4,VALUE(RIGHT($A2382,2))&lt;60),GUS_tabl_2!$A$8:$B$464,GUS_tabl_21!$A$5:$B$4886),2,FALSE)),SUM(FIND("..",TRIM(VLOOKUP(IF(AND(LEN($A2382)=4,VALUE(RIGHT($A2382,2))&gt;60),$A2382&amp;"01 1",$A2382),IF(AND(LEN($A2382)=4,VALUE(RIGHT($A2382,2))&lt;60),GUS_tabl_2!$A$8:$B$464,GUS_tabl_21!$A$5:$B$4886),2,FALSE))),-1)))))</f>
        <v>Powiat staszowski</v>
      </c>
      <c r="D2382" s="140">
        <f>IF(OR($A2382="",ISERROR(VALUE(LEFT($A2382,6)))),"",IF(LEN($A2382)=2,SUMIF($A2383:$A$2965,$A2382&amp;"??",$D2383:$D$2965),IF(AND(LEN($A2382)=4,VALUE(RIGHT($A2382,2))&lt;=60),SUMIF($A2383:$A$2965,$A2382&amp;"????",$D2383:$D$2965),VLOOKUP(IF(LEN($A2382)=4,$A2382&amp;"01 1",$A2382),GUS_tabl_21!$A$5:$F$4886,6,FALSE))))</f>
        <v>71776</v>
      </c>
      <c r="E2382" s="29"/>
    </row>
    <row r="2383" spans="1:5" ht="12" customHeight="1">
      <c r="A2383" s="155" t="str">
        <f>"261201 2"</f>
        <v>261201 2</v>
      </c>
      <c r="B2383" s="153" t="s">
        <v>58</v>
      </c>
      <c r="C2383" s="156" t="str">
        <f>IF(OR($A2383="",ISERROR(VALUE(LEFT($A2383,6)))),"",IF(LEN($A2383)=2,"WOJ. ",IF(LEN($A2383)=4,IF(VALUE(RIGHT($A2383,2))&gt;60,"","Powiat "),IF(VALUE(RIGHT($A2383,1))=1,"m. ",IF(VALUE(RIGHT($A2383,1))=2,"gm. w. ",IF(VALUE(RIGHT($A2383,1))=8,"dz. ","gm. m.-w. ")))))&amp;IF(LEN($A2383)=2,TRIM(UPPER(VLOOKUP($A2383,GUS_tabl_1!$A$7:$B$22,2,FALSE))),IF(ISERROR(FIND("..",TRIM(VLOOKUP(IF(AND(LEN($A2383)=4,VALUE(RIGHT($A2383,2))&gt;60),$A2383&amp;"01 1",$A2383),IF(AND(LEN($A2383)=4,VALUE(RIGHT($A2383,2))&lt;60),GUS_tabl_2!$A$8:$B$464,GUS_tabl_21!$A$5:$B$4886),2,FALSE)))),TRIM(VLOOKUP(IF(AND(LEN($A2383)=4,VALUE(RIGHT($A2383,2))&gt;60),$A2383&amp;"01 1",$A2383),IF(AND(LEN($A2383)=4,VALUE(RIGHT($A2383,2))&lt;60),GUS_tabl_2!$A$8:$B$464,GUS_tabl_21!$A$5:$B$4886),2,FALSE)),LEFT(TRIM(VLOOKUP(IF(AND(LEN($A2383)=4,VALUE(RIGHT($A2383,2))&gt;60),$A2383&amp;"01 1",$A2383),IF(AND(LEN($A2383)=4,VALUE(RIGHT($A2383,2))&lt;60),GUS_tabl_2!$A$8:$B$464,GUS_tabl_21!$A$5:$B$4886),2,FALSE)),SUM(FIND("..",TRIM(VLOOKUP(IF(AND(LEN($A2383)=4,VALUE(RIGHT($A2383,2))&gt;60),$A2383&amp;"01 1",$A2383),IF(AND(LEN($A2383)=4,VALUE(RIGHT($A2383,2))&lt;60),GUS_tabl_2!$A$8:$B$464,GUS_tabl_21!$A$5:$B$4886),2,FALSE))),-1)))))</f>
        <v>gm. w. Bogoria</v>
      </c>
      <c r="D2383" s="141">
        <f>IF(OR($A2383="",ISERROR(VALUE(LEFT($A2383,6)))),"",IF(LEN($A2383)=2,SUMIF($A2384:$A$2965,$A2383&amp;"??",$D2384:$D$2965),IF(AND(LEN($A2383)=4,VALUE(RIGHT($A2383,2))&lt;=60),SUMIF($A2384:$A$2965,$A2383&amp;"????",$D2384:$D$2965),VLOOKUP(IF(LEN($A2383)=4,$A2383&amp;"01 1",$A2383),GUS_tabl_21!$A$5:$F$4886,6,FALSE))))</f>
        <v>7692</v>
      </c>
      <c r="E2383" s="29"/>
    </row>
    <row r="2384" spans="1:5" ht="12" customHeight="1">
      <c r="A2384" s="155" t="str">
        <f>"261202 2"</f>
        <v>261202 2</v>
      </c>
      <c r="B2384" s="153" t="s">
        <v>58</v>
      </c>
      <c r="C2384" s="156" t="str">
        <f>IF(OR($A2384="",ISERROR(VALUE(LEFT($A2384,6)))),"",IF(LEN($A2384)=2,"WOJ. ",IF(LEN($A2384)=4,IF(VALUE(RIGHT($A2384,2))&gt;60,"","Powiat "),IF(VALUE(RIGHT($A2384,1))=1,"m. ",IF(VALUE(RIGHT($A2384,1))=2,"gm. w. ",IF(VALUE(RIGHT($A2384,1))=8,"dz. ","gm. m.-w. ")))))&amp;IF(LEN($A2384)=2,TRIM(UPPER(VLOOKUP($A2384,GUS_tabl_1!$A$7:$B$22,2,FALSE))),IF(ISERROR(FIND("..",TRIM(VLOOKUP(IF(AND(LEN($A2384)=4,VALUE(RIGHT($A2384,2))&gt;60),$A2384&amp;"01 1",$A2384),IF(AND(LEN($A2384)=4,VALUE(RIGHT($A2384,2))&lt;60),GUS_tabl_2!$A$8:$B$464,GUS_tabl_21!$A$5:$B$4886),2,FALSE)))),TRIM(VLOOKUP(IF(AND(LEN($A2384)=4,VALUE(RIGHT($A2384,2))&gt;60),$A2384&amp;"01 1",$A2384),IF(AND(LEN($A2384)=4,VALUE(RIGHT($A2384,2))&lt;60),GUS_tabl_2!$A$8:$B$464,GUS_tabl_21!$A$5:$B$4886),2,FALSE)),LEFT(TRIM(VLOOKUP(IF(AND(LEN($A2384)=4,VALUE(RIGHT($A2384,2))&gt;60),$A2384&amp;"01 1",$A2384),IF(AND(LEN($A2384)=4,VALUE(RIGHT($A2384,2))&lt;60),GUS_tabl_2!$A$8:$B$464,GUS_tabl_21!$A$5:$B$4886),2,FALSE)),SUM(FIND("..",TRIM(VLOOKUP(IF(AND(LEN($A2384)=4,VALUE(RIGHT($A2384,2))&gt;60),$A2384&amp;"01 1",$A2384),IF(AND(LEN($A2384)=4,VALUE(RIGHT($A2384,2))&lt;60),GUS_tabl_2!$A$8:$B$464,GUS_tabl_21!$A$5:$B$4886),2,FALSE))),-1)))))</f>
        <v>gm. w. Łubnice</v>
      </c>
      <c r="D2384" s="141">
        <f>IF(OR($A2384="",ISERROR(VALUE(LEFT($A2384,6)))),"",IF(LEN($A2384)=2,SUMIF($A2385:$A$2965,$A2384&amp;"??",$D2385:$D$2965),IF(AND(LEN($A2384)=4,VALUE(RIGHT($A2384,2))&lt;=60),SUMIF($A2385:$A$2965,$A2384&amp;"????",$D2385:$D$2965),VLOOKUP(IF(LEN($A2384)=4,$A2384&amp;"01 1",$A2384),GUS_tabl_21!$A$5:$F$4886,6,FALSE))))</f>
        <v>4102</v>
      </c>
      <c r="E2384" s="29"/>
    </row>
    <row r="2385" spans="1:5" ht="12" customHeight="1">
      <c r="A2385" s="155" t="str">
        <f>"261203 3"</f>
        <v>261203 3</v>
      </c>
      <c r="B2385" s="153" t="s">
        <v>58</v>
      </c>
      <c r="C2385" s="156" t="str">
        <f>IF(OR($A2385="",ISERROR(VALUE(LEFT($A2385,6)))),"",IF(LEN($A2385)=2,"WOJ. ",IF(LEN($A2385)=4,IF(VALUE(RIGHT($A2385,2))&gt;60,"","Powiat "),IF(VALUE(RIGHT($A2385,1))=1,"m. ",IF(VALUE(RIGHT($A2385,1))=2,"gm. w. ",IF(VALUE(RIGHT($A2385,1))=8,"dz. ","gm. m.-w. ")))))&amp;IF(LEN($A2385)=2,TRIM(UPPER(VLOOKUP($A2385,GUS_tabl_1!$A$7:$B$22,2,FALSE))),IF(ISERROR(FIND("..",TRIM(VLOOKUP(IF(AND(LEN($A2385)=4,VALUE(RIGHT($A2385,2))&gt;60),$A2385&amp;"01 1",$A2385),IF(AND(LEN($A2385)=4,VALUE(RIGHT($A2385,2))&lt;60),GUS_tabl_2!$A$8:$B$464,GUS_tabl_21!$A$5:$B$4886),2,FALSE)))),TRIM(VLOOKUP(IF(AND(LEN($A2385)=4,VALUE(RIGHT($A2385,2))&gt;60),$A2385&amp;"01 1",$A2385),IF(AND(LEN($A2385)=4,VALUE(RIGHT($A2385,2))&lt;60),GUS_tabl_2!$A$8:$B$464,GUS_tabl_21!$A$5:$B$4886),2,FALSE)),LEFT(TRIM(VLOOKUP(IF(AND(LEN($A2385)=4,VALUE(RIGHT($A2385,2))&gt;60),$A2385&amp;"01 1",$A2385),IF(AND(LEN($A2385)=4,VALUE(RIGHT($A2385,2))&lt;60),GUS_tabl_2!$A$8:$B$464,GUS_tabl_21!$A$5:$B$4886),2,FALSE)),SUM(FIND("..",TRIM(VLOOKUP(IF(AND(LEN($A2385)=4,VALUE(RIGHT($A2385,2))&gt;60),$A2385&amp;"01 1",$A2385),IF(AND(LEN($A2385)=4,VALUE(RIGHT($A2385,2))&lt;60),GUS_tabl_2!$A$8:$B$464,GUS_tabl_21!$A$5:$B$4886),2,FALSE))),-1)))))</f>
        <v>gm. m.-w. Oleśnica</v>
      </c>
      <c r="D2385" s="141">
        <f>IF(OR($A2385="",ISERROR(VALUE(LEFT($A2385,6)))),"",IF(LEN($A2385)=2,SUMIF($A2386:$A$2965,$A2385&amp;"??",$D2386:$D$2965),IF(AND(LEN($A2385)=4,VALUE(RIGHT($A2385,2))&lt;=60),SUMIF($A2386:$A$2965,$A2385&amp;"????",$D2386:$D$2965),VLOOKUP(IF(LEN($A2385)=4,$A2385&amp;"01 1",$A2385),GUS_tabl_21!$A$5:$F$4886,6,FALSE))))</f>
        <v>3880</v>
      </c>
      <c r="E2385" s="29"/>
    </row>
    <row r="2386" spans="1:5" ht="12" customHeight="1">
      <c r="A2386" s="155" t="str">
        <f>"261204 3"</f>
        <v>261204 3</v>
      </c>
      <c r="B2386" s="153" t="s">
        <v>58</v>
      </c>
      <c r="C2386" s="156" t="str">
        <f>IF(OR($A2386="",ISERROR(VALUE(LEFT($A2386,6)))),"",IF(LEN($A2386)=2,"WOJ. ",IF(LEN($A2386)=4,IF(VALUE(RIGHT($A2386,2))&gt;60,"","Powiat "),IF(VALUE(RIGHT($A2386,1))=1,"m. ",IF(VALUE(RIGHT($A2386,1))=2,"gm. w. ",IF(VALUE(RIGHT($A2386,1))=8,"dz. ","gm. m.-w. ")))))&amp;IF(LEN($A2386)=2,TRIM(UPPER(VLOOKUP($A2386,GUS_tabl_1!$A$7:$B$22,2,FALSE))),IF(ISERROR(FIND("..",TRIM(VLOOKUP(IF(AND(LEN($A2386)=4,VALUE(RIGHT($A2386,2))&gt;60),$A2386&amp;"01 1",$A2386),IF(AND(LEN($A2386)=4,VALUE(RIGHT($A2386,2))&lt;60),GUS_tabl_2!$A$8:$B$464,GUS_tabl_21!$A$5:$B$4886),2,FALSE)))),TRIM(VLOOKUP(IF(AND(LEN($A2386)=4,VALUE(RIGHT($A2386,2))&gt;60),$A2386&amp;"01 1",$A2386),IF(AND(LEN($A2386)=4,VALUE(RIGHT($A2386,2))&lt;60),GUS_tabl_2!$A$8:$B$464,GUS_tabl_21!$A$5:$B$4886),2,FALSE)),LEFT(TRIM(VLOOKUP(IF(AND(LEN($A2386)=4,VALUE(RIGHT($A2386,2))&gt;60),$A2386&amp;"01 1",$A2386),IF(AND(LEN($A2386)=4,VALUE(RIGHT($A2386,2))&lt;60),GUS_tabl_2!$A$8:$B$464,GUS_tabl_21!$A$5:$B$4886),2,FALSE)),SUM(FIND("..",TRIM(VLOOKUP(IF(AND(LEN($A2386)=4,VALUE(RIGHT($A2386,2))&gt;60),$A2386&amp;"01 1",$A2386),IF(AND(LEN($A2386)=4,VALUE(RIGHT($A2386,2))&lt;60),GUS_tabl_2!$A$8:$B$464,GUS_tabl_21!$A$5:$B$4886),2,FALSE))),-1)))))</f>
        <v>gm. m.-w. Osiek</v>
      </c>
      <c r="D2386" s="141">
        <f>IF(OR($A2386="",ISERROR(VALUE(LEFT($A2386,6)))),"",IF(LEN($A2386)=2,SUMIF($A2387:$A$2965,$A2386&amp;"??",$D2387:$D$2965),IF(AND(LEN($A2386)=4,VALUE(RIGHT($A2386,2))&lt;=60),SUMIF($A2387:$A$2965,$A2386&amp;"????",$D2387:$D$2965),VLOOKUP(IF(LEN($A2386)=4,$A2386&amp;"01 1",$A2386),GUS_tabl_21!$A$5:$F$4886,6,FALSE))))</f>
        <v>7689</v>
      </c>
      <c r="E2386" s="29"/>
    </row>
    <row r="2387" spans="1:5" ht="12" customHeight="1">
      <c r="A2387" s="155" t="str">
        <f>"261205 3"</f>
        <v>261205 3</v>
      </c>
      <c r="B2387" s="153" t="s">
        <v>58</v>
      </c>
      <c r="C2387" s="156" t="str">
        <f>IF(OR($A2387="",ISERROR(VALUE(LEFT($A2387,6)))),"",IF(LEN($A2387)=2,"WOJ. ",IF(LEN($A2387)=4,IF(VALUE(RIGHT($A2387,2))&gt;60,"","Powiat "),IF(VALUE(RIGHT($A2387,1))=1,"m. ",IF(VALUE(RIGHT($A2387,1))=2,"gm. w. ",IF(VALUE(RIGHT($A2387,1))=8,"dz. ","gm. m.-w. ")))))&amp;IF(LEN($A2387)=2,TRIM(UPPER(VLOOKUP($A2387,GUS_tabl_1!$A$7:$B$22,2,FALSE))),IF(ISERROR(FIND("..",TRIM(VLOOKUP(IF(AND(LEN($A2387)=4,VALUE(RIGHT($A2387,2))&gt;60),$A2387&amp;"01 1",$A2387),IF(AND(LEN($A2387)=4,VALUE(RIGHT($A2387,2))&lt;60),GUS_tabl_2!$A$8:$B$464,GUS_tabl_21!$A$5:$B$4886),2,FALSE)))),TRIM(VLOOKUP(IF(AND(LEN($A2387)=4,VALUE(RIGHT($A2387,2))&gt;60),$A2387&amp;"01 1",$A2387),IF(AND(LEN($A2387)=4,VALUE(RIGHT($A2387,2))&lt;60),GUS_tabl_2!$A$8:$B$464,GUS_tabl_21!$A$5:$B$4886),2,FALSE)),LEFT(TRIM(VLOOKUP(IF(AND(LEN($A2387)=4,VALUE(RIGHT($A2387,2))&gt;60),$A2387&amp;"01 1",$A2387),IF(AND(LEN($A2387)=4,VALUE(RIGHT($A2387,2))&lt;60),GUS_tabl_2!$A$8:$B$464,GUS_tabl_21!$A$5:$B$4886),2,FALSE)),SUM(FIND("..",TRIM(VLOOKUP(IF(AND(LEN($A2387)=4,VALUE(RIGHT($A2387,2))&gt;60),$A2387&amp;"01 1",$A2387),IF(AND(LEN($A2387)=4,VALUE(RIGHT($A2387,2))&lt;60),GUS_tabl_2!$A$8:$B$464,GUS_tabl_21!$A$5:$B$4886),2,FALSE))),-1)))))</f>
        <v>gm. m.-w. Połaniec</v>
      </c>
      <c r="D2387" s="141">
        <f>IF(OR($A2387="",ISERROR(VALUE(LEFT($A2387,6)))),"",IF(LEN($A2387)=2,SUMIF($A2388:$A$2965,$A2387&amp;"??",$D2388:$D$2965),IF(AND(LEN($A2387)=4,VALUE(RIGHT($A2387,2))&lt;=60),SUMIF($A2388:$A$2965,$A2387&amp;"????",$D2388:$D$2965),VLOOKUP(IF(LEN($A2387)=4,$A2387&amp;"01 1",$A2387),GUS_tabl_21!$A$5:$F$4886,6,FALSE))))</f>
        <v>11764</v>
      </c>
      <c r="E2387" s="29"/>
    </row>
    <row r="2388" spans="1:5" ht="12" customHeight="1">
      <c r="A2388" s="155" t="str">
        <f>"261206 2"</f>
        <v>261206 2</v>
      </c>
      <c r="B2388" s="153" t="s">
        <v>58</v>
      </c>
      <c r="C2388" s="156" t="str">
        <f>IF(OR($A2388="",ISERROR(VALUE(LEFT($A2388,6)))),"",IF(LEN($A2388)=2,"WOJ. ",IF(LEN($A2388)=4,IF(VALUE(RIGHT($A2388,2))&gt;60,"","Powiat "),IF(VALUE(RIGHT($A2388,1))=1,"m. ",IF(VALUE(RIGHT($A2388,1))=2,"gm. w. ",IF(VALUE(RIGHT($A2388,1))=8,"dz. ","gm. m.-w. ")))))&amp;IF(LEN($A2388)=2,TRIM(UPPER(VLOOKUP($A2388,GUS_tabl_1!$A$7:$B$22,2,FALSE))),IF(ISERROR(FIND("..",TRIM(VLOOKUP(IF(AND(LEN($A2388)=4,VALUE(RIGHT($A2388,2))&gt;60),$A2388&amp;"01 1",$A2388),IF(AND(LEN($A2388)=4,VALUE(RIGHT($A2388,2))&lt;60),GUS_tabl_2!$A$8:$B$464,GUS_tabl_21!$A$5:$B$4886),2,FALSE)))),TRIM(VLOOKUP(IF(AND(LEN($A2388)=4,VALUE(RIGHT($A2388,2))&gt;60),$A2388&amp;"01 1",$A2388),IF(AND(LEN($A2388)=4,VALUE(RIGHT($A2388,2))&lt;60),GUS_tabl_2!$A$8:$B$464,GUS_tabl_21!$A$5:$B$4886),2,FALSE)),LEFT(TRIM(VLOOKUP(IF(AND(LEN($A2388)=4,VALUE(RIGHT($A2388,2))&gt;60),$A2388&amp;"01 1",$A2388),IF(AND(LEN($A2388)=4,VALUE(RIGHT($A2388,2))&lt;60),GUS_tabl_2!$A$8:$B$464,GUS_tabl_21!$A$5:$B$4886),2,FALSE)),SUM(FIND("..",TRIM(VLOOKUP(IF(AND(LEN($A2388)=4,VALUE(RIGHT($A2388,2))&gt;60),$A2388&amp;"01 1",$A2388),IF(AND(LEN($A2388)=4,VALUE(RIGHT($A2388,2))&lt;60),GUS_tabl_2!$A$8:$B$464,GUS_tabl_21!$A$5:$B$4886),2,FALSE))),-1)))))</f>
        <v>gm. w. Rytwiany</v>
      </c>
      <c r="D2388" s="141">
        <f>IF(OR($A2388="",ISERROR(VALUE(LEFT($A2388,6)))),"",IF(LEN($A2388)=2,SUMIF($A2389:$A$2965,$A2388&amp;"??",$D2389:$D$2965),IF(AND(LEN($A2388)=4,VALUE(RIGHT($A2388,2))&lt;=60),SUMIF($A2389:$A$2965,$A2388&amp;"????",$D2389:$D$2965),VLOOKUP(IF(LEN($A2388)=4,$A2388&amp;"01 1",$A2388),GUS_tabl_21!$A$5:$F$4886,6,FALSE))))</f>
        <v>6371</v>
      </c>
      <c r="E2388" s="29"/>
    </row>
    <row r="2389" spans="1:5" ht="12" customHeight="1">
      <c r="A2389" s="155" t="str">
        <f>"261207 3"</f>
        <v>261207 3</v>
      </c>
      <c r="B2389" s="153" t="s">
        <v>58</v>
      </c>
      <c r="C2389" s="156" t="str">
        <f>IF(OR($A2389="",ISERROR(VALUE(LEFT($A2389,6)))),"",IF(LEN($A2389)=2,"WOJ. ",IF(LEN($A2389)=4,IF(VALUE(RIGHT($A2389,2))&gt;60,"","Powiat "),IF(VALUE(RIGHT($A2389,1))=1,"m. ",IF(VALUE(RIGHT($A2389,1))=2,"gm. w. ",IF(VALUE(RIGHT($A2389,1))=8,"dz. ","gm. m.-w. ")))))&amp;IF(LEN($A2389)=2,TRIM(UPPER(VLOOKUP($A2389,GUS_tabl_1!$A$7:$B$22,2,FALSE))),IF(ISERROR(FIND("..",TRIM(VLOOKUP(IF(AND(LEN($A2389)=4,VALUE(RIGHT($A2389,2))&gt;60),$A2389&amp;"01 1",$A2389),IF(AND(LEN($A2389)=4,VALUE(RIGHT($A2389,2))&lt;60),GUS_tabl_2!$A$8:$B$464,GUS_tabl_21!$A$5:$B$4886),2,FALSE)))),TRIM(VLOOKUP(IF(AND(LEN($A2389)=4,VALUE(RIGHT($A2389,2))&gt;60),$A2389&amp;"01 1",$A2389),IF(AND(LEN($A2389)=4,VALUE(RIGHT($A2389,2))&lt;60),GUS_tabl_2!$A$8:$B$464,GUS_tabl_21!$A$5:$B$4886),2,FALSE)),LEFT(TRIM(VLOOKUP(IF(AND(LEN($A2389)=4,VALUE(RIGHT($A2389,2))&gt;60),$A2389&amp;"01 1",$A2389),IF(AND(LEN($A2389)=4,VALUE(RIGHT($A2389,2))&lt;60),GUS_tabl_2!$A$8:$B$464,GUS_tabl_21!$A$5:$B$4886),2,FALSE)),SUM(FIND("..",TRIM(VLOOKUP(IF(AND(LEN($A2389)=4,VALUE(RIGHT($A2389,2))&gt;60),$A2389&amp;"01 1",$A2389),IF(AND(LEN($A2389)=4,VALUE(RIGHT($A2389,2))&lt;60),GUS_tabl_2!$A$8:$B$464,GUS_tabl_21!$A$5:$B$4886),2,FALSE))),-1)))))</f>
        <v>gm. m.-w. Staszów</v>
      </c>
      <c r="D2389" s="141">
        <f>IF(OR($A2389="",ISERROR(VALUE(LEFT($A2389,6)))),"",IF(LEN($A2389)=2,SUMIF($A2390:$A$2965,$A2389&amp;"??",$D2390:$D$2965),IF(AND(LEN($A2389)=4,VALUE(RIGHT($A2389,2))&lt;=60),SUMIF($A2390:$A$2965,$A2389&amp;"????",$D2390:$D$2965),VLOOKUP(IF(LEN($A2389)=4,$A2389&amp;"01 1",$A2389),GUS_tabl_21!$A$5:$F$4886,6,FALSE))))</f>
        <v>25599</v>
      </c>
      <c r="E2389" s="29"/>
    </row>
    <row r="2390" spans="1:5" ht="12" customHeight="1">
      <c r="A2390" s="155" t="str">
        <f>"261208 3"</f>
        <v>261208 3</v>
      </c>
      <c r="B2390" s="153" t="s">
        <v>58</v>
      </c>
      <c r="C2390" s="156" t="str">
        <f>IF(OR($A2390="",ISERROR(VALUE(LEFT($A2390,6)))),"",IF(LEN($A2390)=2,"WOJ. ",IF(LEN($A2390)=4,IF(VALUE(RIGHT($A2390,2))&gt;60,"","Powiat "),IF(VALUE(RIGHT($A2390,1))=1,"m. ",IF(VALUE(RIGHT($A2390,1))=2,"gm. w. ",IF(VALUE(RIGHT($A2390,1))=8,"dz. ","gm. m.-w. ")))))&amp;IF(LEN($A2390)=2,TRIM(UPPER(VLOOKUP($A2390,GUS_tabl_1!$A$7:$B$22,2,FALSE))),IF(ISERROR(FIND("..",TRIM(VLOOKUP(IF(AND(LEN($A2390)=4,VALUE(RIGHT($A2390,2))&gt;60),$A2390&amp;"01 1",$A2390),IF(AND(LEN($A2390)=4,VALUE(RIGHT($A2390,2))&lt;60),GUS_tabl_2!$A$8:$B$464,GUS_tabl_21!$A$5:$B$4886),2,FALSE)))),TRIM(VLOOKUP(IF(AND(LEN($A2390)=4,VALUE(RIGHT($A2390,2))&gt;60),$A2390&amp;"01 1",$A2390),IF(AND(LEN($A2390)=4,VALUE(RIGHT($A2390,2))&lt;60),GUS_tabl_2!$A$8:$B$464,GUS_tabl_21!$A$5:$B$4886),2,FALSE)),LEFT(TRIM(VLOOKUP(IF(AND(LEN($A2390)=4,VALUE(RIGHT($A2390,2))&gt;60),$A2390&amp;"01 1",$A2390),IF(AND(LEN($A2390)=4,VALUE(RIGHT($A2390,2))&lt;60),GUS_tabl_2!$A$8:$B$464,GUS_tabl_21!$A$5:$B$4886),2,FALSE)),SUM(FIND("..",TRIM(VLOOKUP(IF(AND(LEN($A2390)=4,VALUE(RIGHT($A2390,2))&gt;60),$A2390&amp;"01 1",$A2390),IF(AND(LEN($A2390)=4,VALUE(RIGHT($A2390,2))&lt;60),GUS_tabl_2!$A$8:$B$464,GUS_tabl_21!$A$5:$B$4886),2,FALSE))),-1)))))</f>
        <v>gm. m.-w. Szydłów</v>
      </c>
      <c r="D2390" s="141">
        <f>IF(OR($A2390="",ISERROR(VALUE(LEFT($A2390,6)))),"",IF(LEN($A2390)=2,SUMIF($A2391:$A$2965,$A2390&amp;"??",$D2391:$D$2965),IF(AND(LEN($A2390)=4,VALUE(RIGHT($A2390,2))&lt;=60),SUMIF($A2391:$A$2965,$A2390&amp;"????",$D2391:$D$2965),VLOOKUP(IF(LEN($A2390)=4,$A2390&amp;"01 1",$A2390),GUS_tabl_21!$A$5:$F$4886,6,FALSE))))</f>
        <v>4679</v>
      </c>
      <c r="E2390" s="29"/>
    </row>
    <row r="2391" spans="1:5" ht="12" customHeight="1">
      <c r="A2391" s="152" t="str">
        <f>"2613"</f>
        <v>2613</v>
      </c>
      <c r="B2391" s="153" t="s">
        <v>58</v>
      </c>
      <c r="C2391" s="154" t="str">
        <f>IF(OR($A2391="",ISERROR(VALUE(LEFT($A2391,6)))),"",IF(LEN($A2391)=2,"WOJ. ",IF(LEN($A2391)=4,IF(VALUE(RIGHT($A2391,2))&gt;60,"","Powiat "),IF(VALUE(RIGHT($A2391,1))=1,"m. ",IF(VALUE(RIGHT($A2391,1))=2,"gm. w. ",IF(VALUE(RIGHT($A2391,1))=8,"dz. ","gm. m.-w. ")))))&amp;IF(LEN($A2391)=2,TRIM(UPPER(VLOOKUP($A2391,GUS_tabl_1!$A$7:$B$22,2,FALSE))),IF(ISERROR(FIND("..",TRIM(VLOOKUP(IF(AND(LEN($A2391)=4,VALUE(RIGHT($A2391,2))&gt;60),$A2391&amp;"01 1",$A2391),IF(AND(LEN($A2391)=4,VALUE(RIGHT($A2391,2))&lt;60),GUS_tabl_2!$A$8:$B$464,GUS_tabl_21!$A$5:$B$4886),2,FALSE)))),TRIM(VLOOKUP(IF(AND(LEN($A2391)=4,VALUE(RIGHT($A2391,2))&gt;60),$A2391&amp;"01 1",$A2391),IF(AND(LEN($A2391)=4,VALUE(RIGHT($A2391,2))&lt;60),GUS_tabl_2!$A$8:$B$464,GUS_tabl_21!$A$5:$B$4886),2,FALSE)),LEFT(TRIM(VLOOKUP(IF(AND(LEN($A2391)=4,VALUE(RIGHT($A2391,2))&gt;60),$A2391&amp;"01 1",$A2391),IF(AND(LEN($A2391)=4,VALUE(RIGHT($A2391,2))&lt;60),GUS_tabl_2!$A$8:$B$464,GUS_tabl_21!$A$5:$B$4886),2,FALSE)),SUM(FIND("..",TRIM(VLOOKUP(IF(AND(LEN($A2391)=4,VALUE(RIGHT($A2391,2))&gt;60),$A2391&amp;"01 1",$A2391),IF(AND(LEN($A2391)=4,VALUE(RIGHT($A2391,2))&lt;60),GUS_tabl_2!$A$8:$B$464,GUS_tabl_21!$A$5:$B$4886),2,FALSE))),-1)))))</f>
        <v>Powiat włoszczowski</v>
      </c>
      <c r="D2391" s="140">
        <f>IF(OR($A2391="",ISERROR(VALUE(LEFT($A2391,6)))),"",IF(LEN($A2391)=2,SUMIF($A2392:$A$2965,$A2391&amp;"??",$D2392:$D$2965),IF(AND(LEN($A2391)=4,VALUE(RIGHT($A2391,2))&lt;=60),SUMIF($A2392:$A$2965,$A2391&amp;"????",$D2392:$D$2965),VLOOKUP(IF(LEN($A2391)=4,$A2391&amp;"01 1",$A2391),GUS_tabl_21!$A$5:$F$4886,6,FALSE))))</f>
        <v>45059</v>
      </c>
      <c r="E2391" s="29"/>
    </row>
    <row r="2392" spans="1:5" ht="12" customHeight="1">
      <c r="A2392" s="155" t="str">
        <f>"261301 2"</f>
        <v>261301 2</v>
      </c>
      <c r="B2392" s="153" t="s">
        <v>58</v>
      </c>
      <c r="C2392" s="156" t="str">
        <f>IF(OR($A2392="",ISERROR(VALUE(LEFT($A2392,6)))),"",IF(LEN($A2392)=2,"WOJ. ",IF(LEN($A2392)=4,IF(VALUE(RIGHT($A2392,2))&gt;60,"","Powiat "),IF(VALUE(RIGHT($A2392,1))=1,"m. ",IF(VALUE(RIGHT($A2392,1))=2,"gm. w. ",IF(VALUE(RIGHT($A2392,1))=8,"dz. ","gm. m.-w. ")))))&amp;IF(LEN($A2392)=2,TRIM(UPPER(VLOOKUP($A2392,GUS_tabl_1!$A$7:$B$22,2,FALSE))),IF(ISERROR(FIND("..",TRIM(VLOOKUP(IF(AND(LEN($A2392)=4,VALUE(RIGHT($A2392,2))&gt;60),$A2392&amp;"01 1",$A2392),IF(AND(LEN($A2392)=4,VALUE(RIGHT($A2392,2))&lt;60),GUS_tabl_2!$A$8:$B$464,GUS_tabl_21!$A$5:$B$4886),2,FALSE)))),TRIM(VLOOKUP(IF(AND(LEN($A2392)=4,VALUE(RIGHT($A2392,2))&gt;60),$A2392&amp;"01 1",$A2392),IF(AND(LEN($A2392)=4,VALUE(RIGHT($A2392,2))&lt;60),GUS_tabl_2!$A$8:$B$464,GUS_tabl_21!$A$5:$B$4886),2,FALSE)),LEFT(TRIM(VLOOKUP(IF(AND(LEN($A2392)=4,VALUE(RIGHT($A2392,2))&gt;60),$A2392&amp;"01 1",$A2392),IF(AND(LEN($A2392)=4,VALUE(RIGHT($A2392,2))&lt;60),GUS_tabl_2!$A$8:$B$464,GUS_tabl_21!$A$5:$B$4886),2,FALSE)),SUM(FIND("..",TRIM(VLOOKUP(IF(AND(LEN($A2392)=4,VALUE(RIGHT($A2392,2))&gt;60),$A2392&amp;"01 1",$A2392),IF(AND(LEN($A2392)=4,VALUE(RIGHT($A2392,2))&lt;60),GUS_tabl_2!$A$8:$B$464,GUS_tabl_21!$A$5:$B$4886),2,FALSE))),-1)))))</f>
        <v>gm. w. Kluczewsko</v>
      </c>
      <c r="D2392" s="141">
        <f>IF(OR($A2392="",ISERROR(VALUE(LEFT($A2392,6)))),"",IF(LEN($A2392)=2,SUMIF($A2393:$A$2965,$A2392&amp;"??",$D2393:$D$2965),IF(AND(LEN($A2392)=4,VALUE(RIGHT($A2392,2))&lt;=60),SUMIF($A2393:$A$2965,$A2392&amp;"????",$D2393:$D$2965),VLOOKUP(IF(LEN($A2392)=4,$A2392&amp;"01 1",$A2392),GUS_tabl_21!$A$5:$F$4886,6,FALSE))))</f>
        <v>5197</v>
      </c>
      <c r="E2392" s="29"/>
    </row>
    <row r="2393" spans="1:5" ht="12" customHeight="1">
      <c r="A2393" s="155" t="str">
        <f>"261302 2"</f>
        <v>261302 2</v>
      </c>
      <c r="B2393" s="153" t="s">
        <v>58</v>
      </c>
      <c r="C2393" s="156" t="str">
        <f>IF(OR($A2393="",ISERROR(VALUE(LEFT($A2393,6)))),"",IF(LEN($A2393)=2,"WOJ. ",IF(LEN($A2393)=4,IF(VALUE(RIGHT($A2393,2))&gt;60,"","Powiat "),IF(VALUE(RIGHT($A2393,1))=1,"m. ",IF(VALUE(RIGHT($A2393,1))=2,"gm. w. ",IF(VALUE(RIGHT($A2393,1))=8,"dz. ","gm. m.-w. ")))))&amp;IF(LEN($A2393)=2,TRIM(UPPER(VLOOKUP($A2393,GUS_tabl_1!$A$7:$B$22,2,FALSE))),IF(ISERROR(FIND("..",TRIM(VLOOKUP(IF(AND(LEN($A2393)=4,VALUE(RIGHT($A2393,2))&gt;60),$A2393&amp;"01 1",$A2393),IF(AND(LEN($A2393)=4,VALUE(RIGHT($A2393,2))&lt;60),GUS_tabl_2!$A$8:$B$464,GUS_tabl_21!$A$5:$B$4886),2,FALSE)))),TRIM(VLOOKUP(IF(AND(LEN($A2393)=4,VALUE(RIGHT($A2393,2))&gt;60),$A2393&amp;"01 1",$A2393),IF(AND(LEN($A2393)=4,VALUE(RIGHT($A2393,2))&lt;60),GUS_tabl_2!$A$8:$B$464,GUS_tabl_21!$A$5:$B$4886),2,FALSE)),LEFT(TRIM(VLOOKUP(IF(AND(LEN($A2393)=4,VALUE(RIGHT($A2393,2))&gt;60),$A2393&amp;"01 1",$A2393),IF(AND(LEN($A2393)=4,VALUE(RIGHT($A2393,2))&lt;60),GUS_tabl_2!$A$8:$B$464,GUS_tabl_21!$A$5:$B$4886),2,FALSE)),SUM(FIND("..",TRIM(VLOOKUP(IF(AND(LEN($A2393)=4,VALUE(RIGHT($A2393,2))&gt;60),$A2393&amp;"01 1",$A2393),IF(AND(LEN($A2393)=4,VALUE(RIGHT($A2393,2))&lt;60),GUS_tabl_2!$A$8:$B$464,GUS_tabl_21!$A$5:$B$4886),2,FALSE))),-1)))))</f>
        <v>gm. w. Krasocin</v>
      </c>
      <c r="D2393" s="141">
        <f>IF(OR($A2393="",ISERROR(VALUE(LEFT($A2393,6)))),"",IF(LEN($A2393)=2,SUMIF($A2394:$A$2965,$A2393&amp;"??",$D2394:$D$2965),IF(AND(LEN($A2393)=4,VALUE(RIGHT($A2393,2))&lt;=60),SUMIF($A2394:$A$2965,$A2393&amp;"????",$D2394:$D$2965),VLOOKUP(IF(LEN($A2393)=4,$A2393&amp;"01 1",$A2393),GUS_tabl_21!$A$5:$F$4886,6,FALSE))))</f>
        <v>10620</v>
      </c>
      <c r="E2393" s="29"/>
    </row>
    <row r="2394" spans="1:5" ht="12" customHeight="1">
      <c r="A2394" s="155" t="str">
        <f>"261303 2"</f>
        <v>261303 2</v>
      </c>
      <c r="B2394" s="153" t="s">
        <v>58</v>
      </c>
      <c r="C2394" s="156" t="str">
        <f>IF(OR($A2394="",ISERROR(VALUE(LEFT($A2394,6)))),"",IF(LEN($A2394)=2,"WOJ. ",IF(LEN($A2394)=4,IF(VALUE(RIGHT($A2394,2))&gt;60,"","Powiat "),IF(VALUE(RIGHT($A2394,1))=1,"m. ",IF(VALUE(RIGHT($A2394,1))=2,"gm. w. ",IF(VALUE(RIGHT($A2394,1))=8,"dz. ","gm. m.-w. ")))))&amp;IF(LEN($A2394)=2,TRIM(UPPER(VLOOKUP($A2394,GUS_tabl_1!$A$7:$B$22,2,FALSE))),IF(ISERROR(FIND("..",TRIM(VLOOKUP(IF(AND(LEN($A2394)=4,VALUE(RIGHT($A2394,2))&gt;60),$A2394&amp;"01 1",$A2394),IF(AND(LEN($A2394)=4,VALUE(RIGHT($A2394,2))&lt;60),GUS_tabl_2!$A$8:$B$464,GUS_tabl_21!$A$5:$B$4886),2,FALSE)))),TRIM(VLOOKUP(IF(AND(LEN($A2394)=4,VALUE(RIGHT($A2394,2))&gt;60),$A2394&amp;"01 1",$A2394),IF(AND(LEN($A2394)=4,VALUE(RIGHT($A2394,2))&lt;60),GUS_tabl_2!$A$8:$B$464,GUS_tabl_21!$A$5:$B$4886),2,FALSE)),LEFT(TRIM(VLOOKUP(IF(AND(LEN($A2394)=4,VALUE(RIGHT($A2394,2))&gt;60),$A2394&amp;"01 1",$A2394),IF(AND(LEN($A2394)=4,VALUE(RIGHT($A2394,2))&lt;60),GUS_tabl_2!$A$8:$B$464,GUS_tabl_21!$A$5:$B$4886),2,FALSE)),SUM(FIND("..",TRIM(VLOOKUP(IF(AND(LEN($A2394)=4,VALUE(RIGHT($A2394,2))&gt;60),$A2394&amp;"01 1",$A2394),IF(AND(LEN($A2394)=4,VALUE(RIGHT($A2394,2))&lt;60),GUS_tabl_2!$A$8:$B$464,GUS_tabl_21!$A$5:$B$4886),2,FALSE))),-1)))))</f>
        <v>gm. w. Moskorzew</v>
      </c>
      <c r="D2394" s="141">
        <f>IF(OR($A2394="",ISERROR(VALUE(LEFT($A2394,6)))),"",IF(LEN($A2394)=2,SUMIF($A2395:$A$2965,$A2394&amp;"??",$D2395:$D$2965),IF(AND(LEN($A2394)=4,VALUE(RIGHT($A2394,2))&lt;=60),SUMIF($A2395:$A$2965,$A2394&amp;"????",$D2395:$D$2965),VLOOKUP(IF(LEN($A2394)=4,$A2394&amp;"01 1",$A2394),GUS_tabl_21!$A$5:$F$4886,6,FALSE))))</f>
        <v>2640</v>
      </c>
      <c r="E2394" s="29"/>
    </row>
    <row r="2395" spans="1:5" ht="12" customHeight="1">
      <c r="A2395" s="155" t="str">
        <f>"261304 2"</f>
        <v>261304 2</v>
      </c>
      <c r="B2395" s="153" t="s">
        <v>58</v>
      </c>
      <c r="C2395" s="156" t="str">
        <f>IF(OR($A2395="",ISERROR(VALUE(LEFT($A2395,6)))),"",IF(LEN($A2395)=2,"WOJ. ",IF(LEN($A2395)=4,IF(VALUE(RIGHT($A2395,2))&gt;60,"","Powiat "),IF(VALUE(RIGHT($A2395,1))=1,"m. ",IF(VALUE(RIGHT($A2395,1))=2,"gm. w. ",IF(VALUE(RIGHT($A2395,1))=8,"dz. ","gm. m.-w. ")))))&amp;IF(LEN($A2395)=2,TRIM(UPPER(VLOOKUP($A2395,GUS_tabl_1!$A$7:$B$22,2,FALSE))),IF(ISERROR(FIND("..",TRIM(VLOOKUP(IF(AND(LEN($A2395)=4,VALUE(RIGHT($A2395,2))&gt;60),$A2395&amp;"01 1",$A2395),IF(AND(LEN($A2395)=4,VALUE(RIGHT($A2395,2))&lt;60),GUS_tabl_2!$A$8:$B$464,GUS_tabl_21!$A$5:$B$4886),2,FALSE)))),TRIM(VLOOKUP(IF(AND(LEN($A2395)=4,VALUE(RIGHT($A2395,2))&gt;60),$A2395&amp;"01 1",$A2395),IF(AND(LEN($A2395)=4,VALUE(RIGHT($A2395,2))&lt;60),GUS_tabl_2!$A$8:$B$464,GUS_tabl_21!$A$5:$B$4886),2,FALSE)),LEFT(TRIM(VLOOKUP(IF(AND(LEN($A2395)=4,VALUE(RIGHT($A2395,2))&gt;60),$A2395&amp;"01 1",$A2395),IF(AND(LEN($A2395)=4,VALUE(RIGHT($A2395,2))&lt;60),GUS_tabl_2!$A$8:$B$464,GUS_tabl_21!$A$5:$B$4886),2,FALSE)),SUM(FIND("..",TRIM(VLOOKUP(IF(AND(LEN($A2395)=4,VALUE(RIGHT($A2395,2))&gt;60),$A2395&amp;"01 1",$A2395),IF(AND(LEN($A2395)=4,VALUE(RIGHT($A2395,2))&lt;60),GUS_tabl_2!$A$8:$B$464,GUS_tabl_21!$A$5:$B$4886),2,FALSE))),-1)))))</f>
        <v>gm. w. Radków</v>
      </c>
      <c r="D2395" s="141">
        <f>IF(OR($A2395="",ISERROR(VALUE(LEFT($A2395,6)))),"",IF(LEN($A2395)=2,SUMIF($A2396:$A$2965,$A2395&amp;"??",$D2396:$D$2965),IF(AND(LEN($A2395)=4,VALUE(RIGHT($A2395,2))&lt;=60),SUMIF($A2396:$A$2965,$A2395&amp;"????",$D2396:$D$2965),VLOOKUP(IF(LEN($A2395)=4,$A2395&amp;"01 1",$A2395),GUS_tabl_21!$A$5:$F$4886,6,FALSE))))</f>
        <v>2499</v>
      </c>
      <c r="E2395" s="29"/>
    </row>
    <row r="2396" spans="1:5" ht="12" customHeight="1">
      <c r="A2396" s="155" t="str">
        <f>"261305 2"</f>
        <v>261305 2</v>
      </c>
      <c r="B2396" s="153" t="s">
        <v>58</v>
      </c>
      <c r="C2396" s="156" t="str">
        <f>IF(OR($A2396="",ISERROR(VALUE(LEFT($A2396,6)))),"",IF(LEN($A2396)=2,"WOJ. ",IF(LEN($A2396)=4,IF(VALUE(RIGHT($A2396,2))&gt;60,"","Powiat "),IF(VALUE(RIGHT($A2396,1))=1,"m. ",IF(VALUE(RIGHT($A2396,1))=2,"gm. w. ",IF(VALUE(RIGHT($A2396,1))=8,"dz. ","gm. m.-w. ")))))&amp;IF(LEN($A2396)=2,TRIM(UPPER(VLOOKUP($A2396,GUS_tabl_1!$A$7:$B$22,2,FALSE))),IF(ISERROR(FIND("..",TRIM(VLOOKUP(IF(AND(LEN($A2396)=4,VALUE(RIGHT($A2396,2))&gt;60),$A2396&amp;"01 1",$A2396),IF(AND(LEN($A2396)=4,VALUE(RIGHT($A2396,2))&lt;60),GUS_tabl_2!$A$8:$B$464,GUS_tabl_21!$A$5:$B$4886),2,FALSE)))),TRIM(VLOOKUP(IF(AND(LEN($A2396)=4,VALUE(RIGHT($A2396,2))&gt;60),$A2396&amp;"01 1",$A2396),IF(AND(LEN($A2396)=4,VALUE(RIGHT($A2396,2))&lt;60),GUS_tabl_2!$A$8:$B$464,GUS_tabl_21!$A$5:$B$4886),2,FALSE)),LEFT(TRIM(VLOOKUP(IF(AND(LEN($A2396)=4,VALUE(RIGHT($A2396,2))&gt;60),$A2396&amp;"01 1",$A2396),IF(AND(LEN($A2396)=4,VALUE(RIGHT($A2396,2))&lt;60),GUS_tabl_2!$A$8:$B$464,GUS_tabl_21!$A$5:$B$4886),2,FALSE)),SUM(FIND("..",TRIM(VLOOKUP(IF(AND(LEN($A2396)=4,VALUE(RIGHT($A2396,2))&gt;60),$A2396&amp;"01 1",$A2396),IF(AND(LEN($A2396)=4,VALUE(RIGHT($A2396,2))&lt;60),GUS_tabl_2!$A$8:$B$464,GUS_tabl_21!$A$5:$B$4886),2,FALSE))),-1)))))</f>
        <v>gm. w. Secemin</v>
      </c>
      <c r="D2396" s="141">
        <f>IF(OR($A2396="",ISERROR(VALUE(LEFT($A2396,6)))),"",IF(LEN($A2396)=2,SUMIF($A2397:$A$2965,$A2396&amp;"??",$D2397:$D$2965),IF(AND(LEN($A2396)=4,VALUE(RIGHT($A2396,2))&lt;=60),SUMIF($A2397:$A$2965,$A2396&amp;"????",$D2397:$D$2965),VLOOKUP(IF(LEN($A2396)=4,$A2396&amp;"01 1",$A2396),GUS_tabl_21!$A$5:$F$4886,6,FALSE))))</f>
        <v>4811</v>
      </c>
      <c r="E2396" s="29"/>
    </row>
    <row r="2397" spans="1:5" ht="12" customHeight="1">
      <c r="A2397" s="155" t="str">
        <f>"261306 3"</f>
        <v>261306 3</v>
      </c>
      <c r="B2397" s="153" t="s">
        <v>58</v>
      </c>
      <c r="C2397" s="156" t="str">
        <f>IF(OR($A2397="",ISERROR(VALUE(LEFT($A2397,6)))),"",IF(LEN($A2397)=2,"WOJ. ",IF(LEN($A2397)=4,IF(VALUE(RIGHT($A2397,2))&gt;60,"","Powiat "),IF(VALUE(RIGHT($A2397,1))=1,"m. ",IF(VALUE(RIGHT($A2397,1))=2,"gm. w. ",IF(VALUE(RIGHT($A2397,1))=8,"dz. ","gm. m.-w. ")))))&amp;IF(LEN($A2397)=2,TRIM(UPPER(VLOOKUP($A2397,GUS_tabl_1!$A$7:$B$22,2,FALSE))),IF(ISERROR(FIND("..",TRIM(VLOOKUP(IF(AND(LEN($A2397)=4,VALUE(RIGHT($A2397,2))&gt;60),$A2397&amp;"01 1",$A2397),IF(AND(LEN($A2397)=4,VALUE(RIGHT($A2397,2))&lt;60),GUS_tabl_2!$A$8:$B$464,GUS_tabl_21!$A$5:$B$4886),2,FALSE)))),TRIM(VLOOKUP(IF(AND(LEN($A2397)=4,VALUE(RIGHT($A2397,2))&gt;60),$A2397&amp;"01 1",$A2397),IF(AND(LEN($A2397)=4,VALUE(RIGHT($A2397,2))&lt;60),GUS_tabl_2!$A$8:$B$464,GUS_tabl_21!$A$5:$B$4886),2,FALSE)),LEFT(TRIM(VLOOKUP(IF(AND(LEN($A2397)=4,VALUE(RIGHT($A2397,2))&gt;60),$A2397&amp;"01 1",$A2397),IF(AND(LEN($A2397)=4,VALUE(RIGHT($A2397,2))&lt;60),GUS_tabl_2!$A$8:$B$464,GUS_tabl_21!$A$5:$B$4886),2,FALSE)),SUM(FIND("..",TRIM(VLOOKUP(IF(AND(LEN($A2397)=4,VALUE(RIGHT($A2397,2))&gt;60),$A2397&amp;"01 1",$A2397),IF(AND(LEN($A2397)=4,VALUE(RIGHT($A2397,2))&lt;60),GUS_tabl_2!$A$8:$B$464,GUS_tabl_21!$A$5:$B$4886),2,FALSE))),-1)))))</f>
        <v>gm. m.-w. Włoszczowa</v>
      </c>
      <c r="D2397" s="141">
        <f>IF(OR($A2397="",ISERROR(VALUE(LEFT($A2397,6)))),"",IF(LEN($A2397)=2,SUMIF($A2398:$A$2965,$A2397&amp;"??",$D2398:$D$2965),IF(AND(LEN($A2397)=4,VALUE(RIGHT($A2397,2))&lt;=60),SUMIF($A2398:$A$2965,$A2397&amp;"????",$D2398:$D$2965),VLOOKUP(IF(LEN($A2397)=4,$A2397&amp;"01 1",$A2397),GUS_tabl_21!$A$5:$F$4886,6,FALSE))))</f>
        <v>19292</v>
      </c>
      <c r="E2397" s="29"/>
    </row>
    <row r="2398" spans="1:5" ht="12" customHeight="1">
      <c r="A2398" s="152"/>
      <c r="B2398" s="153" t="s">
        <v>58</v>
      </c>
      <c r="C2398" s="154" t="s">
        <v>14</v>
      </c>
      <c r="D2398" s="140" t="str">
        <f>IF(OR($A2398="",ISERROR(VALUE(LEFT($A2398,6)))),"",IF(LEN($A2398)=2,SUMIF($A2399:$A$2965,$A2398&amp;"??",$D2399:$D$2965),IF(AND(LEN($A2398)=4,VALUE(RIGHT($A2398,2))&lt;=60),SUMIF($A2399:$A$2965,$A2398&amp;"????",$D2399:$D$2965),VLOOKUP(IF(LEN($A2398)=4,$A2398&amp;"01 1",$A2398),GUS_tabl_21!$A$5:$F$4886,6,FALSE))))</f>
        <v/>
      </c>
      <c r="E2398" s="29"/>
    </row>
    <row r="2399" spans="1:5" ht="12" customHeight="1">
      <c r="A2399" s="152"/>
      <c r="B2399" s="153" t="s">
        <v>58</v>
      </c>
      <c r="C2399" s="162" t="s">
        <v>15</v>
      </c>
      <c r="D2399" s="140" t="str">
        <f>IF(OR($A2399="",ISERROR(VALUE(LEFT($A2399,6)))),"",IF(LEN($A2399)=2,SUMIF($A2400:$A$2965,$A2399&amp;"??",$D2400:$D$2965),IF(AND(LEN($A2399)=4,VALUE(RIGHT($A2399,2))&lt;=60),SUMIF($A2400:$A$2965,$A2399&amp;"????",$D2400:$D$2965),VLOOKUP(IF(LEN($A2399)=4,$A2399&amp;"01 1",$A2399),GUS_tabl_21!$A$5:$F$4886,6,FALSE))))</f>
        <v/>
      </c>
      <c r="E2399" s="29"/>
    </row>
    <row r="2400" spans="1:5" ht="12" customHeight="1">
      <c r="A2400" s="152" t="str">
        <f>"2661"</f>
        <v>2661</v>
      </c>
      <c r="B2400" s="153" t="s">
        <v>58</v>
      </c>
      <c r="C2400" s="154" t="str">
        <f>IF(OR($A2400="",ISERROR(VALUE(LEFT($A2400,6)))),"",IF(LEN($A2400)=2,"WOJ. ",IF(LEN($A2400)=4,IF(VALUE(RIGHT($A2400,2))&gt;60,"","Powiat "),IF(VALUE(RIGHT($A2400,1))=1,"m. ",IF(VALUE(RIGHT($A2400,1))=2,"gm. w. ",IF(VALUE(RIGHT($A2400,1))=8,"dz. ","gm. m.-w. ")))))&amp;IF(LEN($A2400)=2,TRIM(UPPER(VLOOKUP($A2400,GUS_tabl_1!$A$7:$B$22,2,FALSE))),IF(ISERROR(FIND("..",TRIM(VLOOKUP(IF(AND(LEN($A2400)=4,VALUE(RIGHT($A2400,2))&gt;60),$A2400&amp;"01 1",$A2400),IF(AND(LEN($A2400)=4,VALUE(RIGHT($A2400,2))&lt;60),GUS_tabl_2!$A$8:$B$464,GUS_tabl_21!$A$5:$B$4886),2,FALSE)))),TRIM(VLOOKUP(IF(AND(LEN($A2400)=4,VALUE(RIGHT($A2400,2))&gt;60),$A2400&amp;"01 1",$A2400),IF(AND(LEN($A2400)=4,VALUE(RIGHT($A2400,2))&lt;60),GUS_tabl_2!$A$8:$B$464,GUS_tabl_21!$A$5:$B$4886),2,FALSE)),LEFT(TRIM(VLOOKUP(IF(AND(LEN($A2400)=4,VALUE(RIGHT($A2400,2))&gt;60),$A2400&amp;"01 1",$A2400),IF(AND(LEN($A2400)=4,VALUE(RIGHT($A2400,2))&lt;60),GUS_tabl_2!$A$8:$B$464,GUS_tabl_21!$A$5:$B$4886),2,FALSE)),SUM(FIND("..",TRIM(VLOOKUP(IF(AND(LEN($A2400)=4,VALUE(RIGHT($A2400,2))&gt;60),$A2400&amp;"01 1",$A2400),IF(AND(LEN($A2400)=4,VALUE(RIGHT($A2400,2))&lt;60),GUS_tabl_2!$A$8:$B$464,GUS_tabl_21!$A$5:$B$4886),2,FALSE))),-1)))))</f>
        <v>Kielce (a)</v>
      </c>
      <c r="D2400" s="140">
        <f>IF(OR($A2400="",ISERROR(VALUE(LEFT($A2400,6)))),"",IF(LEN($A2400)=2,SUMIF($A2401:$A$2965,$A2400&amp;"??",$D2401:$D$2965),IF(AND(LEN($A2400)=4,VALUE(RIGHT($A2400,2))&lt;=60),SUMIF($A2401:$A$2965,$A2400&amp;"????",$D2401:$D$2965),VLOOKUP(IF(LEN($A2400)=4,$A2400&amp;"01 1",$A2400),GUS_tabl_21!$A$5:$F$4886,6,FALSE))))</f>
        <v>194852</v>
      </c>
      <c r="E2400" s="29"/>
    </row>
    <row r="2401" spans="1:5" ht="12" customHeight="1" thickBot="1">
      <c r="A2401" s="152"/>
      <c r="B2401" s="153"/>
      <c r="C2401" s="156" t="str">
        <f>IF(OR($A2401="",ISERROR(VALUE(LEFT($A2401,6)))),"",IF(LEN($A2401)=2,"WOJ. ",IF(LEN($A2401)=4,IF(VALUE(RIGHT($A2401,2))&gt;60,"","Powiat "),IF(VALUE(RIGHT($A2401,1))=1,"m. ",IF(VALUE(RIGHT($A2401,1))=2,"gm. w. ",IF(VALUE(RIGHT($A2401,1))=8,"dz. ","gm. m.-w. ")))))&amp;IF(LEN($A2401)=2,TRIM(UPPER(VLOOKUP($A2401,GUS_tabl_1!$A$7:$B$22,2,FALSE))),IF(ISERROR(FIND("..",TRIM(VLOOKUP(IF(AND(LEN($A2401)=4,VALUE(RIGHT($A2401,2))&gt;60),$A2401&amp;"01 1",$A2401),IF(AND(LEN($A2401)=4,VALUE(RIGHT($A2401,2))&lt;60),GUS_tabl_2!$A$8:$B$464,GUS_tabl_21!$A$5:$B$4886),2,FALSE)))),TRIM(VLOOKUP(IF(AND(LEN($A2401)=4,VALUE(RIGHT($A2401,2))&gt;60),$A2401&amp;"01 1",$A2401),IF(AND(LEN($A2401)=4,VALUE(RIGHT($A2401,2))&lt;60),GUS_tabl_2!$A$8:$B$464,GUS_tabl_21!$A$5:$B$4886),2,FALSE)),LEFT(TRIM(VLOOKUP(IF(AND(LEN($A2401)=4,VALUE(RIGHT($A2401,2))&gt;60),$A2401&amp;"01 1",$A2401),IF(AND(LEN($A2401)=4,VALUE(RIGHT($A2401,2))&lt;60),GUS_tabl_2!$A$8:$B$464,GUS_tabl_21!$A$5:$B$4886),2,FALSE)),SUM(FIND("..",TRIM(VLOOKUP(IF(AND(LEN($A2401)=4,VALUE(RIGHT($A2401,2))&gt;60),$A2401&amp;"01 1",$A2401),IF(AND(LEN($A2401)=4,VALUE(RIGHT($A2401,2))&lt;60),GUS_tabl_2!$A$8:$B$464,GUS_tabl_21!$A$5:$B$4886),2,FALSE))),-1)))))</f>
        <v/>
      </c>
      <c r="D2401" s="140"/>
      <c r="E2401" s="29"/>
    </row>
    <row r="2402" spans="1:5" ht="29.25" customHeight="1" thickTop="1">
      <c r="A2402" s="241" t="s">
        <v>97</v>
      </c>
      <c r="B2402" s="247" t="s">
        <v>60</v>
      </c>
      <c r="C2402" s="243" t="s">
        <v>7311</v>
      </c>
      <c r="D2402" s="251" t="s">
        <v>6</v>
      </c>
    </row>
    <row r="2403" spans="1:5" ht="25.5" customHeight="1" thickBot="1">
      <c r="A2403" s="242"/>
      <c r="B2403" s="253"/>
      <c r="C2403" s="244"/>
      <c r="D2403" s="252"/>
    </row>
    <row r="2404" spans="1:5" ht="12" customHeight="1" thickTop="1">
      <c r="A2404" s="158"/>
      <c r="B2404" s="153"/>
      <c r="C2404" s="156" t="str">
        <f>IF(OR($A2404="",ISERROR(VALUE(LEFT($A2404,6)))),"",IF(LEN($A2404)=2,"WOJ. ",IF(LEN($A2404)=4,IF(VALUE(RIGHT($A2404,2))&gt;60,"","Powiat "),IF(VALUE(RIGHT($A2404,1))=1,"m. ",IF(VALUE(RIGHT($A2404,1))=2,"gm. w. ",IF(VALUE(RIGHT($A2404,1))=8,"dz. ","gm. m.-w. ")))))&amp;IF(LEN($A2404)=2,TRIM(UPPER(VLOOKUP($A2404,GUS_tabl_1!$A$7:$B$22,2,FALSE))),IF(ISERROR(FIND("..",TRIM(VLOOKUP(IF(AND(LEN($A2404)=4,VALUE(RIGHT($A2404,2))&gt;60),$A2404&amp;"01 1",$A2404),IF(AND(LEN($A2404)=4,VALUE(RIGHT($A2404,2))&lt;60),GUS_tabl_2!$A$8:$B$464,GUS_tabl_21!$A$5:$B$4886),2,FALSE)))),TRIM(VLOOKUP(IF(AND(LEN($A2404)=4,VALUE(RIGHT($A2404,2))&gt;60),$A2404&amp;"01 1",$A2404),IF(AND(LEN($A2404)=4,VALUE(RIGHT($A2404,2))&lt;60),GUS_tabl_2!$A$8:$B$464,GUS_tabl_21!$A$5:$B$4886),2,FALSE)),LEFT(TRIM(VLOOKUP(IF(AND(LEN($A2404)=4,VALUE(RIGHT($A2404,2))&gt;60),$A2404&amp;"01 1",$A2404),IF(AND(LEN($A2404)=4,VALUE(RIGHT($A2404,2))&lt;60),GUS_tabl_2!$A$8:$B$464,GUS_tabl_21!$A$5:$B$4886),2,FALSE)),SUM(FIND("..",TRIM(VLOOKUP(IF(AND(LEN($A2404)=4,VALUE(RIGHT($A2404,2))&gt;60),$A2404&amp;"01 1",$A2404),IF(AND(LEN($A2404)=4,VALUE(RIGHT($A2404,2))&lt;60),GUS_tabl_2!$A$8:$B$464,GUS_tabl_21!$A$5:$B$4886),2,FALSE))),-1)))))</f>
        <v/>
      </c>
      <c r="D2404" s="140" t="str">
        <f>IF(OR($A2404="",ISERROR(VALUE(LEFT($A2404,6)))),"",IF(LEN($A2404)=2,SUMIF($A2405:$A$2965,$A2404&amp;"??",$D2405:$D$2965),IF(AND(LEN($A2404)=4,VALUE(RIGHT($A2404,2))&lt;=60),SUMIF($A2405:$A$2965,$A2404&amp;"????",$D2405:$D$2965),VLOOKUP(IF(LEN($A2404)=4,$A2404&amp;"01 1",$A2404),GUS_tabl_21!$A$5:$F$4886,6,FALSE))))</f>
        <v/>
      </c>
      <c r="E2404" s="29"/>
    </row>
    <row r="2405" spans="1:5" ht="12" customHeight="1">
      <c r="A2405" s="152" t="str">
        <f>"28"</f>
        <v>28</v>
      </c>
      <c r="B2405" s="153"/>
      <c r="C2405" s="154" t="str">
        <f>IF(OR($A2405="",ISERROR(VALUE(LEFT($A2405,6)))),"",IF(LEN($A2405)=2,"WOJ. ",IF(LEN($A2405)=4,IF(VALUE(RIGHT($A2405,2))&gt;60,"","Powiat "),IF(VALUE(RIGHT($A2405,1))=1,"m. ",IF(VALUE(RIGHT($A2405,1))=2,"gm. w. ",IF(VALUE(RIGHT($A2405,1))=8,"dz. ","gm. m.-w. ")))))&amp;IF(LEN($A2405)=2,TRIM(UPPER(VLOOKUP($A2405,GUS_tabl_1!$A$7:$B$22,2,FALSE))),IF(ISERROR(FIND("..",TRIM(VLOOKUP(IF(AND(LEN($A2405)=4,VALUE(RIGHT($A2405,2))&gt;60),$A2405&amp;"01 1",$A2405),IF(AND(LEN($A2405)=4,VALUE(RIGHT($A2405,2))&lt;60),GUS_tabl_2!$A$8:$B$464,GUS_tabl_21!$A$5:$B$4886),2,FALSE)))),TRIM(VLOOKUP(IF(AND(LEN($A2405)=4,VALUE(RIGHT($A2405,2))&gt;60),$A2405&amp;"01 1",$A2405),IF(AND(LEN($A2405)=4,VALUE(RIGHT($A2405,2))&lt;60),GUS_tabl_2!$A$8:$B$464,GUS_tabl_21!$A$5:$B$4886),2,FALSE)),LEFT(TRIM(VLOOKUP(IF(AND(LEN($A2405)=4,VALUE(RIGHT($A2405,2))&gt;60),$A2405&amp;"01 1",$A2405),IF(AND(LEN($A2405)=4,VALUE(RIGHT($A2405,2))&lt;60),GUS_tabl_2!$A$8:$B$464,GUS_tabl_21!$A$5:$B$4886),2,FALSE)),SUM(FIND("..",TRIM(VLOOKUP(IF(AND(LEN($A2405)=4,VALUE(RIGHT($A2405,2))&gt;60),$A2405&amp;"01 1",$A2405),IF(AND(LEN($A2405)=4,VALUE(RIGHT($A2405,2))&lt;60),GUS_tabl_2!$A$8:$B$464,GUS_tabl_21!$A$5:$B$4886),2,FALSE))),-1)))))</f>
        <v>WOJ. WARMIŃSKO-MAZURSKIE</v>
      </c>
      <c r="D2405" s="140">
        <f>IF(OR($A2405="",ISERROR(VALUE(LEFT($A2405,6)))),"",IF(LEN($A2405)=2,SUMIF($A2406:$A$2965,$A2405&amp;"??",$D2406:$D$2965),IF(AND(LEN($A2405)=4,VALUE(RIGHT($A2405,2))&lt;=60),SUMIF($A2406:$A$2965,$A2405&amp;"????",$D2406:$D$2965),VLOOKUP(IF(LEN($A2405)=4,$A2405&amp;"01 1",$A2405),GUS_tabl_21!$A$5:$F$4886,6,FALSE))))</f>
        <v>1422737</v>
      </c>
      <c r="E2405" s="29"/>
    </row>
    <row r="2406" spans="1:5" ht="12" customHeight="1">
      <c r="A2406" s="152"/>
      <c r="B2406" s="153"/>
      <c r="C2406" s="154" t="str">
        <f>IF(OR($A2406="",ISERROR(VALUE(LEFT($A2406,6)))),"",IF(LEN($A2406)=2,"WOJ. ",IF(LEN($A2406)=4,IF(VALUE(RIGHT($A2406,2))&gt;60,"","Powiat "),IF(VALUE(RIGHT($A2406,1))=1,"m. ",IF(VALUE(RIGHT($A2406,1))=2,"gm. w. ",IF(VALUE(RIGHT($A2406,1))=8,"dz. ","gm. m.-w. ")))))&amp;IF(LEN($A2406)=2,TRIM(UPPER(VLOOKUP($A2406,GUS_tabl_1!$A$7:$B$22,2,FALSE))),IF(ISERROR(FIND("..",TRIM(VLOOKUP(IF(AND(LEN($A2406)=4,VALUE(RIGHT($A2406,2))&gt;60),$A2406&amp;"01 1",$A2406),IF(AND(LEN($A2406)=4,VALUE(RIGHT($A2406,2))&lt;60),GUS_tabl_2!$A$8:$B$464,GUS_tabl_21!$A$5:$B$4886),2,FALSE)))),TRIM(VLOOKUP(IF(AND(LEN($A2406)=4,VALUE(RIGHT($A2406,2))&gt;60),$A2406&amp;"01 1",$A2406),IF(AND(LEN($A2406)=4,VALUE(RIGHT($A2406,2))&lt;60),GUS_tabl_2!$A$8:$B$464,GUS_tabl_21!$A$5:$B$4886),2,FALSE)),LEFT(TRIM(VLOOKUP(IF(AND(LEN($A2406)=4,VALUE(RIGHT($A2406,2))&gt;60),$A2406&amp;"01 1",$A2406),IF(AND(LEN($A2406)=4,VALUE(RIGHT($A2406,2))&lt;60),GUS_tabl_2!$A$8:$B$464,GUS_tabl_21!$A$5:$B$4886),2,FALSE)),SUM(FIND("..",TRIM(VLOOKUP(IF(AND(LEN($A2406)=4,VALUE(RIGHT($A2406,2))&gt;60),$A2406&amp;"01 1",$A2406),IF(AND(LEN($A2406)=4,VALUE(RIGHT($A2406,2))&lt;60),GUS_tabl_2!$A$8:$B$464,GUS_tabl_21!$A$5:$B$4886),2,FALSE))),-1)))))</f>
        <v/>
      </c>
      <c r="D2406" s="140" t="str">
        <f>IF(OR($A2406="",ISERROR(VALUE(LEFT($A2406,6)))),"",IF(LEN($A2406)=2,SUMIF($A2407:$A$2965,$A2406&amp;"??",$D2407:$D$2965),IF(AND(LEN($A2406)=4,VALUE(RIGHT($A2406,2))&lt;=60),SUMIF($A2407:$A$2965,$A2406&amp;"????",$D2407:$D$2965),VLOOKUP(IF(LEN($A2406)=4,$A2406&amp;"01 1",$A2406),GUS_tabl_21!$A$5:$F$4886,6,FALSE))))</f>
        <v/>
      </c>
      <c r="E2406" s="29"/>
    </row>
    <row r="2407" spans="1:5" ht="12" customHeight="1">
      <c r="A2407" s="152"/>
      <c r="B2407" s="153"/>
      <c r="C2407" s="156" t="str">
        <f>IF(OR($A2407="",ISERROR(VALUE(LEFT($A2407,6)))),"",IF(LEN($A2407)=2,"WOJ. ",IF(LEN($A2407)=4,IF(VALUE(RIGHT($A2407,2))&gt;60,"","Powiat "),IF(VALUE(RIGHT($A2407,1))=1,"m. ",IF(VALUE(RIGHT($A2407,1))=2,"gm. w. ",IF(VALUE(RIGHT($A2407,1))=8,"dz. ","gm. m.-w. ")))))&amp;IF(LEN($A2407)=2,TRIM(UPPER(VLOOKUP($A2407,GUS_tabl_1!$A$7:$B$22,2,FALSE))),IF(ISERROR(FIND("..",TRIM(VLOOKUP(IF(AND(LEN($A2407)=4,VALUE(RIGHT($A2407,2))&gt;60),$A2407&amp;"01 1",$A2407),IF(AND(LEN($A2407)=4,VALUE(RIGHT($A2407,2))&lt;60),GUS_tabl_2!$A$8:$B$464,GUS_tabl_21!$A$5:$B$4886),2,FALSE)))),TRIM(VLOOKUP(IF(AND(LEN($A2407)=4,VALUE(RIGHT($A2407,2))&gt;60),$A2407&amp;"01 1",$A2407),IF(AND(LEN($A2407)=4,VALUE(RIGHT($A2407,2))&lt;60),GUS_tabl_2!$A$8:$B$464,GUS_tabl_21!$A$5:$B$4886),2,FALSE)),LEFT(TRIM(VLOOKUP(IF(AND(LEN($A2407)=4,VALUE(RIGHT($A2407,2))&gt;60),$A2407&amp;"01 1",$A2407),IF(AND(LEN($A2407)=4,VALUE(RIGHT($A2407,2))&lt;60),GUS_tabl_2!$A$8:$B$464,GUS_tabl_21!$A$5:$B$4886),2,FALSE)),SUM(FIND("..",TRIM(VLOOKUP(IF(AND(LEN($A2407)=4,VALUE(RIGHT($A2407,2))&gt;60),$A2407&amp;"01 1",$A2407),IF(AND(LEN($A2407)=4,VALUE(RIGHT($A2407,2))&lt;60),GUS_tabl_2!$A$8:$B$464,GUS_tabl_21!$A$5:$B$4886),2,FALSE))),-1)))))</f>
        <v/>
      </c>
      <c r="D2407" s="140" t="str">
        <f>IF(OR($A2407="",ISERROR(VALUE(LEFT($A2407,6)))),"",IF(LEN($A2407)=2,SUMIF($A2408:$A$2965,$A2407&amp;"??",$D2408:$D$2965),IF(AND(LEN($A2407)=4,VALUE(RIGHT($A2407,2))&lt;=60),SUMIF($A2408:$A$2965,$A2407&amp;"????",$D2408:$D$2965),VLOOKUP(IF(LEN($A2407)=4,$A2407&amp;"01 1",$A2407),GUS_tabl_21!$A$5:$F$4886,6,FALSE))))</f>
        <v/>
      </c>
      <c r="E2407" s="29"/>
    </row>
    <row r="2408" spans="1:5" ht="12" customHeight="1">
      <c r="A2408" s="152" t="str">
        <f>"2801"</f>
        <v>2801</v>
      </c>
      <c r="B2408" s="153" t="s">
        <v>32</v>
      </c>
      <c r="C2408" s="154" t="str">
        <f>IF(OR($A2408="",ISERROR(VALUE(LEFT($A2408,6)))),"",IF(LEN($A2408)=2,"WOJ. ",IF(LEN($A2408)=4,IF(VALUE(RIGHT($A2408,2))&gt;60,"","Powiat "),IF(VALUE(RIGHT($A2408,1))=1,"m. ",IF(VALUE(RIGHT($A2408,1))=2,"gm. w. ",IF(VALUE(RIGHT($A2408,1))=8,"dz. ","gm. m.-w. ")))))&amp;IF(LEN($A2408)=2,TRIM(UPPER(VLOOKUP($A2408,GUS_tabl_1!$A$7:$B$22,2,FALSE))),IF(ISERROR(FIND("..",TRIM(VLOOKUP(IF(AND(LEN($A2408)=4,VALUE(RIGHT($A2408,2))&gt;60),$A2408&amp;"01 1",$A2408),IF(AND(LEN($A2408)=4,VALUE(RIGHT($A2408,2))&lt;60),GUS_tabl_2!$A$8:$B$464,GUS_tabl_21!$A$5:$B$4886),2,FALSE)))),TRIM(VLOOKUP(IF(AND(LEN($A2408)=4,VALUE(RIGHT($A2408,2))&gt;60),$A2408&amp;"01 1",$A2408),IF(AND(LEN($A2408)=4,VALUE(RIGHT($A2408,2))&lt;60),GUS_tabl_2!$A$8:$B$464,GUS_tabl_21!$A$5:$B$4886),2,FALSE)),LEFT(TRIM(VLOOKUP(IF(AND(LEN($A2408)=4,VALUE(RIGHT($A2408,2))&gt;60),$A2408&amp;"01 1",$A2408),IF(AND(LEN($A2408)=4,VALUE(RIGHT($A2408,2))&lt;60),GUS_tabl_2!$A$8:$B$464,GUS_tabl_21!$A$5:$B$4886),2,FALSE)),SUM(FIND("..",TRIM(VLOOKUP(IF(AND(LEN($A2408)=4,VALUE(RIGHT($A2408,2))&gt;60),$A2408&amp;"01 1",$A2408),IF(AND(LEN($A2408)=4,VALUE(RIGHT($A2408,2))&lt;60),GUS_tabl_2!$A$8:$B$464,GUS_tabl_21!$A$5:$B$4886),2,FALSE))),-1)))))</f>
        <v>Powiat bartoszycki</v>
      </c>
      <c r="D2408" s="140">
        <f>IF(OR($A2408="",ISERROR(VALUE(LEFT($A2408,6)))),"",IF(LEN($A2408)=2,SUMIF($A2409:$A$2965,$A2408&amp;"??",$D2409:$D$2965),IF(AND(LEN($A2408)=4,VALUE(RIGHT($A2408,2))&lt;=60),SUMIF($A2409:$A$2965,$A2408&amp;"????",$D2409:$D$2965),VLOOKUP(IF(LEN($A2408)=4,$A2408&amp;"01 1",$A2408),GUS_tabl_21!$A$5:$F$4886,6,FALSE))))</f>
        <v>57231</v>
      </c>
      <c r="E2408" s="29"/>
    </row>
    <row r="2409" spans="1:5" ht="12" customHeight="1">
      <c r="A2409" s="155" t="str">
        <f>"280101 1"</f>
        <v>280101 1</v>
      </c>
      <c r="B2409" s="153" t="s">
        <v>32</v>
      </c>
      <c r="C2409" s="156" t="str">
        <f>IF(OR($A2409="",ISERROR(VALUE(LEFT($A2409,6)))),"",IF(LEN($A2409)=2,"WOJ. ",IF(LEN($A2409)=4,IF(VALUE(RIGHT($A2409,2))&gt;60,"","Powiat "),IF(VALUE(RIGHT($A2409,1))=1,"m. ",IF(VALUE(RIGHT($A2409,1))=2,"gm. w. ",IF(VALUE(RIGHT($A2409,1))=8,"dz. ","gm. m.-w. ")))))&amp;IF(LEN($A2409)=2,TRIM(UPPER(VLOOKUP($A2409,GUS_tabl_1!$A$7:$B$22,2,FALSE))),IF(ISERROR(FIND("..",TRIM(VLOOKUP(IF(AND(LEN($A2409)=4,VALUE(RIGHT($A2409,2))&gt;60),$A2409&amp;"01 1",$A2409),IF(AND(LEN($A2409)=4,VALUE(RIGHT($A2409,2))&lt;60),GUS_tabl_2!$A$8:$B$464,GUS_tabl_21!$A$5:$B$4886),2,FALSE)))),TRIM(VLOOKUP(IF(AND(LEN($A2409)=4,VALUE(RIGHT($A2409,2))&gt;60),$A2409&amp;"01 1",$A2409),IF(AND(LEN($A2409)=4,VALUE(RIGHT($A2409,2))&lt;60),GUS_tabl_2!$A$8:$B$464,GUS_tabl_21!$A$5:$B$4886),2,FALSE)),LEFT(TRIM(VLOOKUP(IF(AND(LEN($A2409)=4,VALUE(RIGHT($A2409,2))&gt;60),$A2409&amp;"01 1",$A2409),IF(AND(LEN($A2409)=4,VALUE(RIGHT($A2409,2))&lt;60),GUS_tabl_2!$A$8:$B$464,GUS_tabl_21!$A$5:$B$4886),2,FALSE)),SUM(FIND("..",TRIM(VLOOKUP(IF(AND(LEN($A2409)=4,VALUE(RIGHT($A2409,2))&gt;60),$A2409&amp;"01 1",$A2409),IF(AND(LEN($A2409)=4,VALUE(RIGHT($A2409,2))&lt;60),GUS_tabl_2!$A$8:$B$464,GUS_tabl_21!$A$5:$B$4886),2,FALSE))),-1)))))</f>
        <v>m. Bartoszyce</v>
      </c>
      <c r="D2409" s="141">
        <f>IF(OR($A2409="",ISERROR(VALUE(LEFT($A2409,6)))),"",IF(LEN($A2409)=2,SUMIF($A2410:$A$2965,$A2409&amp;"??",$D2410:$D$2965),IF(AND(LEN($A2409)=4,VALUE(RIGHT($A2409,2))&lt;=60),SUMIF($A2410:$A$2965,$A2409&amp;"????",$D2410:$D$2965),VLOOKUP(IF(LEN($A2409)=4,$A2409&amp;"01 1",$A2409),GUS_tabl_21!$A$5:$F$4886,6,FALSE))))</f>
        <v>23284</v>
      </c>
      <c r="E2409" s="29"/>
    </row>
    <row r="2410" spans="1:5" ht="12" customHeight="1">
      <c r="A2410" s="155" t="str">
        <f>"280102 1"</f>
        <v>280102 1</v>
      </c>
      <c r="B2410" s="153" t="s">
        <v>32</v>
      </c>
      <c r="C2410" s="156" t="str">
        <f>IF(OR($A2410="",ISERROR(VALUE(LEFT($A2410,6)))),"",IF(LEN($A2410)=2,"WOJ. ",IF(LEN($A2410)=4,IF(VALUE(RIGHT($A2410,2))&gt;60,"","Powiat "),IF(VALUE(RIGHT($A2410,1))=1,"m. ",IF(VALUE(RIGHT($A2410,1))=2,"gm. w. ",IF(VALUE(RIGHT($A2410,1))=8,"dz. ","gm. m.-w. ")))))&amp;IF(LEN($A2410)=2,TRIM(UPPER(VLOOKUP($A2410,GUS_tabl_1!$A$7:$B$22,2,FALSE))),IF(ISERROR(FIND("..",TRIM(VLOOKUP(IF(AND(LEN($A2410)=4,VALUE(RIGHT($A2410,2))&gt;60),$A2410&amp;"01 1",$A2410),IF(AND(LEN($A2410)=4,VALUE(RIGHT($A2410,2))&lt;60),GUS_tabl_2!$A$8:$B$464,GUS_tabl_21!$A$5:$B$4886),2,FALSE)))),TRIM(VLOOKUP(IF(AND(LEN($A2410)=4,VALUE(RIGHT($A2410,2))&gt;60),$A2410&amp;"01 1",$A2410),IF(AND(LEN($A2410)=4,VALUE(RIGHT($A2410,2))&lt;60),GUS_tabl_2!$A$8:$B$464,GUS_tabl_21!$A$5:$B$4886),2,FALSE)),LEFT(TRIM(VLOOKUP(IF(AND(LEN($A2410)=4,VALUE(RIGHT($A2410,2))&gt;60),$A2410&amp;"01 1",$A2410),IF(AND(LEN($A2410)=4,VALUE(RIGHT($A2410,2))&lt;60),GUS_tabl_2!$A$8:$B$464,GUS_tabl_21!$A$5:$B$4886),2,FALSE)),SUM(FIND("..",TRIM(VLOOKUP(IF(AND(LEN($A2410)=4,VALUE(RIGHT($A2410,2))&gt;60),$A2410&amp;"01 1",$A2410),IF(AND(LEN($A2410)=4,VALUE(RIGHT($A2410,2))&lt;60),GUS_tabl_2!$A$8:$B$464,GUS_tabl_21!$A$5:$B$4886),2,FALSE))),-1)))))</f>
        <v>m. Górowo Iławeckie</v>
      </c>
      <c r="D2410" s="141">
        <f>IF(OR($A2410="",ISERROR(VALUE(LEFT($A2410,6)))),"",IF(LEN($A2410)=2,SUMIF($A2411:$A$2965,$A2410&amp;"??",$D2411:$D$2965),IF(AND(LEN($A2410)=4,VALUE(RIGHT($A2410,2))&lt;=60),SUMIF($A2411:$A$2965,$A2410&amp;"????",$D2411:$D$2965),VLOOKUP(IF(LEN($A2410)=4,$A2410&amp;"01 1",$A2410),GUS_tabl_21!$A$5:$F$4886,6,FALSE))))</f>
        <v>3940</v>
      </c>
      <c r="E2410" s="29"/>
    </row>
    <row r="2411" spans="1:5" ht="12" customHeight="1">
      <c r="A2411" s="155" t="str">
        <f>"280103 2"</f>
        <v>280103 2</v>
      </c>
      <c r="B2411" s="153" t="s">
        <v>32</v>
      </c>
      <c r="C2411" s="156" t="str">
        <f>IF(OR($A2411="",ISERROR(VALUE(LEFT($A2411,6)))),"",IF(LEN($A2411)=2,"WOJ. ",IF(LEN($A2411)=4,IF(VALUE(RIGHT($A2411,2))&gt;60,"","Powiat "),IF(VALUE(RIGHT($A2411,1))=1,"m. ",IF(VALUE(RIGHT($A2411,1))=2,"gm. w. ",IF(VALUE(RIGHT($A2411,1))=8,"dz. ","gm. m.-w. ")))))&amp;IF(LEN($A2411)=2,TRIM(UPPER(VLOOKUP($A2411,GUS_tabl_1!$A$7:$B$22,2,FALSE))),IF(ISERROR(FIND("..",TRIM(VLOOKUP(IF(AND(LEN($A2411)=4,VALUE(RIGHT($A2411,2))&gt;60),$A2411&amp;"01 1",$A2411),IF(AND(LEN($A2411)=4,VALUE(RIGHT($A2411,2))&lt;60),GUS_tabl_2!$A$8:$B$464,GUS_tabl_21!$A$5:$B$4886),2,FALSE)))),TRIM(VLOOKUP(IF(AND(LEN($A2411)=4,VALUE(RIGHT($A2411,2))&gt;60),$A2411&amp;"01 1",$A2411),IF(AND(LEN($A2411)=4,VALUE(RIGHT($A2411,2))&lt;60),GUS_tabl_2!$A$8:$B$464,GUS_tabl_21!$A$5:$B$4886),2,FALSE)),LEFT(TRIM(VLOOKUP(IF(AND(LEN($A2411)=4,VALUE(RIGHT($A2411,2))&gt;60),$A2411&amp;"01 1",$A2411),IF(AND(LEN($A2411)=4,VALUE(RIGHT($A2411,2))&lt;60),GUS_tabl_2!$A$8:$B$464,GUS_tabl_21!$A$5:$B$4886),2,FALSE)),SUM(FIND("..",TRIM(VLOOKUP(IF(AND(LEN($A2411)=4,VALUE(RIGHT($A2411,2))&gt;60),$A2411&amp;"01 1",$A2411),IF(AND(LEN($A2411)=4,VALUE(RIGHT($A2411,2))&lt;60),GUS_tabl_2!$A$8:$B$464,GUS_tabl_21!$A$5:$B$4886),2,FALSE))),-1)))))</f>
        <v>gm. w. Bartoszyce (c)</v>
      </c>
      <c r="D2411" s="141">
        <f>IF(OR($A2411="",ISERROR(VALUE(LEFT($A2411,6)))),"",IF(LEN($A2411)=2,SUMIF($A2412:$A$2965,$A2411&amp;"??",$D2412:$D$2965),IF(AND(LEN($A2411)=4,VALUE(RIGHT($A2411,2))&lt;=60),SUMIF($A2412:$A$2965,$A2411&amp;"????",$D2412:$D$2965),VLOOKUP(IF(LEN($A2411)=4,$A2411&amp;"01 1",$A2411),GUS_tabl_21!$A$5:$F$4886,6,FALSE))))</f>
        <v>10715</v>
      </c>
      <c r="E2411" s="29"/>
    </row>
    <row r="2412" spans="1:5" ht="12" customHeight="1">
      <c r="A2412" s="155" t="str">
        <f>"280104 3"</f>
        <v>280104 3</v>
      </c>
      <c r="B2412" s="153" t="s">
        <v>32</v>
      </c>
      <c r="C2412" s="156" t="str">
        <f>IF(OR($A2412="",ISERROR(VALUE(LEFT($A2412,6)))),"",IF(LEN($A2412)=2,"WOJ. ",IF(LEN($A2412)=4,IF(VALUE(RIGHT($A2412,2))&gt;60,"","Powiat "),IF(VALUE(RIGHT($A2412,1))=1,"m. ",IF(VALUE(RIGHT($A2412,1))=2,"gm. w. ",IF(VALUE(RIGHT($A2412,1))=8,"dz. ","gm. m.-w. ")))))&amp;IF(LEN($A2412)=2,TRIM(UPPER(VLOOKUP($A2412,GUS_tabl_1!$A$7:$B$22,2,FALSE))),IF(ISERROR(FIND("..",TRIM(VLOOKUP(IF(AND(LEN($A2412)=4,VALUE(RIGHT($A2412,2))&gt;60),$A2412&amp;"01 1",$A2412),IF(AND(LEN($A2412)=4,VALUE(RIGHT($A2412,2))&lt;60),GUS_tabl_2!$A$8:$B$464,GUS_tabl_21!$A$5:$B$4886),2,FALSE)))),TRIM(VLOOKUP(IF(AND(LEN($A2412)=4,VALUE(RIGHT($A2412,2))&gt;60),$A2412&amp;"01 1",$A2412),IF(AND(LEN($A2412)=4,VALUE(RIGHT($A2412,2))&lt;60),GUS_tabl_2!$A$8:$B$464,GUS_tabl_21!$A$5:$B$4886),2,FALSE)),LEFT(TRIM(VLOOKUP(IF(AND(LEN($A2412)=4,VALUE(RIGHT($A2412,2))&gt;60),$A2412&amp;"01 1",$A2412),IF(AND(LEN($A2412)=4,VALUE(RIGHT($A2412,2))&lt;60),GUS_tabl_2!$A$8:$B$464,GUS_tabl_21!$A$5:$B$4886),2,FALSE)),SUM(FIND("..",TRIM(VLOOKUP(IF(AND(LEN($A2412)=4,VALUE(RIGHT($A2412,2))&gt;60),$A2412&amp;"01 1",$A2412),IF(AND(LEN($A2412)=4,VALUE(RIGHT($A2412,2))&lt;60),GUS_tabl_2!$A$8:$B$464,GUS_tabl_21!$A$5:$B$4886),2,FALSE))),-1)))))</f>
        <v>gm. m.-w. Bisztynek</v>
      </c>
      <c r="D2412" s="141">
        <f>IF(OR($A2412="",ISERROR(VALUE(LEFT($A2412,6)))),"",IF(LEN($A2412)=2,SUMIF($A2413:$A$2965,$A2412&amp;"??",$D2413:$D$2965),IF(AND(LEN($A2412)=4,VALUE(RIGHT($A2412,2))&lt;=60),SUMIF($A2413:$A$2965,$A2412&amp;"????",$D2413:$D$2965),VLOOKUP(IF(LEN($A2412)=4,$A2412&amp;"01 1",$A2412),GUS_tabl_21!$A$5:$F$4886,6,FALSE))))</f>
        <v>6299</v>
      </c>
      <c r="E2412" s="29"/>
    </row>
    <row r="2413" spans="1:5" ht="12" customHeight="1">
      <c r="A2413" s="155" t="str">
        <f>"280105 2"</f>
        <v>280105 2</v>
      </c>
      <c r="B2413" s="153" t="s">
        <v>32</v>
      </c>
      <c r="C2413" s="156" t="str">
        <f>IF(OR($A2413="",ISERROR(VALUE(LEFT($A2413,6)))),"",IF(LEN($A2413)=2,"WOJ. ",IF(LEN($A2413)=4,IF(VALUE(RIGHT($A2413,2))&gt;60,"","Powiat "),IF(VALUE(RIGHT($A2413,1))=1,"m. ",IF(VALUE(RIGHT($A2413,1))=2,"gm. w. ",IF(VALUE(RIGHT($A2413,1))=8,"dz. ","gm. m.-w. ")))))&amp;IF(LEN($A2413)=2,TRIM(UPPER(VLOOKUP($A2413,GUS_tabl_1!$A$7:$B$22,2,FALSE))),IF(ISERROR(FIND("..",TRIM(VLOOKUP(IF(AND(LEN($A2413)=4,VALUE(RIGHT($A2413,2))&gt;60),$A2413&amp;"01 1",$A2413),IF(AND(LEN($A2413)=4,VALUE(RIGHT($A2413,2))&lt;60),GUS_tabl_2!$A$8:$B$464,GUS_tabl_21!$A$5:$B$4886),2,FALSE)))),TRIM(VLOOKUP(IF(AND(LEN($A2413)=4,VALUE(RIGHT($A2413,2))&gt;60),$A2413&amp;"01 1",$A2413),IF(AND(LEN($A2413)=4,VALUE(RIGHT($A2413,2))&lt;60),GUS_tabl_2!$A$8:$B$464,GUS_tabl_21!$A$5:$B$4886),2,FALSE)),LEFT(TRIM(VLOOKUP(IF(AND(LEN($A2413)=4,VALUE(RIGHT($A2413,2))&gt;60),$A2413&amp;"01 1",$A2413),IF(AND(LEN($A2413)=4,VALUE(RIGHT($A2413,2))&lt;60),GUS_tabl_2!$A$8:$B$464,GUS_tabl_21!$A$5:$B$4886),2,FALSE)),SUM(FIND("..",TRIM(VLOOKUP(IF(AND(LEN($A2413)=4,VALUE(RIGHT($A2413,2))&gt;60),$A2413&amp;"01 1",$A2413),IF(AND(LEN($A2413)=4,VALUE(RIGHT($A2413,2))&lt;60),GUS_tabl_2!$A$8:$B$464,GUS_tabl_21!$A$5:$B$4886),2,FALSE))),-1)))))</f>
        <v>gm. w. Górowo Iławeckie</v>
      </c>
      <c r="D2413" s="141">
        <f>IF(OR($A2413="",ISERROR(VALUE(LEFT($A2413,6)))),"",IF(LEN($A2413)=2,SUMIF($A2414:$A$2965,$A2413&amp;"??",$D2414:$D$2965),IF(AND(LEN($A2413)=4,VALUE(RIGHT($A2413,2))&lt;=60),SUMIF($A2414:$A$2965,$A2413&amp;"????",$D2414:$D$2965),VLOOKUP(IF(LEN($A2413)=4,$A2413&amp;"01 1",$A2413),GUS_tabl_21!$A$5:$F$4886,6,FALSE))))</f>
        <v>6811</v>
      </c>
      <c r="E2413" s="29"/>
    </row>
    <row r="2414" spans="1:5" ht="12" customHeight="1">
      <c r="A2414" s="155" t="str">
        <f>"280106 3"</f>
        <v>280106 3</v>
      </c>
      <c r="B2414" s="153" t="s">
        <v>32</v>
      </c>
      <c r="C2414" s="156" t="str">
        <f>IF(OR($A2414="",ISERROR(VALUE(LEFT($A2414,6)))),"",IF(LEN($A2414)=2,"WOJ. ",IF(LEN($A2414)=4,IF(VALUE(RIGHT($A2414,2))&gt;60,"","Powiat "),IF(VALUE(RIGHT($A2414,1))=1,"m. ",IF(VALUE(RIGHT($A2414,1))=2,"gm. w. ",IF(VALUE(RIGHT($A2414,1))=8,"dz. ","gm. m.-w. ")))))&amp;IF(LEN($A2414)=2,TRIM(UPPER(VLOOKUP($A2414,GUS_tabl_1!$A$7:$B$22,2,FALSE))),IF(ISERROR(FIND("..",TRIM(VLOOKUP(IF(AND(LEN($A2414)=4,VALUE(RIGHT($A2414,2))&gt;60),$A2414&amp;"01 1",$A2414),IF(AND(LEN($A2414)=4,VALUE(RIGHT($A2414,2))&lt;60),GUS_tabl_2!$A$8:$B$464,GUS_tabl_21!$A$5:$B$4886),2,FALSE)))),TRIM(VLOOKUP(IF(AND(LEN($A2414)=4,VALUE(RIGHT($A2414,2))&gt;60),$A2414&amp;"01 1",$A2414),IF(AND(LEN($A2414)=4,VALUE(RIGHT($A2414,2))&lt;60),GUS_tabl_2!$A$8:$B$464,GUS_tabl_21!$A$5:$B$4886),2,FALSE)),LEFT(TRIM(VLOOKUP(IF(AND(LEN($A2414)=4,VALUE(RIGHT($A2414,2))&gt;60),$A2414&amp;"01 1",$A2414),IF(AND(LEN($A2414)=4,VALUE(RIGHT($A2414,2))&lt;60),GUS_tabl_2!$A$8:$B$464,GUS_tabl_21!$A$5:$B$4886),2,FALSE)),SUM(FIND("..",TRIM(VLOOKUP(IF(AND(LEN($A2414)=4,VALUE(RIGHT($A2414,2))&gt;60),$A2414&amp;"01 1",$A2414),IF(AND(LEN($A2414)=4,VALUE(RIGHT($A2414,2))&lt;60),GUS_tabl_2!$A$8:$B$464,GUS_tabl_21!$A$5:$B$4886),2,FALSE))),-1)))))</f>
        <v>gm. m.-w. Sępopol</v>
      </c>
      <c r="D2414" s="141">
        <f>IF(OR($A2414="",ISERROR(VALUE(LEFT($A2414,6)))),"",IF(LEN($A2414)=2,SUMIF($A2415:$A$2965,$A2414&amp;"??",$D2415:$D$2965),IF(AND(LEN($A2414)=4,VALUE(RIGHT($A2414,2))&lt;=60),SUMIF($A2415:$A$2965,$A2414&amp;"????",$D2415:$D$2965),VLOOKUP(IF(LEN($A2414)=4,$A2414&amp;"01 1",$A2414),GUS_tabl_21!$A$5:$F$4886,6,FALSE))))</f>
        <v>6182</v>
      </c>
      <c r="E2414" s="29"/>
    </row>
    <row r="2415" spans="1:5" ht="12" customHeight="1">
      <c r="A2415" s="152" t="str">
        <f>"2802"</f>
        <v>2802</v>
      </c>
      <c r="B2415" s="153" t="s">
        <v>32</v>
      </c>
      <c r="C2415" s="154" t="str">
        <f>IF(OR($A2415="",ISERROR(VALUE(LEFT($A2415,6)))),"",IF(LEN($A2415)=2,"WOJ. ",IF(LEN($A2415)=4,IF(VALUE(RIGHT($A2415,2))&gt;60,"","Powiat "),IF(VALUE(RIGHT($A2415,1))=1,"m. ",IF(VALUE(RIGHT($A2415,1))=2,"gm. w. ",IF(VALUE(RIGHT($A2415,1))=8,"dz. ","gm. m.-w. ")))))&amp;IF(LEN($A2415)=2,TRIM(UPPER(VLOOKUP($A2415,GUS_tabl_1!$A$7:$B$22,2,FALSE))),IF(ISERROR(FIND("..",TRIM(VLOOKUP(IF(AND(LEN($A2415)=4,VALUE(RIGHT($A2415,2))&gt;60),$A2415&amp;"01 1",$A2415),IF(AND(LEN($A2415)=4,VALUE(RIGHT($A2415,2))&lt;60),GUS_tabl_2!$A$8:$B$464,GUS_tabl_21!$A$5:$B$4886),2,FALSE)))),TRIM(VLOOKUP(IF(AND(LEN($A2415)=4,VALUE(RIGHT($A2415,2))&gt;60),$A2415&amp;"01 1",$A2415),IF(AND(LEN($A2415)=4,VALUE(RIGHT($A2415,2))&lt;60),GUS_tabl_2!$A$8:$B$464,GUS_tabl_21!$A$5:$B$4886),2,FALSE)),LEFT(TRIM(VLOOKUP(IF(AND(LEN($A2415)=4,VALUE(RIGHT($A2415,2))&gt;60),$A2415&amp;"01 1",$A2415),IF(AND(LEN($A2415)=4,VALUE(RIGHT($A2415,2))&lt;60),GUS_tabl_2!$A$8:$B$464,GUS_tabl_21!$A$5:$B$4886),2,FALSE)),SUM(FIND("..",TRIM(VLOOKUP(IF(AND(LEN($A2415)=4,VALUE(RIGHT($A2415,2))&gt;60),$A2415&amp;"01 1",$A2415),IF(AND(LEN($A2415)=4,VALUE(RIGHT($A2415,2))&lt;60),GUS_tabl_2!$A$8:$B$464,GUS_tabl_21!$A$5:$B$4886),2,FALSE))),-1)))))</f>
        <v>Powiat braniewski</v>
      </c>
      <c r="D2415" s="140">
        <f>IF(OR($A2415="",ISERROR(VALUE(LEFT($A2415,6)))),"",IF(LEN($A2415)=2,SUMIF($A2416:$A$2965,$A2415&amp;"??",$D2416:$D$2965),IF(AND(LEN($A2415)=4,VALUE(RIGHT($A2415,2))&lt;=60),SUMIF($A2416:$A$2965,$A2415&amp;"????",$D2416:$D$2965),VLOOKUP(IF(LEN($A2415)=4,$A2415&amp;"01 1",$A2415),GUS_tabl_21!$A$5:$F$4886,6,FALSE))))</f>
        <v>41034</v>
      </c>
      <c r="E2415" s="29"/>
    </row>
    <row r="2416" spans="1:5" ht="12" customHeight="1">
      <c r="A2416" s="155" t="str">
        <f>"280201 1"</f>
        <v>280201 1</v>
      </c>
      <c r="B2416" s="153" t="s">
        <v>32</v>
      </c>
      <c r="C2416" s="156" t="str">
        <f>IF(OR($A2416="",ISERROR(VALUE(LEFT($A2416,6)))),"",IF(LEN($A2416)=2,"WOJ. ",IF(LEN($A2416)=4,IF(VALUE(RIGHT($A2416,2))&gt;60,"","Powiat "),IF(VALUE(RIGHT($A2416,1))=1,"m. ",IF(VALUE(RIGHT($A2416,1))=2,"gm. w. ",IF(VALUE(RIGHT($A2416,1))=8,"dz. ","gm. m.-w. ")))))&amp;IF(LEN($A2416)=2,TRIM(UPPER(VLOOKUP($A2416,GUS_tabl_1!$A$7:$B$22,2,FALSE))),IF(ISERROR(FIND("..",TRIM(VLOOKUP(IF(AND(LEN($A2416)=4,VALUE(RIGHT($A2416,2))&gt;60),$A2416&amp;"01 1",$A2416),IF(AND(LEN($A2416)=4,VALUE(RIGHT($A2416,2))&lt;60),GUS_tabl_2!$A$8:$B$464,GUS_tabl_21!$A$5:$B$4886),2,FALSE)))),TRIM(VLOOKUP(IF(AND(LEN($A2416)=4,VALUE(RIGHT($A2416,2))&gt;60),$A2416&amp;"01 1",$A2416),IF(AND(LEN($A2416)=4,VALUE(RIGHT($A2416,2))&lt;60),GUS_tabl_2!$A$8:$B$464,GUS_tabl_21!$A$5:$B$4886),2,FALSE)),LEFT(TRIM(VLOOKUP(IF(AND(LEN($A2416)=4,VALUE(RIGHT($A2416,2))&gt;60),$A2416&amp;"01 1",$A2416),IF(AND(LEN($A2416)=4,VALUE(RIGHT($A2416,2))&lt;60),GUS_tabl_2!$A$8:$B$464,GUS_tabl_21!$A$5:$B$4886),2,FALSE)),SUM(FIND("..",TRIM(VLOOKUP(IF(AND(LEN($A2416)=4,VALUE(RIGHT($A2416,2))&gt;60),$A2416&amp;"01 1",$A2416),IF(AND(LEN($A2416)=4,VALUE(RIGHT($A2416,2))&lt;60),GUS_tabl_2!$A$8:$B$464,GUS_tabl_21!$A$5:$B$4886),2,FALSE))),-1)))))</f>
        <v>m. Braniewo</v>
      </c>
      <c r="D2416" s="141">
        <f>IF(OR($A2416="",ISERROR(VALUE(LEFT($A2416,6)))),"",IF(LEN($A2416)=2,SUMIF($A2417:$A$2965,$A2416&amp;"??",$D2417:$D$2965),IF(AND(LEN($A2416)=4,VALUE(RIGHT($A2416,2))&lt;=60),SUMIF($A2417:$A$2965,$A2416&amp;"????",$D2417:$D$2965),VLOOKUP(IF(LEN($A2416)=4,$A2416&amp;"01 1",$A2416),GUS_tabl_21!$A$5:$F$4886,6,FALSE))))</f>
        <v>16992</v>
      </c>
      <c r="E2416" s="29"/>
    </row>
    <row r="2417" spans="1:5" ht="12" customHeight="1">
      <c r="A2417" s="155" t="str">
        <f>"280202 2"</f>
        <v>280202 2</v>
      </c>
      <c r="B2417" s="153" t="s">
        <v>32</v>
      </c>
      <c r="C2417" s="156" t="str">
        <f>IF(OR($A2417="",ISERROR(VALUE(LEFT($A2417,6)))),"",IF(LEN($A2417)=2,"WOJ. ",IF(LEN($A2417)=4,IF(VALUE(RIGHT($A2417,2))&gt;60,"","Powiat "),IF(VALUE(RIGHT($A2417,1))=1,"m. ",IF(VALUE(RIGHT($A2417,1))=2,"gm. w. ",IF(VALUE(RIGHT($A2417,1))=8,"dz. ","gm. m.-w. ")))))&amp;IF(LEN($A2417)=2,TRIM(UPPER(VLOOKUP($A2417,GUS_tabl_1!$A$7:$B$22,2,FALSE))),IF(ISERROR(FIND("..",TRIM(VLOOKUP(IF(AND(LEN($A2417)=4,VALUE(RIGHT($A2417,2))&gt;60),$A2417&amp;"01 1",$A2417),IF(AND(LEN($A2417)=4,VALUE(RIGHT($A2417,2))&lt;60),GUS_tabl_2!$A$8:$B$464,GUS_tabl_21!$A$5:$B$4886),2,FALSE)))),TRIM(VLOOKUP(IF(AND(LEN($A2417)=4,VALUE(RIGHT($A2417,2))&gt;60),$A2417&amp;"01 1",$A2417),IF(AND(LEN($A2417)=4,VALUE(RIGHT($A2417,2))&lt;60),GUS_tabl_2!$A$8:$B$464,GUS_tabl_21!$A$5:$B$4886),2,FALSE)),LEFT(TRIM(VLOOKUP(IF(AND(LEN($A2417)=4,VALUE(RIGHT($A2417,2))&gt;60),$A2417&amp;"01 1",$A2417),IF(AND(LEN($A2417)=4,VALUE(RIGHT($A2417,2))&lt;60),GUS_tabl_2!$A$8:$B$464,GUS_tabl_21!$A$5:$B$4886),2,FALSE)),SUM(FIND("..",TRIM(VLOOKUP(IF(AND(LEN($A2417)=4,VALUE(RIGHT($A2417,2))&gt;60),$A2417&amp;"01 1",$A2417),IF(AND(LEN($A2417)=4,VALUE(RIGHT($A2417,2))&lt;60),GUS_tabl_2!$A$8:$B$464,GUS_tabl_21!$A$5:$B$4886),2,FALSE))),-1)))))</f>
        <v>gm. w. Braniewo (c)</v>
      </c>
      <c r="D2417" s="141">
        <f>IF(OR($A2417="",ISERROR(VALUE(LEFT($A2417,6)))),"",IF(LEN($A2417)=2,SUMIF($A2418:$A$2965,$A2417&amp;"??",$D2418:$D$2965),IF(AND(LEN($A2417)=4,VALUE(RIGHT($A2417,2))&lt;=60),SUMIF($A2418:$A$2965,$A2417&amp;"????",$D2418:$D$2965),VLOOKUP(IF(LEN($A2417)=4,$A2417&amp;"01 1",$A2417),GUS_tabl_21!$A$5:$F$4886,6,FALSE))))</f>
        <v>6031</v>
      </c>
      <c r="E2417" s="29"/>
    </row>
    <row r="2418" spans="1:5" ht="12" customHeight="1">
      <c r="A2418" s="155" t="str">
        <f>"280203 3"</f>
        <v>280203 3</v>
      </c>
      <c r="B2418" s="153" t="s">
        <v>32</v>
      </c>
      <c r="C2418" s="156" t="str">
        <f>IF(OR($A2418="",ISERROR(VALUE(LEFT($A2418,6)))),"",IF(LEN($A2418)=2,"WOJ. ",IF(LEN($A2418)=4,IF(VALUE(RIGHT($A2418,2))&gt;60,"","Powiat "),IF(VALUE(RIGHT($A2418,1))=1,"m. ",IF(VALUE(RIGHT($A2418,1))=2,"gm. w. ",IF(VALUE(RIGHT($A2418,1))=8,"dz. ","gm. m.-w. ")))))&amp;IF(LEN($A2418)=2,TRIM(UPPER(VLOOKUP($A2418,GUS_tabl_1!$A$7:$B$22,2,FALSE))),IF(ISERROR(FIND("..",TRIM(VLOOKUP(IF(AND(LEN($A2418)=4,VALUE(RIGHT($A2418,2))&gt;60),$A2418&amp;"01 1",$A2418),IF(AND(LEN($A2418)=4,VALUE(RIGHT($A2418,2))&lt;60),GUS_tabl_2!$A$8:$B$464,GUS_tabl_21!$A$5:$B$4886),2,FALSE)))),TRIM(VLOOKUP(IF(AND(LEN($A2418)=4,VALUE(RIGHT($A2418,2))&gt;60),$A2418&amp;"01 1",$A2418),IF(AND(LEN($A2418)=4,VALUE(RIGHT($A2418,2))&lt;60),GUS_tabl_2!$A$8:$B$464,GUS_tabl_21!$A$5:$B$4886),2,FALSE)),LEFT(TRIM(VLOOKUP(IF(AND(LEN($A2418)=4,VALUE(RIGHT($A2418,2))&gt;60),$A2418&amp;"01 1",$A2418),IF(AND(LEN($A2418)=4,VALUE(RIGHT($A2418,2))&lt;60),GUS_tabl_2!$A$8:$B$464,GUS_tabl_21!$A$5:$B$4886),2,FALSE)),SUM(FIND("..",TRIM(VLOOKUP(IF(AND(LEN($A2418)=4,VALUE(RIGHT($A2418,2))&gt;60),$A2418&amp;"01 1",$A2418),IF(AND(LEN($A2418)=4,VALUE(RIGHT($A2418,2))&lt;60),GUS_tabl_2!$A$8:$B$464,GUS_tabl_21!$A$5:$B$4886),2,FALSE))),-1)))))</f>
        <v>gm. m.-w. Frombork</v>
      </c>
      <c r="D2418" s="141">
        <f>IF(OR($A2418="",ISERROR(VALUE(LEFT($A2418,6)))),"",IF(LEN($A2418)=2,SUMIF($A2419:$A$2965,$A2418&amp;"??",$D2419:$D$2965),IF(AND(LEN($A2418)=4,VALUE(RIGHT($A2418,2))&lt;=60),SUMIF($A2419:$A$2965,$A2418&amp;"????",$D2419:$D$2965),VLOOKUP(IF(LEN($A2418)=4,$A2418&amp;"01 1",$A2418),GUS_tabl_21!$A$5:$F$4886,6,FALSE))))</f>
        <v>3555</v>
      </c>
      <c r="E2418" s="29"/>
    </row>
    <row r="2419" spans="1:5" ht="12" customHeight="1">
      <c r="A2419" s="155" t="str">
        <f>"280204 2"</f>
        <v>280204 2</v>
      </c>
      <c r="B2419" s="153" t="s">
        <v>32</v>
      </c>
      <c r="C2419" s="156" t="str">
        <f>IF(OR($A2419="",ISERROR(VALUE(LEFT($A2419,6)))),"",IF(LEN($A2419)=2,"WOJ. ",IF(LEN($A2419)=4,IF(VALUE(RIGHT($A2419,2))&gt;60,"","Powiat "),IF(VALUE(RIGHT($A2419,1))=1,"m. ",IF(VALUE(RIGHT($A2419,1))=2,"gm. w. ",IF(VALUE(RIGHT($A2419,1))=8,"dz. ","gm. m.-w. ")))))&amp;IF(LEN($A2419)=2,TRIM(UPPER(VLOOKUP($A2419,GUS_tabl_1!$A$7:$B$22,2,FALSE))),IF(ISERROR(FIND("..",TRIM(VLOOKUP(IF(AND(LEN($A2419)=4,VALUE(RIGHT($A2419,2))&gt;60),$A2419&amp;"01 1",$A2419),IF(AND(LEN($A2419)=4,VALUE(RIGHT($A2419,2))&lt;60),GUS_tabl_2!$A$8:$B$464,GUS_tabl_21!$A$5:$B$4886),2,FALSE)))),TRIM(VLOOKUP(IF(AND(LEN($A2419)=4,VALUE(RIGHT($A2419,2))&gt;60),$A2419&amp;"01 1",$A2419),IF(AND(LEN($A2419)=4,VALUE(RIGHT($A2419,2))&lt;60),GUS_tabl_2!$A$8:$B$464,GUS_tabl_21!$A$5:$B$4886),2,FALSE)),LEFT(TRIM(VLOOKUP(IF(AND(LEN($A2419)=4,VALUE(RIGHT($A2419,2))&gt;60),$A2419&amp;"01 1",$A2419),IF(AND(LEN($A2419)=4,VALUE(RIGHT($A2419,2))&lt;60),GUS_tabl_2!$A$8:$B$464,GUS_tabl_21!$A$5:$B$4886),2,FALSE)),SUM(FIND("..",TRIM(VLOOKUP(IF(AND(LEN($A2419)=4,VALUE(RIGHT($A2419,2))&gt;60),$A2419&amp;"01 1",$A2419),IF(AND(LEN($A2419)=4,VALUE(RIGHT($A2419,2))&lt;60),GUS_tabl_2!$A$8:$B$464,GUS_tabl_21!$A$5:$B$4886),2,FALSE))),-1)))))</f>
        <v>gm. w. Lelkowo</v>
      </c>
      <c r="D2419" s="141">
        <f>IF(OR($A2419="",ISERROR(VALUE(LEFT($A2419,6)))),"",IF(LEN($A2419)=2,SUMIF($A2420:$A$2965,$A2419&amp;"??",$D2420:$D$2965),IF(AND(LEN($A2419)=4,VALUE(RIGHT($A2419,2))&lt;=60),SUMIF($A2420:$A$2965,$A2419&amp;"????",$D2420:$D$2965),VLOOKUP(IF(LEN($A2419)=4,$A2419&amp;"01 1",$A2419),GUS_tabl_21!$A$5:$F$4886,6,FALSE))))</f>
        <v>2817</v>
      </c>
      <c r="E2419" s="29"/>
    </row>
    <row r="2420" spans="1:5" ht="12" customHeight="1">
      <c r="A2420" s="155" t="str">
        <f>"280205 3"</f>
        <v>280205 3</v>
      </c>
      <c r="B2420" s="153" t="s">
        <v>32</v>
      </c>
      <c r="C2420" s="156" t="str">
        <f>IF(OR($A2420="",ISERROR(VALUE(LEFT($A2420,6)))),"",IF(LEN($A2420)=2,"WOJ. ",IF(LEN($A2420)=4,IF(VALUE(RIGHT($A2420,2))&gt;60,"","Powiat "),IF(VALUE(RIGHT($A2420,1))=1,"m. ",IF(VALUE(RIGHT($A2420,1))=2,"gm. w. ",IF(VALUE(RIGHT($A2420,1))=8,"dz. ","gm. m.-w. ")))))&amp;IF(LEN($A2420)=2,TRIM(UPPER(VLOOKUP($A2420,GUS_tabl_1!$A$7:$B$22,2,FALSE))),IF(ISERROR(FIND("..",TRIM(VLOOKUP(IF(AND(LEN($A2420)=4,VALUE(RIGHT($A2420,2))&gt;60),$A2420&amp;"01 1",$A2420),IF(AND(LEN($A2420)=4,VALUE(RIGHT($A2420,2))&lt;60),GUS_tabl_2!$A$8:$B$464,GUS_tabl_21!$A$5:$B$4886),2,FALSE)))),TRIM(VLOOKUP(IF(AND(LEN($A2420)=4,VALUE(RIGHT($A2420,2))&gt;60),$A2420&amp;"01 1",$A2420),IF(AND(LEN($A2420)=4,VALUE(RIGHT($A2420,2))&lt;60),GUS_tabl_2!$A$8:$B$464,GUS_tabl_21!$A$5:$B$4886),2,FALSE)),LEFT(TRIM(VLOOKUP(IF(AND(LEN($A2420)=4,VALUE(RIGHT($A2420,2))&gt;60),$A2420&amp;"01 1",$A2420),IF(AND(LEN($A2420)=4,VALUE(RIGHT($A2420,2))&lt;60),GUS_tabl_2!$A$8:$B$464,GUS_tabl_21!$A$5:$B$4886),2,FALSE)),SUM(FIND("..",TRIM(VLOOKUP(IF(AND(LEN($A2420)=4,VALUE(RIGHT($A2420,2))&gt;60),$A2420&amp;"01 1",$A2420),IF(AND(LEN($A2420)=4,VALUE(RIGHT($A2420,2))&lt;60),GUS_tabl_2!$A$8:$B$464,GUS_tabl_21!$A$5:$B$4886),2,FALSE))),-1)))))</f>
        <v>gm. m.-w. Pieniężno</v>
      </c>
      <c r="D2420" s="141">
        <f>IF(OR($A2420="",ISERROR(VALUE(LEFT($A2420,6)))),"",IF(LEN($A2420)=2,SUMIF($A2421:$A$2965,$A2420&amp;"??",$D2421:$D$2965),IF(AND(LEN($A2420)=4,VALUE(RIGHT($A2420,2))&lt;=60),SUMIF($A2421:$A$2965,$A2420&amp;"????",$D2421:$D$2965),VLOOKUP(IF(LEN($A2420)=4,$A2420&amp;"01 1",$A2420),GUS_tabl_21!$A$5:$F$4886,6,FALSE))))</f>
        <v>6183</v>
      </c>
      <c r="E2420" s="29"/>
    </row>
    <row r="2421" spans="1:5" ht="12" customHeight="1">
      <c r="A2421" s="155" t="str">
        <f>"280206 2"</f>
        <v>280206 2</v>
      </c>
      <c r="B2421" s="153" t="s">
        <v>32</v>
      </c>
      <c r="C2421" s="156" t="str">
        <f>IF(OR($A2421="",ISERROR(VALUE(LEFT($A2421,6)))),"",IF(LEN($A2421)=2,"WOJ. ",IF(LEN($A2421)=4,IF(VALUE(RIGHT($A2421,2))&gt;60,"","Powiat "),IF(VALUE(RIGHT($A2421,1))=1,"m. ",IF(VALUE(RIGHT($A2421,1))=2,"gm. w. ",IF(VALUE(RIGHT($A2421,1))=8,"dz. ","gm. m.-w. ")))))&amp;IF(LEN($A2421)=2,TRIM(UPPER(VLOOKUP($A2421,GUS_tabl_1!$A$7:$B$22,2,FALSE))),IF(ISERROR(FIND("..",TRIM(VLOOKUP(IF(AND(LEN($A2421)=4,VALUE(RIGHT($A2421,2))&gt;60),$A2421&amp;"01 1",$A2421),IF(AND(LEN($A2421)=4,VALUE(RIGHT($A2421,2))&lt;60),GUS_tabl_2!$A$8:$B$464,GUS_tabl_21!$A$5:$B$4886),2,FALSE)))),TRIM(VLOOKUP(IF(AND(LEN($A2421)=4,VALUE(RIGHT($A2421,2))&gt;60),$A2421&amp;"01 1",$A2421),IF(AND(LEN($A2421)=4,VALUE(RIGHT($A2421,2))&lt;60),GUS_tabl_2!$A$8:$B$464,GUS_tabl_21!$A$5:$B$4886),2,FALSE)),LEFT(TRIM(VLOOKUP(IF(AND(LEN($A2421)=4,VALUE(RIGHT($A2421,2))&gt;60),$A2421&amp;"01 1",$A2421),IF(AND(LEN($A2421)=4,VALUE(RIGHT($A2421,2))&lt;60),GUS_tabl_2!$A$8:$B$464,GUS_tabl_21!$A$5:$B$4886),2,FALSE)),SUM(FIND("..",TRIM(VLOOKUP(IF(AND(LEN($A2421)=4,VALUE(RIGHT($A2421,2))&gt;60),$A2421&amp;"01 1",$A2421),IF(AND(LEN($A2421)=4,VALUE(RIGHT($A2421,2))&lt;60),GUS_tabl_2!$A$8:$B$464,GUS_tabl_21!$A$5:$B$4886),2,FALSE))),-1)))))</f>
        <v>gm. w. Płoskinia</v>
      </c>
      <c r="D2421" s="141">
        <f>IF(OR($A2421="",ISERROR(VALUE(LEFT($A2421,6)))),"",IF(LEN($A2421)=2,SUMIF($A2422:$A$2965,$A2421&amp;"??",$D2422:$D$2965),IF(AND(LEN($A2421)=4,VALUE(RIGHT($A2421,2))&lt;=60),SUMIF($A2422:$A$2965,$A2421&amp;"????",$D2422:$D$2965),VLOOKUP(IF(LEN($A2421)=4,$A2421&amp;"01 1",$A2421),GUS_tabl_21!$A$5:$F$4886,6,FALSE))))</f>
        <v>2486</v>
      </c>
      <c r="E2421" s="29"/>
    </row>
    <row r="2422" spans="1:5" ht="12" customHeight="1">
      <c r="A2422" s="155" t="str">
        <f>"280207 2"</f>
        <v>280207 2</v>
      </c>
      <c r="B2422" s="153" t="s">
        <v>32</v>
      </c>
      <c r="C2422" s="156" t="str">
        <f>IF(OR($A2422="",ISERROR(VALUE(LEFT($A2422,6)))),"",IF(LEN($A2422)=2,"WOJ. ",IF(LEN($A2422)=4,IF(VALUE(RIGHT($A2422,2))&gt;60,"","Powiat "),IF(VALUE(RIGHT($A2422,1))=1,"m. ",IF(VALUE(RIGHT($A2422,1))=2,"gm. w. ",IF(VALUE(RIGHT($A2422,1))=8,"dz. ","gm. m.-w. ")))))&amp;IF(LEN($A2422)=2,TRIM(UPPER(VLOOKUP($A2422,GUS_tabl_1!$A$7:$B$22,2,FALSE))),IF(ISERROR(FIND("..",TRIM(VLOOKUP(IF(AND(LEN($A2422)=4,VALUE(RIGHT($A2422,2))&gt;60),$A2422&amp;"01 1",$A2422),IF(AND(LEN($A2422)=4,VALUE(RIGHT($A2422,2))&lt;60),GUS_tabl_2!$A$8:$B$464,GUS_tabl_21!$A$5:$B$4886),2,FALSE)))),TRIM(VLOOKUP(IF(AND(LEN($A2422)=4,VALUE(RIGHT($A2422,2))&gt;60),$A2422&amp;"01 1",$A2422),IF(AND(LEN($A2422)=4,VALUE(RIGHT($A2422,2))&lt;60),GUS_tabl_2!$A$8:$B$464,GUS_tabl_21!$A$5:$B$4886),2,FALSE)),LEFT(TRIM(VLOOKUP(IF(AND(LEN($A2422)=4,VALUE(RIGHT($A2422,2))&gt;60),$A2422&amp;"01 1",$A2422),IF(AND(LEN($A2422)=4,VALUE(RIGHT($A2422,2))&lt;60),GUS_tabl_2!$A$8:$B$464,GUS_tabl_21!$A$5:$B$4886),2,FALSE)),SUM(FIND("..",TRIM(VLOOKUP(IF(AND(LEN($A2422)=4,VALUE(RIGHT($A2422,2))&gt;60),$A2422&amp;"01 1",$A2422),IF(AND(LEN($A2422)=4,VALUE(RIGHT($A2422,2))&lt;60),GUS_tabl_2!$A$8:$B$464,GUS_tabl_21!$A$5:$B$4886),2,FALSE))),-1)))))</f>
        <v>gm. w. Wilczęta</v>
      </c>
      <c r="D2422" s="141">
        <f>IF(OR($A2422="",ISERROR(VALUE(LEFT($A2422,6)))),"",IF(LEN($A2422)=2,SUMIF($A2423:$A$2965,$A2422&amp;"??",$D2423:$D$2965),IF(AND(LEN($A2422)=4,VALUE(RIGHT($A2422,2))&lt;=60),SUMIF($A2423:$A$2965,$A2422&amp;"????",$D2423:$D$2965),VLOOKUP(IF(LEN($A2422)=4,$A2422&amp;"01 1",$A2422),GUS_tabl_21!$A$5:$F$4886,6,FALSE))))</f>
        <v>2970</v>
      </c>
      <c r="E2422" s="29"/>
    </row>
    <row r="2423" spans="1:5" ht="12" customHeight="1">
      <c r="A2423" s="152" t="str">
        <f>"2803"</f>
        <v>2803</v>
      </c>
      <c r="B2423" s="153" t="s">
        <v>32</v>
      </c>
      <c r="C2423" s="154" t="str">
        <f>IF(OR($A2423="",ISERROR(VALUE(LEFT($A2423,6)))),"",IF(LEN($A2423)=2,"WOJ. ",IF(LEN($A2423)=4,IF(VALUE(RIGHT($A2423,2))&gt;60,"","Powiat "),IF(VALUE(RIGHT($A2423,1))=1,"m. ",IF(VALUE(RIGHT($A2423,1))=2,"gm. w. ",IF(VALUE(RIGHT($A2423,1))=8,"dz. ","gm. m.-w. ")))))&amp;IF(LEN($A2423)=2,TRIM(UPPER(VLOOKUP($A2423,GUS_tabl_1!$A$7:$B$22,2,FALSE))),IF(ISERROR(FIND("..",TRIM(VLOOKUP(IF(AND(LEN($A2423)=4,VALUE(RIGHT($A2423,2))&gt;60),$A2423&amp;"01 1",$A2423),IF(AND(LEN($A2423)=4,VALUE(RIGHT($A2423,2))&lt;60),GUS_tabl_2!$A$8:$B$464,GUS_tabl_21!$A$5:$B$4886),2,FALSE)))),TRIM(VLOOKUP(IF(AND(LEN($A2423)=4,VALUE(RIGHT($A2423,2))&gt;60),$A2423&amp;"01 1",$A2423),IF(AND(LEN($A2423)=4,VALUE(RIGHT($A2423,2))&lt;60),GUS_tabl_2!$A$8:$B$464,GUS_tabl_21!$A$5:$B$4886),2,FALSE)),LEFT(TRIM(VLOOKUP(IF(AND(LEN($A2423)=4,VALUE(RIGHT($A2423,2))&gt;60),$A2423&amp;"01 1",$A2423),IF(AND(LEN($A2423)=4,VALUE(RIGHT($A2423,2))&lt;60),GUS_tabl_2!$A$8:$B$464,GUS_tabl_21!$A$5:$B$4886),2,FALSE)),SUM(FIND("..",TRIM(VLOOKUP(IF(AND(LEN($A2423)=4,VALUE(RIGHT($A2423,2))&gt;60),$A2423&amp;"01 1",$A2423),IF(AND(LEN($A2423)=4,VALUE(RIGHT($A2423,2))&lt;60),GUS_tabl_2!$A$8:$B$464,GUS_tabl_21!$A$5:$B$4886),2,FALSE))),-1)))))</f>
        <v>Powiat działdowski</v>
      </c>
      <c r="D2423" s="140">
        <f>IF(OR($A2423="",ISERROR(VALUE(LEFT($A2423,6)))),"",IF(LEN($A2423)=2,SUMIF($A2424:$A$2965,$A2423&amp;"??",$D2424:$D$2965),IF(AND(LEN($A2423)=4,VALUE(RIGHT($A2423,2))&lt;=60),SUMIF($A2424:$A$2965,$A2423&amp;"????",$D2424:$D$2965),VLOOKUP(IF(LEN($A2423)=4,$A2423&amp;"01 1",$A2423),GUS_tabl_21!$A$5:$F$4886,6,FALSE))))</f>
        <v>65139</v>
      </c>
      <c r="E2423" s="29"/>
    </row>
    <row r="2424" spans="1:5" ht="12" customHeight="1">
      <c r="A2424" s="155" t="str">
        <f>"280301 1"</f>
        <v>280301 1</v>
      </c>
      <c r="B2424" s="153" t="s">
        <v>32</v>
      </c>
      <c r="C2424" s="156" t="str">
        <f>IF(OR($A2424="",ISERROR(VALUE(LEFT($A2424,6)))),"",IF(LEN($A2424)=2,"WOJ. ",IF(LEN($A2424)=4,IF(VALUE(RIGHT($A2424,2))&gt;60,"","Powiat "),IF(VALUE(RIGHT($A2424,1))=1,"m. ",IF(VALUE(RIGHT($A2424,1))=2,"gm. w. ",IF(VALUE(RIGHT($A2424,1))=8,"dz. ","gm. m.-w. ")))))&amp;IF(LEN($A2424)=2,TRIM(UPPER(VLOOKUP($A2424,GUS_tabl_1!$A$7:$B$22,2,FALSE))),IF(ISERROR(FIND("..",TRIM(VLOOKUP(IF(AND(LEN($A2424)=4,VALUE(RIGHT($A2424,2))&gt;60),$A2424&amp;"01 1",$A2424),IF(AND(LEN($A2424)=4,VALUE(RIGHT($A2424,2))&lt;60),GUS_tabl_2!$A$8:$B$464,GUS_tabl_21!$A$5:$B$4886),2,FALSE)))),TRIM(VLOOKUP(IF(AND(LEN($A2424)=4,VALUE(RIGHT($A2424,2))&gt;60),$A2424&amp;"01 1",$A2424),IF(AND(LEN($A2424)=4,VALUE(RIGHT($A2424,2))&lt;60),GUS_tabl_2!$A$8:$B$464,GUS_tabl_21!$A$5:$B$4886),2,FALSE)),LEFT(TRIM(VLOOKUP(IF(AND(LEN($A2424)=4,VALUE(RIGHT($A2424,2))&gt;60),$A2424&amp;"01 1",$A2424),IF(AND(LEN($A2424)=4,VALUE(RIGHT($A2424,2))&lt;60),GUS_tabl_2!$A$8:$B$464,GUS_tabl_21!$A$5:$B$4886),2,FALSE)),SUM(FIND("..",TRIM(VLOOKUP(IF(AND(LEN($A2424)=4,VALUE(RIGHT($A2424,2))&gt;60),$A2424&amp;"01 1",$A2424),IF(AND(LEN($A2424)=4,VALUE(RIGHT($A2424,2))&lt;60),GUS_tabl_2!$A$8:$B$464,GUS_tabl_21!$A$5:$B$4886),2,FALSE))),-1)))))</f>
        <v>m. Działdowo</v>
      </c>
      <c r="D2424" s="141">
        <f>IF(OR($A2424="",ISERROR(VALUE(LEFT($A2424,6)))),"",IF(LEN($A2424)=2,SUMIF($A2425:$A$2965,$A2424&amp;"??",$D2425:$D$2965),IF(AND(LEN($A2424)=4,VALUE(RIGHT($A2424,2))&lt;=60),SUMIF($A2425:$A$2965,$A2424&amp;"????",$D2425:$D$2965),VLOOKUP(IF(LEN($A2424)=4,$A2424&amp;"01 1",$A2424),GUS_tabl_21!$A$5:$F$4886,6,FALSE))))</f>
        <v>21274</v>
      </c>
      <c r="E2424" s="29"/>
    </row>
    <row r="2425" spans="1:5" ht="12" customHeight="1">
      <c r="A2425" s="155" t="str">
        <f>"280302 2"</f>
        <v>280302 2</v>
      </c>
      <c r="B2425" s="153" t="s">
        <v>32</v>
      </c>
      <c r="C2425" s="156" t="str">
        <f>IF(OR($A2425="",ISERROR(VALUE(LEFT($A2425,6)))),"",IF(LEN($A2425)=2,"WOJ. ",IF(LEN($A2425)=4,IF(VALUE(RIGHT($A2425,2))&gt;60,"","Powiat "),IF(VALUE(RIGHT($A2425,1))=1,"m. ",IF(VALUE(RIGHT($A2425,1))=2,"gm. w. ",IF(VALUE(RIGHT($A2425,1))=8,"dz. ","gm. m.-w. ")))))&amp;IF(LEN($A2425)=2,TRIM(UPPER(VLOOKUP($A2425,GUS_tabl_1!$A$7:$B$22,2,FALSE))),IF(ISERROR(FIND("..",TRIM(VLOOKUP(IF(AND(LEN($A2425)=4,VALUE(RIGHT($A2425,2))&gt;60),$A2425&amp;"01 1",$A2425),IF(AND(LEN($A2425)=4,VALUE(RIGHT($A2425,2))&lt;60),GUS_tabl_2!$A$8:$B$464,GUS_tabl_21!$A$5:$B$4886),2,FALSE)))),TRIM(VLOOKUP(IF(AND(LEN($A2425)=4,VALUE(RIGHT($A2425,2))&gt;60),$A2425&amp;"01 1",$A2425),IF(AND(LEN($A2425)=4,VALUE(RIGHT($A2425,2))&lt;60),GUS_tabl_2!$A$8:$B$464,GUS_tabl_21!$A$5:$B$4886),2,FALSE)),LEFT(TRIM(VLOOKUP(IF(AND(LEN($A2425)=4,VALUE(RIGHT($A2425,2))&gt;60),$A2425&amp;"01 1",$A2425),IF(AND(LEN($A2425)=4,VALUE(RIGHT($A2425,2))&lt;60),GUS_tabl_2!$A$8:$B$464,GUS_tabl_21!$A$5:$B$4886),2,FALSE)),SUM(FIND("..",TRIM(VLOOKUP(IF(AND(LEN($A2425)=4,VALUE(RIGHT($A2425,2))&gt;60),$A2425&amp;"01 1",$A2425),IF(AND(LEN($A2425)=4,VALUE(RIGHT($A2425,2))&lt;60),GUS_tabl_2!$A$8:$B$464,GUS_tabl_21!$A$5:$B$4886),2,FALSE))),-1)))))</f>
        <v>gm. w. Działdowo</v>
      </c>
      <c r="D2425" s="141">
        <f>IF(OR($A2425="",ISERROR(VALUE(LEFT($A2425,6)))),"",IF(LEN($A2425)=2,SUMIF($A2426:$A$2965,$A2425&amp;"??",$D2426:$D$2965),IF(AND(LEN($A2425)=4,VALUE(RIGHT($A2425,2))&lt;=60),SUMIF($A2426:$A$2965,$A2425&amp;"????",$D2426:$D$2965),VLOOKUP(IF(LEN($A2425)=4,$A2425&amp;"01 1",$A2425),GUS_tabl_21!$A$5:$F$4886,6,FALSE))))</f>
        <v>9821</v>
      </c>
      <c r="E2425" s="29"/>
    </row>
    <row r="2426" spans="1:5" ht="12" customHeight="1">
      <c r="A2426" s="155" t="str">
        <f>"280303 2"</f>
        <v>280303 2</v>
      </c>
      <c r="B2426" s="153" t="s">
        <v>32</v>
      </c>
      <c r="C2426" s="156" t="str">
        <f>IF(OR($A2426="",ISERROR(VALUE(LEFT($A2426,6)))),"",IF(LEN($A2426)=2,"WOJ. ",IF(LEN($A2426)=4,IF(VALUE(RIGHT($A2426,2))&gt;60,"","Powiat "),IF(VALUE(RIGHT($A2426,1))=1,"m. ",IF(VALUE(RIGHT($A2426,1))=2,"gm. w. ",IF(VALUE(RIGHT($A2426,1))=8,"dz. ","gm. m.-w. ")))))&amp;IF(LEN($A2426)=2,TRIM(UPPER(VLOOKUP($A2426,GUS_tabl_1!$A$7:$B$22,2,FALSE))),IF(ISERROR(FIND("..",TRIM(VLOOKUP(IF(AND(LEN($A2426)=4,VALUE(RIGHT($A2426,2))&gt;60),$A2426&amp;"01 1",$A2426),IF(AND(LEN($A2426)=4,VALUE(RIGHT($A2426,2))&lt;60),GUS_tabl_2!$A$8:$B$464,GUS_tabl_21!$A$5:$B$4886),2,FALSE)))),TRIM(VLOOKUP(IF(AND(LEN($A2426)=4,VALUE(RIGHT($A2426,2))&gt;60),$A2426&amp;"01 1",$A2426),IF(AND(LEN($A2426)=4,VALUE(RIGHT($A2426,2))&lt;60),GUS_tabl_2!$A$8:$B$464,GUS_tabl_21!$A$5:$B$4886),2,FALSE)),LEFT(TRIM(VLOOKUP(IF(AND(LEN($A2426)=4,VALUE(RIGHT($A2426,2))&gt;60),$A2426&amp;"01 1",$A2426),IF(AND(LEN($A2426)=4,VALUE(RIGHT($A2426,2))&lt;60),GUS_tabl_2!$A$8:$B$464,GUS_tabl_21!$A$5:$B$4886),2,FALSE)),SUM(FIND("..",TRIM(VLOOKUP(IF(AND(LEN($A2426)=4,VALUE(RIGHT($A2426,2))&gt;60),$A2426&amp;"01 1",$A2426),IF(AND(LEN($A2426)=4,VALUE(RIGHT($A2426,2))&lt;60),GUS_tabl_2!$A$8:$B$464,GUS_tabl_21!$A$5:$B$4886),2,FALSE))),-1)))))</f>
        <v>gm. w. Iłowo-Osada</v>
      </c>
      <c r="D2426" s="141">
        <f>IF(OR($A2426="",ISERROR(VALUE(LEFT($A2426,6)))),"",IF(LEN($A2426)=2,SUMIF($A2427:$A$2965,$A2426&amp;"??",$D2427:$D$2965),IF(AND(LEN($A2426)=4,VALUE(RIGHT($A2426,2))&lt;=60),SUMIF($A2427:$A$2965,$A2426&amp;"????",$D2427:$D$2965),VLOOKUP(IF(LEN($A2426)=4,$A2426&amp;"01 1",$A2426),GUS_tabl_21!$A$5:$F$4886,6,FALSE))))</f>
        <v>7192</v>
      </c>
      <c r="E2426" s="29"/>
    </row>
    <row r="2427" spans="1:5" ht="12" customHeight="1">
      <c r="A2427" s="155" t="str">
        <f>"280304 3"</f>
        <v>280304 3</v>
      </c>
      <c r="B2427" s="153" t="s">
        <v>32</v>
      </c>
      <c r="C2427" s="156" t="str">
        <f>IF(OR($A2427="",ISERROR(VALUE(LEFT($A2427,6)))),"",IF(LEN($A2427)=2,"WOJ. ",IF(LEN($A2427)=4,IF(VALUE(RIGHT($A2427,2))&gt;60,"","Powiat "),IF(VALUE(RIGHT($A2427,1))=1,"m. ",IF(VALUE(RIGHT($A2427,1))=2,"gm. w. ",IF(VALUE(RIGHT($A2427,1))=8,"dz. ","gm. m.-w. ")))))&amp;IF(LEN($A2427)=2,TRIM(UPPER(VLOOKUP($A2427,GUS_tabl_1!$A$7:$B$22,2,FALSE))),IF(ISERROR(FIND("..",TRIM(VLOOKUP(IF(AND(LEN($A2427)=4,VALUE(RIGHT($A2427,2))&gt;60),$A2427&amp;"01 1",$A2427),IF(AND(LEN($A2427)=4,VALUE(RIGHT($A2427,2))&lt;60),GUS_tabl_2!$A$8:$B$464,GUS_tabl_21!$A$5:$B$4886),2,FALSE)))),TRIM(VLOOKUP(IF(AND(LEN($A2427)=4,VALUE(RIGHT($A2427,2))&gt;60),$A2427&amp;"01 1",$A2427),IF(AND(LEN($A2427)=4,VALUE(RIGHT($A2427,2))&lt;60),GUS_tabl_2!$A$8:$B$464,GUS_tabl_21!$A$5:$B$4886),2,FALSE)),LEFT(TRIM(VLOOKUP(IF(AND(LEN($A2427)=4,VALUE(RIGHT($A2427,2))&gt;60),$A2427&amp;"01 1",$A2427),IF(AND(LEN($A2427)=4,VALUE(RIGHT($A2427,2))&lt;60),GUS_tabl_2!$A$8:$B$464,GUS_tabl_21!$A$5:$B$4886),2,FALSE)),SUM(FIND("..",TRIM(VLOOKUP(IF(AND(LEN($A2427)=4,VALUE(RIGHT($A2427,2))&gt;60),$A2427&amp;"01 1",$A2427),IF(AND(LEN($A2427)=4,VALUE(RIGHT($A2427,2))&lt;60),GUS_tabl_2!$A$8:$B$464,GUS_tabl_21!$A$5:$B$4886),2,FALSE))),-1)))))</f>
        <v>gm. m.-w. Lidzbark</v>
      </c>
      <c r="D2427" s="141">
        <f>IF(OR($A2427="",ISERROR(VALUE(LEFT($A2427,6)))),"",IF(LEN($A2427)=2,SUMIF($A2428:$A$2965,$A2427&amp;"??",$D2428:$D$2965),IF(AND(LEN($A2427)=4,VALUE(RIGHT($A2427,2))&lt;=60),SUMIF($A2428:$A$2965,$A2427&amp;"????",$D2428:$D$2965),VLOOKUP(IF(LEN($A2427)=4,$A2427&amp;"01 1",$A2427),GUS_tabl_21!$A$5:$F$4886,6,FALSE))))</f>
        <v>14052</v>
      </c>
      <c r="E2427" s="29"/>
    </row>
    <row r="2428" spans="1:5" ht="12" customHeight="1">
      <c r="A2428" s="155" t="str">
        <f>"280305 2"</f>
        <v>280305 2</v>
      </c>
      <c r="B2428" s="153" t="s">
        <v>32</v>
      </c>
      <c r="C2428" s="156" t="str">
        <f>IF(OR($A2428="",ISERROR(VALUE(LEFT($A2428,6)))),"",IF(LEN($A2428)=2,"WOJ. ",IF(LEN($A2428)=4,IF(VALUE(RIGHT($A2428,2))&gt;60,"","Powiat "),IF(VALUE(RIGHT($A2428,1))=1,"m. ",IF(VALUE(RIGHT($A2428,1))=2,"gm. w. ",IF(VALUE(RIGHT($A2428,1))=8,"dz. ","gm. m.-w. ")))))&amp;IF(LEN($A2428)=2,TRIM(UPPER(VLOOKUP($A2428,GUS_tabl_1!$A$7:$B$22,2,FALSE))),IF(ISERROR(FIND("..",TRIM(VLOOKUP(IF(AND(LEN($A2428)=4,VALUE(RIGHT($A2428,2))&gt;60),$A2428&amp;"01 1",$A2428),IF(AND(LEN($A2428)=4,VALUE(RIGHT($A2428,2))&lt;60),GUS_tabl_2!$A$8:$B$464,GUS_tabl_21!$A$5:$B$4886),2,FALSE)))),TRIM(VLOOKUP(IF(AND(LEN($A2428)=4,VALUE(RIGHT($A2428,2))&gt;60),$A2428&amp;"01 1",$A2428),IF(AND(LEN($A2428)=4,VALUE(RIGHT($A2428,2))&lt;60),GUS_tabl_2!$A$8:$B$464,GUS_tabl_21!$A$5:$B$4886),2,FALSE)),LEFT(TRIM(VLOOKUP(IF(AND(LEN($A2428)=4,VALUE(RIGHT($A2428,2))&gt;60),$A2428&amp;"01 1",$A2428),IF(AND(LEN($A2428)=4,VALUE(RIGHT($A2428,2))&lt;60),GUS_tabl_2!$A$8:$B$464,GUS_tabl_21!$A$5:$B$4886),2,FALSE)),SUM(FIND("..",TRIM(VLOOKUP(IF(AND(LEN($A2428)=4,VALUE(RIGHT($A2428,2))&gt;60),$A2428&amp;"01 1",$A2428),IF(AND(LEN($A2428)=4,VALUE(RIGHT($A2428,2))&lt;60),GUS_tabl_2!$A$8:$B$464,GUS_tabl_21!$A$5:$B$4886),2,FALSE))),-1)))))</f>
        <v>gm. w. Płośnica</v>
      </c>
      <c r="D2428" s="141">
        <f>IF(OR($A2428="",ISERROR(VALUE(LEFT($A2428,6)))),"",IF(LEN($A2428)=2,SUMIF($A2429:$A$2965,$A2428&amp;"??",$D2429:$D$2965),IF(AND(LEN($A2428)=4,VALUE(RIGHT($A2428,2))&lt;=60),SUMIF($A2429:$A$2965,$A2428&amp;"????",$D2429:$D$2965),VLOOKUP(IF(LEN($A2428)=4,$A2428&amp;"01 1",$A2428),GUS_tabl_21!$A$5:$F$4886,6,FALSE))))</f>
        <v>5604</v>
      </c>
      <c r="E2428" s="29"/>
    </row>
    <row r="2429" spans="1:5" ht="12" customHeight="1">
      <c r="A2429" s="155" t="str">
        <f>"280306 2"</f>
        <v>280306 2</v>
      </c>
      <c r="B2429" s="153" t="s">
        <v>32</v>
      </c>
      <c r="C2429" s="156" t="str">
        <f>IF(OR($A2429="",ISERROR(VALUE(LEFT($A2429,6)))),"",IF(LEN($A2429)=2,"WOJ. ",IF(LEN($A2429)=4,IF(VALUE(RIGHT($A2429,2))&gt;60,"","Powiat "),IF(VALUE(RIGHT($A2429,1))=1,"m. ",IF(VALUE(RIGHT($A2429,1))=2,"gm. w. ",IF(VALUE(RIGHT($A2429,1))=8,"dz. ","gm. m.-w. ")))))&amp;IF(LEN($A2429)=2,TRIM(UPPER(VLOOKUP($A2429,GUS_tabl_1!$A$7:$B$22,2,FALSE))),IF(ISERROR(FIND("..",TRIM(VLOOKUP(IF(AND(LEN($A2429)=4,VALUE(RIGHT($A2429,2))&gt;60),$A2429&amp;"01 1",$A2429),IF(AND(LEN($A2429)=4,VALUE(RIGHT($A2429,2))&lt;60),GUS_tabl_2!$A$8:$B$464,GUS_tabl_21!$A$5:$B$4886),2,FALSE)))),TRIM(VLOOKUP(IF(AND(LEN($A2429)=4,VALUE(RIGHT($A2429,2))&gt;60),$A2429&amp;"01 1",$A2429),IF(AND(LEN($A2429)=4,VALUE(RIGHT($A2429,2))&lt;60),GUS_tabl_2!$A$8:$B$464,GUS_tabl_21!$A$5:$B$4886),2,FALSE)),LEFT(TRIM(VLOOKUP(IF(AND(LEN($A2429)=4,VALUE(RIGHT($A2429,2))&gt;60),$A2429&amp;"01 1",$A2429),IF(AND(LEN($A2429)=4,VALUE(RIGHT($A2429,2))&lt;60),GUS_tabl_2!$A$8:$B$464,GUS_tabl_21!$A$5:$B$4886),2,FALSE)),SUM(FIND("..",TRIM(VLOOKUP(IF(AND(LEN($A2429)=4,VALUE(RIGHT($A2429,2))&gt;60),$A2429&amp;"01 1",$A2429),IF(AND(LEN($A2429)=4,VALUE(RIGHT($A2429,2))&lt;60),GUS_tabl_2!$A$8:$B$464,GUS_tabl_21!$A$5:$B$4886),2,FALSE))),-1)))))</f>
        <v>gm. w. Rybno</v>
      </c>
      <c r="D2429" s="141">
        <f>IF(OR($A2429="",ISERROR(VALUE(LEFT($A2429,6)))),"",IF(LEN($A2429)=2,SUMIF($A2430:$A$2965,$A2429&amp;"??",$D2430:$D$2965),IF(AND(LEN($A2429)=4,VALUE(RIGHT($A2429,2))&lt;=60),SUMIF($A2430:$A$2965,$A2429&amp;"????",$D2430:$D$2965),VLOOKUP(IF(LEN($A2429)=4,$A2429&amp;"01 1",$A2429),GUS_tabl_21!$A$5:$F$4886,6,FALSE))))</f>
        <v>7196</v>
      </c>
      <c r="E2429" s="29"/>
    </row>
    <row r="2430" spans="1:5" ht="12" customHeight="1">
      <c r="A2430" s="152" t="str">
        <f>"2804"</f>
        <v>2804</v>
      </c>
      <c r="B2430" s="153" t="s">
        <v>32</v>
      </c>
      <c r="C2430" s="154" t="str">
        <f>IF(OR($A2430="",ISERROR(VALUE(LEFT($A2430,6)))),"",IF(LEN($A2430)=2,"WOJ. ",IF(LEN($A2430)=4,IF(VALUE(RIGHT($A2430,2))&gt;60,"","Powiat "),IF(VALUE(RIGHT($A2430,1))=1,"m. ",IF(VALUE(RIGHT($A2430,1))=2,"gm. w. ",IF(VALUE(RIGHT($A2430,1))=8,"dz. ","gm. m.-w. ")))))&amp;IF(LEN($A2430)=2,TRIM(UPPER(VLOOKUP($A2430,GUS_tabl_1!$A$7:$B$22,2,FALSE))),IF(ISERROR(FIND("..",TRIM(VLOOKUP(IF(AND(LEN($A2430)=4,VALUE(RIGHT($A2430,2))&gt;60),$A2430&amp;"01 1",$A2430),IF(AND(LEN($A2430)=4,VALUE(RIGHT($A2430,2))&lt;60),GUS_tabl_2!$A$8:$B$464,GUS_tabl_21!$A$5:$B$4886),2,FALSE)))),TRIM(VLOOKUP(IF(AND(LEN($A2430)=4,VALUE(RIGHT($A2430,2))&gt;60),$A2430&amp;"01 1",$A2430),IF(AND(LEN($A2430)=4,VALUE(RIGHT($A2430,2))&lt;60),GUS_tabl_2!$A$8:$B$464,GUS_tabl_21!$A$5:$B$4886),2,FALSE)),LEFT(TRIM(VLOOKUP(IF(AND(LEN($A2430)=4,VALUE(RIGHT($A2430,2))&gt;60),$A2430&amp;"01 1",$A2430),IF(AND(LEN($A2430)=4,VALUE(RIGHT($A2430,2))&lt;60),GUS_tabl_2!$A$8:$B$464,GUS_tabl_21!$A$5:$B$4886),2,FALSE)),SUM(FIND("..",TRIM(VLOOKUP(IF(AND(LEN($A2430)=4,VALUE(RIGHT($A2430,2))&gt;60),$A2430&amp;"01 1",$A2430),IF(AND(LEN($A2430)=4,VALUE(RIGHT($A2430,2))&lt;60),GUS_tabl_2!$A$8:$B$464,GUS_tabl_21!$A$5:$B$4886),2,FALSE))),-1)))))</f>
        <v>Powiat elbląski</v>
      </c>
      <c r="D2430" s="140">
        <f>IF(OR($A2430="",ISERROR(VALUE(LEFT($A2430,6)))),"",IF(LEN($A2430)=2,SUMIF($A2431:$A$2965,$A2430&amp;"??",$D2431:$D$2965),IF(AND(LEN($A2430)=4,VALUE(RIGHT($A2430,2))&lt;=60),SUMIF($A2431:$A$2965,$A2430&amp;"????",$D2431:$D$2965),VLOOKUP(IF(LEN($A2430)=4,$A2430&amp;"01 1",$A2430),GUS_tabl_21!$A$5:$F$4886,6,FALSE))))</f>
        <v>57211</v>
      </c>
      <c r="E2430" s="29"/>
    </row>
    <row r="2431" spans="1:5" ht="12" customHeight="1">
      <c r="A2431" s="155" t="str">
        <f>"280401 2"</f>
        <v>280401 2</v>
      </c>
      <c r="B2431" s="153" t="s">
        <v>32</v>
      </c>
      <c r="C2431" s="156" t="str">
        <f>IF(OR($A2431="",ISERROR(VALUE(LEFT($A2431,6)))),"",IF(LEN($A2431)=2,"WOJ. ",IF(LEN($A2431)=4,IF(VALUE(RIGHT($A2431,2))&gt;60,"","Powiat "),IF(VALUE(RIGHT($A2431,1))=1,"m. ",IF(VALUE(RIGHT($A2431,1))=2,"gm. w. ",IF(VALUE(RIGHT($A2431,1))=8,"dz. ","gm. m.-w. ")))))&amp;IF(LEN($A2431)=2,TRIM(UPPER(VLOOKUP($A2431,GUS_tabl_1!$A$7:$B$22,2,FALSE))),IF(ISERROR(FIND("..",TRIM(VLOOKUP(IF(AND(LEN($A2431)=4,VALUE(RIGHT($A2431,2))&gt;60),$A2431&amp;"01 1",$A2431),IF(AND(LEN($A2431)=4,VALUE(RIGHT($A2431,2))&lt;60),GUS_tabl_2!$A$8:$B$464,GUS_tabl_21!$A$5:$B$4886),2,FALSE)))),TRIM(VLOOKUP(IF(AND(LEN($A2431)=4,VALUE(RIGHT($A2431,2))&gt;60),$A2431&amp;"01 1",$A2431),IF(AND(LEN($A2431)=4,VALUE(RIGHT($A2431,2))&lt;60),GUS_tabl_2!$A$8:$B$464,GUS_tabl_21!$A$5:$B$4886),2,FALSE)),LEFT(TRIM(VLOOKUP(IF(AND(LEN($A2431)=4,VALUE(RIGHT($A2431,2))&gt;60),$A2431&amp;"01 1",$A2431),IF(AND(LEN($A2431)=4,VALUE(RIGHT($A2431,2))&lt;60),GUS_tabl_2!$A$8:$B$464,GUS_tabl_21!$A$5:$B$4886),2,FALSE)),SUM(FIND("..",TRIM(VLOOKUP(IF(AND(LEN($A2431)=4,VALUE(RIGHT($A2431,2))&gt;60),$A2431&amp;"01 1",$A2431),IF(AND(LEN($A2431)=4,VALUE(RIGHT($A2431,2))&lt;60),GUS_tabl_2!$A$8:$B$464,GUS_tabl_21!$A$5:$B$4886),2,FALSE))),-1)))))</f>
        <v>gm. w. Elbląg</v>
      </c>
      <c r="D2431" s="141">
        <f>IF(OR($A2431="",ISERROR(VALUE(LEFT($A2431,6)))),"",IF(LEN($A2431)=2,SUMIF($A2432:$A$2965,$A2431&amp;"??",$D2432:$D$2965),IF(AND(LEN($A2431)=4,VALUE(RIGHT($A2431,2))&lt;=60),SUMIF($A2432:$A$2965,$A2431&amp;"????",$D2432:$D$2965),VLOOKUP(IF(LEN($A2431)=4,$A2431&amp;"01 1",$A2431),GUS_tabl_21!$A$5:$F$4886,6,FALSE))))</f>
        <v>7563</v>
      </c>
      <c r="E2431" s="29"/>
    </row>
    <row r="2432" spans="1:5" ht="12" customHeight="1">
      <c r="A2432" s="155" t="str">
        <f>"280402 2"</f>
        <v>280402 2</v>
      </c>
      <c r="B2432" s="153" t="s">
        <v>32</v>
      </c>
      <c r="C2432" s="156" t="str">
        <f>IF(OR($A2432="",ISERROR(VALUE(LEFT($A2432,6)))),"",IF(LEN($A2432)=2,"WOJ. ",IF(LEN($A2432)=4,IF(VALUE(RIGHT($A2432,2))&gt;60,"","Powiat "),IF(VALUE(RIGHT($A2432,1))=1,"m. ",IF(VALUE(RIGHT($A2432,1))=2,"gm. w. ",IF(VALUE(RIGHT($A2432,1))=8,"dz. ","gm. m.-w. ")))))&amp;IF(LEN($A2432)=2,TRIM(UPPER(VLOOKUP($A2432,GUS_tabl_1!$A$7:$B$22,2,FALSE))),IF(ISERROR(FIND("..",TRIM(VLOOKUP(IF(AND(LEN($A2432)=4,VALUE(RIGHT($A2432,2))&gt;60),$A2432&amp;"01 1",$A2432),IF(AND(LEN($A2432)=4,VALUE(RIGHT($A2432,2))&lt;60),GUS_tabl_2!$A$8:$B$464,GUS_tabl_21!$A$5:$B$4886),2,FALSE)))),TRIM(VLOOKUP(IF(AND(LEN($A2432)=4,VALUE(RIGHT($A2432,2))&gt;60),$A2432&amp;"01 1",$A2432),IF(AND(LEN($A2432)=4,VALUE(RIGHT($A2432,2))&lt;60),GUS_tabl_2!$A$8:$B$464,GUS_tabl_21!$A$5:$B$4886),2,FALSE)),LEFT(TRIM(VLOOKUP(IF(AND(LEN($A2432)=4,VALUE(RIGHT($A2432,2))&gt;60),$A2432&amp;"01 1",$A2432),IF(AND(LEN($A2432)=4,VALUE(RIGHT($A2432,2))&lt;60),GUS_tabl_2!$A$8:$B$464,GUS_tabl_21!$A$5:$B$4886),2,FALSE)),SUM(FIND("..",TRIM(VLOOKUP(IF(AND(LEN($A2432)=4,VALUE(RIGHT($A2432,2))&gt;60),$A2432&amp;"01 1",$A2432),IF(AND(LEN($A2432)=4,VALUE(RIGHT($A2432,2))&lt;60),GUS_tabl_2!$A$8:$B$464,GUS_tabl_21!$A$5:$B$4886),2,FALSE))),-1)))))</f>
        <v>gm. w. Godkowo</v>
      </c>
      <c r="D2432" s="141">
        <f>IF(OR($A2432="",ISERROR(VALUE(LEFT($A2432,6)))),"",IF(LEN($A2432)=2,SUMIF($A2433:$A$2965,$A2432&amp;"??",$D2433:$D$2965),IF(AND(LEN($A2432)=4,VALUE(RIGHT($A2432,2))&lt;=60),SUMIF($A2433:$A$2965,$A2432&amp;"????",$D2433:$D$2965),VLOOKUP(IF(LEN($A2432)=4,$A2432&amp;"01 1",$A2432),GUS_tabl_21!$A$5:$F$4886,6,FALSE))))</f>
        <v>3011</v>
      </c>
      <c r="E2432" s="29"/>
    </row>
    <row r="2433" spans="1:5" ht="12" customHeight="1">
      <c r="A2433" s="155" t="str">
        <f>"280403 2"</f>
        <v>280403 2</v>
      </c>
      <c r="B2433" s="153" t="s">
        <v>32</v>
      </c>
      <c r="C2433" s="156" t="str">
        <f>IF(OR($A2433="",ISERROR(VALUE(LEFT($A2433,6)))),"",IF(LEN($A2433)=2,"WOJ. ",IF(LEN($A2433)=4,IF(VALUE(RIGHT($A2433,2))&gt;60,"","Powiat "),IF(VALUE(RIGHT($A2433,1))=1,"m. ",IF(VALUE(RIGHT($A2433,1))=2,"gm. w. ",IF(VALUE(RIGHT($A2433,1))=8,"dz. ","gm. m.-w. ")))))&amp;IF(LEN($A2433)=2,TRIM(UPPER(VLOOKUP($A2433,GUS_tabl_1!$A$7:$B$22,2,FALSE))),IF(ISERROR(FIND("..",TRIM(VLOOKUP(IF(AND(LEN($A2433)=4,VALUE(RIGHT($A2433,2))&gt;60),$A2433&amp;"01 1",$A2433),IF(AND(LEN($A2433)=4,VALUE(RIGHT($A2433,2))&lt;60),GUS_tabl_2!$A$8:$B$464,GUS_tabl_21!$A$5:$B$4886),2,FALSE)))),TRIM(VLOOKUP(IF(AND(LEN($A2433)=4,VALUE(RIGHT($A2433,2))&gt;60),$A2433&amp;"01 1",$A2433),IF(AND(LEN($A2433)=4,VALUE(RIGHT($A2433,2))&lt;60),GUS_tabl_2!$A$8:$B$464,GUS_tabl_21!$A$5:$B$4886),2,FALSE)),LEFT(TRIM(VLOOKUP(IF(AND(LEN($A2433)=4,VALUE(RIGHT($A2433,2))&gt;60),$A2433&amp;"01 1",$A2433),IF(AND(LEN($A2433)=4,VALUE(RIGHT($A2433,2))&lt;60),GUS_tabl_2!$A$8:$B$464,GUS_tabl_21!$A$5:$B$4886),2,FALSE)),SUM(FIND("..",TRIM(VLOOKUP(IF(AND(LEN($A2433)=4,VALUE(RIGHT($A2433,2))&gt;60),$A2433&amp;"01 1",$A2433),IF(AND(LEN($A2433)=4,VALUE(RIGHT($A2433,2))&lt;60),GUS_tabl_2!$A$8:$B$464,GUS_tabl_21!$A$5:$B$4886),2,FALSE))),-1)))))</f>
        <v>gm. w. Gronowo Elbląskie</v>
      </c>
      <c r="D2433" s="141">
        <f>IF(OR($A2433="",ISERROR(VALUE(LEFT($A2433,6)))),"",IF(LEN($A2433)=2,SUMIF($A2434:$A$2965,$A2433&amp;"??",$D2434:$D$2965),IF(AND(LEN($A2433)=4,VALUE(RIGHT($A2433,2))&lt;=60),SUMIF($A2434:$A$2965,$A2433&amp;"????",$D2434:$D$2965),VLOOKUP(IF(LEN($A2433)=4,$A2433&amp;"01 1",$A2433),GUS_tabl_21!$A$5:$F$4886,6,FALSE))))</f>
        <v>5127</v>
      </c>
      <c r="E2433" s="29"/>
    </row>
    <row r="2434" spans="1:5" ht="12" customHeight="1">
      <c r="A2434" s="155" t="str">
        <f>"280404 2"</f>
        <v>280404 2</v>
      </c>
      <c r="B2434" s="153" t="s">
        <v>32</v>
      </c>
      <c r="C2434" s="156" t="str">
        <f>IF(OR($A2434="",ISERROR(VALUE(LEFT($A2434,6)))),"",IF(LEN($A2434)=2,"WOJ. ",IF(LEN($A2434)=4,IF(VALUE(RIGHT($A2434,2))&gt;60,"","Powiat "),IF(VALUE(RIGHT($A2434,1))=1,"m. ",IF(VALUE(RIGHT($A2434,1))=2,"gm. w. ",IF(VALUE(RIGHT($A2434,1))=8,"dz. ","gm. m.-w. ")))))&amp;IF(LEN($A2434)=2,TRIM(UPPER(VLOOKUP($A2434,GUS_tabl_1!$A$7:$B$22,2,FALSE))),IF(ISERROR(FIND("..",TRIM(VLOOKUP(IF(AND(LEN($A2434)=4,VALUE(RIGHT($A2434,2))&gt;60),$A2434&amp;"01 1",$A2434),IF(AND(LEN($A2434)=4,VALUE(RIGHT($A2434,2))&lt;60),GUS_tabl_2!$A$8:$B$464,GUS_tabl_21!$A$5:$B$4886),2,FALSE)))),TRIM(VLOOKUP(IF(AND(LEN($A2434)=4,VALUE(RIGHT($A2434,2))&gt;60),$A2434&amp;"01 1",$A2434),IF(AND(LEN($A2434)=4,VALUE(RIGHT($A2434,2))&lt;60),GUS_tabl_2!$A$8:$B$464,GUS_tabl_21!$A$5:$B$4886),2,FALSE)),LEFT(TRIM(VLOOKUP(IF(AND(LEN($A2434)=4,VALUE(RIGHT($A2434,2))&gt;60),$A2434&amp;"01 1",$A2434),IF(AND(LEN($A2434)=4,VALUE(RIGHT($A2434,2))&lt;60),GUS_tabl_2!$A$8:$B$464,GUS_tabl_21!$A$5:$B$4886),2,FALSE)),SUM(FIND("..",TRIM(VLOOKUP(IF(AND(LEN($A2434)=4,VALUE(RIGHT($A2434,2))&gt;60),$A2434&amp;"01 1",$A2434),IF(AND(LEN($A2434)=4,VALUE(RIGHT($A2434,2))&lt;60),GUS_tabl_2!$A$8:$B$464,GUS_tabl_21!$A$5:$B$4886),2,FALSE))),-1)))))</f>
        <v>gm. w. Markusy</v>
      </c>
      <c r="D2434" s="141">
        <f>IF(OR($A2434="",ISERROR(VALUE(LEFT($A2434,6)))),"",IF(LEN($A2434)=2,SUMIF($A2435:$A$2965,$A2434&amp;"??",$D2435:$D$2965),IF(AND(LEN($A2434)=4,VALUE(RIGHT($A2434,2))&lt;=60),SUMIF($A2435:$A$2965,$A2434&amp;"????",$D2435:$D$2965),VLOOKUP(IF(LEN($A2434)=4,$A2434&amp;"01 1",$A2434),GUS_tabl_21!$A$5:$F$4886,6,FALSE))))</f>
        <v>4048</v>
      </c>
      <c r="E2434" s="29"/>
    </row>
    <row r="2435" spans="1:5" ht="12" customHeight="1">
      <c r="A2435" s="155" t="str">
        <f>"280405 2"</f>
        <v>280405 2</v>
      </c>
      <c r="B2435" s="153" t="s">
        <v>32</v>
      </c>
      <c r="C2435" s="156" t="str">
        <f>IF(OR($A2435="",ISERROR(VALUE(LEFT($A2435,6)))),"",IF(LEN($A2435)=2,"WOJ. ",IF(LEN($A2435)=4,IF(VALUE(RIGHT($A2435,2))&gt;60,"","Powiat "),IF(VALUE(RIGHT($A2435,1))=1,"m. ",IF(VALUE(RIGHT($A2435,1))=2,"gm. w. ",IF(VALUE(RIGHT($A2435,1))=8,"dz. ","gm. m.-w. ")))))&amp;IF(LEN($A2435)=2,TRIM(UPPER(VLOOKUP($A2435,GUS_tabl_1!$A$7:$B$22,2,FALSE))),IF(ISERROR(FIND("..",TRIM(VLOOKUP(IF(AND(LEN($A2435)=4,VALUE(RIGHT($A2435,2))&gt;60),$A2435&amp;"01 1",$A2435),IF(AND(LEN($A2435)=4,VALUE(RIGHT($A2435,2))&lt;60),GUS_tabl_2!$A$8:$B$464,GUS_tabl_21!$A$5:$B$4886),2,FALSE)))),TRIM(VLOOKUP(IF(AND(LEN($A2435)=4,VALUE(RIGHT($A2435,2))&gt;60),$A2435&amp;"01 1",$A2435),IF(AND(LEN($A2435)=4,VALUE(RIGHT($A2435,2))&lt;60),GUS_tabl_2!$A$8:$B$464,GUS_tabl_21!$A$5:$B$4886),2,FALSE)),LEFT(TRIM(VLOOKUP(IF(AND(LEN($A2435)=4,VALUE(RIGHT($A2435,2))&gt;60),$A2435&amp;"01 1",$A2435),IF(AND(LEN($A2435)=4,VALUE(RIGHT($A2435,2))&lt;60),GUS_tabl_2!$A$8:$B$464,GUS_tabl_21!$A$5:$B$4886),2,FALSE)),SUM(FIND("..",TRIM(VLOOKUP(IF(AND(LEN($A2435)=4,VALUE(RIGHT($A2435,2))&gt;60),$A2435&amp;"01 1",$A2435),IF(AND(LEN($A2435)=4,VALUE(RIGHT($A2435,2))&lt;60),GUS_tabl_2!$A$8:$B$464,GUS_tabl_21!$A$5:$B$4886),2,FALSE))),-1)))))</f>
        <v>gm. w. Milejewo</v>
      </c>
      <c r="D2435" s="141">
        <f>IF(OR($A2435="",ISERROR(VALUE(LEFT($A2435,6)))),"",IF(LEN($A2435)=2,SUMIF($A2436:$A$2965,$A2435&amp;"??",$D2436:$D$2965),IF(AND(LEN($A2435)=4,VALUE(RIGHT($A2435,2))&lt;=60),SUMIF($A2436:$A$2965,$A2435&amp;"????",$D2436:$D$2965),VLOOKUP(IF(LEN($A2435)=4,$A2435&amp;"01 1",$A2435),GUS_tabl_21!$A$5:$F$4886,6,FALSE))))</f>
        <v>3419</v>
      </c>
      <c r="E2435" s="29"/>
    </row>
    <row r="2436" spans="1:5" ht="12" customHeight="1">
      <c r="A2436" s="155" t="str">
        <f>"280406 3"</f>
        <v>280406 3</v>
      </c>
      <c r="B2436" s="153" t="s">
        <v>32</v>
      </c>
      <c r="C2436" s="156" t="str">
        <f>IF(OR($A2436="",ISERROR(VALUE(LEFT($A2436,6)))),"",IF(LEN($A2436)=2,"WOJ. ",IF(LEN($A2436)=4,IF(VALUE(RIGHT($A2436,2))&gt;60,"","Powiat "),IF(VALUE(RIGHT($A2436,1))=1,"m. ",IF(VALUE(RIGHT($A2436,1))=2,"gm. w. ",IF(VALUE(RIGHT($A2436,1))=8,"dz. ","gm. m.-w. ")))))&amp;IF(LEN($A2436)=2,TRIM(UPPER(VLOOKUP($A2436,GUS_tabl_1!$A$7:$B$22,2,FALSE))),IF(ISERROR(FIND("..",TRIM(VLOOKUP(IF(AND(LEN($A2436)=4,VALUE(RIGHT($A2436,2))&gt;60),$A2436&amp;"01 1",$A2436),IF(AND(LEN($A2436)=4,VALUE(RIGHT($A2436,2))&lt;60),GUS_tabl_2!$A$8:$B$464,GUS_tabl_21!$A$5:$B$4886),2,FALSE)))),TRIM(VLOOKUP(IF(AND(LEN($A2436)=4,VALUE(RIGHT($A2436,2))&gt;60),$A2436&amp;"01 1",$A2436),IF(AND(LEN($A2436)=4,VALUE(RIGHT($A2436,2))&lt;60),GUS_tabl_2!$A$8:$B$464,GUS_tabl_21!$A$5:$B$4886),2,FALSE)),LEFT(TRIM(VLOOKUP(IF(AND(LEN($A2436)=4,VALUE(RIGHT($A2436,2))&gt;60),$A2436&amp;"01 1",$A2436),IF(AND(LEN($A2436)=4,VALUE(RIGHT($A2436,2))&lt;60),GUS_tabl_2!$A$8:$B$464,GUS_tabl_21!$A$5:$B$4886),2,FALSE)),SUM(FIND("..",TRIM(VLOOKUP(IF(AND(LEN($A2436)=4,VALUE(RIGHT($A2436,2))&gt;60),$A2436&amp;"01 1",$A2436),IF(AND(LEN($A2436)=4,VALUE(RIGHT($A2436,2))&lt;60),GUS_tabl_2!$A$8:$B$464,GUS_tabl_21!$A$5:$B$4886),2,FALSE))),-1)))))</f>
        <v>gm. m.-w. Młynary</v>
      </c>
      <c r="D2436" s="141">
        <f>IF(OR($A2436="",ISERROR(VALUE(LEFT($A2436,6)))),"",IF(LEN($A2436)=2,SUMIF($A2437:$A$2965,$A2436&amp;"??",$D2437:$D$2965),IF(AND(LEN($A2436)=4,VALUE(RIGHT($A2436,2))&lt;=60),SUMIF($A2437:$A$2965,$A2436&amp;"????",$D2437:$D$2965),VLOOKUP(IF(LEN($A2436)=4,$A2436&amp;"01 1",$A2436),GUS_tabl_21!$A$5:$F$4886,6,FALSE))))</f>
        <v>4406</v>
      </c>
      <c r="E2436" s="29"/>
    </row>
    <row r="2437" spans="1:5" ht="12" customHeight="1">
      <c r="A2437" s="155" t="str">
        <f>"280407 3"</f>
        <v>280407 3</v>
      </c>
      <c r="B2437" s="153" t="s">
        <v>32</v>
      </c>
      <c r="C2437" s="156" t="str">
        <f>IF(OR($A2437="",ISERROR(VALUE(LEFT($A2437,6)))),"",IF(LEN($A2437)=2,"WOJ. ",IF(LEN($A2437)=4,IF(VALUE(RIGHT($A2437,2))&gt;60,"","Powiat "),IF(VALUE(RIGHT($A2437,1))=1,"m. ",IF(VALUE(RIGHT($A2437,1))=2,"gm. w. ",IF(VALUE(RIGHT($A2437,1))=8,"dz. ","gm. m.-w. ")))))&amp;IF(LEN($A2437)=2,TRIM(UPPER(VLOOKUP($A2437,GUS_tabl_1!$A$7:$B$22,2,FALSE))),IF(ISERROR(FIND("..",TRIM(VLOOKUP(IF(AND(LEN($A2437)=4,VALUE(RIGHT($A2437,2))&gt;60),$A2437&amp;"01 1",$A2437),IF(AND(LEN($A2437)=4,VALUE(RIGHT($A2437,2))&lt;60),GUS_tabl_2!$A$8:$B$464,GUS_tabl_21!$A$5:$B$4886),2,FALSE)))),TRIM(VLOOKUP(IF(AND(LEN($A2437)=4,VALUE(RIGHT($A2437,2))&gt;60),$A2437&amp;"01 1",$A2437),IF(AND(LEN($A2437)=4,VALUE(RIGHT($A2437,2))&lt;60),GUS_tabl_2!$A$8:$B$464,GUS_tabl_21!$A$5:$B$4886),2,FALSE)),LEFT(TRIM(VLOOKUP(IF(AND(LEN($A2437)=4,VALUE(RIGHT($A2437,2))&gt;60),$A2437&amp;"01 1",$A2437),IF(AND(LEN($A2437)=4,VALUE(RIGHT($A2437,2))&lt;60),GUS_tabl_2!$A$8:$B$464,GUS_tabl_21!$A$5:$B$4886),2,FALSE)),SUM(FIND("..",TRIM(VLOOKUP(IF(AND(LEN($A2437)=4,VALUE(RIGHT($A2437,2))&gt;60),$A2437&amp;"01 1",$A2437),IF(AND(LEN($A2437)=4,VALUE(RIGHT($A2437,2))&lt;60),GUS_tabl_2!$A$8:$B$464,GUS_tabl_21!$A$5:$B$4886),2,FALSE))),-1)))))</f>
        <v>gm. m.-w. Pasłęk</v>
      </c>
      <c r="D2437" s="141">
        <f>IF(OR($A2437="",ISERROR(VALUE(LEFT($A2437,6)))),"",IF(LEN($A2437)=2,SUMIF($A2438:$A$2965,$A2437&amp;"??",$D2438:$D$2965),IF(AND(LEN($A2437)=4,VALUE(RIGHT($A2437,2))&lt;=60),SUMIF($A2438:$A$2965,$A2437&amp;"????",$D2438:$D$2965),VLOOKUP(IF(LEN($A2437)=4,$A2437&amp;"01 1",$A2437),GUS_tabl_21!$A$5:$F$4886,6,FALSE))))</f>
        <v>19313</v>
      </c>
      <c r="E2437" s="29"/>
    </row>
    <row r="2438" spans="1:5" ht="12" customHeight="1">
      <c r="A2438" s="155" t="str">
        <f>"280408 2"</f>
        <v>280408 2</v>
      </c>
      <c r="B2438" s="153" t="s">
        <v>32</v>
      </c>
      <c r="C2438" s="156" t="str">
        <f>IF(OR($A2438="",ISERROR(VALUE(LEFT($A2438,6)))),"",IF(LEN($A2438)=2,"WOJ. ",IF(LEN($A2438)=4,IF(VALUE(RIGHT($A2438,2))&gt;60,"","Powiat "),IF(VALUE(RIGHT($A2438,1))=1,"m. ",IF(VALUE(RIGHT($A2438,1))=2,"gm. w. ",IF(VALUE(RIGHT($A2438,1))=8,"dz. ","gm. m.-w. ")))))&amp;IF(LEN($A2438)=2,TRIM(UPPER(VLOOKUP($A2438,GUS_tabl_1!$A$7:$B$22,2,FALSE))),IF(ISERROR(FIND("..",TRIM(VLOOKUP(IF(AND(LEN($A2438)=4,VALUE(RIGHT($A2438,2))&gt;60),$A2438&amp;"01 1",$A2438),IF(AND(LEN($A2438)=4,VALUE(RIGHT($A2438,2))&lt;60),GUS_tabl_2!$A$8:$B$464,GUS_tabl_21!$A$5:$B$4886),2,FALSE)))),TRIM(VLOOKUP(IF(AND(LEN($A2438)=4,VALUE(RIGHT($A2438,2))&gt;60),$A2438&amp;"01 1",$A2438),IF(AND(LEN($A2438)=4,VALUE(RIGHT($A2438,2))&lt;60),GUS_tabl_2!$A$8:$B$464,GUS_tabl_21!$A$5:$B$4886),2,FALSE)),LEFT(TRIM(VLOOKUP(IF(AND(LEN($A2438)=4,VALUE(RIGHT($A2438,2))&gt;60),$A2438&amp;"01 1",$A2438),IF(AND(LEN($A2438)=4,VALUE(RIGHT($A2438,2))&lt;60),GUS_tabl_2!$A$8:$B$464,GUS_tabl_21!$A$5:$B$4886),2,FALSE)),SUM(FIND("..",TRIM(VLOOKUP(IF(AND(LEN($A2438)=4,VALUE(RIGHT($A2438,2))&gt;60),$A2438&amp;"01 1",$A2438),IF(AND(LEN($A2438)=4,VALUE(RIGHT($A2438,2))&lt;60),GUS_tabl_2!$A$8:$B$464,GUS_tabl_21!$A$5:$B$4886),2,FALSE))),-1)))))</f>
        <v>gm. w. Rychliki</v>
      </c>
      <c r="D2438" s="141">
        <f>IF(OR($A2438="",ISERROR(VALUE(LEFT($A2438,6)))),"",IF(LEN($A2438)=2,SUMIF($A2439:$A$2965,$A2438&amp;"??",$D2439:$D$2965),IF(AND(LEN($A2438)=4,VALUE(RIGHT($A2438,2))&lt;=60),SUMIF($A2439:$A$2965,$A2438&amp;"????",$D2439:$D$2965),VLOOKUP(IF(LEN($A2438)=4,$A2438&amp;"01 1",$A2438),GUS_tabl_21!$A$5:$F$4886,6,FALSE))))</f>
        <v>3753</v>
      </c>
      <c r="E2438" s="29"/>
    </row>
    <row r="2439" spans="1:5" ht="12" customHeight="1">
      <c r="A2439" s="155" t="str">
        <f>"280409 3"</f>
        <v>280409 3</v>
      </c>
      <c r="B2439" s="153" t="s">
        <v>32</v>
      </c>
      <c r="C2439" s="156" t="str">
        <f>IF(OR($A2439="",ISERROR(VALUE(LEFT($A2439,6)))),"",IF(LEN($A2439)=2,"WOJ. ",IF(LEN($A2439)=4,IF(VALUE(RIGHT($A2439,2))&gt;60,"","Powiat "),IF(VALUE(RIGHT($A2439,1))=1,"m. ",IF(VALUE(RIGHT($A2439,1))=2,"gm. w. ",IF(VALUE(RIGHT($A2439,1))=8,"dz. ","gm. m.-w. ")))))&amp;IF(LEN($A2439)=2,TRIM(UPPER(VLOOKUP($A2439,GUS_tabl_1!$A$7:$B$22,2,FALSE))),IF(ISERROR(FIND("..",TRIM(VLOOKUP(IF(AND(LEN($A2439)=4,VALUE(RIGHT($A2439,2))&gt;60),$A2439&amp;"01 1",$A2439),IF(AND(LEN($A2439)=4,VALUE(RIGHT($A2439,2))&lt;60),GUS_tabl_2!$A$8:$B$464,GUS_tabl_21!$A$5:$B$4886),2,FALSE)))),TRIM(VLOOKUP(IF(AND(LEN($A2439)=4,VALUE(RIGHT($A2439,2))&gt;60),$A2439&amp;"01 1",$A2439),IF(AND(LEN($A2439)=4,VALUE(RIGHT($A2439,2))&lt;60),GUS_tabl_2!$A$8:$B$464,GUS_tabl_21!$A$5:$B$4886),2,FALSE)),LEFT(TRIM(VLOOKUP(IF(AND(LEN($A2439)=4,VALUE(RIGHT($A2439,2))&gt;60),$A2439&amp;"01 1",$A2439),IF(AND(LEN($A2439)=4,VALUE(RIGHT($A2439,2))&lt;60),GUS_tabl_2!$A$8:$B$464,GUS_tabl_21!$A$5:$B$4886),2,FALSE)),SUM(FIND("..",TRIM(VLOOKUP(IF(AND(LEN($A2439)=4,VALUE(RIGHT($A2439,2))&gt;60),$A2439&amp;"01 1",$A2439),IF(AND(LEN($A2439)=4,VALUE(RIGHT($A2439,2))&lt;60),GUS_tabl_2!$A$8:$B$464,GUS_tabl_21!$A$5:$B$4886),2,FALSE))),-1)))))</f>
        <v>gm. m.-w. Tolkmicko</v>
      </c>
      <c r="D2439" s="141">
        <f>IF(OR($A2439="",ISERROR(VALUE(LEFT($A2439,6)))),"",IF(LEN($A2439)=2,SUMIF($A2440:$A$2965,$A2439&amp;"??",$D2440:$D$2965),IF(AND(LEN($A2439)=4,VALUE(RIGHT($A2439,2))&lt;=60),SUMIF($A2440:$A$2965,$A2439&amp;"????",$D2440:$D$2965),VLOOKUP(IF(LEN($A2439)=4,$A2439&amp;"01 1",$A2439),GUS_tabl_21!$A$5:$F$4886,6,FALSE))))</f>
        <v>6571</v>
      </c>
      <c r="E2439" s="29"/>
    </row>
    <row r="2440" spans="1:5" ht="12" customHeight="1">
      <c r="A2440" s="152" t="str">
        <f>"2805"</f>
        <v>2805</v>
      </c>
      <c r="B2440" s="153" t="s">
        <v>32</v>
      </c>
      <c r="C2440" s="154" t="str">
        <f>IF(OR($A2440="",ISERROR(VALUE(LEFT($A2440,6)))),"",IF(LEN($A2440)=2,"WOJ. ",IF(LEN($A2440)=4,IF(VALUE(RIGHT($A2440,2))&gt;60,"","Powiat "),IF(VALUE(RIGHT($A2440,1))=1,"m. ",IF(VALUE(RIGHT($A2440,1))=2,"gm. w. ",IF(VALUE(RIGHT($A2440,1))=8,"dz. ","gm. m.-w. ")))))&amp;IF(LEN($A2440)=2,TRIM(UPPER(VLOOKUP($A2440,GUS_tabl_1!$A$7:$B$22,2,FALSE))),IF(ISERROR(FIND("..",TRIM(VLOOKUP(IF(AND(LEN($A2440)=4,VALUE(RIGHT($A2440,2))&gt;60),$A2440&amp;"01 1",$A2440),IF(AND(LEN($A2440)=4,VALUE(RIGHT($A2440,2))&lt;60),GUS_tabl_2!$A$8:$B$464,GUS_tabl_21!$A$5:$B$4886),2,FALSE)))),TRIM(VLOOKUP(IF(AND(LEN($A2440)=4,VALUE(RIGHT($A2440,2))&gt;60),$A2440&amp;"01 1",$A2440),IF(AND(LEN($A2440)=4,VALUE(RIGHT($A2440,2))&lt;60),GUS_tabl_2!$A$8:$B$464,GUS_tabl_21!$A$5:$B$4886),2,FALSE)),LEFT(TRIM(VLOOKUP(IF(AND(LEN($A2440)=4,VALUE(RIGHT($A2440,2))&gt;60),$A2440&amp;"01 1",$A2440),IF(AND(LEN($A2440)=4,VALUE(RIGHT($A2440,2))&lt;60),GUS_tabl_2!$A$8:$B$464,GUS_tabl_21!$A$5:$B$4886),2,FALSE)),SUM(FIND("..",TRIM(VLOOKUP(IF(AND(LEN($A2440)=4,VALUE(RIGHT($A2440,2))&gt;60),$A2440&amp;"01 1",$A2440),IF(AND(LEN($A2440)=4,VALUE(RIGHT($A2440,2))&lt;60),GUS_tabl_2!$A$8:$B$464,GUS_tabl_21!$A$5:$B$4886),2,FALSE))),-1)))))</f>
        <v>Powiat ełcki</v>
      </c>
      <c r="D2440" s="140">
        <f>IF(OR($A2440="",ISERROR(VALUE(LEFT($A2440,6)))),"",IF(LEN($A2440)=2,SUMIF($A2441:$A$2965,$A2440&amp;"??",$D2441:$D$2965),IF(AND(LEN($A2440)=4,VALUE(RIGHT($A2440,2))&lt;=60),SUMIF($A2441:$A$2965,$A2440&amp;"????",$D2441:$D$2965),VLOOKUP(IF(LEN($A2440)=4,$A2440&amp;"01 1",$A2440),GUS_tabl_21!$A$5:$F$4886,6,FALSE))))</f>
        <v>91560</v>
      </c>
      <c r="E2440" s="29"/>
    </row>
    <row r="2441" spans="1:5" ht="12" customHeight="1">
      <c r="A2441" s="155" t="str">
        <f>"280501 1"</f>
        <v>280501 1</v>
      </c>
      <c r="B2441" s="153" t="s">
        <v>32</v>
      </c>
      <c r="C2441" s="156" t="str">
        <f>IF(OR($A2441="",ISERROR(VALUE(LEFT($A2441,6)))),"",IF(LEN($A2441)=2,"WOJ. ",IF(LEN($A2441)=4,IF(VALUE(RIGHT($A2441,2))&gt;60,"","Powiat "),IF(VALUE(RIGHT($A2441,1))=1,"m. ",IF(VALUE(RIGHT($A2441,1))=2,"gm. w. ",IF(VALUE(RIGHT($A2441,1))=8,"dz. ","gm. m.-w. ")))))&amp;IF(LEN($A2441)=2,TRIM(UPPER(VLOOKUP($A2441,GUS_tabl_1!$A$7:$B$22,2,FALSE))),IF(ISERROR(FIND("..",TRIM(VLOOKUP(IF(AND(LEN($A2441)=4,VALUE(RIGHT($A2441,2))&gt;60),$A2441&amp;"01 1",$A2441),IF(AND(LEN($A2441)=4,VALUE(RIGHT($A2441,2))&lt;60),GUS_tabl_2!$A$8:$B$464,GUS_tabl_21!$A$5:$B$4886),2,FALSE)))),TRIM(VLOOKUP(IF(AND(LEN($A2441)=4,VALUE(RIGHT($A2441,2))&gt;60),$A2441&amp;"01 1",$A2441),IF(AND(LEN($A2441)=4,VALUE(RIGHT($A2441,2))&lt;60),GUS_tabl_2!$A$8:$B$464,GUS_tabl_21!$A$5:$B$4886),2,FALSE)),LEFT(TRIM(VLOOKUP(IF(AND(LEN($A2441)=4,VALUE(RIGHT($A2441,2))&gt;60),$A2441&amp;"01 1",$A2441),IF(AND(LEN($A2441)=4,VALUE(RIGHT($A2441,2))&lt;60),GUS_tabl_2!$A$8:$B$464,GUS_tabl_21!$A$5:$B$4886),2,FALSE)),SUM(FIND("..",TRIM(VLOOKUP(IF(AND(LEN($A2441)=4,VALUE(RIGHT($A2441,2))&gt;60),$A2441&amp;"01 1",$A2441),IF(AND(LEN($A2441)=4,VALUE(RIGHT($A2441,2))&lt;60),GUS_tabl_2!$A$8:$B$464,GUS_tabl_21!$A$5:$B$4886),2,FALSE))),-1)))))</f>
        <v>m. Ełk</v>
      </c>
      <c r="D2441" s="141">
        <f>IF(OR($A2441="",ISERROR(VALUE(LEFT($A2441,6)))),"",IF(LEN($A2441)=2,SUMIF($A2442:$A$2965,$A2441&amp;"??",$D2442:$D$2965),IF(AND(LEN($A2441)=4,VALUE(RIGHT($A2441,2))&lt;=60),SUMIF($A2442:$A$2965,$A2441&amp;"????",$D2442:$D$2965),VLOOKUP(IF(LEN($A2441)=4,$A2441&amp;"01 1",$A2441),GUS_tabl_21!$A$5:$F$4886,6,FALSE))))</f>
        <v>62109</v>
      </c>
      <c r="E2441" s="29"/>
    </row>
    <row r="2442" spans="1:5" ht="12" customHeight="1">
      <c r="A2442" s="155" t="str">
        <f>"280502 2"</f>
        <v>280502 2</v>
      </c>
      <c r="B2442" s="153" t="s">
        <v>32</v>
      </c>
      <c r="C2442" s="156" t="str">
        <f>IF(OR($A2442="",ISERROR(VALUE(LEFT($A2442,6)))),"",IF(LEN($A2442)=2,"WOJ. ",IF(LEN($A2442)=4,IF(VALUE(RIGHT($A2442,2))&gt;60,"","Powiat "),IF(VALUE(RIGHT($A2442,1))=1,"m. ",IF(VALUE(RIGHT($A2442,1))=2,"gm. w. ",IF(VALUE(RIGHT($A2442,1))=8,"dz. ","gm. m.-w. ")))))&amp;IF(LEN($A2442)=2,TRIM(UPPER(VLOOKUP($A2442,GUS_tabl_1!$A$7:$B$22,2,FALSE))),IF(ISERROR(FIND("..",TRIM(VLOOKUP(IF(AND(LEN($A2442)=4,VALUE(RIGHT($A2442,2))&gt;60),$A2442&amp;"01 1",$A2442),IF(AND(LEN($A2442)=4,VALUE(RIGHT($A2442,2))&lt;60),GUS_tabl_2!$A$8:$B$464,GUS_tabl_21!$A$5:$B$4886),2,FALSE)))),TRIM(VLOOKUP(IF(AND(LEN($A2442)=4,VALUE(RIGHT($A2442,2))&gt;60),$A2442&amp;"01 1",$A2442),IF(AND(LEN($A2442)=4,VALUE(RIGHT($A2442,2))&lt;60),GUS_tabl_2!$A$8:$B$464,GUS_tabl_21!$A$5:$B$4886),2,FALSE)),LEFT(TRIM(VLOOKUP(IF(AND(LEN($A2442)=4,VALUE(RIGHT($A2442,2))&gt;60),$A2442&amp;"01 1",$A2442),IF(AND(LEN($A2442)=4,VALUE(RIGHT($A2442,2))&lt;60),GUS_tabl_2!$A$8:$B$464,GUS_tabl_21!$A$5:$B$4886),2,FALSE)),SUM(FIND("..",TRIM(VLOOKUP(IF(AND(LEN($A2442)=4,VALUE(RIGHT($A2442,2))&gt;60),$A2442&amp;"01 1",$A2442),IF(AND(LEN($A2442)=4,VALUE(RIGHT($A2442,2))&lt;60),GUS_tabl_2!$A$8:$B$464,GUS_tabl_21!$A$5:$B$4886),2,FALSE))),-1)))))</f>
        <v>gm. w. Ełk</v>
      </c>
      <c r="D2442" s="141">
        <f>IF(OR($A2442="",ISERROR(VALUE(LEFT($A2442,6)))),"",IF(LEN($A2442)=2,SUMIF($A2443:$A$2965,$A2442&amp;"??",$D2443:$D$2965),IF(AND(LEN($A2442)=4,VALUE(RIGHT($A2442,2))&lt;=60),SUMIF($A2443:$A$2965,$A2442&amp;"????",$D2443:$D$2965),VLOOKUP(IF(LEN($A2442)=4,$A2442&amp;"01 1",$A2442),GUS_tabl_21!$A$5:$F$4886,6,FALSE))))</f>
        <v>11820</v>
      </c>
      <c r="E2442" s="29"/>
    </row>
    <row r="2443" spans="1:5" ht="12" customHeight="1">
      <c r="A2443" s="155" t="str">
        <f>"280503 2"</f>
        <v>280503 2</v>
      </c>
      <c r="B2443" s="153" t="s">
        <v>32</v>
      </c>
      <c r="C2443" s="156" t="str">
        <f>IF(OR($A2443="",ISERROR(VALUE(LEFT($A2443,6)))),"",IF(LEN($A2443)=2,"WOJ. ",IF(LEN($A2443)=4,IF(VALUE(RIGHT($A2443,2))&gt;60,"","Powiat "),IF(VALUE(RIGHT($A2443,1))=1,"m. ",IF(VALUE(RIGHT($A2443,1))=2,"gm. w. ",IF(VALUE(RIGHT($A2443,1))=8,"dz. ","gm. m.-w. ")))))&amp;IF(LEN($A2443)=2,TRIM(UPPER(VLOOKUP($A2443,GUS_tabl_1!$A$7:$B$22,2,FALSE))),IF(ISERROR(FIND("..",TRIM(VLOOKUP(IF(AND(LEN($A2443)=4,VALUE(RIGHT($A2443,2))&gt;60),$A2443&amp;"01 1",$A2443),IF(AND(LEN($A2443)=4,VALUE(RIGHT($A2443,2))&lt;60),GUS_tabl_2!$A$8:$B$464,GUS_tabl_21!$A$5:$B$4886),2,FALSE)))),TRIM(VLOOKUP(IF(AND(LEN($A2443)=4,VALUE(RIGHT($A2443,2))&gt;60),$A2443&amp;"01 1",$A2443),IF(AND(LEN($A2443)=4,VALUE(RIGHT($A2443,2))&lt;60),GUS_tabl_2!$A$8:$B$464,GUS_tabl_21!$A$5:$B$4886),2,FALSE)),LEFT(TRIM(VLOOKUP(IF(AND(LEN($A2443)=4,VALUE(RIGHT($A2443,2))&gt;60),$A2443&amp;"01 1",$A2443),IF(AND(LEN($A2443)=4,VALUE(RIGHT($A2443,2))&lt;60),GUS_tabl_2!$A$8:$B$464,GUS_tabl_21!$A$5:$B$4886),2,FALSE)),SUM(FIND("..",TRIM(VLOOKUP(IF(AND(LEN($A2443)=4,VALUE(RIGHT($A2443,2))&gt;60),$A2443&amp;"01 1",$A2443),IF(AND(LEN($A2443)=4,VALUE(RIGHT($A2443,2))&lt;60),GUS_tabl_2!$A$8:$B$464,GUS_tabl_21!$A$5:$B$4886),2,FALSE))),-1)))))</f>
        <v>gm. w. Kalinowo</v>
      </c>
      <c r="D2443" s="141">
        <f>IF(OR($A2443="",ISERROR(VALUE(LEFT($A2443,6)))),"",IF(LEN($A2443)=2,SUMIF($A2444:$A$2965,$A2443&amp;"??",$D2444:$D$2965),IF(AND(LEN($A2443)=4,VALUE(RIGHT($A2443,2))&lt;=60),SUMIF($A2444:$A$2965,$A2443&amp;"????",$D2444:$D$2965),VLOOKUP(IF(LEN($A2443)=4,$A2443&amp;"01 1",$A2443),GUS_tabl_21!$A$5:$F$4886,6,FALSE))))</f>
        <v>6660</v>
      </c>
      <c r="E2443" s="29"/>
    </row>
    <row r="2444" spans="1:5" ht="12" customHeight="1">
      <c r="A2444" s="155" t="str">
        <f>"280504 2"</f>
        <v>280504 2</v>
      </c>
      <c r="B2444" s="153" t="s">
        <v>32</v>
      </c>
      <c r="C2444" s="156" t="str">
        <f>IF(OR($A2444="",ISERROR(VALUE(LEFT($A2444,6)))),"",IF(LEN($A2444)=2,"WOJ. ",IF(LEN($A2444)=4,IF(VALUE(RIGHT($A2444,2))&gt;60,"","Powiat "),IF(VALUE(RIGHT($A2444,1))=1,"m. ",IF(VALUE(RIGHT($A2444,1))=2,"gm. w. ",IF(VALUE(RIGHT($A2444,1))=8,"dz. ","gm. m.-w. ")))))&amp;IF(LEN($A2444)=2,TRIM(UPPER(VLOOKUP($A2444,GUS_tabl_1!$A$7:$B$22,2,FALSE))),IF(ISERROR(FIND("..",TRIM(VLOOKUP(IF(AND(LEN($A2444)=4,VALUE(RIGHT($A2444,2))&gt;60),$A2444&amp;"01 1",$A2444),IF(AND(LEN($A2444)=4,VALUE(RIGHT($A2444,2))&lt;60),GUS_tabl_2!$A$8:$B$464,GUS_tabl_21!$A$5:$B$4886),2,FALSE)))),TRIM(VLOOKUP(IF(AND(LEN($A2444)=4,VALUE(RIGHT($A2444,2))&gt;60),$A2444&amp;"01 1",$A2444),IF(AND(LEN($A2444)=4,VALUE(RIGHT($A2444,2))&lt;60),GUS_tabl_2!$A$8:$B$464,GUS_tabl_21!$A$5:$B$4886),2,FALSE)),LEFT(TRIM(VLOOKUP(IF(AND(LEN($A2444)=4,VALUE(RIGHT($A2444,2))&gt;60),$A2444&amp;"01 1",$A2444),IF(AND(LEN($A2444)=4,VALUE(RIGHT($A2444,2))&lt;60),GUS_tabl_2!$A$8:$B$464,GUS_tabl_21!$A$5:$B$4886),2,FALSE)),SUM(FIND("..",TRIM(VLOOKUP(IF(AND(LEN($A2444)=4,VALUE(RIGHT($A2444,2))&gt;60),$A2444&amp;"01 1",$A2444),IF(AND(LEN($A2444)=4,VALUE(RIGHT($A2444,2))&lt;60),GUS_tabl_2!$A$8:$B$464,GUS_tabl_21!$A$5:$B$4886),2,FALSE))),-1)))))</f>
        <v>gm. w. Prostki</v>
      </c>
      <c r="D2444" s="141">
        <f>IF(OR($A2444="",ISERROR(VALUE(LEFT($A2444,6)))),"",IF(LEN($A2444)=2,SUMIF($A2445:$A$2965,$A2444&amp;"??",$D2445:$D$2965),IF(AND(LEN($A2444)=4,VALUE(RIGHT($A2444,2))&lt;=60),SUMIF($A2445:$A$2965,$A2444&amp;"????",$D2445:$D$2965),VLOOKUP(IF(LEN($A2444)=4,$A2444&amp;"01 1",$A2444),GUS_tabl_21!$A$5:$F$4886,6,FALSE))))</f>
        <v>7238</v>
      </c>
      <c r="E2444" s="29"/>
    </row>
    <row r="2445" spans="1:5" ht="12" customHeight="1">
      <c r="A2445" s="155" t="str">
        <f>"280505 2"</f>
        <v>280505 2</v>
      </c>
      <c r="B2445" s="153" t="s">
        <v>32</v>
      </c>
      <c r="C2445" s="156" t="str">
        <f>IF(OR($A2445="",ISERROR(VALUE(LEFT($A2445,6)))),"",IF(LEN($A2445)=2,"WOJ. ",IF(LEN($A2445)=4,IF(VALUE(RIGHT($A2445,2))&gt;60,"","Powiat "),IF(VALUE(RIGHT($A2445,1))=1,"m. ",IF(VALUE(RIGHT($A2445,1))=2,"gm. w. ",IF(VALUE(RIGHT($A2445,1))=8,"dz. ","gm. m.-w. ")))))&amp;IF(LEN($A2445)=2,TRIM(UPPER(VLOOKUP($A2445,GUS_tabl_1!$A$7:$B$22,2,FALSE))),IF(ISERROR(FIND("..",TRIM(VLOOKUP(IF(AND(LEN($A2445)=4,VALUE(RIGHT($A2445,2))&gt;60),$A2445&amp;"01 1",$A2445),IF(AND(LEN($A2445)=4,VALUE(RIGHT($A2445,2))&lt;60),GUS_tabl_2!$A$8:$B$464,GUS_tabl_21!$A$5:$B$4886),2,FALSE)))),TRIM(VLOOKUP(IF(AND(LEN($A2445)=4,VALUE(RIGHT($A2445,2))&gt;60),$A2445&amp;"01 1",$A2445),IF(AND(LEN($A2445)=4,VALUE(RIGHT($A2445,2))&lt;60),GUS_tabl_2!$A$8:$B$464,GUS_tabl_21!$A$5:$B$4886),2,FALSE)),LEFT(TRIM(VLOOKUP(IF(AND(LEN($A2445)=4,VALUE(RIGHT($A2445,2))&gt;60),$A2445&amp;"01 1",$A2445),IF(AND(LEN($A2445)=4,VALUE(RIGHT($A2445,2))&lt;60),GUS_tabl_2!$A$8:$B$464,GUS_tabl_21!$A$5:$B$4886),2,FALSE)),SUM(FIND("..",TRIM(VLOOKUP(IF(AND(LEN($A2445)=4,VALUE(RIGHT($A2445,2))&gt;60),$A2445&amp;"01 1",$A2445),IF(AND(LEN($A2445)=4,VALUE(RIGHT($A2445,2))&lt;60),GUS_tabl_2!$A$8:$B$464,GUS_tabl_21!$A$5:$B$4886),2,FALSE))),-1)))))</f>
        <v>gm. w. Stare Juchy</v>
      </c>
      <c r="D2445" s="141">
        <f>IF(OR($A2445="",ISERROR(VALUE(LEFT($A2445,6)))),"",IF(LEN($A2445)=2,SUMIF($A2446:$A$2965,$A2445&amp;"??",$D2446:$D$2965),IF(AND(LEN($A2445)=4,VALUE(RIGHT($A2445,2))&lt;=60),SUMIF($A2446:$A$2965,$A2445&amp;"????",$D2446:$D$2965),VLOOKUP(IF(LEN($A2445)=4,$A2445&amp;"01 1",$A2445),GUS_tabl_21!$A$5:$F$4886,6,FALSE))))</f>
        <v>3733</v>
      </c>
      <c r="E2445" s="29"/>
    </row>
    <row r="2446" spans="1:5" ht="12" customHeight="1">
      <c r="A2446" s="152" t="str">
        <f>"2806"</f>
        <v>2806</v>
      </c>
      <c r="B2446" s="153" t="s">
        <v>32</v>
      </c>
      <c r="C2446" s="154" t="str">
        <f>IF(OR($A2446="",ISERROR(VALUE(LEFT($A2446,6)))),"",IF(LEN($A2446)=2,"WOJ. ",IF(LEN($A2446)=4,IF(VALUE(RIGHT($A2446,2))&gt;60,"","Powiat "),IF(VALUE(RIGHT($A2446,1))=1,"m. ",IF(VALUE(RIGHT($A2446,1))=2,"gm. w. ",IF(VALUE(RIGHT($A2446,1))=8,"dz. ","gm. m.-w. ")))))&amp;IF(LEN($A2446)=2,TRIM(UPPER(VLOOKUP($A2446,GUS_tabl_1!$A$7:$B$22,2,FALSE))),IF(ISERROR(FIND("..",TRIM(VLOOKUP(IF(AND(LEN($A2446)=4,VALUE(RIGHT($A2446,2))&gt;60),$A2446&amp;"01 1",$A2446),IF(AND(LEN($A2446)=4,VALUE(RIGHT($A2446,2))&lt;60),GUS_tabl_2!$A$8:$B$464,GUS_tabl_21!$A$5:$B$4886),2,FALSE)))),TRIM(VLOOKUP(IF(AND(LEN($A2446)=4,VALUE(RIGHT($A2446,2))&gt;60),$A2446&amp;"01 1",$A2446),IF(AND(LEN($A2446)=4,VALUE(RIGHT($A2446,2))&lt;60),GUS_tabl_2!$A$8:$B$464,GUS_tabl_21!$A$5:$B$4886),2,FALSE)),LEFT(TRIM(VLOOKUP(IF(AND(LEN($A2446)=4,VALUE(RIGHT($A2446,2))&gt;60),$A2446&amp;"01 1",$A2446),IF(AND(LEN($A2446)=4,VALUE(RIGHT($A2446,2))&lt;60),GUS_tabl_2!$A$8:$B$464,GUS_tabl_21!$A$5:$B$4886),2,FALSE)),SUM(FIND("..",TRIM(VLOOKUP(IF(AND(LEN($A2446)=4,VALUE(RIGHT($A2446,2))&gt;60),$A2446&amp;"01 1",$A2446),IF(AND(LEN($A2446)=4,VALUE(RIGHT($A2446,2))&lt;60),GUS_tabl_2!$A$8:$B$464,GUS_tabl_21!$A$5:$B$4886),2,FALSE))),-1)))))</f>
        <v>Powiat giżycki</v>
      </c>
      <c r="D2446" s="140">
        <f>IF(OR($A2446="",ISERROR(VALUE(LEFT($A2446,6)))),"",IF(LEN($A2446)=2,SUMIF($A2447:$A$2965,$A2446&amp;"??",$D2447:$D$2965),IF(AND(LEN($A2446)=4,VALUE(RIGHT($A2446,2))&lt;=60),SUMIF($A2447:$A$2965,$A2446&amp;"????",$D2447:$D$2965),VLOOKUP(IF(LEN($A2446)=4,$A2446&amp;"01 1",$A2446),GUS_tabl_21!$A$5:$F$4886,6,FALSE))))</f>
        <v>56565</v>
      </c>
      <c r="E2446" s="29"/>
    </row>
    <row r="2447" spans="1:5" ht="12" customHeight="1">
      <c r="A2447" s="155" t="str">
        <f>"280601 1"</f>
        <v>280601 1</v>
      </c>
      <c r="B2447" s="153" t="s">
        <v>32</v>
      </c>
      <c r="C2447" s="156" t="str">
        <f>IF(OR($A2447="",ISERROR(VALUE(LEFT($A2447,6)))),"",IF(LEN($A2447)=2,"WOJ. ",IF(LEN($A2447)=4,IF(VALUE(RIGHT($A2447,2))&gt;60,"","Powiat "),IF(VALUE(RIGHT($A2447,1))=1,"m. ",IF(VALUE(RIGHT($A2447,1))=2,"gm. w. ",IF(VALUE(RIGHT($A2447,1))=8,"dz. ","gm. m.-w. ")))))&amp;IF(LEN($A2447)=2,TRIM(UPPER(VLOOKUP($A2447,GUS_tabl_1!$A$7:$B$22,2,FALSE))),IF(ISERROR(FIND("..",TRIM(VLOOKUP(IF(AND(LEN($A2447)=4,VALUE(RIGHT($A2447,2))&gt;60),$A2447&amp;"01 1",$A2447),IF(AND(LEN($A2447)=4,VALUE(RIGHT($A2447,2))&lt;60),GUS_tabl_2!$A$8:$B$464,GUS_tabl_21!$A$5:$B$4886),2,FALSE)))),TRIM(VLOOKUP(IF(AND(LEN($A2447)=4,VALUE(RIGHT($A2447,2))&gt;60),$A2447&amp;"01 1",$A2447),IF(AND(LEN($A2447)=4,VALUE(RIGHT($A2447,2))&lt;60),GUS_tabl_2!$A$8:$B$464,GUS_tabl_21!$A$5:$B$4886),2,FALSE)),LEFT(TRIM(VLOOKUP(IF(AND(LEN($A2447)=4,VALUE(RIGHT($A2447,2))&gt;60),$A2447&amp;"01 1",$A2447),IF(AND(LEN($A2447)=4,VALUE(RIGHT($A2447,2))&lt;60),GUS_tabl_2!$A$8:$B$464,GUS_tabl_21!$A$5:$B$4886),2,FALSE)),SUM(FIND("..",TRIM(VLOOKUP(IF(AND(LEN($A2447)=4,VALUE(RIGHT($A2447,2))&gt;60),$A2447&amp;"01 1",$A2447),IF(AND(LEN($A2447)=4,VALUE(RIGHT($A2447,2))&lt;60),GUS_tabl_2!$A$8:$B$464,GUS_tabl_21!$A$5:$B$4886),2,FALSE))),-1)))))</f>
        <v>m. Giżycko</v>
      </c>
      <c r="D2447" s="141">
        <f>IF(OR($A2447="",ISERROR(VALUE(LEFT($A2447,6)))),"",IF(LEN($A2447)=2,SUMIF($A2448:$A$2965,$A2447&amp;"??",$D2448:$D$2965),IF(AND(LEN($A2447)=4,VALUE(RIGHT($A2447,2))&lt;=60),SUMIF($A2448:$A$2965,$A2447&amp;"????",$D2448:$D$2965),VLOOKUP(IF(LEN($A2447)=4,$A2447&amp;"01 1",$A2447),GUS_tabl_21!$A$5:$F$4886,6,FALSE))))</f>
        <v>29307</v>
      </c>
      <c r="E2447" s="29"/>
    </row>
    <row r="2448" spans="1:5" ht="12" customHeight="1">
      <c r="A2448" s="155" t="str">
        <f>"280604 2"</f>
        <v>280604 2</v>
      </c>
      <c r="B2448" s="153" t="s">
        <v>32</v>
      </c>
      <c r="C2448" s="156" t="str">
        <f>IF(OR($A2448="",ISERROR(VALUE(LEFT($A2448,6)))),"",IF(LEN($A2448)=2,"WOJ. ",IF(LEN($A2448)=4,IF(VALUE(RIGHT($A2448,2))&gt;60,"","Powiat "),IF(VALUE(RIGHT($A2448,1))=1,"m. ",IF(VALUE(RIGHT($A2448,1))=2,"gm. w. ",IF(VALUE(RIGHT($A2448,1))=8,"dz. ","gm. m.-w. ")))))&amp;IF(LEN($A2448)=2,TRIM(UPPER(VLOOKUP($A2448,GUS_tabl_1!$A$7:$B$22,2,FALSE))),IF(ISERROR(FIND("..",TRIM(VLOOKUP(IF(AND(LEN($A2448)=4,VALUE(RIGHT($A2448,2))&gt;60),$A2448&amp;"01 1",$A2448),IF(AND(LEN($A2448)=4,VALUE(RIGHT($A2448,2))&lt;60),GUS_tabl_2!$A$8:$B$464,GUS_tabl_21!$A$5:$B$4886),2,FALSE)))),TRIM(VLOOKUP(IF(AND(LEN($A2448)=4,VALUE(RIGHT($A2448,2))&gt;60),$A2448&amp;"01 1",$A2448),IF(AND(LEN($A2448)=4,VALUE(RIGHT($A2448,2))&lt;60),GUS_tabl_2!$A$8:$B$464,GUS_tabl_21!$A$5:$B$4886),2,FALSE)),LEFT(TRIM(VLOOKUP(IF(AND(LEN($A2448)=4,VALUE(RIGHT($A2448,2))&gt;60),$A2448&amp;"01 1",$A2448),IF(AND(LEN($A2448)=4,VALUE(RIGHT($A2448,2))&lt;60),GUS_tabl_2!$A$8:$B$464,GUS_tabl_21!$A$5:$B$4886),2,FALSE)),SUM(FIND("..",TRIM(VLOOKUP(IF(AND(LEN($A2448)=4,VALUE(RIGHT($A2448,2))&gt;60),$A2448&amp;"01 1",$A2448),IF(AND(LEN($A2448)=4,VALUE(RIGHT($A2448,2))&lt;60),GUS_tabl_2!$A$8:$B$464,GUS_tabl_21!$A$5:$B$4886),2,FALSE))),-1)))))</f>
        <v>gm. w. Giżycko</v>
      </c>
      <c r="D2448" s="141">
        <f>IF(OR($A2448="",ISERROR(VALUE(LEFT($A2448,6)))),"",IF(LEN($A2448)=2,SUMIF($A2449:$A$2965,$A2448&amp;"??",$D2449:$D$2965),IF(AND(LEN($A2448)=4,VALUE(RIGHT($A2448,2))&lt;=60),SUMIF($A2449:$A$2965,$A2448&amp;"????",$D2449:$D$2965),VLOOKUP(IF(LEN($A2448)=4,$A2448&amp;"01 1",$A2448),GUS_tabl_21!$A$5:$F$4886,6,FALSE))))</f>
        <v>8510</v>
      </c>
      <c r="E2448" s="29"/>
    </row>
    <row r="2449" spans="1:5" ht="12" customHeight="1">
      <c r="A2449" s="155" t="str">
        <f>"280605 2"</f>
        <v>280605 2</v>
      </c>
      <c r="B2449" s="153" t="s">
        <v>32</v>
      </c>
      <c r="C2449" s="156" t="str">
        <f>IF(OR($A2449="",ISERROR(VALUE(LEFT($A2449,6)))),"",IF(LEN($A2449)=2,"WOJ. ",IF(LEN($A2449)=4,IF(VALUE(RIGHT($A2449,2))&gt;60,"","Powiat "),IF(VALUE(RIGHT($A2449,1))=1,"m. ",IF(VALUE(RIGHT($A2449,1))=2,"gm. w. ",IF(VALUE(RIGHT($A2449,1))=8,"dz. ","gm. m.-w. ")))))&amp;IF(LEN($A2449)=2,TRIM(UPPER(VLOOKUP($A2449,GUS_tabl_1!$A$7:$B$22,2,FALSE))),IF(ISERROR(FIND("..",TRIM(VLOOKUP(IF(AND(LEN($A2449)=4,VALUE(RIGHT($A2449,2))&gt;60),$A2449&amp;"01 1",$A2449),IF(AND(LEN($A2449)=4,VALUE(RIGHT($A2449,2))&lt;60),GUS_tabl_2!$A$8:$B$464,GUS_tabl_21!$A$5:$B$4886),2,FALSE)))),TRIM(VLOOKUP(IF(AND(LEN($A2449)=4,VALUE(RIGHT($A2449,2))&gt;60),$A2449&amp;"01 1",$A2449),IF(AND(LEN($A2449)=4,VALUE(RIGHT($A2449,2))&lt;60),GUS_tabl_2!$A$8:$B$464,GUS_tabl_21!$A$5:$B$4886),2,FALSE)),LEFT(TRIM(VLOOKUP(IF(AND(LEN($A2449)=4,VALUE(RIGHT($A2449,2))&gt;60),$A2449&amp;"01 1",$A2449),IF(AND(LEN($A2449)=4,VALUE(RIGHT($A2449,2))&lt;60),GUS_tabl_2!$A$8:$B$464,GUS_tabl_21!$A$5:$B$4886),2,FALSE)),SUM(FIND("..",TRIM(VLOOKUP(IF(AND(LEN($A2449)=4,VALUE(RIGHT($A2449,2))&gt;60),$A2449&amp;"01 1",$A2449),IF(AND(LEN($A2449)=4,VALUE(RIGHT($A2449,2))&lt;60),GUS_tabl_2!$A$8:$B$464,GUS_tabl_21!$A$5:$B$4886),2,FALSE))),-1)))))</f>
        <v>gm. w. Kruklanki</v>
      </c>
      <c r="D2449" s="141">
        <f>IF(OR($A2449="",ISERROR(VALUE(LEFT($A2449,6)))),"",IF(LEN($A2449)=2,SUMIF($A2450:$A$2965,$A2449&amp;"??",$D2450:$D$2965),IF(AND(LEN($A2449)=4,VALUE(RIGHT($A2449,2))&lt;=60),SUMIF($A2450:$A$2965,$A2449&amp;"????",$D2450:$D$2965),VLOOKUP(IF(LEN($A2449)=4,$A2449&amp;"01 1",$A2449),GUS_tabl_21!$A$5:$F$4886,6,FALSE))))</f>
        <v>3125</v>
      </c>
      <c r="E2449" s="29"/>
    </row>
    <row r="2450" spans="1:5" ht="12" customHeight="1">
      <c r="A2450" s="155" t="str">
        <f>"280606 2"</f>
        <v>280606 2</v>
      </c>
      <c r="B2450" s="153" t="s">
        <v>32</v>
      </c>
      <c r="C2450" s="156" t="str">
        <f>IF(OR($A2450="",ISERROR(VALUE(LEFT($A2450,6)))),"",IF(LEN($A2450)=2,"WOJ. ",IF(LEN($A2450)=4,IF(VALUE(RIGHT($A2450,2))&gt;60,"","Powiat "),IF(VALUE(RIGHT($A2450,1))=1,"m. ",IF(VALUE(RIGHT($A2450,1))=2,"gm. w. ",IF(VALUE(RIGHT($A2450,1))=8,"dz. ","gm. m.-w. ")))))&amp;IF(LEN($A2450)=2,TRIM(UPPER(VLOOKUP($A2450,GUS_tabl_1!$A$7:$B$22,2,FALSE))),IF(ISERROR(FIND("..",TRIM(VLOOKUP(IF(AND(LEN($A2450)=4,VALUE(RIGHT($A2450,2))&gt;60),$A2450&amp;"01 1",$A2450),IF(AND(LEN($A2450)=4,VALUE(RIGHT($A2450,2))&lt;60),GUS_tabl_2!$A$8:$B$464,GUS_tabl_21!$A$5:$B$4886),2,FALSE)))),TRIM(VLOOKUP(IF(AND(LEN($A2450)=4,VALUE(RIGHT($A2450,2))&gt;60),$A2450&amp;"01 1",$A2450),IF(AND(LEN($A2450)=4,VALUE(RIGHT($A2450,2))&lt;60),GUS_tabl_2!$A$8:$B$464,GUS_tabl_21!$A$5:$B$4886),2,FALSE)),LEFT(TRIM(VLOOKUP(IF(AND(LEN($A2450)=4,VALUE(RIGHT($A2450,2))&gt;60),$A2450&amp;"01 1",$A2450),IF(AND(LEN($A2450)=4,VALUE(RIGHT($A2450,2))&lt;60),GUS_tabl_2!$A$8:$B$464,GUS_tabl_21!$A$5:$B$4886),2,FALSE)),SUM(FIND("..",TRIM(VLOOKUP(IF(AND(LEN($A2450)=4,VALUE(RIGHT($A2450,2))&gt;60),$A2450&amp;"01 1",$A2450),IF(AND(LEN($A2450)=4,VALUE(RIGHT($A2450,2))&lt;60),GUS_tabl_2!$A$8:$B$464,GUS_tabl_21!$A$5:$B$4886),2,FALSE))),-1)))))</f>
        <v>gm. w. Miłki</v>
      </c>
      <c r="D2450" s="141">
        <f>IF(OR($A2450="",ISERROR(VALUE(LEFT($A2450,6)))),"",IF(LEN($A2450)=2,SUMIF($A2451:$A$2965,$A2450&amp;"??",$D2451:$D$2965),IF(AND(LEN($A2450)=4,VALUE(RIGHT($A2450,2))&lt;=60),SUMIF($A2451:$A$2965,$A2450&amp;"????",$D2451:$D$2965),VLOOKUP(IF(LEN($A2450)=4,$A2450&amp;"01 1",$A2450),GUS_tabl_21!$A$5:$F$4886,6,FALSE))))</f>
        <v>3722</v>
      </c>
      <c r="E2450" s="29"/>
    </row>
    <row r="2451" spans="1:5" ht="12" customHeight="1">
      <c r="A2451" s="155" t="str">
        <f>"280608 3"</f>
        <v>280608 3</v>
      </c>
      <c r="B2451" s="153" t="s">
        <v>32</v>
      </c>
      <c r="C2451" s="156" t="str">
        <f>IF(OR($A2451="",ISERROR(VALUE(LEFT($A2451,6)))),"",IF(LEN($A2451)=2,"WOJ. ",IF(LEN($A2451)=4,IF(VALUE(RIGHT($A2451,2))&gt;60,"","Powiat "),IF(VALUE(RIGHT($A2451,1))=1,"m. ",IF(VALUE(RIGHT($A2451,1))=2,"gm. w. ",IF(VALUE(RIGHT($A2451,1))=8,"dz. ","gm. m.-w. ")))))&amp;IF(LEN($A2451)=2,TRIM(UPPER(VLOOKUP($A2451,GUS_tabl_1!$A$7:$B$22,2,FALSE))),IF(ISERROR(FIND("..",TRIM(VLOOKUP(IF(AND(LEN($A2451)=4,VALUE(RIGHT($A2451,2))&gt;60),$A2451&amp;"01 1",$A2451),IF(AND(LEN($A2451)=4,VALUE(RIGHT($A2451,2))&lt;60),GUS_tabl_2!$A$8:$B$464,GUS_tabl_21!$A$5:$B$4886),2,FALSE)))),TRIM(VLOOKUP(IF(AND(LEN($A2451)=4,VALUE(RIGHT($A2451,2))&gt;60),$A2451&amp;"01 1",$A2451),IF(AND(LEN($A2451)=4,VALUE(RIGHT($A2451,2))&lt;60),GUS_tabl_2!$A$8:$B$464,GUS_tabl_21!$A$5:$B$4886),2,FALSE)),LEFT(TRIM(VLOOKUP(IF(AND(LEN($A2451)=4,VALUE(RIGHT($A2451,2))&gt;60),$A2451&amp;"01 1",$A2451),IF(AND(LEN($A2451)=4,VALUE(RIGHT($A2451,2))&lt;60),GUS_tabl_2!$A$8:$B$464,GUS_tabl_21!$A$5:$B$4886),2,FALSE)),SUM(FIND("..",TRIM(VLOOKUP(IF(AND(LEN($A2451)=4,VALUE(RIGHT($A2451,2))&gt;60),$A2451&amp;"01 1",$A2451),IF(AND(LEN($A2451)=4,VALUE(RIGHT($A2451,2))&lt;60),GUS_tabl_2!$A$8:$B$464,GUS_tabl_21!$A$5:$B$4886),2,FALSE))),-1)))))</f>
        <v>gm. m.-w. Ryn</v>
      </c>
      <c r="D2451" s="141">
        <f>IF(OR($A2451="",ISERROR(VALUE(LEFT($A2451,6)))),"",IF(LEN($A2451)=2,SUMIF($A2452:$A$2965,$A2451&amp;"??",$D2452:$D$2965),IF(AND(LEN($A2451)=4,VALUE(RIGHT($A2451,2))&lt;=60),SUMIF($A2452:$A$2965,$A2451&amp;"????",$D2452:$D$2965),VLOOKUP(IF(LEN($A2451)=4,$A2451&amp;"01 1",$A2451),GUS_tabl_21!$A$5:$F$4886,6,FALSE))))</f>
        <v>5668</v>
      </c>
      <c r="E2451" s="29"/>
    </row>
    <row r="2452" spans="1:5" ht="12" customHeight="1">
      <c r="A2452" s="155" t="str">
        <f>"280610 2"</f>
        <v>280610 2</v>
      </c>
      <c r="B2452" s="153" t="s">
        <v>32</v>
      </c>
      <c r="C2452" s="156" t="str">
        <f>IF(OR($A2452="",ISERROR(VALUE(LEFT($A2452,6)))),"",IF(LEN($A2452)=2,"WOJ. ",IF(LEN($A2452)=4,IF(VALUE(RIGHT($A2452,2))&gt;60,"","Powiat "),IF(VALUE(RIGHT($A2452,1))=1,"m. ",IF(VALUE(RIGHT($A2452,1))=2,"gm. w. ",IF(VALUE(RIGHT($A2452,1))=8,"dz. ","gm. m.-w. ")))))&amp;IF(LEN($A2452)=2,TRIM(UPPER(VLOOKUP($A2452,GUS_tabl_1!$A$7:$B$22,2,FALSE))),IF(ISERROR(FIND("..",TRIM(VLOOKUP(IF(AND(LEN($A2452)=4,VALUE(RIGHT($A2452,2))&gt;60),$A2452&amp;"01 1",$A2452),IF(AND(LEN($A2452)=4,VALUE(RIGHT($A2452,2))&lt;60),GUS_tabl_2!$A$8:$B$464,GUS_tabl_21!$A$5:$B$4886),2,FALSE)))),TRIM(VLOOKUP(IF(AND(LEN($A2452)=4,VALUE(RIGHT($A2452,2))&gt;60),$A2452&amp;"01 1",$A2452),IF(AND(LEN($A2452)=4,VALUE(RIGHT($A2452,2))&lt;60),GUS_tabl_2!$A$8:$B$464,GUS_tabl_21!$A$5:$B$4886),2,FALSE)),LEFT(TRIM(VLOOKUP(IF(AND(LEN($A2452)=4,VALUE(RIGHT($A2452,2))&gt;60),$A2452&amp;"01 1",$A2452),IF(AND(LEN($A2452)=4,VALUE(RIGHT($A2452,2))&lt;60),GUS_tabl_2!$A$8:$B$464,GUS_tabl_21!$A$5:$B$4886),2,FALSE)),SUM(FIND("..",TRIM(VLOOKUP(IF(AND(LEN($A2452)=4,VALUE(RIGHT($A2452,2))&gt;60),$A2452&amp;"01 1",$A2452),IF(AND(LEN($A2452)=4,VALUE(RIGHT($A2452,2))&lt;60),GUS_tabl_2!$A$8:$B$464,GUS_tabl_21!$A$5:$B$4886),2,FALSE))),-1)))))</f>
        <v>gm. w. Wydminy</v>
      </c>
      <c r="D2452" s="141">
        <f>IF(OR($A2452="",ISERROR(VALUE(LEFT($A2452,6)))),"",IF(LEN($A2452)=2,SUMIF($A2453:$A$2965,$A2452&amp;"??",$D2453:$D$2965),IF(AND(LEN($A2452)=4,VALUE(RIGHT($A2452,2))&lt;=60),SUMIF($A2453:$A$2965,$A2452&amp;"????",$D2453:$D$2965),VLOOKUP(IF(LEN($A2452)=4,$A2452&amp;"01 1",$A2452),GUS_tabl_21!$A$5:$F$4886,6,FALSE))))</f>
        <v>6233</v>
      </c>
      <c r="E2452" s="29"/>
    </row>
    <row r="2453" spans="1:5" ht="12" customHeight="1">
      <c r="A2453" s="152" t="str">
        <f>"2818"</f>
        <v>2818</v>
      </c>
      <c r="B2453" s="153" t="s">
        <v>32</v>
      </c>
      <c r="C2453" s="154" t="str">
        <f>IF(OR($A2453="",ISERROR(VALUE(LEFT($A2453,6)))),"",IF(LEN($A2453)=2,"WOJ. ",IF(LEN($A2453)=4,IF(VALUE(RIGHT($A2453,2))&gt;60,"","Powiat "),IF(VALUE(RIGHT($A2453,1))=1,"m. ",IF(VALUE(RIGHT($A2453,1))=2,"gm. w. ",IF(VALUE(RIGHT($A2453,1))=8,"dz. ","gm. m.-w. ")))))&amp;IF(LEN($A2453)=2,TRIM(UPPER(VLOOKUP($A2453,GUS_tabl_1!$A$7:$B$22,2,FALSE))),IF(ISERROR(FIND("..",TRIM(VLOOKUP(IF(AND(LEN($A2453)=4,VALUE(RIGHT($A2453,2))&gt;60),$A2453&amp;"01 1",$A2453),IF(AND(LEN($A2453)=4,VALUE(RIGHT($A2453,2))&lt;60),GUS_tabl_2!$A$8:$B$464,GUS_tabl_21!$A$5:$B$4886),2,FALSE)))),TRIM(VLOOKUP(IF(AND(LEN($A2453)=4,VALUE(RIGHT($A2453,2))&gt;60),$A2453&amp;"01 1",$A2453),IF(AND(LEN($A2453)=4,VALUE(RIGHT($A2453,2))&lt;60),GUS_tabl_2!$A$8:$B$464,GUS_tabl_21!$A$5:$B$4886),2,FALSE)),LEFT(TRIM(VLOOKUP(IF(AND(LEN($A2453)=4,VALUE(RIGHT($A2453,2))&gt;60),$A2453&amp;"01 1",$A2453),IF(AND(LEN($A2453)=4,VALUE(RIGHT($A2453,2))&lt;60),GUS_tabl_2!$A$8:$B$464,GUS_tabl_21!$A$5:$B$4886),2,FALSE)),SUM(FIND("..",TRIM(VLOOKUP(IF(AND(LEN($A2453)=4,VALUE(RIGHT($A2453,2))&gt;60),$A2453&amp;"01 1",$A2453),IF(AND(LEN($A2453)=4,VALUE(RIGHT($A2453,2))&lt;60),GUS_tabl_2!$A$8:$B$464,GUS_tabl_21!$A$5:$B$4886),2,FALSE))),-1)))))</f>
        <v>Powiat gołdapski</v>
      </c>
      <c r="D2453" s="140">
        <f>IF(OR($A2453="",ISERROR(VALUE(LEFT($A2453,6)))),"",IF(LEN($A2453)=2,SUMIF($A2454:$A$2965,$A2453&amp;"??",$D2454:$D$2965),IF(AND(LEN($A2453)=4,VALUE(RIGHT($A2453,2))&lt;=60),SUMIF($A2454:$A$2965,$A2453&amp;"????",$D2454:$D$2965),VLOOKUP(IF(LEN($A2453)=4,$A2453&amp;"01 1",$A2453),GUS_tabl_21!$A$5:$F$4886,6,FALSE))))</f>
        <v>26689</v>
      </c>
      <c r="E2453" s="29"/>
    </row>
    <row r="2454" spans="1:5" ht="12" customHeight="1">
      <c r="A2454" s="155" t="str">
        <f>"281801 2"</f>
        <v>281801 2</v>
      </c>
      <c r="B2454" s="153" t="s">
        <v>32</v>
      </c>
      <c r="C2454" s="156" t="str">
        <f>IF(OR($A2454="",ISERROR(VALUE(LEFT($A2454,6)))),"",IF(LEN($A2454)=2,"WOJ. ",IF(LEN($A2454)=4,IF(VALUE(RIGHT($A2454,2))&gt;60,"","Powiat "),IF(VALUE(RIGHT($A2454,1))=1,"m. ",IF(VALUE(RIGHT($A2454,1))=2,"gm. w. ",IF(VALUE(RIGHT($A2454,1))=8,"dz. ","gm. m.-w. ")))))&amp;IF(LEN($A2454)=2,TRIM(UPPER(VLOOKUP($A2454,GUS_tabl_1!$A$7:$B$22,2,FALSE))),IF(ISERROR(FIND("..",TRIM(VLOOKUP(IF(AND(LEN($A2454)=4,VALUE(RIGHT($A2454,2))&gt;60),$A2454&amp;"01 1",$A2454),IF(AND(LEN($A2454)=4,VALUE(RIGHT($A2454,2))&lt;60),GUS_tabl_2!$A$8:$B$464,GUS_tabl_21!$A$5:$B$4886),2,FALSE)))),TRIM(VLOOKUP(IF(AND(LEN($A2454)=4,VALUE(RIGHT($A2454,2))&gt;60),$A2454&amp;"01 1",$A2454),IF(AND(LEN($A2454)=4,VALUE(RIGHT($A2454,2))&lt;60),GUS_tabl_2!$A$8:$B$464,GUS_tabl_21!$A$5:$B$4886),2,FALSE)),LEFT(TRIM(VLOOKUP(IF(AND(LEN($A2454)=4,VALUE(RIGHT($A2454,2))&gt;60),$A2454&amp;"01 1",$A2454),IF(AND(LEN($A2454)=4,VALUE(RIGHT($A2454,2))&lt;60),GUS_tabl_2!$A$8:$B$464,GUS_tabl_21!$A$5:$B$4886),2,FALSE)),SUM(FIND("..",TRIM(VLOOKUP(IF(AND(LEN($A2454)=4,VALUE(RIGHT($A2454,2))&gt;60),$A2454&amp;"01 1",$A2454),IF(AND(LEN($A2454)=4,VALUE(RIGHT($A2454,2))&lt;60),GUS_tabl_2!$A$8:$B$464,GUS_tabl_21!$A$5:$B$4886),2,FALSE))),-1)))))</f>
        <v>gm. w. Banie Mazurskie</v>
      </c>
      <c r="D2454" s="141">
        <f>IF(OR($A2454="",ISERROR(VALUE(LEFT($A2454,6)))),"",IF(LEN($A2454)=2,SUMIF($A2455:$A$2965,$A2454&amp;"??",$D2455:$D$2965),IF(AND(LEN($A2454)=4,VALUE(RIGHT($A2454,2))&lt;=60),SUMIF($A2455:$A$2965,$A2454&amp;"????",$D2455:$D$2965),VLOOKUP(IF(LEN($A2454)=4,$A2454&amp;"01 1",$A2454),GUS_tabl_21!$A$5:$F$4886,6,FALSE))))</f>
        <v>3671</v>
      </c>
      <c r="E2454" s="29"/>
    </row>
    <row r="2455" spans="1:5" ht="12" customHeight="1">
      <c r="A2455" s="155" t="str">
        <f>"281802 2"</f>
        <v>281802 2</v>
      </c>
      <c r="B2455" s="153" t="s">
        <v>32</v>
      </c>
      <c r="C2455" s="156" t="str">
        <f>IF(OR($A2455="",ISERROR(VALUE(LEFT($A2455,6)))),"",IF(LEN($A2455)=2,"WOJ. ",IF(LEN($A2455)=4,IF(VALUE(RIGHT($A2455,2))&gt;60,"","Powiat "),IF(VALUE(RIGHT($A2455,1))=1,"m. ",IF(VALUE(RIGHT($A2455,1))=2,"gm. w. ",IF(VALUE(RIGHT($A2455,1))=8,"dz. ","gm. m.-w. ")))))&amp;IF(LEN($A2455)=2,TRIM(UPPER(VLOOKUP($A2455,GUS_tabl_1!$A$7:$B$22,2,FALSE))),IF(ISERROR(FIND("..",TRIM(VLOOKUP(IF(AND(LEN($A2455)=4,VALUE(RIGHT($A2455,2))&gt;60),$A2455&amp;"01 1",$A2455),IF(AND(LEN($A2455)=4,VALUE(RIGHT($A2455,2))&lt;60),GUS_tabl_2!$A$8:$B$464,GUS_tabl_21!$A$5:$B$4886),2,FALSE)))),TRIM(VLOOKUP(IF(AND(LEN($A2455)=4,VALUE(RIGHT($A2455,2))&gt;60),$A2455&amp;"01 1",$A2455),IF(AND(LEN($A2455)=4,VALUE(RIGHT($A2455,2))&lt;60),GUS_tabl_2!$A$8:$B$464,GUS_tabl_21!$A$5:$B$4886),2,FALSE)),LEFT(TRIM(VLOOKUP(IF(AND(LEN($A2455)=4,VALUE(RIGHT($A2455,2))&gt;60),$A2455&amp;"01 1",$A2455),IF(AND(LEN($A2455)=4,VALUE(RIGHT($A2455,2))&lt;60),GUS_tabl_2!$A$8:$B$464,GUS_tabl_21!$A$5:$B$4886),2,FALSE)),SUM(FIND("..",TRIM(VLOOKUP(IF(AND(LEN($A2455)=4,VALUE(RIGHT($A2455,2))&gt;60),$A2455&amp;"01 1",$A2455),IF(AND(LEN($A2455)=4,VALUE(RIGHT($A2455,2))&lt;60),GUS_tabl_2!$A$8:$B$464,GUS_tabl_21!$A$5:$B$4886),2,FALSE))),-1)))))</f>
        <v>gm. w. Dubeninki</v>
      </c>
      <c r="D2455" s="141">
        <f>IF(OR($A2455="",ISERROR(VALUE(LEFT($A2455,6)))),"",IF(LEN($A2455)=2,SUMIF($A2456:$A$2965,$A2455&amp;"??",$D2456:$D$2965),IF(AND(LEN($A2455)=4,VALUE(RIGHT($A2455,2))&lt;=60),SUMIF($A2456:$A$2965,$A2455&amp;"????",$D2456:$D$2965),VLOOKUP(IF(LEN($A2455)=4,$A2455&amp;"01 1",$A2455),GUS_tabl_21!$A$5:$F$4886,6,FALSE))))</f>
        <v>2886</v>
      </c>
      <c r="E2455" s="29"/>
    </row>
    <row r="2456" spans="1:5" ht="12" customHeight="1">
      <c r="A2456" s="155" t="str">
        <f>"281803 3"</f>
        <v>281803 3</v>
      </c>
      <c r="B2456" s="153" t="s">
        <v>32</v>
      </c>
      <c r="C2456" s="156" t="str">
        <f>IF(OR($A2456="",ISERROR(VALUE(LEFT($A2456,6)))),"",IF(LEN($A2456)=2,"WOJ. ",IF(LEN($A2456)=4,IF(VALUE(RIGHT($A2456,2))&gt;60,"","Powiat "),IF(VALUE(RIGHT($A2456,1))=1,"m. ",IF(VALUE(RIGHT($A2456,1))=2,"gm. w. ",IF(VALUE(RIGHT($A2456,1))=8,"dz. ","gm. m.-w. ")))))&amp;IF(LEN($A2456)=2,TRIM(UPPER(VLOOKUP($A2456,GUS_tabl_1!$A$7:$B$22,2,FALSE))),IF(ISERROR(FIND("..",TRIM(VLOOKUP(IF(AND(LEN($A2456)=4,VALUE(RIGHT($A2456,2))&gt;60),$A2456&amp;"01 1",$A2456),IF(AND(LEN($A2456)=4,VALUE(RIGHT($A2456,2))&lt;60),GUS_tabl_2!$A$8:$B$464,GUS_tabl_21!$A$5:$B$4886),2,FALSE)))),TRIM(VLOOKUP(IF(AND(LEN($A2456)=4,VALUE(RIGHT($A2456,2))&gt;60),$A2456&amp;"01 1",$A2456),IF(AND(LEN($A2456)=4,VALUE(RIGHT($A2456,2))&lt;60),GUS_tabl_2!$A$8:$B$464,GUS_tabl_21!$A$5:$B$4886),2,FALSE)),LEFT(TRIM(VLOOKUP(IF(AND(LEN($A2456)=4,VALUE(RIGHT($A2456,2))&gt;60),$A2456&amp;"01 1",$A2456),IF(AND(LEN($A2456)=4,VALUE(RIGHT($A2456,2))&lt;60),GUS_tabl_2!$A$8:$B$464,GUS_tabl_21!$A$5:$B$4886),2,FALSE)),SUM(FIND("..",TRIM(VLOOKUP(IF(AND(LEN($A2456)=4,VALUE(RIGHT($A2456,2))&gt;60),$A2456&amp;"01 1",$A2456),IF(AND(LEN($A2456)=4,VALUE(RIGHT($A2456,2))&lt;60),GUS_tabl_2!$A$8:$B$464,GUS_tabl_21!$A$5:$B$4886),2,FALSE))),-1)))))</f>
        <v>gm. m.-w. Gołdap</v>
      </c>
      <c r="D2456" s="141">
        <f>IF(OR($A2456="",ISERROR(VALUE(LEFT($A2456,6)))),"",IF(LEN($A2456)=2,SUMIF($A2457:$A$2965,$A2456&amp;"??",$D2457:$D$2965),IF(AND(LEN($A2456)=4,VALUE(RIGHT($A2456,2))&lt;=60),SUMIF($A2457:$A$2965,$A2456&amp;"????",$D2457:$D$2965),VLOOKUP(IF(LEN($A2456)=4,$A2456&amp;"01 1",$A2456),GUS_tabl_21!$A$5:$F$4886,6,FALSE))))</f>
        <v>20132</v>
      </c>
      <c r="E2456" s="29"/>
    </row>
    <row r="2457" spans="1:5" ht="12" customHeight="1">
      <c r="A2457" s="152" t="str">
        <f>"2807"</f>
        <v>2807</v>
      </c>
      <c r="B2457" s="153" t="s">
        <v>32</v>
      </c>
      <c r="C2457" s="154" t="str">
        <f>IF(OR($A2457="",ISERROR(VALUE(LEFT($A2457,6)))),"",IF(LEN($A2457)=2,"WOJ. ",IF(LEN($A2457)=4,IF(VALUE(RIGHT($A2457,2))&gt;60,"","Powiat "),IF(VALUE(RIGHT($A2457,1))=1,"m. ",IF(VALUE(RIGHT($A2457,1))=2,"gm. w. ",IF(VALUE(RIGHT($A2457,1))=8,"dz. ","gm. m.-w. ")))))&amp;IF(LEN($A2457)=2,TRIM(UPPER(VLOOKUP($A2457,GUS_tabl_1!$A$7:$B$22,2,FALSE))),IF(ISERROR(FIND("..",TRIM(VLOOKUP(IF(AND(LEN($A2457)=4,VALUE(RIGHT($A2457,2))&gt;60),$A2457&amp;"01 1",$A2457),IF(AND(LEN($A2457)=4,VALUE(RIGHT($A2457,2))&lt;60),GUS_tabl_2!$A$8:$B$464,GUS_tabl_21!$A$5:$B$4886),2,FALSE)))),TRIM(VLOOKUP(IF(AND(LEN($A2457)=4,VALUE(RIGHT($A2457,2))&gt;60),$A2457&amp;"01 1",$A2457),IF(AND(LEN($A2457)=4,VALUE(RIGHT($A2457,2))&lt;60),GUS_tabl_2!$A$8:$B$464,GUS_tabl_21!$A$5:$B$4886),2,FALSE)),LEFT(TRIM(VLOOKUP(IF(AND(LEN($A2457)=4,VALUE(RIGHT($A2457,2))&gt;60),$A2457&amp;"01 1",$A2457),IF(AND(LEN($A2457)=4,VALUE(RIGHT($A2457,2))&lt;60),GUS_tabl_2!$A$8:$B$464,GUS_tabl_21!$A$5:$B$4886),2,FALSE)),SUM(FIND("..",TRIM(VLOOKUP(IF(AND(LEN($A2457)=4,VALUE(RIGHT($A2457,2))&gt;60),$A2457&amp;"01 1",$A2457),IF(AND(LEN($A2457)=4,VALUE(RIGHT($A2457,2))&lt;60),GUS_tabl_2!$A$8:$B$464,GUS_tabl_21!$A$5:$B$4886),2,FALSE))),-1)))))</f>
        <v>Powiat iławski</v>
      </c>
      <c r="D2457" s="140">
        <f>IF(OR($A2457="",ISERROR(VALUE(LEFT($A2457,6)))),"",IF(LEN($A2457)=2,SUMIF($A2458:$A$2965,$A2457&amp;"??",$D2458:$D$2965),IF(AND(LEN($A2457)=4,VALUE(RIGHT($A2457,2))&lt;=60),SUMIF($A2458:$A$2965,$A2457&amp;"????",$D2458:$D$2965),VLOOKUP(IF(LEN($A2457)=4,$A2457&amp;"01 1",$A2457),GUS_tabl_21!$A$5:$F$4886,6,FALSE))))</f>
        <v>92879</v>
      </c>
      <c r="E2457" s="29"/>
    </row>
    <row r="2458" spans="1:5" ht="12" customHeight="1">
      <c r="A2458" s="155" t="str">
        <f>"280701 1"</f>
        <v>280701 1</v>
      </c>
      <c r="B2458" s="153" t="s">
        <v>32</v>
      </c>
      <c r="C2458" s="156" t="str">
        <f>IF(OR($A2458="",ISERROR(VALUE(LEFT($A2458,6)))),"",IF(LEN($A2458)=2,"WOJ. ",IF(LEN($A2458)=4,IF(VALUE(RIGHT($A2458,2))&gt;60,"","Powiat "),IF(VALUE(RIGHT($A2458,1))=1,"m. ",IF(VALUE(RIGHT($A2458,1))=2,"gm. w. ",IF(VALUE(RIGHT($A2458,1))=8,"dz. ","gm. m.-w. ")))))&amp;IF(LEN($A2458)=2,TRIM(UPPER(VLOOKUP($A2458,GUS_tabl_1!$A$7:$B$22,2,FALSE))),IF(ISERROR(FIND("..",TRIM(VLOOKUP(IF(AND(LEN($A2458)=4,VALUE(RIGHT($A2458,2))&gt;60),$A2458&amp;"01 1",$A2458),IF(AND(LEN($A2458)=4,VALUE(RIGHT($A2458,2))&lt;60),GUS_tabl_2!$A$8:$B$464,GUS_tabl_21!$A$5:$B$4886),2,FALSE)))),TRIM(VLOOKUP(IF(AND(LEN($A2458)=4,VALUE(RIGHT($A2458,2))&gt;60),$A2458&amp;"01 1",$A2458),IF(AND(LEN($A2458)=4,VALUE(RIGHT($A2458,2))&lt;60),GUS_tabl_2!$A$8:$B$464,GUS_tabl_21!$A$5:$B$4886),2,FALSE)),LEFT(TRIM(VLOOKUP(IF(AND(LEN($A2458)=4,VALUE(RIGHT($A2458,2))&gt;60),$A2458&amp;"01 1",$A2458),IF(AND(LEN($A2458)=4,VALUE(RIGHT($A2458,2))&lt;60),GUS_tabl_2!$A$8:$B$464,GUS_tabl_21!$A$5:$B$4886),2,FALSE)),SUM(FIND("..",TRIM(VLOOKUP(IF(AND(LEN($A2458)=4,VALUE(RIGHT($A2458,2))&gt;60),$A2458&amp;"01 1",$A2458),IF(AND(LEN($A2458)=4,VALUE(RIGHT($A2458,2))&lt;60),GUS_tabl_2!$A$8:$B$464,GUS_tabl_21!$A$5:$B$4886),2,FALSE))),-1)))))</f>
        <v>m. Iława</v>
      </c>
      <c r="D2458" s="141">
        <f>IF(OR($A2458="",ISERROR(VALUE(LEFT($A2458,6)))),"",IF(LEN($A2458)=2,SUMIF($A2459:$A$2965,$A2458&amp;"??",$D2459:$D$2965),IF(AND(LEN($A2458)=4,VALUE(RIGHT($A2458,2))&lt;=60),SUMIF($A2459:$A$2965,$A2458&amp;"????",$D2459:$D$2965),VLOOKUP(IF(LEN($A2458)=4,$A2458&amp;"01 1",$A2458),GUS_tabl_21!$A$5:$F$4886,6,FALSE))))</f>
        <v>33327</v>
      </c>
      <c r="E2458" s="29"/>
    </row>
    <row r="2459" spans="1:5" ht="12" customHeight="1">
      <c r="A2459" s="155" t="str">
        <f>"280702 1"</f>
        <v>280702 1</v>
      </c>
      <c r="B2459" s="153" t="s">
        <v>32</v>
      </c>
      <c r="C2459" s="156" t="str">
        <f>IF(OR($A2459="",ISERROR(VALUE(LEFT($A2459,6)))),"",IF(LEN($A2459)=2,"WOJ. ",IF(LEN($A2459)=4,IF(VALUE(RIGHT($A2459,2))&gt;60,"","Powiat "),IF(VALUE(RIGHT($A2459,1))=1,"m. ",IF(VALUE(RIGHT($A2459,1))=2,"gm. w. ",IF(VALUE(RIGHT($A2459,1))=8,"dz. ","gm. m.-w. ")))))&amp;IF(LEN($A2459)=2,TRIM(UPPER(VLOOKUP($A2459,GUS_tabl_1!$A$7:$B$22,2,FALSE))),IF(ISERROR(FIND("..",TRIM(VLOOKUP(IF(AND(LEN($A2459)=4,VALUE(RIGHT($A2459,2))&gt;60),$A2459&amp;"01 1",$A2459),IF(AND(LEN($A2459)=4,VALUE(RIGHT($A2459,2))&lt;60),GUS_tabl_2!$A$8:$B$464,GUS_tabl_21!$A$5:$B$4886),2,FALSE)))),TRIM(VLOOKUP(IF(AND(LEN($A2459)=4,VALUE(RIGHT($A2459,2))&gt;60),$A2459&amp;"01 1",$A2459),IF(AND(LEN($A2459)=4,VALUE(RIGHT($A2459,2))&lt;60),GUS_tabl_2!$A$8:$B$464,GUS_tabl_21!$A$5:$B$4886),2,FALSE)),LEFT(TRIM(VLOOKUP(IF(AND(LEN($A2459)=4,VALUE(RIGHT($A2459,2))&gt;60),$A2459&amp;"01 1",$A2459),IF(AND(LEN($A2459)=4,VALUE(RIGHT($A2459,2))&lt;60),GUS_tabl_2!$A$8:$B$464,GUS_tabl_21!$A$5:$B$4886),2,FALSE)),SUM(FIND("..",TRIM(VLOOKUP(IF(AND(LEN($A2459)=4,VALUE(RIGHT($A2459,2))&gt;60),$A2459&amp;"01 1",$A2459),IF(AND(LEN($A2459)=4,VALUE(RIGHT($A2459,2))&lt;60),GUS_tabl_2!$A$8:$B$464,GUS_tabl_21!$A$5:$B$4886),2,FALSE))),-1)))))</f>
        <v>m. Lubawa</v>
      </c>
      <c r="D2459" s="141">
        <f>IF(OR($A2459="",ISERROR(VALUE(LEFT($A2459,6)))),"",IF(LEN($A2459)=2,SUMIF($A2460:$A$2965,$A2459&amp;"??",$D2460:$D$2965),IF(AND(LEN($A2459)=4,VALUE(RIGHT($A2459,2))&lt;=60),SUMIF($A2460:$A$2965,$A2459&amp;"????",$D2460:$D$2965),VLOOKUP(IF(LEN($A2459)=4,$A2459&amp;"01 1",$A2459),GUS_tabl_21!$A$5:$F$4886,6,FALSE))))</f>
        <v>10388</v>
      </c>
      <c r="E2459" s="29"/>
    </row>
    <row r="2460" spans="1:5" ht="12" customHeight="1">
      <c r="A2460" s="155" t="str">
        <f>"280703 2"</f>
        <v>280703 2</v>
      </c>
      <c r="B2460" s="153" t="s">
        <v>32</v>
      </c>
      <c r="C2460" s="156" t="str">
        <f>IF(OR($A2460="",ISERROR(VALUE(LEFT($A2460,6)))),"",IF(LEN($A2460)=2,"WOJ. ",IF(LEN($A2460)=4,IF(VALUE(RIGHT($A2460,2))&gt;60,"","Powiat "),IF(VALUE(RIGHT($A2460,1))=1,"m. ",IF(VALUE(RIGHT($A2460,1))=2,"gm. w. ",IF(VALUE(RIGHT($A2460,1))=8,"dz. ","gm. m.-w. ")))))&amp;IF(LEN($A2460)=2,TRIM(UPPER(VLOOKUP($A2460,GUS_tabl_1!$A$7:$B$22,2,FALSE))),IF(ISERROR(FIND("..",TRIM(VLOOKUP(IF(AND(LEN($A2460)=4,VALUE(RIGHT($A2460,2))&gt;60),$A2460&amp;"01 1",$A2460),IF(AND(LEN($A2460)=4,VALUE(RIGHT($A2460,2))&lt;60),GUS_tabl_2!$A$8:$B$464,GUS_tabl_21!$A$5:$B$4886),2,FALSE)))),TRIM(VLOOKUP(IF(AND(LEN($A2460)=4,VALUE(RIGHT($A2460,2))&gt;60),$A2460&amp;"01 1",$A2460),IF(AND(LEN($A2460)=4,VALUE(RIGHT($A2460,2))&lt;60),GUS_tabl_2!$A$8:$B$464,GUS_tabl_21!$A$5:$B$4886),2,FALSE)),LEFT(TRIM(VLOOKUP(IF(AND(LEN($A2460)=4,VALUE(RIGHT($A2460,2))&gt;60),$A2460&amp;"01 1",$A2460),IF(AND(LEN($A2460)=4,VALUE(RIGHT($A2460,2))&lt;60),GUS_tabl_2!$A$8:$B$464,GUS_tabl_21!$A$5:$B$4886),2,FALSE)),SUM(FIND("..",TRIM(VLOOKUP(IF(AND(LEN($A2460)=4,VALUE(RIGHT($A2460,2))&gt;60),$A2460&amp;"01 1",$A2460),IF(AND(LEN($A2460)=4,VALUE(RIGHT($A2460,2))&lt;60),GUS_tabl_2!$A$8:$B$464,GUS_tabl_21!$A$5:$B$4886),2,FALSE))),-1)))))</f>
        <v>gm. w. Iława</v>
      </c>
      <c r="D2460" s="141">
        <f>IF(OR($A2460="",ISERROR(VALUE(LEFT($A2460,6)))),"",IF(LEN($A2460)=2,SUMIF($A2461:$A$2965,$A2460&amp;"??",$D2461:$D$2965),IF(AND(LEN($A2460)=4,VALUE(RIGHT($A2460,2))&lt;=60),SUMIF($A2461:$A$2965,$A2460&amp;"????",$D2461:$D$2965),VLOOKUP(IF(LEN($A2460)=4,$A2460&amp;"01 1",$A2460),GUS_tabl_21!$A$5:$F$4886,6,FALSE))))</f>
        <v>12988</v>
      </c>
      <c r="E2460" s="29"/>
    </row>
    <row r="2461" spans="1:5" ht="12" customHeight="1">
      <c r="A2461" s="155" t="str">
        <f>"280704 3"</f>
        <v>280704 3</v>
      </c>
      <c r="B2461" s="153" t="s">
        <v>32</v>
      </c>
      <c r="C2461" s="156" t="str">
        <f>IF(OR($A2461="",ISERROR(VALUE(LEFT($A2461,6)))),"",IF(LEN($A2461)=2,"WOJ. ",IF(LEN($A2461)=4,IF(VALUE(RIGHT($A2461,2))&gt;60,"","Powiat "),IF(VALUE(RIGHT($A2461,1))=1,"m. ",IF(VALUE(RIGHT($A2461,1))=2,"gm. w. ",IF(VALUE(RIGHT($A2461,1))=8,"dz. ","gm. m.-w. ")))))&amp;IF(LEN($A2461)=2,TRIM(UPPER(VLOOKUP($A2461,GUS_tabl_1!$A$7:$B$22,2,FALSE))),IF(ISERROR(FIND("..",TRIM(VLOOKUP(IF(AND(LEN($A2461)=4,VALUE(RIGHT($A2461,2))&gt;60),$A2461&amp;"01 1",$A2461),IF(AND(LEN($A2461)=4,VALUE(RIGHT($A2461,2))&lt;60),GUS_tabl_2!$A$8:$B$464,GUS_tabl_21!$A$5:$B$4886),2,FALSE)))),TRIM(VLOOKUP(IF(AND(LEN($A2461)=4,VALUE(RIGHT($A2461,2))&gt;60),$A2461&amp;"01 1",$A2461),IF(AND(LEN($A2461)=4,VALUE(RIGHT($A2461,2))&lt;60),GUS_tabl_2!$A$8:$B$464,GUS_tabl_21!$A$5:$B$4886),2,FALSE)),LEFT(TRIM(VLOOKUP(IF(AND(LEN($A2461)=4,VALUE(RIGHT($A2461,2))&gt;60),$A2461&amp;"01 1",$A2461),IF(AND(LEN($A2461)=4,VALUE(RIGHT($A2461,2))&lt;60),GUS_tabl_2!$A$8:$B$464,GUS_tabl_21!$A$5:$B$4886),2,FALSE)),SUM(FIND("..",TRIM(VLOOKUP(IF(AND(LEN($A2461)=4,VALUE(RIGHT($A2461,2))&gt;60),$A2461&amp;"01 1",$A2461),IF(AND(LEN($A2461)=4,VALUE(RIGHT($A2461,2))&lt;60),GUS_tabl_2!$A$8:$B$464,GUS_tabl_21!$A$5:$B$4886),2,FALSE))),-1)))))</f>
        <v>gm. m.-w. Kisielice</v>
      </c>
      <c r="D2461" s="141">
        <f>IF(OR($A2461="",ISERROR(VALUE(LEFT($A2461,6)))),"",IF(LEN($A2461)=2,SUMIF($A2462:$A$2965,$A2461&amp;"??",$D2462:$D$2965),IF(AND(LEN($A2461)=4,VALUE(RIGHT($A2461,2))&lt;=60),SUMIF($A2462:$A$2965,$A2461&amp;"????",$D2462:$D$2965),VLOOKUP(IF(LEN($A2461)=4,$A2461&amp;"01 1",$A2461),GUS_tabl_21!$A$5:$F$4886,6,FALSE))))</f>
        <v>5997</v>
      </c>
      <c r="E2461" s="29"/>
    </row>
    <row r="2462" spans="1:5" ht="12" customHeight="1">
      <c r="A2462" s="155" t="str">
        <f>"280705 2"</f>
        <v>280705 2</v>
      </c>
      <c r="B2462" s="153" t="s">
        <v>32</v>
      </c>
      <c r="C2462" s="156" t="str">
        <f>IF(OR($A2462="",ISERROR(VALUE(LEFT($A2462,6)))),"",IF(LEN($A2462)=2,"WOJ. ",IF(LEN($A2462)=4,IF(VALUE(RIGHT($A2462,2))&gt;60,"","Powiat "),IF(VALUE(RIGHT($A2462,1))=1,"m. ",IF(VALUE(RIGHT($A2462,1))=2,"gm. w. ",IF(VALUE(RIGHT($A2462,1))=8,"dz. ","gm. m.-w. ")))))&amp;IF(LEN($A2462)=2,TRIM(UPPER(VLOOKUP($A2462,GUS_tabl_1!$A$7:$B$22,2,FALSE))),IF(ISERROR(FIND("..",TRIM(VLOOKUP(IF(AND(LEN($A2462)=4,VALUE(RIGHT($A2462,2))&gt;60),$A2462&amp;"01 1",$A2462),IF(AND(LEN($A2462)=4,VALUE(RIGHT($A2462,2))&lt;60),GUS_tabl_2!$A$8:$B$464,GUS_tabl_21!$A$5:$B$4886),2,FALSE)))),TRIM(VLOOKUP(IF(AND(LEN($A2462)=4,VALUE(RIGHT($A2462,2))&gt;60),$A2462&amp;"01 1",$A2462),IF(AND(LEN($A2462)=4,VALUE(RIGHT($A2462,2))&lt;60),GUS_tabl_2!$A$8:$B$464,GUS_tabl_21!$A$5:$B$4886),2,FALSE)),LEFT(TRIM(VLOOKUP(IF(AND(LEN($A2462)=4,VALUE(RIGHT($A2462,2))&gt;60),$A2462&amp;"01 1",$A2462),IF(AND(LEN($A2462)=4,VALUE(RIGHT($A2462,2))&lt;60),GUS_tabl_2!$A$8:$B$464,GUS_tabl_21!$A$5:$B$4886),2,FALSE)),SUM(FIND("..",TRIM(VLOOKUP(IF(AND(LEN($A2462)=4,VALUE(RIGHT($A2462,2))&gt;60),$A2462&amp;"01 1",$A2462),IF(AND(LEN($A2462)=4,VALUE(RIGHT($A2462,2))&lt;60),GUS_tabl_2!$A$8:$B$464,GUS_tabl_21!$A$5:$B$4886),2,FALSE))),-1)))))</f>
        <v>gm. w. Lubawa</v>
      </c>
      <c r="D2462" s="141">
        <f>IF(OR($A2462="",ISERROR(VALUE(LEFT($A2462,6)))),"",IF(LEN($A2462)=2,SUMIF($A2463:$A$2965,$A2462&amp;"??",$D2463:$D$2965),IF(AND(LEN($A2462)=4,VALUE(RIGHT($A2462,2))&lt;=60),SUMIF($A2463:$A$2965,$A2462&amp;"????",$D2463:$D$2965),VLOOKUP(IF(LEN($A2462)=4,$A2462&amp;"01 1",$A2462),GUS_tabl_21!$A$5:$F$4886,6,FALSE))))</f>
        <v>10689</v>
      </c>
      <c r="E2462" s="29"/>
    </row>
    <row r="2463" spans="1:5" ht="12" customHeight="1">
      <c r="A2463" s="155" t="str">
        <f>"280706 3"</f>
        <v>280706 3</v>
      </c>
      <c r="B2463" s="153" t="s">
        <v>32</v>
      </c>
      <c r="C2463" s="156" t="str">
        <f>IF(OR($A2463="",ISERROR(VALUE(LEFT($A2463,6)))),"",IF(LEN($A2463)=2,"WOJ. ",IF(LEN($A2463)=4,IF(VALUE(RIGHT($A2463,2))&gt;60,"","Powiat "),IF(VALUE(RIGHT($A2463,1))=1,"m. ",IF(VALUE(RIGHT($A2463,1))=2,"gm. w. ",IF(VALUE(RIGHT($A2463,1))=8,"dz. ","gm. m.-w. ")))))&amp;IF(LEN($A2463)=2,TRIM(UPPER(VLOOKUP($A2463,GUS_tabl_1!$A$7:$B$22,2,FALSE))),IF(ISERROR(FIND("..",TRIM(VLOOKUP(IF(AND(LEN($A2463)=4,VALUE(RIGHT($A2463,2))&gt;60),$A2463&amp;"01 1",$A2463),IF(AND(LEN($A2463)=4,VALUE(RIGHT($A2463,2))&lt;60),GUS_tabl_2!$A$8:$B$464,GUS_tabl_21!$A$5:$B$4886),2,FALSE)))),TRIM(VLOOKUP(IF(AND(LEN($A2463)=4,VALUE(RIGHT($A2463,2))&gt;60),$A2463&amp;"01 1",$A2463),IF(AND(LEN($A2463)=4,VALUE(RIGHT($A2463,2))&lt;60),GUS_tabl_2!$A$8:$B$464,GUS_tabl_21!$A$5:$B$4886),2,FALSE)),LEFT(TRIM(VLOOKUP(IF(AND(LEN($A2463)=4,VALUE(RIGHT($A2463,2))&gt;60),$A2463&amp;"01 1",$A2463),IF(AND(LEN($A2463)=4,VALUE(RIGHT($A2463,2))&lt;60),GUS_tabl_2!$A$8:$B$464,GUS_tabl_21!$A$5:$B$4886),2,FALSE)),SUM(FIND("..",TRIM(VLOOKUP(IF(AND(LEN($A2463)=4,VALUE(RIGHT($A2463,2))&gt;60),$A2463&amp;"01 1",$A2463),IF(AND(LEN($A2463)=4,VALUE(RIGHT($A2463,2))&lt;60),GUS_tabl_2!$A$8:$B$464,GUS_tabl_21!$A$5:$B$4886),2,FALSE))),-1)))))</f>
        <v>gm. m.-w. Susz</v>
      </c>
      <c r="D2463" s="141">
        <f>IF(OR($A2463="",ISERROR(VALUE(LEFT($A2463,6)))),"",IF(LEN($A2463)=2,SUMIF($A2464:$A$2965,$A2463&amp;"??",$D2464:$D$2965),IF(AND(LEN($A2463)=4,VALUE(RIGHT($A2463,2))&lt;=60),SUMIF($A2464:$A$2965,$A2463&amp;"????",$D2464:$D$2965),VLOOKUP(IF(LEN($A2463)=4,$A2463&amp;"01 1",$A2463),GUS_tabl_21!$A$5:$F$4886,6,FALSE))))</f>
        <v>12727</v>
      </c>
      <c r="E2463" s="29"/>
    </row>
    <row r="2464" spans="1:5" ht="12" customHeight="1">
      <c r="A2464" s="155" t="str">
        <f>"280707 3"</f>
        <v>280707 3</v>
      </c>
      <c r="B2464" s="153" t="s">
        <v>32</v>
      </c>
      <c r="C2464" s="156" t="str">
        <f>IF(OR($A2464="",ISERROR(VALUE(LEFT($A2464,6)))),"",IF(LEN($A2464)=2,"WOJ. ",IF(LEN($A2464)=4,IF(VALUE(RIGHT($A2464,2))&gt;60,"","Powiat "),IF(VALUE(RIGHT($A2464,1))=1,"m. ",IF(VALUE(RIGHT($A2464,1))=2,"gm. w. ",IF(VALUE(RIGHT($A2464,1))=8,"dz. ","gm. m.-w. ")))))&amp;IF(LEN($A2464)=2,TRIM(UPPER(VLOOKUP($A2464,GUS_tabl_1!$A$7:$B$22,2,FALSE))),IF(ISERROR(FIND("..",TRIM(VLOOKUP(IF(AND(LEN($A2464)=4,VALUE(RIGHT($A2464,2))&gt;60),$A2464&amp;"01 1",$A2464),IF(AND(LEN($A2464)=4,VALUE(RIGHT($A2464,2))&lt;60),GUS_tabl_2!$A$8:$B$464,GUS_tabl_21!$A$5:$B$4886),2,FALSE)))),TRIM(VLOOKUP(IF(AND(LEN($A2464)=4,VALUE(RIGHT($A2464,2))&gt;60),$A2464&amp;"01 1",$A2464),IF(AND(LEN($A2464)=4,VALUE(RIGHT($A2464,2))&lt;60),GUS_tabl_2!$A$8:$B$464,GUS_tabl_21!$A$5:$B$4886),2,FALSE)),LEFT(TRIM(VLOOKUP(IF(AND(LEN($A2464)=4,VALUE(RIGHT($A2464,2))&gt;60),$A2464&amp;"01 1",$A2464),IF(AND(LEN($A2464)=4,VALUE(RIGHT($A2464,2))&lt;60),GUS_tabl_2!$A$8:$B$464,GUS_tabl_21!$A$5:$B$4886),2,FALSE)),SUM(FIND("..",TRIM(VLOOKUP(IF(AND(LEN($A2464)=4,VALUE(RIGHT($A2464,2))&gt;60),$A2464&amp;"01 1",$A2464),IF(AND(LEN($A2464)=4,VALUE(RIGHT($A2464,2))&lt;60),GUS_tabl_2!$A$8:$B$464,GUS_tabl_21!$A$5:$B$4886),2,FALSE))),-1)))))</f>
        <v>gm. m.-w. Zalewo</v>
      </c>
      <c r="D2464" s="141">
        <f>IF(OR($A2464="",ISERROR(VALUE(LEFT($A2464,6)))),"",IF(LEN($A2464)=2,SUMIF($A2465:$A$2965,$A2464&amp;"??",$D2465:$D$2965),IF(AND(LEN($A2464)=4,VALUE(RIGHT($A2464,2))&lt;=60),SUMIF($A2465:$A$2965,$A2464&amp;"????",$D2465:$D$2965),VLOOKUP(IF(LEN($A2464)=4,$A2464&amp;"01 1",$A2464),GUS_tabl_21!$A$5:$F$4886,6,FALSE))))</f>
        <v>6763</v>
      </c>
      <c r="E2464" s="29"/>
    </row>
    <row r="2465" spans="1:5" ht="12" customHeight="1">
      <c r="A2465" s="152" t="str">
        <f>"2808"</f>
        <v>2808</v>
      </c>
      <c r="B2465" s="153" t="s">
        <v>32</v>
      </c>
      <c r="C2465" s="154" t="str">
        <f>IF(OR($A2465="",ISERROR(VALUE(LEFT($A2465,6)))),"",IF(LEN($A2465)=2,"WOJ. ",IF(LEN($A2465)=4,IF(VALUE(RIGHT($A2465,2))&gt;60,"","Powiat "),IF(VALUE(RIGHT($A2465,1))=1,"m. ",IF(VALUE(RIGHT($A2465,1))=2,"gm. w. ",IF(VALUE(RIGHT($A2465,1))=8,"dz. ","gm. m.-w. ")))))&amp;IF(LEN($A2465)=2,TRIM(UPPER(VLOOKUP($A2465,GUS_tabl_1!$A$7:$B$22,2,FALSE))),IF(ISERROR(FIND("..",TRIM(VLOOKUP(IF(AND(LEN($A2465)=4,VALUE(RIGHT($A2465,2))&gt;60),$A2465&amp;"01 1",$A2465),IF(AND(LEN($A2465)=4,VALUE(RIGHT($A2465,2))&lt;60),GUS_tabl_2!$A$8:$B$464,GUS_tabl_21!$A$5:$B$4886),2,FALSE)))),TRIM(VLOOKUP(IF(AND(LEN($A2465)=4,VALUE(RIGHT($A2465,2))&gt;60),$A2465&amp;"01 1",$A2465),IF(AND(LEN($A2465)=4,VALUE(RIGHT($A2465,2))&lt;60),GUS_tabl_2!$A$8:$B$464,GUS_tabl_21!$A$5:$B$4886),2,FALSE)),LEFT(TRIM(VLOOKUP(IF(AND(LEN($A2465)=4,VALUE(RIGHT($A2465,2))&gt;60),$A2465&amp;"01 1",$A2465),IF(AND(LEN($A2465)=4,VALUE(RIGHT($A2465,2))&lt;60),GUS_tabl_2!$A$8:$B$464,GUS_tabl_21!$A$5:$B$4886),2,FALSE)),SUM(FIND("..",TRIM(VLOOKUP(IF(AND(LEN($A2465)=4,VALUE(RIGHT($A2465,2))&gt;60),$A2465&amp;"01 1",$A2465),IF(AND(LEN($A2465)=4,VALUE(RIGHT($A2465,2))&lt;60),GUS_tabl_2!$A$8:$B$464,GUS_tabl_21!$A$5:$B$4886),2,FALSE))),-1)))))</f>
        <v>Powiat kętrzyński</v>
      </c>
      <c r="D2465" s="140">
        <f>IF(OR($A2465="",ISERROR(VALUE(LEFT($A2465,6)))),"",IF(LEN($A2465)=2,SUMIF($A2466:$A$2965,$A2465&amp;"??",$D2466:$D$2965),IF(AND(LEN($A2465)=4,VALUE(RIGHT($A2465,2))&lt;=60),SUMIF($A2466:$A$2965,$A2465&amp;"????",$D2466:$D$2965),VLOOKUP(IF(LEN($A2465)=4,$A2465&amp;"01 1",$A2465),GUS_tabl_21!$A$5:$F$4886,6,FALSE))))</f>
        <v>62283</v>
      </c>
      <c r="E2465" s="29"/>
    </row>
    <row r="2466" spans="1:5" ht="12" customHeight="1">
      <c r="A2466" s="155" t="str">
        <f>"280801 1"</f>
        <v>280801 1</v>
      </c>
      <c r="B2466" s="153" t="s">
        <v>32</v>
      </c>
      <c r="C2466" s="156" t="str">
        <f>IF(OR($A2466="",ISERROR(VALUE(LEFT($A2466,6)))),"",IF(LEN($A2466)=2,"WOJ. ",IF(LEN($A2466)=4,IF(VALUE(RIGHT($A2466,2))&gt;60,"","Powiat "),IF(VALUE(RIGHT($A2466,1))=1,"m. ",IF(VALUE(RIGHT($A2466,1))=2,"gm. w. ",IF(VALUE(RIGHT($A2466,1))=8,"dz. ","gm. m.-w. ")))))&amp;IF(LEN($A2466)=2,TRIM(UPPER(VLOOKUP($A2466,GUS_tabl_1!$A$7:$B$22,2,FALSE))),IF(ISERROR(FIND("..",TRIM(VLOOKUP(IF(AND(LEN($A2466)=4,VALUE(RIGHT($A2466,2))&gt;60),$A2466&amp;"01 1",$A2466),IF(AND(LEN($A2466)=4,VALUE(RIGHT($A2466,2))&lt;60),GUS_tabl_2!$A$8:$B$464,GUS_tabl_21!$A$5:$B$4886),2,FALSE)))),TRIM(VLOOKUP(IF(AND(LEN($A2466)=4,VALUE(RIGHT($A2466,2))&gt;60),$A2466&amp;"01 1",$A2466),IF(AND(LEN($A2466)=4,VALUE(RIGHT($A2466,2))&lt;60),GUS_tabl_2!$A$8:$B$464,GUS_tabl_21!$A$5:$B$4886),2,FALSE)),LEFT(TRIM(VLOOKUP(IF(AND(LEN($A2466)=4,VALUE(RIGHT($A2466,2))&gt;60),$A2466&amp;"01 1",$A2466),IF(AND(LEN($A2466)=4,VALUE(RIGHT($A2466,2))&lt;60),GUS_tabl_2!$A$8:$B$464,GUS_tabl_21!$A$5:$B$4886),2,FALSE)),SUM(FIND("..",TRIM(VLOOKUP(IF(AND(LEN($A2466)=4,VALUE(RIGHT($A2466,2))&gt;60),$A2466&amp;"01 1",$A2466),IF(AND(LEN($A2466)=4,VALUE(RIGHT($A2466,2))&lt;60),GUS_tabl_2!$A$8:$B$464,GUS_tabl_21!$A$5:$B$4886),2,FALSE))),-1)))))</f>
        <v>m. Kętrzyn</v>
      </c>
      <c r="D2466" s="141">
        <f>IF(OR($A2466="",ISERROR(VALUE(LEFT($A2466,6)))),"",IF(LEN($A2466)=2,SUMIF($A2467:$A$2965,$A2466&amp;"??",$D2467:$D$2965),IF(AND(LEN($A2466)=4,VALUE(RIGHT($A2466,2))&lt;=60),SUMIF($A2467:$A$2965,$A2466&amp;"????",$D2467:$D$2965),VLOOKUP(IF(LEN($A2466)=4,$A2466&amp;"01 1",$A2466),GUS_tabl_21!$A$5:$F$4886,6,FALSE))))</f>
        <v>27056</v>
      </c>
      <c r="E2466" s="29"/>
    </row>
    <row r="2467" spans="1:5" ht="12" customHeight="1">
      <c r="A2467" s="155" t="str">
        <f>"280802 2"</f>
        <v>280802 2</v>
      </c>
      <c r="B2467" s="153" t="s">
        <v>32</v>
      </c>
      <c r="C2467" s="156" t="str">
        <f>IF(OR($A2467="",ISERROR(VALUE(LEFT($A2467,6)))),"",IF(LEN($A2467)=2,"WOJ. ",IF(LEN($A2467)=4,IF(VALUE(RIGHT($A2467,2))&gt;60,"","Powiat "),IF(VALUE(RIGHT($A2467,1))=1,"m. ",IF(VALUE(RIGHT($A2467,1))=2,"gm. w. ",IF(VALUE(RIGHT($A2467,1))=8,"dz. ","gm. m.-w. ")))))&amp;IF(LEN($A2467)=2,TRIM(UPPER(VLOOKUP($A2467,GUS_tabl_1!$A$7:$B$22,2,FALSE))),IF(ISERROR(FIND("..",TRIM(VLOOKUP(IF(AND(LEN($A2467)=4,VALUE(RIGHT($A2467,2))&gt;60),$A2467&amp;"01 1",$A2467),IF(AND(LEN($A2467)=4,VALUE(RIGHT($A2467,2))&lt;60),GUS_tabl_2!$A$8:$B$464,GUS_tabl_21!$A$5:$B$4886),2,FALSE)))),TRIM(VLOOKUP(IF(AND(LEN($A2467)=4,VALUE(RIGHT($A2467,2))&gt;60),$A2467&amp;"01 1",$A2467),IF(AND(LEN($A2467)=4,VALUE(RIGHT($A2467,2))&lt;60),GUS_tabl_2!$A$8:$B$464,GUS_tabl_21!$A$5:$B$4886),2,FALSE)),LEFT(TRIM(VLOOKUP(IF(AND(LEN($A2467)=4,VALUE(RIGHT($A2467,2))&gt;60),$A2467&amp;"01 1",$A2467),IF(AND(LEN($A2467)=4,VALUE(RIGHT($A2467,2))&lt;60),GUS_tabl_2!$A$8:$B$464,GUS_tabl_21!$A$5:$B$4886),2,FALSE)),SUM(FIND("..",TRIM(VLOOKUP(IF(AND(LEN($A2467)=4,VALUE(RIGHT($A2467,2))&gt;60),$A2467&amp;"01 1",$A2467),IF(AND(LEN($A2467)=4,VALUE(RIGHT($A2467,2))&lt;60),GUS_tabl_2!$A$8:$B$464,GUS_tabl_21!$A$5:$B$4886),2,FALSE))),-1)))))</f>
        <v>gm. w. Barciany (c)</v>
      </c>
      <c r="D2467" s="141">
        <f>IF(OR($A2467="",ISERROR(VALUE(LEFT($A2467,6)))),"",IF(LEN($A2467)=2,SUMIF($A2468:$A$2965,$A2467&amp;"??",$D2468:$D$2965),IF(AND(LEN($A2467)=4,VALUE(RIGHT($A2467,2))&lt;=60),SUMIF($A2468:$A$2965,$A2467&amp;"????",$D2468:$D$2965),VLOOKUP(IF(LEN($A2467)=4,$A2467&amp;"01 1",$A2467),GUS_tabl_21!$A$5:$F$4886,6,FALSE))))</f>
        <v>6109</v>
      </c>
      <c r="E2467" s="29"/>
    </row>
    <row r="2468" spans="1:5" ht="12" customHeight="1">
      <c r="A2468" s="155" t="str">
        <f>"280803 2"</f>
        <v>280803 2</v>
      </c>
      <c r="B2468" s="153" t="s">
        <v>32</v>
      </c>
      <c r="C2468" s="156" t="str">
        <f>IF(OR($A2468="",ISERROR(VALUE(LEFT($A2468,6)))),"",IF(LEN($A2468)=2,"WOJ. ",IF(LEN($A2468)=4,IF(VALUE(RIGHT($A2468,2))&gt;60,"","Powiat "),IF(VALUE(RIGHT($A2468,1))=1,"m. ",IF(VALUE(RIGHT($A2468,1))=2,"gm. w. ",IF(VALUE(RIGHT($A2468,1))=8,"dz. ","gm. m.-w. ")))))&amp;IF(LEN($A2468)=2,TRIM(UPPER(VLOOKUP($A2468,GUS_tabl_1!$A$7:$B$22,2,FALSE))),IF(ISERROR(FIND("..",TRIM(VLOOKUP(IF(AND(LEN($A2468)=4,VALUE(RIGHT($A2468,2))&gt;60),$A2468&amp;"01 1",$A2468),IF(AND(LEN($A2468)=4,VALUE(RIGHT($A2468,2))&lt;60),GUS_tabl_2!$A$8:$B$464,GUS_tabl_21!$A$5:$B$4886),2,FALSE)))),TRIM(VLOOKUP(IF(AND(LEN($A2468)=4,VALUE(RIGHT($A2468,2))&gt;60),$A2468&amp;"01 1",$A2468),IF(AND(LEN($A2468)=4,VALUE(RIGHT($A2468,2))&lt;60),GUS_tabl_2!$A$8:$B$464,GUS_tabl_21!$A$5:$B$4886),2,FALSE)),LEFT(TRIM(VLOOKUP(IF(AND(LEN($A2468)=4,VALUE(RIGHT($A2468,2))&gt;60),$A2468&amp;"01 1",$A2468),IF(AND(LEN($A2468)=4,VALUE(RIGHT($A2468,2))&lt;60),GUS_tabl_2!$A$8:$B$464,GUS_tabl_21!$A$5:$B$4886),2,FALSE)),SUM(FIND("..",TRIM(VLOOKUP(IF(AND(LEN($A2468)=4,VALUE(RIGHT($A2468,2))&gt;60),$A2468&amp;"01 1",$A2468),IF(AND(LEN($A2468)=4,VALUE(RIGHT($A2468,2))&lt;60),GUS_tabl_2!$A$8:$B$464,GUS_tabl_21!$A$5:$B$4886),2,FALSE))),-1)))))</f>
        <v>gm. w. Kętrzyn</v>
      </c>
      <c r="D2468" s="141">
        <f>IF(OR($A2468="",ISERROR(VALUE(LEFT($A2468,6)))),"",IF(LEN($A2468)=2,SUMIF($A2469:$A$2965,$A2468&amp;"??",$D2469:$D$2965),IF(AND(LEN($A2468)=4,VALUE(RIGHT($A2468,2))&lt;=60),SUMIF($A2469:$A$2965,$A2468&amp;"????",$D2469:$D$2965),VLOOKUP(IF(LEN($A2468)=4,$A2468&amp;"01 1",$A2468),GUS_tabl_21!$A$5:$F$4886,6,FALSE))))</f>
        <v>8230</v>
      </c>
      <c r="E2468" s="29"/>
    </row>
    <row r="2469" spans="1:5" ht="12" customHeight="1">
      <c r="A2469" s="155" t="str">
        <f>"280804 3"</f>
        <v>280804 3</v>
      </c>
      <c r="B2469" s="153" t="s">
        <v>32</v>
      </c>
      <c r="C2469" s="156" t="str">
        <f>IF(OR($A2469="",ISERROR(VALUE(LEFT($A2469,6)))),"",IF(LEN($A2469)=2,"WOJ. ",IF(LEN($A2469)=4,IF(VALUE(RIGHT($A2469,2))&gt;60,"","Powiat "),IF(VALUE(RIGHT($A2469,1))=1,"m. ",IF(VALUE(RIGHT($A2469,1))=2,"gm. w. ",IF(VALUE(RIGHT($A2469,1))=8,"dz. ","gm. m.-w. ")))))&amp;IF(LEN($A2469)=2,TRIM(UPPER(VLOOKUP($A2469,GUS_tabl_1!$A$7:$B$22,2,FALSE))),IF(ISERROR(FIND("..",TRIM(VLOOKUP(IF(AND(LEN($A2469)=4,VALUE(RIGHT($A2469,2))&gt;60),$A2469&amp;"01 1",$A2469),IF(AND(LEN($A2469)=4,VALUE(RIGHT($A2469,2))&lt;60),GUS_tabl_2!$A$8:$B$464,GUS_tabl_21!$A$5:$B$4886),2,FALSE)))),TRIM(VLOOKUP(IF(AND(LEN($A2469)=4,VALUE(RIGHT($A2469,2))&gt;60),$A2469&amp;"01 1",$A2469),IF(AND(LEN($A2469)=4,VALUE(RIGHT($A2469,2))&lt;60),GUS_tabl_2!$A$8:$B$464,GUS_tabl_21!$A$5:$B$4886),2,FALSE)),LEFT(TRIM(VLOOKUP(IF(AND(LEN($A2469)=4,VALUE(RIGHT($A2469,2))&gt;60),$A2469&amp;"01 1",$A2469),IF(AND(LEN($A2469)=4,VALUE(RIGHT($A2469,2))&lt;60),GUS_tabl_2!$A$8:$B$464,GUS_tabl_21!$A$5:$B$4886),2,FALSE)),SUM(FIND("..",TRIM(VLOOKUP(IF(AND(LEN($A2469)=4,VALUE(RIGHT($A2469,2))&gt;60),$A2469&amp;"01 1",$A2469),IF(AND(LEN($A2469)=4,VALUE(RIGHT($A2469,2))&lt;60),GUS_tabl_2!$A$8:$B$464,GUS_tabl_21!$A$5:$B$4886),2,FALSE))),-1)))))</f>
        <v>gm. m.-w. Korsze</v>
      </c>
      <c r="D2469" s="141">
        <f>IF(OR($A2469="",ISERROR(VALUE(LEFT($A2469,6)))),"",IF(LEN($A2469)=2,SUMIF($A2470:$A$2965,$A2469&amp;"??",$D2470:$D$2965),IF(AND(LEN($A2469)=4,VALUE(RIGHT($A2469,2))&lt;=60),SUMIF($A2470:$A$2965,$A2469&amp;"????",$D2470:$D$2965),VLOOKUP(IF(LEN($A2469)=4,$A2469&amp;"01 1",$A2469),GUS_tabl_21!$A$5:$F$4886,6,FALSE))))</f>
        <v>9646</v>
      </c>
      <c r="E2469" s="29"/>
    </row>
    <row r="2470" spans="1:5" ht="12" customHeight="1">
      <c r="A2470" s="155" t="str">
        <f>"280805 3"</f>
        <v>280805 3</v>
      </c>
      <c r="B2470" s="153" t="s">
        <v>32</v>
      </c>
      <c r="C2470" s="156" t="str">
        <f>IF(OR($A2470="",ISERROR(VALUE(LEFT($A2470,6)))),"",IF(LEN($A2470)=2,"WOJ. ",IF(LEN($A2470)=4,IF(VALUE(RIGHT($A2470,2))&gt;60,"","Powiat "),IF(VALUE(RIGHT($A2470,1))=1,"m. ",IF(VALUE(RIGHT($A2470,1))=2,"gm. w. ",IF(VALUE(RIGHT($A2470,1))=8,"dz. ","gm. m.-w. ")))))&amp;IF(LEN($A2470)=2,TRIM(UPPER(VLOOKUP($A2470,GUS_tabl_1!$A$7:$B$22,2,FALSE))),IF(ISERROR(FIND("..",TRIM(VLOOKUP(IF(AND(LEN($A2470)=4,VALUE(RIGHT($A2470,2))&gt;60),$A2470&amp;"01 1",$A2470),IF(AND(LEN($A2470)=4,VALUE(RIGHT($A2470,2))&lt;60),GUS_tabl_2!$A$8:$B$464,GUS_tabl_21!$A$5:$B$4886),2,FALSE)))),TRIM(VLOOKUP(IF(AND(LEN($A2470)=4,VALUE(RIGHT($A2470,2))&gt;60),$A2470&amp;"01 1",$A2470),IF(AND(LEN($A2470)=4,VALUE(RIGHT($A2470,2))&lt;60),GUS_tabl_2!$A$8:$B$464,GUS_tabl_21!$A$5:$B$4886),2,FALSE)),LEFT(TRIM(VLOOKUP(IF(AND(LEN($A2470)=4,VALUE(RIGHT($A2470,2))&gt;60),$A2470&amp;"01 1",$A2470),IF(AND(LEN($A2470)=4,VALUE(RIGHT($A2470,2))&lt;60),GUS_tabl_2!$A$8:$B$464,GUS_tabl_21!$A$5:$B$4886),2,FALSE)),SUM(FIND("..",TRIM(VLOOKUP(IF(AND(LEN($A2470)=4,VALUE(RIGHT($A2470,2))&gt;60),$A2470&amp;"01 1",$A2470),IF(AND(LEN($A2470)=4,VALUE(RIGHT($A2470,2))&lt;60),GUS_tabl_2!$A$8:$B$464,GUS_tabl_21!$A$5:$B$4886),2,FALSE))),-1)))))</f>
        <v>gm. m.-w. Reszel</v>
      </c>
      <c r="D2470" s="141">
        <f>IF(OR($A2470="",ISERROR(VALUE(LEFT($A2470,6)))),"",IF(LEN($A2470)=2,SUMIF($A2471:$A$2965,$A2470&amp;"??",$D2471:$D$2965),IF(AND(LEN($A2470)=4,VALUE(RIGHT($A2470,2))&lt;=60),SUMIF($A2471:$A$2965,$A2470&amp;"????",$D2471:$D$2965),VLOOKUP(IF(LEN($A2470)=4,$A2470&amp;"01 1",$A2470),GUS_tabl_21!$A$5:$F$4886,6,FALSE))))</f>
        <v>7488</v>
      </c>
      <c r="E2470" s="29"/>
    </row>
    <row r="2471" spans="1:5" ht="12" customHeight="1">
      <c r="A2471" s="155" t="str">
        <f>"280806 2"</f>
        <v>280806 2</v>
      </c>
      <c r="B2471" s="153" t="s">
        <v>32</v>
      </c>
      <c r="C2471" s="156" t="str">
        <f>IF(OR($A2471="",ISERROR(VALUE(LEFT($A2471,6)))),"",IF(LEN($A2471)=2,"WOJ. ",IF(LEN($A2471)=4,IF(VALUE(RIGHT($A2471,2))&gt;60,"","Powiat "),IF(VALUE(RIGHT($A2471,1))=1,"m. ",IF(VALUE(RIGHT($A2471,1))=2,"gm. w. ",IF(VALUE(RIGHT($A2471,1))=8,"dz. ","gm. m.-w. ")))))&amp;IF(LEN($A2471)=2,TRIM(UPPER(VLOOKUP($A2471,GUS_tabl_1!$A$7:$B$22,2,FALSE))),IF(ISERROR(FIND("..",TRIM(VLOOKUP(IF(AND(LEN($A2471)=4,VALUE(RIGHT($A2471,2))&gt;60),$A2471&amp;"01 1",$A2471),IF(AND(LEN($A2471)=4,VALUE(RIGHT($A2471,2))&lt;60),GUS_tabl_2!$A$8:$B$464,GUS_tabl_21!$A$5:$B$4886),2,FALSE)))),TRIM(VLOOKUP(IF(AND(LEN($A2471)=4,VALUE(RIGHT($A2471,2))&gt;60),$A2471&amp;"01 1",$A2471),IF(AND(LEN($A2471)=4,VALUE(RIGHT($A2471,2))&lt;60),GUS_tabl_2!$A$8:$B$464,GUS_tabl_21!$A$5:$B$4886),2,FALSE)),LEFT(TRIM(VLOOKUP(IF(AND(LEN($A2471)=4,VALUE(RIGHT($A2471,2))&gt;60),$A2471&amp;"01 1",$A2471),IF(AND(LEN($A2471)=4,VALUE(RIGHT($A2471,2))&lt;60),GUS_tabl_2!$A$8:$B$464,GUS_tabl_21!$A$5:$B$4886),2,FALSE)),SUM(FIND("..",TRIM(VLOOKUP(IF(AND(LEN($A2471)=4,VALUE(RIGHT($A2471,2))&gt;60),$A2471&amp;"01 1",$A2471),IF(AND(LEN($A2471)=4,VALUE(RIGHT($A2471,2))&lt;60),GUS_tabl_2!$A$8:$B$464,GUS_tabl_21!$A$5:$B$4886),2,FALSE))),-1)))))</f>
        <v>gm. w. Srokowo</v>
      </c>
      <c r="D2471" s="141">
        <f>IF(OR($A2471="",ISERROR(VALUE(LEFT($A2471,6)))),"",IF(LEN($A2471)=2,SUMIF($A2472:$A$2965,$A2471&amp;"??",$D2472:$D$2965),IF(AND(LEN($A2471)=4,VALUE(RIGHT($A2471,2))&lt;=60),SUMIF($A2472:$A$2965,$A2471&amp;"????",$D2472:$D$2965),VLOOKUP(IF(LEN($A2471)=4,$A2471&amp;"01 1",$A2471),GUS_tabl_21!$A$5:$F$4886,6,FALSE))))</f>
        <v>3754</v>
      </c>
      <c r="E2471" s="29"/>
    </row>
    <row r="2472" spans="1:5" ht="12" customHeight="1">
      <c r="A2472" s="152" t="str">
        <f>"2809"</f>
        <v>2809</v>
      </c>
      <c r="B2472" s="153" t="s">
        <v>32</v>
      </c>
      <c r="C2472" s="154" t="str">
        <f>IF(OR($A2472="",ISERROR(VALUE(LEFT($A2472,6)))),"",IF(LEN($A2472)=2,"WOJ. ",IF(LEN($A2472)=4,IF(VALUE(RIGHT($A2472,2))&gt;60,"","Powiat "),IF(VALUE(RIGHT($A2472,1))=1,"m. ",IF(VALUE(RIGHT($A2472,1))=2,"gm. w. ",IF(VALUE(RIGHT($A2472,1))=8,"dz. ","gm. m.-w. ")))))&amp;IF(LEN($A2472)=2,TRIM(UPPER(VLOOKUP($A2472,GUS_tabl_1!$A$7:$B$22,2,FALSE))),IF(ISERROR(FIND("..",TRIM(VLOOKUP(IF(AND(LEN($A2472)=4,VALUE(RIGHT($A2472,2))&gt;60),$A2472&amp;"01 1",$A2472),IF(AND(LEN($A2472)=4,VALUE(RIGHT($A2472,2))&lt;60),GUS_tabl_2!$A$8:$B$464,GUS_tabl_21!$A$5:$B$4886),2,FALSE)))),TRIM(VLOOKUP(IF(AND(LEN($A2472)=4,VALUE(RIGHT($A2472,2))&gt;60),$A2472&amp;"01 1",$A2472),IF(AND(LEN($A2472)=4,VALUE(RIGHT($A2472,2))&lt;60),GUS_tabl_2!$A$8:$B$464,GUS_tabl_21!$A$5:$B$4886),2,FALSE)),LEFT(TRIM(VLOOKUP(IF(AND(LEN($A2472)=4,VALUE(RIGHT($A2472,2))&gt;60),$A2472&amp;"01 1",$A2472),IF(AND(LEN($A2472)=4,VALUE(RIGHT($A2472,2))&lt;60),GUS_tabl_2!$A$8:$B$464,GUS_tabl_21!$A$5:$B$4886),2,FALSE)),SUM(FIND("..",TRIM(VLOOKUP(IF(AND(LEN($A2472)=4,VALUE(RIGHT($A2472,2))&gt;60),$A2472&amp;"01 1",$A2472),IF(AND(LEN($A2472)=4,VALUE(RIGHT($A2472,2))&lt;60),GUS_tabl_2!$A$8:$B$464,GUS_tabl_21!$A$5:$B$4886),2,FALSE))),-1)))))</f>
        <v>Powiat lidzbarski</v>
      </c>
      <c r="D2472" s="140">
        <f>IF(OR($A2472="",ISERROR(VALUE(LEFT($A2472,6)))),"",IF(LEN($A2472)=2,SUMIF($A2473:$A$2965,$A2472&amp;"??",$D2473:$D$2965),IF(AND(LEN($A2472)=4,VALUE(RIGHT($A2472,2))&lt;=60),SUMIF($A2473:$A$2965,$A2472&amp;"????",$D2473:$D$2965),VLOOKUP(IF(LEN($A2472)=4,$A2472&amp;"01 1",$A2472),GUS_tabl_21!$A$5:$F$4886,6,FALSE))))</f>
        <v>41180</v>
      </c>
      <c r="E2472" s="29"/>
    </row>
    <row r="2473" spans="1:5" ht="12" customHeight="1">
      <c r="A2473" s="155" t="str">
        <f>"280901 1"</f>
        <v>280901 1</v>
      </c>
      <c r="B2473" s="153" t="s">
        <v>32</v>
      </c>
      <c r="C2473" s="156" t="str">
        <f>IF(OR($A2473="",ISERROR(VALUE(LEFT($A2473,6)))),"",IF(LEN($A2473)=2,"WOJ. ",IF(LEN($A2473)=4,IF(VALUE(RIGHT($A2473,2))&gt;60,"","Powiat "),IF(VALUE(RIGHT($A2473,1))=1,"m. ",IF(VALUE(RIGHT($A2473,1))=2,"gm. w. ",IF(VALUE(RIGHT($A2473,1))=8,"dz. ","gm. m.-w. ")))))&amp;IF(LEN($A2473)=2,TRIM(UPPER(VLOOKUP($A2473,GUS_tabl_1!$A$7:$B$22,2,FALSE))),IF(ISERROR(FIND("..",TRIM(VLOOKUP(IF(AND(LEN($A2473)=4,VALUE(RIGHT($A2473,2))&gt;60),$A2473&amp;"01 1",$A2473),IF(AND(LEN($A2473)=4,VALUE(RIGHT($A2473,2))&lt;60),GUS_tabl_2!$A$8:$B$464,GUS_tabl_21!$A$5:$B$4886),2,FALSE)))),TRIM(VLOOKUP(IF(AND(LEN($A2473)=4,VALUE(RIGHT($A2473,2))&gt;60),$A2473&amp;"01 1",$A2473),IF(AND(LEN($A2473)=4,VALUE(RIGHT($A2473,2))&lt;60),GUS_tabl_2!$A$8:$B$464,GUS_tabl_21!$A$5:$B$4886),2,FALSE)),LEFT(TRIM(VLOOKUP(IF(AND(LEN($A2473)=4,VALUE(RIGHT($A2473,2))&gt;60),$A2473&amp;"01 1",$A2473),IF(AND(LEN($A2473)=4,VALUE(RIGHT($A2473,2))&lt;60),GUS_tabl_2!$A$8:$B$464,GUS_tabl_21!$A$5:$B$4886),2,FALSE)),SUM(FIND("..",TRIM(VLOOKUP(IF(AND(LEN($A2473)=4,VALUE(RIGHT($A2473,2))&gt;60),$A2473&amp;"01 1",$A2473),IF(AND(LEN($A2473)=4,VALUE(RIGHT($A2473,2))&lt;60),GUS_tabl_2!$A$8:$B$464,GUS_tabl_21!$A$5:$B$4886),2,FALSE))),-1)))))</f>
        <v>m. Lidzbark Warmiński</v>
      </c>
      <c r="D2473" s="141">
        <f>IF(OR($A2473="",ISERROR(VALUE(LEFT($A2473,6)))),"",IF(LEN($A2473)=2,SUMIF($A2474:$A$2965,$A2473&amp;"??",$D2474:$D$2965),IF(AND(LEN($A2473)=4,VALUE(RIGHT($A2473,2))&lt;=60),SUMIF($A2474:$A$2965,$A2473&amp;"????",$D2474:$D$2965),VLOOKUP(IF(LEN($A2473)=4,$A2473&amp;"01 1",$A2473),GUS_tabl_21!$A$5:$F$4886,6,FALSE))))</f>
        <v>15697</v>
      </c>
      <c r="E2473" s="29"/>
    </row>
    <row r="2474" spans="1:5" ht="12" customHeight="1">
      <c r="A2474" s="155" t="str">
        <f>"280902 2"</f>
        <v>280902 2</v>
      </c>
      <c r="B2474" s="153" t="s">
        <v>32</v>
      </c>
      <c r="C2474" s="156" t="str">
        <f>IF(OR($A2474="",ISERROR(VALUE(LEFT($A2474,6)))),"",IF(LEN($A2474)=2,"WOJ. ",IF(LEN($A2474)=4,IF(VALUE(RIGHT($A2474,2))&gt;60,"","Powiat "),IF(VALUE(RIGHT($A2474,1))=1,"m. ",IF(VALUE(RIGHT($A2474,1))=2,"gm. w. ",IF(VALUE(RIGHT($A2474,1))=8,"dz. ","gm. m.-w. ")))))&amp;IF(LEN($A2474)=2,TRIM(UPPER(VLOOKUP($A2474,GUS_tabl_1!$A$7:$B$22,2,FALSE))),IF(ISERROR(FIND("..",TRIM(VLOOKUP(IF(AND(LEN($A2474)=4,VALUE(RIGHT($A2474,2))&gt;60),$A2474&amp;"01 1",$A2474),IF(AND(LEN($A2474)=4,VALUE(RIGHT($A2474,2))&lt;60),GUS_tabl_2!$A$8:$B$464,GUS_tabl_21!$A$5:$B$4886),2,FALSE)))),TRIM(VLOOKUP(IF(AND(LEN($A2474)=4,VALUE(RIGHT($A2474,2))&gt;60),$A2474&amp;"01 1",$A2474),IF(AND(LEN($A2474)=4,VALUE(RIGHT($A2474,2))&lt;60),GUS_tabl_2!$A$8:$B$464,GUS_tabl_21!$A$5:$B$4886),2,FALSE)),LEFT(TRIM(VLOOKUP(IF(AND(LEN($A2474)=4,VALUE(RIGHT($A2474,2))&gt;60),$A2474&amp;"01 1",$A2474),IF(AND(LEN($A2474)=4,VALUE(RIGHT($A2474,2))&lt;60),GUS_tabl_2!$A$8:$B$464,GUS_tabl_21!$A$5:$B$4886),2,FALSE)),SUM(FIND("..",TRIM(VLOOKUP(IF(AND(LEN($A2474)=4,VALUE(RIGHT($A2474,2))&gt;60),$A2474&amp;"01 1",$A2474),IF(AND(LEN($A2474)=4,VALUE(RIGHT($A2474,2))&lt;60),GUS_tabl_2!$A$8:$B$464,GUS_tabl_21!$A$5:$B$4886),2,FALSE))),-1)))))</f>
        <v>gm. w. Kiwity</v>
      </c>
      <c r="D2474" s="141">
        <f>IF(OR($A2474="",ISERROR(VALUE(LEFT($A2474,6)))),"",IF(LEN($A2474)=2,SUMIF($A2475:$A$2965,$A2474&amp;"??",$D2475:$D$2965),IF(AND(LEN($A2474)=4,VALUE(RIGHT($A2474,2))&lt;=60),SUMIF($A2475:$A$2965,$A2474&amp;"????",$D2475:$D$2965),VLOOKUP(IF(LEN($A2474)=4,$A2474&amp;"01 1",$A2474),GUS_tabl_21!$A$5:$F$4886,6,FALSE))))</f>
        <v>3286</v>
      </c>
      <c r="E2474" s="29"/>
    </row>
    <row r="2475" spans="1:5" ht="12" customHeight="1">
      <c r="A2475" s="155" t="str">
        <f>"280903 2"</f>
        <v>280903 2</v>
      </c>
      <c r="B2475" s="153" t="s">
        <v>32</v>
      </c>
      <c r="C2475" s="156" t="str">
        <f>IF(OR($A2475="",ISERROR(VALUE(LEFT($A2475,6)))),"",IF(LEN($A2475)=2,"WOJ. ",IF(LEN($A2475)=4,IF(VALUE(RIGHT($A2475,2))&gt;60,"","Powiat "),IF(VALUE(RIGHT($A2475,1))=1,"m. ",IF(VALUE(RIGHT($A2475,1))=2,"gm. w. ",IF(VALUE(RIGHT($A2475,1))=8,"dz. ","gm. m.-w. ")))))&amp;IF(LEN($A2475)=2,TRIM(UPPER(VLOOKUP($A2475,GUS_tabl_1!$A$7:$B$22,2,FALSE))),IF(ISERROR(FIND("..",TRIM(VLOOKUP(IF(AND(LEN($A2475)=4,VALUE(RIGHT($A2475,2))&gt;60),$A2475&amp;"01 1",$A2475),IF(AND(LEN($A2475)=4,VALUE(RIGHT($A2475,2))&lt;60),GUS_tabl_2!$A$8:$B$464,GUS_tabl_21!$A$5:$B$4886),2,FALSE)))),TRIM(VLOOKUP(IF(AND(LEN($A2475)=4,VALUE(RIGHT($A2475,2))&gt;60),$A2475&amp;"01 1",$A2475),IF(AND(LEN($A2475)=4,VALUE(RIGHT($A2475,2))&lt;60),GUS_tabl_2!$A$8:$B$464,GUS_tabl_21!$A$5:$B$4886),2,FALSE)),LEFT(TRIM(VLOOKUP(IF(AND(LEN($A2475)=4,VALUE(RIGHT($A2475,2))&gt;60),$A2475&amp;"01 1",$A2475),IF(AND(LEN($A2475)=4,VALUE(RIGHT($A2475,2))&lt;60),GUS_tabl_2!$A$8:$B$464,GUS_tabl_21!$A$5:$B$4886),2,FALSE)),SUM(FIND("..",TRIM(VLOOKUP(IF(AND(LEN($A2475)=4,VALUE(RIGHT($A2475,2))&gt;60),$A2475&amp;"01 1",$A2475),IF(AND(LEN($A2475)=4,VALUE(RIGHT($A2475,2))&lt;60),GUS_tabl_2!$A$8:$B$464,GUS_tabl_21!$A$5:$B$4886),2,FALSE))),-1)))))</f>
        <v>gm. w. Lidzbark Warmiński</v>
      </c>
      <c r="D2475" s="141">
        <f>IF(OR($A2475="",ISERROR(VALUE(LEFT($A2475,6)))),"",IF(LEN($A2475)=2,SUMIF($A2476:$A$2965,$A2475&amp;"??",$D2476:$D$2965),IF(AND(LEN($A2475)=4,VALUE(RIGHT($A2475,2))&lt;=60),SUMIF($A2476:$A$2965,$A2475&amp;"????",$D2476:$D$2965),VLOOKUP(IF(LEN($A2475)=4,$A2475&amp;"01 1",$A2475),GUS_tabl_21!$A$5:$F$4886,6,FALSE))))</f>
        <v>6692</v>
      </c>
      <c r="E2475" s="29"/>
    </row>
    <row r="2476" spans="1:5" ht="12" customHeight="1">
      <c r="A2476" s="155" t="str">
        <f>"280904 2"</f>
        <v>280904 2</v>
      </c>
      <c r="B2476" s="153" t="s">
        <v>32</v>
      </c>
      <c r="C2476" s="156" t="str">
        <f>IF(OR($A2476="",ISERROR(VALUE(LEFT($A2476,6)))),"",IF(LEN($A2476)=2,"WOJ. ",IF(LEN($A2476)=4,IF(VALUE(RIGHT($A2476,2))&gt;60,"","Powiat "),IF(VALUE(RIGHT($A2476,1))=1,"m. ",IF(VALUE(RIGHT($A2476,1))=2,"gm. w. ",IF(VALUE(RIGHT($A2476,1))=8,"dz. ","gm. m.-w. ")))))&amp;IF(LEN($A2476)=2,TRIM(UPPER(VLOOKUP($A2476,GUS_tabl_1!$A$7:$B$22,2,FALSE))),IF(ISERROR(FIND("..",TRIM(VLOOKUP(IF(AND(LEN($A2476)=4,VALUE(RIGHT($A2476,2))&gt;60),$A2476&amp;"01 1",$A2476),IF(AND(LEN($A2476)=4,VALUE(RIGHT($A2476,2))&lt;60),GUS_tabl_2!$A$8:$B$464,GUS_tabl_21!$A$5:$B$4886),2,FALSE)))),TRIM(VLOOKUP(IF(AND(LEN($A2476)=4,VALUE(RIGHT($A2476,2))&gt;60),$A2476&amp;"01 1",$A2476),IF(AND(LEN($A2476)=4,VALUE(RIGHT($A2476,2))&lt;60),GUS_tabl_2!$A$8:$B$464,GUS_tabl_21!$A$5:$B$4886),2,FALSE)),LEFT(TRIM(VLOOKUP(IF(AND(LEN($A2476)=4,VALUE(RIGHT($A2476,2))&gt;60),$A2476&amp;"01 1",$A2476),IF(AND(LEN($A2476)=4,VALUE(RIGHT($A2476,2))&lt;60),GUS_tabl_2!$A$8:$B$464,GUS_tabl_21!$A$5:$B$4886),2,FALSE)),SUM(FIND("..",TRIM(VLOOKUP(IF(AND(LEN($A2476)=4,VALUE(RIGHT($A2476,2))&gt;60),$A2476&amp;"01 1",$A2476),IF(AND(LEN($A2476)=4,VALUE(RIGHT($A2476,2))&lt;60),GUS_tabl_2!$A$8:$B$464,GUS_tabl_21!$A$5:$B$4886),2,FALSE))),-1)))))</f>
        <v>gm. w. Lubomino</v>
      </c>
      <c r="D2476" s="141">
        <f>IF(OR($A2476="",ISERROR(VALUE(LEFT($A2476,6)))),"",IF(LEN($A2476)=2,SUMIF($A2477:$A$2965,$A2476&amp;"??",$D2477:$D$2965),IF(AND(LEN($A2476)=4,VALUE(RIGHT($A2476,2))&lt;=60),SUMIF($A2477:$A$2965,$A2476&amp;"????",$D2477:$D$2965),VLOOKUP(IF(LEN($A2476)=4,$A2476&amp;"01 1",$A2476),GUS_tabl_21!$A$5:$F$4886,6,FALSE))))</f>
        <v>3596</v>
      </c>
      <c r="E2476" s="29"/>
    </row>
    <row r="2477" spans="1:5" ht="12" customHeight="1">
      <c r="A2477" s="155" t="str">
        <f>"280905 3"</f>
        <v>280905 3</v>
      </c>
      <c r="B2477" s="153" t="s">
        <v>32</v>
      </c>
      <c r="C2477" s="156" t="str">
        <f>IF(OR($A2477="",ISERROR(VALUE(LEFT($A2477,6)))),"",IF(LEN($A2477)=2,"WOJ. ",IF(LEN($A2477)=4,IF(VALUE(RIGHT($A2477,2))&gt;60,"","Powiat "),IF(VALUE(RIGHT($A2477,1))=1,"m. ",IF(VALUE(RIGHT($A2477,1))=2,"gm. w. ",IF(VALUE(RIGHT($A2477,1))=8,"dz. ","gm. m.-w. ")))))&amp;IF(LEN($A2477)=2,TRIM(UPPER(VLOOKUP($A2477,GUS_tabl_1!$A$7:$B$22,2,FALSE))),IF(ISERROR(FIND("..",TRIM(VLOOKUP(IF(AND(LEN($A2477)=4,VALUE(RIGHT($A2477,2))&gt;60),$A2477&amp;"01 1",$A2477),IF(AND(LEN($A2477)=4,VALUE(RIGHT($A2477,2))&lt;60),GUS_tabl_2!$A$8:$B$464,GUS_tabl_21!$A$5:$B$4886),2,FALSE)))),TRIM(VLOOKUP(IF(AND(LEN($A2477)=4,VALUE(RIGHT($A2477,2))&gt;60),$A2477&amp;"01 1",$A2477),IF(AND(LEN($A2477)=4,VALUE(RIGHT($A2477,2))&lt;60),GUS_tabl_2!$A$8:$B$464,GUS_tabl_21!$A$5:$B$4886),2,FALSE)),LEFT(TRIM(VLOOKUP(IF(AND(LEN($A2477)=4,VALUE(RIGHT($A2477,2))&gt;60),$A2477&amp;"01 1",$A2477),IF(AND(LEN($A2477)=4,VALUE(RIGHT($A2477,2))&lt;60),GUS_tabl_2!$A$8:$B$464,GUS_tabl_21!$A$5:$B$4886),2,FALSE)),SUM(FIND("..",TRIM(VLOOKUP(IF(AND(LEN($A2477)=4,VALUE(RIGHT($A2477,2))&gt;60),$A2477&amp;"01 1",$A2477),IF(AND(LEN($A2477)=4,VALUE(RIGHT($A2477,2))&lt;60),GUS_tabl_2!$A$8:$B$464,GUS_tabl_21!$A$5:$B$4886),2,FALSE))),-1)))))</f>
        <v>gm. m.-w. Orneta</v>
      </c>
      <c r="D2477" s="141">
        <f>IF(OR($A2477="",ISERROR(VALUE(LEFT($A2477,6)))),"",IF(LEN($A2477)=2,SUMIF($A2478:$A$2965,$A2477&amp;"??",$D2478:$D$2965),IF(AND(LEN($A2477)=4,VALUE(RIGHT($A2477,2))&lt;=60),SUMIF($A2478:$A$2965,$A2477&amp;"????",$D2478:$D$2965),VLOOKUP(IF(LEN($A2477)=4,$A2477&amp;"01 1",$A2477),GUS_tabl_21!$A$5:$F$4886,6,FALSE))))</f>
        <v>11909</v>
      </c>
      <c r="E2477" s="29"/>
    </row>
    <row r="2478" spans="1:5" ht="12" customHeight="1">
      <c r="A2478" s="152" t="str">
        <f>"2810"</f>
        <v>2810</v>
      </c>
      <c r="B2478" s="153" t="s">
        <v>32</v>
      </c>
      <c r="C2478" s="154" t="str">
        <f>IF(OR($A2478="",ISERROR(VALUE(LEFT($A2478,6)))),"",IF(LEN($A2478)=2,"WOJ. ",IF(LEN($A2478)=4,IF(VALUE(RIGHT($A2478,2))&gt;60,"","Powiat "),IF(VALUE(RIGHT($A2478,1))=1,"m. ",IF(VALUE(RIGHT($A2478,1))=2,"gm. w. ",IF(VALUE(RIGHT($A2478,1))=8,"dz. ","gm. m.-w. ")))))&amp;IF(LEN($A2478)=2,TRIM(UPPER(VLOOKUP($A2478,GUS_tabl_1!$A$7:$B$22,2,FALSE))),IF(ISERROR(FIND("..",TRIM(VLOOKUP(IF(AND(LEN($A2478)=4,VALUE(RIGHT($A2478,2))&gt;60),$A2478&amp;"01 1",$A2478),IF(AND(LEN($A2478)=4,VALUE(RIGHT($A2478,2))&lt;60),GUS_tabl_2!$A$8:$B$464,GUS_tabl_21!$A$5:$B$4886),2,FALSE)))),TRIM(VLOOKUP(IF(AND(LEN($A2478)=4,VALUE(RIGHT($A2478,2))&gt;60),$A2478&amp;"01 1",$A2478),IF(AND(LEN($A2478)=4,VALUE(RIGHT($A2478,2))&lt;60),GUS_tabl_2!$A$8:$B$464,GUS_tabl_21!$A$5:$B$4886),2,FALSE)),LEFT(TRIM(VLOOKUP(IF(AND(LEN($A2478)=4,VALUE(RIGHT($A2478,2))&gt;60),$A2478&amp;"01 1",$A2478),IF(AND(LEN($A2478)=4,VALUE(RIGHT($A2478,2))&lt;60),GUS_tabl_2!$A$8:$B$464,GUS_tabl_21!$A$5:$B$4886),2,FALSE)),SUM(FIND("..",TRIM(VLOOKUP(IF(AND(LEN($A2478)=4,VALUE(RIGHT($A2478,2))&gt;60),$A2478&amp;"01 1",$A2478),IF(AND(LEN($A2478)=4,VALUE(RIGHT($A2478,2))&lt;60),GUS_tabl_2!$A$8:$B$464,GUS_tabl_21!$A$5:$B$4886),2,FALSE))),-1)))))</f>
        <v>Powiat mrągowski</v>
      </c>
      <c r="D2478" s="140">
        <f>IF(OR($A2478="",ISERROR(VALUE(LEFT($A2478,6)))),"",IF(LEN($A2478)=2,SUMIF($A2479:$A$2965,$A2478&amp;"??",$D2479:$D$2965),IF(AND(LEN($A2478)=4,VALUE(RIGHT($A2478,2))&lt;=60),SUMIF($A2479:$A$2965,$A2478&amp;"????",$D2479:$D$2965),VLOOKUP(IF(LEN($A2478)=4,$A2478&amp;"01 1",$A2478),GUS_tabl_21!$A$5:$F$4886,6,FALSE))))</f>
        <v>49762</v>
      </c>
      <c r="E2478" s="29"/>
    </row>
    <row r="2479" spans="1:5" ht="12" customHeight="1">
      <c r="A2479" s="155" t="str">
        <f>"281001 1"</f>
        <v>281001 1</v>
      </c>
      <c r="B2479" s="153" t="s">
        <v>32</v>
      </c>
      <c r="C2479" s="156" t="str">
        <f>IF(OR($A2479="",ISERROR(VALUE(LEFT($A2479,6)))),"",IF(LEN($A2479)=2,"WOJ. ",IF(LEN($A2479)=4,IF(VALUE(RIGHT($A2479,2))&gt;60,"","Powiat "),IF(VALUE(RIGHT($A2479,1))=1,"m. ",IF(VALUE(RIGHT($A2479,1))=2,"gm. w. ",IF(VALUE(RIGHT($A2479,1))=8,"dz. ","gm. m.-w. ")))))&amp;IF(LEN($A2479)=2,TRIM(UPPER(VLOOKUP($A2479,GUS_tabl_1!$A$7:$B$22,2,FALSE))),IF(ISERROR(FIND("..",TRIM(VLOOKUP(IF(AND(LEN($A2479)=4,VALUE(RIGHT($A2479,2))&gt;60),$A2479&amp;"01 1",$A2479),IF(AND(LEN($A2479)=4,VALUE(RIGHT($A2479,2))&lt;60),GUS_tabl_2!$A$8:$B$464,GUS_tabl_21!$A$5:$B$4886),2,FALSE)))),TRIM(VLOOKUP(IF(AND(LEN($A2479)=4,VALUE(RIGHT($A2479,2))&gt;60),$A2479&amp;"01 1",$A2479),IF(AND(LEN($A2479)=4,VALUE(RIGHT($A2479,2))&lt;60),GUS_tabl_2!$A$8:$B$464,GUS_tabl_21!$A$5:$B$4886),2,FALSE)),LEFT(TRIM(VLOOKUP(IF(AND(LEN($A2479)=4,VALUE(RIGHT($A2479,2))&gt;60),$A2479&amp;"01 1",$A2479),IF(AND(LEN($A2479)=4,VALUE(RIGHT($A2479,2))&lt;60),GUS_tabl_2!$A$8:$B$464,GUS_tabl_21!$A$5:$B$4886),2,FALSE)),SUM(FIND("..",TRIM(VLOOKUP(IF(AND(LEN($A2479)=4,VALUE(RIGHT($A2479,2))&gt;60),$A2479&amp;"01 1",$A2479),IF(AND(LEN($A2479)=4,VALUE(RIGHT($A2479,2))&lt;60),GUS_tabl_2!$A$8:$B$464,GUS_tabl_21!$A$5:$B$4886),2,FALSE))),-1)))))</f>
        <v>m. Mrągowo</v>
      </c>
      <c r="D2479" s="141">
        <f>IF(OR($A2479="",ISERROR(VALUE(LEFT($A2479,6)))),"",IF(LEN($A2479)=2,SUMIF($A2480:$A$2965,$A2479&amp;"??",$D2480:$D$2965),IF(AND(LEN($A2479)=4,VALUE(RIGHT($A2479,2))&lt;=60),SUMIF($A2480:$A$2965,$A2479&amp;"????",$D2480:$D$2965),VLOOKUP(IF(LEN($A2479)=4,$A2479&amp;"01 1",$A2479),GUS_tabl_21!$A$5:$F$4886,6,FALSE))))</f>
        <v>21556</v>
      </c>
      <c r="E2479" s="29"/>
    </row>
    <row r="2480" spans="1:5" ht="12" customHeight="1">
      <c r="A2480" s="155" t="str">
        <f>"281002 3"</f>
        <v>281002 3</v>
      </c>
      <c r="B2480" s="153" t="s">
        <v>32</v>
      </c>
      <c r="C2480" s="156" t="str">
        <f>IF(OR($A2480="",ISERROR(VALUE(LEFT($A2480,6)))),"",IF(LEN($A2480)=2,"WOJ. ",IF(LEN($A2480)=4,IF(VALUE(RIGHT($A2480,2))&gt;60,"","Powiat "),IF(VALUE(RIGHT($A2480,1))=1,"m. ",IF(VALUE(RIGHT($A2480,1))=2,"gm. w. ",IF(VALUE(RIGHT($A2480,1))=8,"dz. ","gm. m.-w. ")))))&amp;IF(LEN($A2480)=2,TRIM(UPPER(VLOOKUP($A2480,GUS_tabl_1!$A$7:$B$22,2,FALSE))),IF(ISERROR(FIND("..",TRIM(VLOOKUP(IF(AND(LEN($A2480)=4,VALUE(RIGHT($A2480,2))&gt;60),$A2480&amp;"01 1",$A2480),IF(AND(LEN($A2480)=4,VALUE(RIGHT($A2480,2))&lt;60),GUS_tabl_2!$A$8:$B$464,GUS_tabl_21!$A$5:$B$4886),2,FALSE)))),TRIM(VLOOKUP(IF(AND(LEN($A2480)=4,VALUE(RIGHT($A2480,2))&gt;60),$A2480&amp;"01 1",$A2480),IF(AND(LEN($A2480)=4,VALUE(RIGHT($A2480,2))&lt;60),GUS_tabl_2!$A$8:$B$464,GUS_tabl_21!$A$5:$B$4886),2,FALSE)),LEFT(TRIM(VLOOKUP(IF(AND(LEN($A2480)=4,VALUE(RIGHT($A2480,2))&gt;60),$A2480&amp;"01 1",$A2480),IF(AND(LEN($A2480)=4,VALUE(RIGHT($A2480,2))&lt;60),GUS_tabl_2!$A$8:$B$464,GUS_tabl_21!$A$5:$B$4886),2,FALSE)),SUM(FIND("..",TRIM(VLOOKUP(IF(AND(LEN($A2480)=4,VALUE(RIGHT($A2480,2))&gt;60),$A2480&amp;"01 1",$A2480),IF(AND(LEN($A2480)=4,VALUE(RIGHT($A2480,2))&lt;60),GUS_tabl_2!$A$8:$B$464,GUS_tabl_21!$A$5:$B$4886),2,FALSE))),-1)))))</f>
        <v>gm. m.-w. Mikołajki</v>
      </c>
      <c r="D2480" s="141">
        <f>IF(OR($A2480="",ISERROR(VALUE(LEFT($A2480,6)))),"",IF(LEN($A2480)=2,SUMIF($A2481:$A$2965,$A2480&amp;"??",$D2481:$D$2965),IF(AND(LEN($A2480)=4,VALUE(RIGHT($A2480,2))&lt;=60),SUMIF($A2481:$A$2965,$A2480&amp;"????",$D2481:$D$2965),VLOOKUP(IF(LEN($A2480)=4,$A2480&amp;"01 1",$A2480),GUS_tabl_21!$A$5:$F$4886,6,FALSE))))</f>
        <v>8131</v>
      </c>
      <c r="E2480" s="29"/>
    </row>
    <row r="2481" spans="1:5" ht="12" customHeight="1">
      <c r="A2481" s="155" t="str">
        <f>"281003 2"</f>
        <v>281003 2</v>
      </c>
      <c r="B2481" s="153" t="s">
        <v>32</v>
      </c>
      <c r="C2481" s="156" t="str">
        <f>IF(OR($A2481="",ISERROR(VALUE(LEFT($A2481,6)))),"",IF(LEN($A2481)=2,"WOJ. ",IF(LEN($A2481)=4,IF(VALUE(RIGHT($A2481,2))&gt;60,"","Powiat "),IF(VALUE(RIGHT($A2481,1))=1,"m. ",IF(VALUE(RIGHT($A2481,1))=2,"gm. w. ",IF(VALUE(RIGHT($A2481,1))=8,"dz. ","gm. m.-w. ")))))&amp;IF(LEN($A2481)=2,TRIM(UPPER(VLOOKUP($A2481,GUS_tabl_1!$A$7:$B$22,2,FALSE))),IF(ISERROR(FIND("..",TRIM(VLOOKUP(IF(AND(LEN($A2481)=4,VALUE(RIGHT($A2481,2))&gt;60),$A2481&amp;"01 1",$A2481),IF(AND(LEN($A2481)=4,VALUE(RIGHT($A2481,2))&lt;60),GUS_tabl_2!$A$8:$B$464,GUS_tabl_21!$A$5:$B$4886),2,FALSE)))),TRIM(VLOOKUP(IF(AND(LEN($A2481)=4,VALUE(RIGHT($A2481,2))&gt;60),$A2481&amp;"01 1",$A2481),IF(AND(LEN($A2481)=4,VALUE(RIGHT($A2481,2))&lt;60),GUS_tabl_2!$A$8:$B$464,GUS_tabl_21!$A$5:$B$4886),2,FALSE)),LEFT(TRIM(VLOOKUP(IF(AND(LEN($A2481)=4,VALUE(RIGHT($A2481,2))&gt;60),$A2481&amp;"01 1",$A2481),IF(AND(LEN($A2481)=4,VALUE(RIGHT($A2481,2))&lt;60),GUS_tabl_2!$A$8:$B$464,GUS_tabl_21!$A$5:$B$4886),2,FALSE)),SUM(FIND("..",TRIM(VLOOKUP(IF(AND(LEN($A2481)=4,VALUE(RIGHT($A2481,2))&gt;60),$A2481&amp;"01 1",$A2481),IF(AND(LEN($A2481)=4,VALUE(RIGHT($A2481,2))&lt;60),GUS_tabl_2!$A$8:$B$464,GUS_tabl_21!$A$5:$B$4886),2,FALSE))),-1)))))</f>
        <v>gm. w. Mrągowo</v>
      </c>
      <c r="D2481" s="141">
        <f>IF(OR($A2481="",ISERROR(VALUE(LEFT($A2481,6)))),"",IF(LEN($A2481)=2,SUMIF($A2482:$A$2965,$A2481&amp;"??",$D2482:$D$2965),IF(AND(LEN($A2481)=4,VALUE(RIGHT($A2481,2))&lt;=60),SUMIF($A2482:$A$2965,$A2481&amp;"????",$D2482:$D$2965),VLOOKUP(IF(LEN($A2481)=4,$A2481&amp;"01 1",$A2481),GUS_tabl_21!$A$5:$F$4886,6,FALSE))))</f>
        <v>7975</v>
      </c>
      <c r="E2481" s="29"/>
    </row>
    <row r="2482" spans="1:5" ht="12" customHeight="1">
      <c r="A2482" s="155" t="str">
        <f>"281004 2"</f>
        <v>281004 2</v>
      </c>
      <c r="B2482" s="153" t="s">
        <v>32</v>
      </c>
      <c r="C2482" s="156" t="str">
        <f>IF(OR($A2482="",ISERROR(VALUE(LEFT($A2482,6)))),"",IF(LEN($A2482)=2,"WOJ. ",IF(LEN($A2482)=4,IF(VALUE(RIGHT($A2482,2))&gt;60,"","Powiat "),IF(VALUE(RIGHT($A2482,1))=1,"m. ",IF(VALUE(RIGHT($A2482,1))=2,"gm. w. ",IF(VALUE(RIGHT($A2482,1))=8,"dz. ","gm. m.-w. ")))))&amp;IF(LEN($A2482)=2,TRIM(UPPER(VLOOKUP($A2482,GUS_tabl_1!$A$7:$B$22,2,FALSE))),IF(ISERROR(FIND("..",TRIM(VLOOKUP(IF(AND(LEN($A2482)=4,VALUE(RIGHT($A2482,2))&gt;60),$A2482&amp;"01 1",$A2482),IF(AND(LEN($A2482)=4,VALUE(RIGHT($A2482,2))&lt;60),GUS_tabl_2!$A$8:$B$464,GUS_tabl_21!$A$5:$B$4886),2,FALSE)))),TRIM(VLOOKUP(IF(AND(LEN($A2482)=4,VALUE(RIGHT($A2482,2))&gt;60),$A2482&amp;"01 1",$A2482),IF(AND(LEN($A2482)=4,VALUE(RIGHT($A2482,2))&lt;60),GUS_tabl_2!$A$8:$B$464,GUS_tabl_21!$A$5:$B$4886),2,FALSE)),LEFT(TRIM(VLOOKUP(IF(AND(LEN($A2482)=4,VALUE(RIGHT($A2482,2))&gt;60),$A2482&amp;"01 1",$A2482),IF(AND(LEN($A2482)=4,VALUE(RIGHT($A2482,2))&lt;60),GUS_tabl_2!$A$8:$B$464,GUS_tabl_21!$A$5:$B$4886),2,FALSE)),SUM(FIND("..",TRIM(VLOOKUP(IF(AND(LEN($A2482)=4,VALUE(RIGHT($A2482,2))&gt;60),$A2482&amp;"01 1",$A2482),IF(AND(LEN($A2482)=4,VALUE(RIGHT($A2482,2))&lt;60),GUS_tabl_2!$A$8:$B$464,GUS_tabl_21!$A$5:$B$4886),2,FALSE))),-1)))))</f>
        <v>gm. w. Piecki</v>
      </c>
      <c r="D2482" s="141">
        <f>IF(OR($A2482="",ISERROR(VALUE(LEFT($A2482,6)))),"",IF(LEN($A2482)=2,SUMIF($A2483:$A$2965,$A2482&amp;"??",$D2483:$D$2965),IF(AND(LEN($A2482)=4,VALUE(RIGHT($A2482,2))&lt;=60),SUMIF($A2483:$A$2965,$A2482&amp;"????",$D2483:$D$2965),VLOOKUP(IF(LEN($A2482)=4,$A2482&amp;"01 1",$A2482),GUS_tabl_21!$A$5:$F$4886,6,FALSE))))</f>
        <v>7572</v>
      </c>
      <c r="E2482" s="29"/>
    </row>
    <row r="2483" spans="1:5" ht="12" customHeight="1">
      <c r="A2483" s="155" t="str">
        <f>"281005 2"</f>
        <v>281005 2</v>
      </c>
      <c r="B2483" s="153" t="s">
        <v>32</v>
      </c>
      <c r="C2483" s="156" t="str">
        <f>IF(OR($A2483="",ISERROR(VALUE(LEFT($A2483,6)))),"",IF(LEN($A2483)=2,"WOJ. ",IF(LEN($A2483)=4,IF(VALUE(RIGHT($A2483,2))&gt;60,"","Powiat "),IF(VALUE(RIGHT($A2483,1))=1,"m. ",IF(VALUE(RIGHT($A2483,1))=2,"gm. w. ",IF(VALUE(RIGHT($A2483,1))=8,"dz. ","gm. m.-w. ")))))&amp;IF(LEN($A2483)=2,TRIM(UPPER(VLOOKUP($A2483,GUS_tabl_1!$A$7:$B$22,2,FALSE))),IF(ISERROR(FIND("..",TRIM(VLOOKUP(IF(AND(LEN($A2483)=4,VALUE(RIGHT($A2483,2))&gt;60),$A2483&amp;"01 1",$A2483),IF(AND(LEN($A2483)=4,VALUE(RIGHT($A2483,2))&lt;60),GUS_tabl_2!$A$8:$B$464,GUS_tabl_21!$A$5:$B$4886),2,FALSE)))),TRIM(VLOOKUP(IF(AND(LEN($A2483)=4,VALUE(RIGHT($A2483,2))&gt;60),$A2483&amp;"01 1",$A2483),IF(AND(LEN($A2483)=4,VALUE(RIGHT($A2483,2))&lt;60),GUS_tabl_2!$A$8:$B$464,GUS_tabl_21!$A$5:$B$4886),2,FALSE)),LEFT(TRIM(VLOOKUP(IF(AND(LEN($A2483)=4,VALUE(RIGHT($A2483,2))&gt;60),$A2483&amp;"01 1",$A2483),IF(AND(LEN($A2483)=4,VALUE(RIGHT($A2483,2))&lt;60),GUS_tabl_2!$A$8:$B$464,GUS_tabl_21!$A$5:$B$4886),2,FALSE)),SUM(FIND("..",TRIM(VLOOKUP(IF(AND(LEN($A2483)=4,VALUE(RIGHT($A2483,2))&gt;60),$A2483&amp;"01 1",$A2483),IF(AND(LEN($A2483)=4,VALUE(RIGHT($A2483,2))&lt;60),GUS_tabl_2!$A$8:$B$464,GUS_tabl_21!$A$5:$B$4886),2,FALSE))),-1)))))</f>
        <v>gm. w. Sorkwity</v>
      </c>
      <c r="D2483" s="141">
        <f>IF(OR($A2483="",ISERROR(VALUE(LEFT($A2483,6)))),"",IF(LEN($A2483)=2,SUMIF($A2484:$A$2965,$A2483&amp;"??",$D2484:$D$2965),IF(AND(LEN($A2483)=4,VALUE(RIGHT($A2483,2))&lt;=60),SUMIF($A2484:$A$2965,$A2483&amp;"????",$D2484:$D$2965),VLOOKUP(IF(LEN($A2483)=4,$A2483&amp;"01 1",$A2483),GUS_tabl_21!$A$5:$F$4886,6,FALSE))))</f>
        <v>4528</v>
      </c>
      <c r="E2483" s="29"/>
    </row>
    <row r="2484" spans="1:5" ht="12" customHeight="1">
      <c r="A2484" s="152" t="str">
        <f>"2811"</f>
        <v>2811</v>
      </c>
      <c r="B2484" s="153" t="s">
        <v>32</v>
      </c>
      <c r="C2484" s="154" t="str">
        <f>IF(OR($A2484="",ISERROR(VALUE(LEFT($A2484,6)))),"",IF(LEN($A2484)=2,"WOJ. ",IF(LEN($A2484)=4,IF(VALUE(RIGHT($A2484,2))&gt;60,"","Powiat "),IF(VALUE(RIGHT($A2484,1))=1,"m. ",IF(VALUE(RIGHT($A2484,1))=2,"gm. w. ",IF(VALUE(RIGHT($A2484,1))=8,"dz. ","gm. m.-w. ")))))&amp;IF(LEN($A2484)=2,TRIM(UPPER(VLOOKUP($A2484,GUS_tabl_1!$A$7:$B$22,2,FALSE))),IF(ISERROR(FIND("..",TRIM(VLOOKUP(IF(AND(LEN($A2484)=4,VALUE(RIGHT($A2484,2))&gt;60),$A2484&amp;"01 1",$A2484),IF(AND(LEN($A2484)=4,VALUE(RIGHT($A2484,2))&lt;60),GUS_tabl_2!$A$8:$B$464,GUS_tabl_21!$A$5:$B$4886),2,FALSE)))),TRIM(VLOOKUP(IF(AND(LEN($A2484)=4,VALUE(RIGHT($A2484,2))&gt;60),$A2484&amp;"01 1",$A2484),IF(AND(LEN($A2484)=4,VALUE(RIGHT($A2484,2))&lt;60),GUS_tabl_2!$A$8:$B$464,GUS_tabl_21!$A$5:$B$4886),2,FALSE)),LEFT(TRIM(VLOOKUP(IF(AND(LEN($A2484)=4,VALUE(RIGHT($A2484,2))&gt;60),$A2484&amp;"01 1",$A2484),IF(AND(LEN($A2484)=4,VALUE(RIGHT($A2484,2))&lt;60),GUS_tabl_2!$A$8:$B$464,GUS_tabl_21!$A$5:$B$4886),2,FALSE)),SUM(FIND("..",TRIM(VLOOKUP(IF(AND(LEN($A2484)=4,VALUE(RIGHT($A2484,2))&gt;60),$A2484&amp;"01 1",$A2484),IF(AND(LEN($A2484)=4,VALUE(RIGHT($A2484,2))&lt;60),GUS_tabl_2!$A$8:$B$464,GUS_tabl_21!$A$5:$B$4886),2,FALSE))),-1)))))</f>
        <v>Powiat nidzicki</v>
      </c>
      <c r="D2484" s="140">
        <f>IF(OR($A2484="",ISERROR(VALUE(LEFT($A2484,6)))),"",IF(LEN($A2484)=2,SUMIF($A2485:$A$2965,$A2484&amp;"??",$D2485:$D$2965),IF(AND(LEN($A2484)=4,VALUE(RIGHT($A2484,2))&lt;=60),SUMIF($A2485:$A$2965,$A2484&amp;"????",$D2485:$D$2965),VLOOKUP(IF(LEN($A2484)=4,$A2484&amp;"01 1",$A2484),GUS_tabl_21!$A$5:$F$4886,6,FALSE))))</f>
        <v>32857</v>
      </c>
      <c r="E2484" s="29"/>
    </row>
    <row r="2485" spans="1:5" ht="12" customHeight="1">
      <c r="A2485" s="155" t="str">
        <f>"281101 2"</f>
        <v>281101 2</v>
      </c>
      <c r="B2485" s="153" t="s">
        <v>32</v>
      </c>
      <c r="C2485" s="156" t="str">
        <f>IF(OR($A2485="",ISERROR(VALUE(LEFT($A2485,6)))),"",IF(LEN($A2485)=2,"WOJ. ",IF(LEN($A2485)=4,IF(VALUE(RIGHT($A2485,2))&gt;60,"","Powiat "),IF(VALUE(RIGHT($A2485,1))=1,"m. ",IF(VALUE(RIGHT($A2485,1))=2,"gm. w. ",IF(VALUE(RIGHT($A2485,1))=8,"dz. ","gm. m.-w. ")))))&amp;IF(LEN($A2485)=2,TRIM(UPPER(VLOOKUP($A2485,GUS_tabl_1!$A$7:$B$22,2,FALSE))),IF(ISERROR(FIND("..",TRIM(VLOOKUP(IF(AND(LEN($A2485)=4,VALUE(RIGHT($A2485,2))&gt;60),$A2485&amp;"01 1",$A2485),IF(AND(LEN($A2485)=4,VALUE(RIGHT($A2485,2))&lt;60),GUS_tabl_2!$A$8:$B$464,GUS_tabl_21!$A$5:$B$4886),2,FALSE)))),TRIM(VLOOKUP(IF(AND(LEN($A2485)=4,VALUE(RIGHT($A2485,2))&gt;60),$A2485&amp;"01 1",$A2485),IF(AND(LEN($A2485)=4,VALUE(RIGHT($A2485,2))&lt;60),GUS_tabl_2!$A$8:$B$464,GUS_tabl_21!$A$5:$B$4886),2,FALSE)),LEFT(TRIM(VLOOKUP(IF(AND(LEN($A2485)=4,VALUE(RIGHT($A2485,2))&gt;60),$A2485&amp;"01 1",$A2485),IF(AND(LEN($A2485)=4,VALUE(RIGHT($A2485,2))&lt;60),GUS_tabl_2!$A$8:$B$464,GUS_tabl_21!$A$5:$B$4886),2,FALSE)),SUM(FIND("..",TRIM(VLOOKUP(IF(AND(LEN($A2485)=4,VALUE(RIGHT($A2485,2))&gt;60),$A2485&amp;"01 1",$A2485),IF(AND(LEN($A2485)=4,VALUE(RIGHT($A2485,2))&lt;60),GUS_tabl_2!$A$8:$B$464,GUS_tabl_21!$A$5:$B$4886),2,FALSE))),-1)))))</f>
        <v>gm. w. Janowiec Kościelny</v>
      </c>
      <c r="D2485" s="141">
        <f>IF(OR($A2485="",ISERROR(VALUE(LEFT($A2485,6)))),"",IF(LEN($A2485)=2,SUMIF($A2486:$A$2965,$A2485&amp;"??",$D2486:$D$2965),IF(AND(LEN($A2485)=4,VALUE(RIGHT($A2485,2))&lt;=60),SUMIF($A2486:$A$2965,$A2485&amp;"????",$D2486:$D$2965),VLOOKUP(IF(LEN($A2485)=4,$A2485&amp;"01 1",$A2485),GUS_tabl_21!$A$5:$F$4886,6,FALSE))))</f>
        <v>3202</v>
      </c>
      <c r="E2485" s="29"/>
    </row>
    <row r="2486" spans="1:5" ht="12" customHeight="1">
      <c r="A2486" s="155" t="str">
        <f>"281102 2"</f>
        <v>281102 2</v>
      </c>
      <c r="B2486" s="153" t="s">
        <v>32</v>
      </c>
      <c r="C2486" s="156" t="str">
        <f>IF(OR($A2486="",ISERROR(VALUE(LEFT($A2486,6)))),"",IF(LEN($A2486)=2,"WOJ. ",IF(LEN($A2486)=4,IF(VALUE(RIGHT($A2486,2))&gt;60,"","Powiat "),IF(VALUE(RIGHT($A2486,1))=1,"m. ",IF(VALUE(RIGHT($A2486,1))=2,"gm. w. ",IF(VALUE(RIGHT($A2486,1))=8,"dz. ","gm. m.-w. ")))))&amp;IF(LEN($A2486)=2,TRIM(UPPER(VLOOKUP($A2486,GUS_tabl_1!$A$7:$B$22,2,FALSE))),IF(ISERROR(FIND("..",TRIM(VLOOKUP(IF(AND(LEN($A2486)=4,VALUE(RIGHT($A2486,2))&gt;60),$A2486&amp;"01 1",$A2486),IF(AND(LEN($A2486)=4,VALUE(RIGHT($A2486,2))&lt;60),GUS_tabl_2!$A$8:$B$464,GUS_tabl_21!$A$5:$B$4886),2,FALSE)))),TRIM(VLOOKUP(IF(AND(LEN($A2486)=4,VALUE(RIGHT($A2486,2))&gt;60),$A2486&amp;"01 1",$A2486),IF(AND(LEN($A2486)=4,VALUE(RIGHT($A2486,2))&lt;60),GUS_tabl_2!$A$8:$B$464,GUS_tabl_21!$A$5:$B$4886),2,FALSE)),LEFT(TRIM(VLOOKUP(IF(AND(LEN($A2486)=4,VALUE(RIGHT($A2486,2))&gt;60),$A2486&amp;"01 1",$A2486),IF(AND(LEN($A2486)=4,VALUE(RIGHT($A2486,2))&lt;60),GUS_tabl_2!$A$8:$B$464,GUS_tabl_21!$A$5:$B$4886),2,FALSE)),SUM(FIND("..",TRIM(VLOOKUP(IF(AND(LEN($A2486)=4,VALUE(RIGHT($A2486,2))&gt;60),$A2486&amp;"01 1",$A2486),IF(AND(LEN($A2486)=4,VALUE(RIGHT($A2486,2))&lt;60),GUS_tabl_2!$A$8:$B$464,GUS_tabl_21!$A$5:$B$4886),2,FALSE))),-1)))))</f>
        <v>gm. w. Janowo</v>
      </c>
      <c r="D2486" s="141">
        <f>IF(OR($A2486="",ISERROR(VALUE(LEFT($A2486,6)))),"",IF(LEN($A2486)=2,SUMIF($A2487:$A$2965,$A2486&amp;"??",$D2487:$D$2965),IF(AND(LEN($A2486)=4,VALUE(RIGHT($A2486,2))&lt;=60),SUMIF($A2487:$A$2965,$A2486&amp;"????",$D2487:$D$2965),VLOOKUP(IF(LEN($A2486)=4,$A2486&amp;"01 1",$A2486),GUS_tabl_21!$A$5:$F$4886,6,FALSE))))</f>
        <v>2654</v>
      </c>
      <c r="E2486" s="29"/>
    </row>
    <row r="2487" spans="1:5" ht="12" customHeight="1">
      <c r="A2487" s="155" t="str">
        <f>"281103 2"</f>
        <v>281103 2</v>
      </c>
      <c r="B2487" s="153" t="s">
        <v>32</v>
      </c>
      <c r="C2487" s="156" t="str">
        <f>IF(OR($A2487="",ISERROR(VALUE(LEFT($A2487,6)))),"",IF(LEN($A2487)=2,"WOJ. ",IF(LEN($A2487)=4,IF(VALUE(RIGHT($A2487,2))&gt;60,"","Powiat "),IF(VALUE(RIGHT($A2487,1))=1,"m. ",IF(VALUE(RIGHT($A2487,1))=2,"gm. w. ",IF(VALUE(RIGHT($A2487,1))=8,"dz. ","gm. m.-w. ")))))&amp;IF(LEN($A2487)=2,TRIM(UPPER(VLOOKUP($A2487,GUS_tabl_1!$A$7:$B$22,2,FALSE))),IF(ISERROR(FIND("..",TRIM(VLOOKUP(IF(AND(LEN($A2487)=4,VALUE(RIGHT($A2487,2))&gt;60),$A2487&amp;"01 1",$A2487),IF(AND(LEN($A2487)=4,VALUE(RIGHT($A2487,2))&lt;60),GUS_tabl_2!$A$8:$B$464,GUS_tabl_21!$A$5:$B$4886),2,FALSE)))),TRIM(VLOOKUP(IF(AND(LEN($A2487)=4,VALUE(RIGHT($A2487,2))&gt;60),$A2487&amp;"01 1",$A2487),IF(AND(LEN($A2487)=4,VALUE(RIGHT($A2487,2))&lt;60),GUS_tabl_2!$A$8:$B$464,GUS_tabl_21!$A$5:$B$4886),2,FALSE)),LEFT(TRIM(VLOOKUP(IF(AND(LEN($A2487)=4,VALUE(RIGHT($A2487,2))&gt;60),$A2487&amp;"01 1",$A2487),IF(AND(LEN($A2487)=4,VALUE(RIGHT($A2487,2))&lt;60),GUS_tabl_2!$A$8:$B$464,GUS_tabl_21!$A$5:$B$4886),2,FALSE)),SUM(FIND("..",TRIM(VLOOKUP(IF(AND(LEN($A2487)=4,VALUE(RIGHT($A2487,2))&gt;60),$A2487&amp;"01 1",$A2487),IF(AND(LEN($A2487)=4,VALUE(RIGHT($A2487,2))&lt;60),GUS_tabl_2!$A$8:$B$464,GUS_tabl_21!$A$5:$B$4886),2,FALSE))),-1)))))</f>
        <v>gm. w. Kozłowo</v>
      </c>
      <c r="D2487" s="141">
        <f>IF(OR($A2487="",ISERROR(VALUE(LEFT($A2487,6)))),"",IF(LEN($A2487)=2,SUMIF($A2488:$A$2965,$A2487&amp;"??",$D2488:$D$2965),IF(AND(LEN($A2487)=4,VALUE(RIGHT($A2487,2))&lt;=60),SUMIF($A2488:$A$2965,$A2487&amp;"????",$D2488:$D$2965),VLOOKUP(IF(LEN($A2487)=4,$A2487&amp;"01 1",$A2487),GUS_tabl_21!$A$5:$F$4886,6,FALSE))))</f>
        <v>5998</v>
      </c>
      <c r="E2487" s="29"/>
    </row>
    <row r="2488" spans="1:5" ht="12" customHeight="1">
      <c r="A2488" s="155" t="str">
        <f>"281104 3"</f>
        <v>281104 3</v>
      </c>
      <c r="B2488" s="153" t="s">
        <v>32</v>
      </c>
      <c r="C2488" s="156" t="str">
        <f>IF(OR($A2488="",ISERROR(VALUE(LEFT($A2488,6)))),"",IF(LEN($A2488)=2,"WOJ. ",IF(LEN($A2488)=4,IF(VALUE(RIGHT($A2488,2))&gt;60,"","Powiat "),IF(VALUE(RIGHT($A2488,1))=1,"m. ",IF(VALUE(RIGHT($A2488,1))=2,"gm. w. ",IF(VALUE(RIGHT($A2488,1))=8,"dz. ","gm. m.-w. ")))))&amp;IF(LEN($A2488)=2,TRIM(UPPER(VLOOKUP($A2488,GUS_tabl_1!$A$7:$B$22,2,FALSE))),IF(ISERROR(FIND("..",TRIM(VLOOKUP(IF(AND(LEN($A2488)=4,VALUE(RIGHT($A2488,2))&gt;60),$A2488&amp;"01 1",$A2488),IF(AND(LEN($A2488)=4,VALUE(RIGHT($A2488,2))&lt;60),GUS_tabl_2!$A$8:$B$464,GUS_tabl_21!$A$5:$B$4886),2,FALSE)))),TRIM(VLOOKUP(IF(AND(LEN($A2488)=4,VALUE(RIGHT($A2488,2))&gt;60),$A2488&amp;"01 1",$A2488),IF(AND(LEN($A2488)=4,VALUE(RIGHT($A2488,2))&lt;60),GUS_tabl_2!$A$8:$B$464,GUS_tabl_21!$A$5:$B$4886),2,FALSE)),LEFT(TRIM(VLOOKUP(IF(AND(LEN($A2488)=4,VALUE(RIGHT($A2488,2))&gt;60),$A2488&amp;"01 1",$A2488),IF(AND(LEN($A2488)=4,VALUE(RIGHT($A2488,2))&lt;60),GUS_tabl_2!$A$8:$B$464,GUS_tabl_21!$A$5:$B$4886),2,FALSE)),SUM(FIND("..",TRIM(VLOOKUP(IF(AND(LEN($A2488)=4,VALUE(RIGHT($A2488,2))&gt;60),$A2488&amp;"01 1",$A2488),IF(AND(LEN($A2488)=4,VALUE(RIGHT($A2488,2))&lt;60),GUS_tabl_2!$A$8:$B$464,GUS_tabl_21!$A$5:$B$4886),2,FALSE))),-1)))))</f>
        <v>gm. m.-w. Nidzica</v>
      </c>
      <c r="D2488" s="141">
        <f>IF(OR($A2488="",ISERROR(VALUE(LEFT($A2488,6)))),"",IF(LEN($A2488)=2,SUMIF($A2489:$A$2965,$A2488&amp;"??",$D2489:$D$2965),IF(AND(LEN($A2488)=4,VALUE(RIGHT($A2488,2))&lt;=60),SUMIF($A2489:$A$2965,$A2488&amp;"????",$D2489:$D$2965),VLOOKUP(IF(LEN($A2488)=4,$A2488&amp;"01 1",$A2488),GUS_tabl_21!$A$5:$F$4886,6,FALSE))))</f>
        <v>21003</v>
      </c>
      <c r="E2488" s="29"/>
    </row>
    <row r="2489" spans="1:5" ht="12" customHeight="1">
      <c r="A2489" s="152" t="str">
        <f>"2812"</f>
        <v>2812</v>
      </c>
      <c r="B2489" s="153" t="s">
        <v>32</v>
      </c>
      <c r="C2489" s="154" t="str">
        <f>IF(OR($A2489="",ISERROR(VALUE(LEFT($A2489,6)))),"",IF(LEN($A2489)=2,"WOJ. ",IF(LEN($A2489)=4,IF(VALUE(RIGHT($A2489,2))&gt;60,"","Powiat "),IF(VALUE(RIGHT($A2489,1))=1,"m. ",IF(VALUE(RIGHT($A2489,1))=2,"gm. w. ",IF(VALUE(RIGHT($A2489,1))=8,"dz. ","gm. m.-w. ")))))&amp;IF(LEN($A2489)=2,TRIM(UPPER(VLOOKUP($A2489,GUS_tabl_1!$A$7:$B$22,2,FALSE))),IF(ISERROR(FIND("..",TRIM(VLOOKUP(IF(AND(LEN($A2489)=4,VALUE(RIGHT($A2489,2))&gt;60),$A2489&amp;"01 1",$A2489),IF(AND(LEN($A2489)=4,VALUE(RIGHT($A2489,2))&lt;60),GUS_tabl_2!$A$8:$B$464,GUS_tabl_21!$A$5:$B$4886),2,FALSE)))),TRIM(VLOOKUP(IF(AND(LEN($A2489)=4,VALUE(RIGHT($A2489,2))&gt;60),$A2489&amp;"01 1",$A2489),IF(AND(LEN($A2489)=4,VALUE(RIGHT($A2489,2))&lt;60),GUS_tabl_2!$A$8:$B$464,GUS_tabl_21!$A$5:$B$4886),2,FALSE)),LEFT(TRIM(VLOOKUP(IF(AND(LEN($A2489)=4,VALUE(RIGHT($A2489,2))&gt;60),$A2489&amp;"01 1",$A2489),IF(AND(LEN($A2489)=4,VALUE(RIGHT($A2489,2))&lt;60),GUS_tabl_2!$A$8:$B$464,GUS_tabl_21!$A$5:$B$4886),2,FALSE)),SUM(FIND("..",TRIM(VLOOKUP(IF(AND(LEN($A2489)=4,VALUE(RIGHT($A2489,2))&gt;60),$A2489&amp;"01 1",$A2489),IF(AND(LEN($A2489)=4,VALUE(RIGHT($A2489,2))&lt;60),GUS_tabl_2!$A$8:$B$464,GUS_tabl_21!$A$5:$B$4886),2,FALSE))),-1)))))</f>
        <v>Powiat nowomiejski</v>
      </c>
      <c r="D2489" s="140">
        <f>IF(OR($A2489="",ISERROR(VALUE(LEFT($A2489,6)))),"",IF(LEN($A2489)=2,SUMIF($A2490:$A$2965,$A2489&amp;"??",$D2490:$D$2965),IF(AND(LEN($A2489)=4,VALUE(RIGHT($A2489,2))&lt;=60),SUMIF($A2490:$A$2965,$A2489&amp;"????",$D2490:$D$2965),VLOOKUP(IF(LEN($A2489)=4,$A2489&amp;"01 1",$A2489),GUS_tabl_21!$A$5:$F$4886,6,FALSE))))</f>
        <v>43822</v>
      </c>
      <c r="E2489" s="29"/>
    </row>
    <row r="2490" spans="1:5" ht="12" customHeight="1">
      <c r="A2490" s="155" t="str">
        <f>"281201 1"</f>
        <v>281201 1</v>
      </c>
      <c r="B2490" s="153" t="s">
        <v>32</v>
      </c>
      <c r="C2490" s="156" t="str">
        <f>IF(OR($A2490="",ISERROR(VALUE(LEFT($A2490,6)))),"",IF(LEN($A2490)=2,"WOJ. ",IF(LEN($A2490)=4,IF(VALUE(RIGHT($A2490,2))&gt;60,"","Powiat "),IF(VALUE(RIGHT($A2490,1))=1,"m. ",IF(VALUE(RIGHT($A2490,1))=2,"gm. w. ",IF(VALUE(RIGHT($A2490,1))=8,"dz. ","gm. m.-w. ")))))&amp;IF(LEN($A2490)=2,TRIM(UPPER(VLOOKUP($A2490,GUS_tabl_1!$A$7:$B$22,2,FALSE))),IF(ISERROR(FIND("..",TRIM(VLOOKUP(IF(AND(LEN($A2490)=4,VALUE(RIGHT($A2490,2))&gt;60),$A2490&amp;"01 1",$A2490),IF(AND(LEN($A2490)=4,VALUE(RIGHT($A2490,2))&lt;60),GUS_tabl_2!$A$8:$B$464,GUS_tabl_21!$A$5:$B$4886),2,FALSE)))),TRIM(VLOOKUP(IF(AND(LEN($A2490)=4,VALUE(RIGHT($A2490,2))&gt;60),$A2490&amp;"01 1",$A2490),IF(AND(LEN($A2490)=4,VALUE(RIGHT($A2490,2))&lt;60),GUS_tabl_2!$A$8:$B$464,GUS_tabl_21!$A$5:$B$4886),2,FALSE)),LEFT(TRIM(VLOOKUP(IF(AND(LEN($A2490)=4,VALUE(RIGHT($A2490,2))&gt;60),$A2490&amp;"01 1",$A2490),IF(AND(LEN($A2490)=4,VALUE(RIGHT($A2490,2))&lt;60),GUS_tabl_2!$A$8:$B$464,GUS_tabl_21!$A$5:$B$4886),2,FALSE)),SUM(FIND("..",TRIM(VLOOKUP(IF(AND(LEN($A2490)=4,VALUE(RIGHT($A2490,2))&gt;60),$A2490&amp;"01 1",$A2490),IF(AND(LEN($A2490)=4,VALUE(RIGHT($A2490,2))&lt;60),GUS_tabl_2!$A$8:$B$464,GUS_tabl_21!$A$5:$B$4886),2,FALSE))),-1)))))</f>
        <v>m. Nowe Miasto Lubawskie</v>
      </c>
      <c r="D2490" s="141">
        <f>IF(OR($A2490="",ISERROR(VALUE(LEFT($A2490,6)))),"",IF(LEN($A2490)=2,SUMIF($A2491:$A$2965,$A2490&amp;"??",$D2491:$D$2965),IF(AND(LEN($A2490)=4,VALUE(RIGHT($A2490,2))&lt;=60),SUMIF($A2491:$A$2965,$A2490&amp;"????",$D2491:$D$2965),VLOOKUP(IF(LEN($A2490)=4,$A2490&amp;"01 1",$A2490),GUS_tabl_21!$A$5:$F$4886,6,FALSE))))</f>
        <v>10850</v>
      </c>
      <c r="E2490" s="29"/>
    </row>
    <row r="2491" spans="1:5" ht="12" customHeight="1">
      <c r="A2491" s="155" t="str">
        <f>"281202 2"</f>
        <v>281202 2</v>
      </c>
      <c r="B2491" s="153" t="s">
        <v>32</v>
      </c>
      <c r="C2491" s="156" t="str">
        <f>IF(OR($A2491="",ISERROR(VALUE(LEFT($A2491,6)))),"",IF(LEN($A2491)=2,"WOJ. ",IF(LEN($A2491)=4,IF(VALUE(RIGHT($A2491,2))&gt;60,"","Powiat "),IF(VALUE(RIGHT($A2491,1))=1,"m. ",IF(VALUE(RIGHT($A2491,1))=2,"gm. w. ",IF(VALUE(RIGHT($A2491,1))=8,"dz. ","gm. m.-w. ")))))&amp;IF(LEN($A2491)=2,TRIM(UPPER(VLOOKUP($A2491,GUS_tabl_1!$A$7:$B$22,2,FALSE))),IF(ISERROR(FIND("..",TRIM(VLOOKUP(IF(AND(LEN($A2491)=4,VALUE(RIGHT($A2491,2))&gt;60),$A2491&amp;"01 1",$A2491),IF(AND(LEN($A2491)=4,VALUE(RIGHT($A2491,2))&lt;60),GUS_tabl_2!$A$8:$B$464,GUS_tabl_21!$A$5:$B$4886),2,FALSE)))),TRIM(VLOOKUP(IF(AND(LEN($A2491)=4,VALUE(RIGHT($A2491,2))&gt;60),$A2491&amp;"01 1",$A2491),IF(AND(LEN($A2491)=4,VALUE(RIGHT($A2491,2))&lt;60),GUS_tabl_2!$A$8:$B$464,GUS_tabl_21!$A$5:$B$4886),2,FALSE)),LEFT(TRIM(VLOOKUP(IF(AND(LEN($A2491)=4,VALUE(RIGHT($A2491,2))&gt;60),$A2491&amp;"01 1",$A2491),IF(AND(LEN($A2491)=4,VALUE(RIGHT($A2491,2))&lt;60),GUS_tabl_2!$A$8:$B$464,GUS_tabl_21!$A$5:$B$4886),2,FALSE)),SUM(FIND("..",TRIM(VLOOKUP(IF(AND(LEN($A2491)=4,VALUE(RIGHT($A2491,2))&gt;60),$A2491&amp;"01 1",$A2491),IF(AND(LEN($A2491)=4,VALUE(RIGHT($A2491,2))&lt;60),GUS_tabl_2!$A$8:$B$464,GUS_tabl_21!$A$5:$B$4886),2,FALSE))),-1)))))</f>
        <v>gm. w. Biskupiec</v>
      </c>
      <c r="D2491" s="141">
        <f>IF(OR($A2491="",ISERROR(VALUE(LEFT($A2491,6)))),"",IF(LEN($A2491)=2,SUMIF($A2492:$A$2965,$A2491&amp;"??",$D2492:$D$2965),IF(AND(LEN($A2491)=4,VALUE(RIGHT($A2491,2))&lt;=60),SUMIF($A2492:$A$2965,$A2491&amp;"????",$D2492:$D$2965),VLOOKUP(IF(LEN($A2491)=4,$A2491&amp;"01 1",$A2491),GUS_tabl_21!$A$5:$F$4886,6,FALSE))))</f>
        <v>9308</v>
      </c>
      <c r="E2491" s="29"/>
    </row>
    <row r="2492" spans="1:5" ht="12" customHeight="1">
      <c r="A2492" s="155" t="str">
        <f>"281203 2"</f>
        <v>281203 2</v>
      </c>
      <c r="B2492" s="153" t="s">
        <v>32</v>
      </c>
      <c r="C2492" s="156" t="str">
        <f>IF(OR($A2492="",ISERROR(VALUE(LEFT($A2492,6)))),"",IF(LEN($A2492)=2,"WOJ. ",IF(LEN($A2492)=4,IF(VALUE(RIGHT($A2492,2))&gt;60,"","Powiat "),IF(VALUE(RIGHT($A2492,1))=1,"m. ",IF(VALUE(RIGHT($A2492,1))=2,"gm. w. ",IF(VALUE(RIGHT($A2492,1))=8,"dz. ","gm. m.-w. ")))))&amp;IF(LEN($A2492)=2,TRIM(UPPER(VLOOKUP($A2492,GUS_tabl_1!$A$7:$B$22,2,FALSE))),IF(ISERROR(FIND("..",TRIM(VLOOKUP(IF(AND(LEN($A2492)=4,VALUE(RIGHT($A2492,2))&gt;60),$A2492&amp;"01 1",$A2492),IF(AND(LEN($A2492)=4,VALUE(RIGHT($A2492,2))&lt;60),GUS_tabl_2!$A$8:$B$464,GUS_tabl_21!$A$5:$B$4886),2,FALSE)))),TRIM(VLOOKUP(IF(AND(LEN($A2492)=4,VALUE(RIGHT($A2492,2))&gt;60),$A2492&amp;"01 1",$A2492),IF(AND(LEN($A2492)=4,VALUE(RIGHT($A2492,2))&lt;60),GUS_tabl_2!$A$8:$B$464,GUS_tabl_21!$A$5:$B$4886),2,FALSE)),LEFT(TRIM(VLOOKUP(IF(AND(LEN($A2492)=4,VALUE(RIGHT($A2492,2))&gt;60),$A2492&amp;"01 1",$A2492),IF(AND(LEN($A2492)=4,VALUE(RIGHT($A2492,2))&lt;60),GUS_tabl_2!$A$8:$B$464,GUS_tabl_21!$A$5:$B$4886),2,FALSE)),SUM(FIND("..",TRIM(VLOOKUP(IF(AND(LEN($A2492)=4,VALUE(RIGHT($A2492,2))&gt;60),$A2492&amp;"01 1",$A2492),IF(AND(LEN($A2492)=4,VALUE(RIGHT($A2492,2))&lt;60),GUS_tabl_2!$A$8:$B$464,GUS_tabl_21!$A$5:$B$4886),2,FALSE))),-1)))))</f>
        <v>gm. w. Grodziczno</v>
      </c>
      <c r="D2492" s="141">
        <f>IF(OR($A2492="",ISERROR(VALUE(LEFT($A2492,6)))),"",IF(LEN($A2492)=2,SUMIF($A2493:$A$2965,$A2492&amp;"??",$D2493:$D$2965),IF(AND(LEN($A2492)=4,VALUE(RIGHT($A2492,2))&lt;=60),SUMIF($A2493:$A$2965,$A2492&amp;"????",$D2493:$D$2965),VLOOKUP(IF(LEN($A2492)=4,$A2492&amp;"01 1",$A2492),GUS_tabl_21!$A$5:$F$4886,6,FALSE))))</f>
        <v>6308</v>
      </c>
      <c r="E2492" s="29"/>
    </row>
    <row r="2493" spans="1:5" ht="12" customHeight="1">
      <c r="A2493" s="155" t="str">
        <f>"281204 2"</f>
        <v>281204 2</v>
      </c>
      <c r="B2493" s="153" t="s">
        <v>32</v>
      </c>
      <c r="C2493" s="156" t="str">
        <f>IF(OR($A2493="",ISERROR(VALUE(LEFT($A2493,6)))),"",IF(LEN($A2493)=2,"WOJ. ",IF(LEN($A2493)=4,IF(VALUE(RIGHT($A2493,2))&gt;60,"","Powiat "),IF(VALUE(RIGHT($A2493,1))=1,"m. ",IF(VALUE(RIGHT($A2493,1))=2,"gm. w. ",IF(VALUE(RIGHT($A2493,1))=8,"dz. ","gm. m.-w. ")))))&amp;IF(LEN($A2493)=2,TRIM(UPPER(VLOOKUP($A2493,GUS_tabl_1!$A$7:$B$22,2,FALSE))),IF(ISERROR(FIND("..",TRIM(VLOOKUP(IF(AND(LEN($A2493)=4,VALUE(RIGHT($A2493,2))&gt;60),$A2493&amp;"01 1",$A2493),IF(AND(LEN($A2493)=4,VALUE(RIGHT($A2493,2))&lt;60),GUS_tabl_2!$A$8:$B$464,GUS_tabl_21!$A$5:$B$4886),2,FALSE)))),TRIM(VLOOKUP(IF(AND(LEN($A2493)=4,VALUE(RIGHT($A2493,2))&gt;60),$A2493&amp;"01 1",$A2493),IF(AND(LEN($A2493)=4,VALUE(RIGHT($A2493,2))&lt;60),GUS_tabl_2!$A$8:$B$464,GUS_tabl_21!$A$5:$B$4886),2,FALSE)),LEFT(TRIM(VLOOKUP(IF(AND(LEN($A2493)=4,VALUE(RIGHT($A2493,2))&gt;60),$A2493&amp;"01 1",$A2493),IF(AND(LEN($A2493)=4,VALUE(RIGHT($A2493,2))&lt;60),GUS_tabl_2!$A$8:$B$464,GUS_tabl_21!$A$5:$B$4886),2,FALSE)),SUM(FIND("..",TRIM(VLOOKUP(IF(AND(LEN($A2493)=4,VALUE(RIGHT($A2493,2))&gt;60),$A2493&amp;"01 1",$A2493),IF(AND(LEN($A2493)=4,VALUE(RIGHT($A2493,2))&lt;60),GUS_tabl_2!$A$8:$B$464,GUS_tabl_21!$A$5:$B$4886),2,FALSE))),-1)))))</f>
        <v>gm. w. Kurzętnik</v>
      </c>
      <c r="D2493" s="141">
        <f>IF(OR($A2493="",ISERROR(VALUE(LEFT($A2493,6)))),"",IF(LEN($A2493)=2,SUMIF($A2494:$A$2965,$A2493&amp;"??",$D2494:$D$2965),IF(AND(LEN($A2493)=4,VALUE(RIGHT($A2493,2))&lt;=60),SUMIF($A2494:$A$2965,$A2493&amp;"????",$D2494:$D$2965),VLOOKUP(IF(LEN($A2493)=4,$A2493&amp;"01 1",$A2493),GUS_tabl_21!$A$5:$F$4886,6,FALSE))))</f>
        <v>9111</v>
      </c>
      <c r="E2493" s="29"/>
    </row>
    <row r="2494" spans="1:5" ht="12" customHeight="1">
      <c r="A2494" s="155" t="str">
        <f>"281205 2"</f>
        <v>281205 2</v>
      </c>
      <c r="B2494" s="153" t="s">
        <v>32</v>
      </c>
      <c r="C2494" s="156" t="str">
        <f>IF(OR($A2494="",ISERROR(VALUE(LEFT($A2494,6)))),"",IF(LEN($A2494)=2,"WOJ. ",IF(LEN($A2494)=4,IF(VALUE(RIGHT($A2494,2))&gt;60,"","Powiat "),IF(VALUE(RIGHT($A2494,1))=1,"m. ",IF(VALUE(RIGHT($A2494,1))=2,"gm. w. ",IF(VALUE(RIGHT($A2494,1))=8,"dz. ","gm. m.-w. ")))))&amp;IF(LEN($A2494)=2,TRIM(UPPER(VLOOKUP($A2494,GUS_tabl_1!$A$7:$B$22,2,FALSE))),IF(ISERROR(FIND("..",TRIM(VLOOKUP(IF(AND(LEN($A2494)=4,VALUE(RIGHT($A2494,2))&gt;60),$A2494&amp;"01 1",$A2494),IF(AND(LEN($A2494)=4,VALUE(RIGHT($A2494,2))&lt;60),GUS_tabl_2!$A$8:$B$464,GUS_tabl_21!$A$5:$B$4886),2,FALSE)))),TRIM(VLOOKUP(IF(AND(LEN($A2494)=4,VALUE(RIGHT($A2494,2))&gt;60),$A2494&amp;"01 1",$A2494),IF(AND(LEN($A2494)=4,VALUE(RIGHT($A2494,2))&lt;60),GUS_tabl_2!$A$8:$B$464,GUS_tabl_21!$A$5:$B$4886),2,FALSE)),LEFT(TRIM(VLOOKUP(IF(AND(LEN($A2494)=4,VALUE(RIGHT($A2494,2))&gt;60),$A2494&amp;"01 1",$A2494),IF(AND(LEN($A2494)=4,VALUE(RIGHT($A2494,2))&lt;60),GUS_tabl_2!$A$8:$B$464,GUS_tabl_21!$A$5:$B$4886),2,FALSE)),SUM(FIND("..",TRIM(VLOOKUP(IF(AND(LEN($A2494)=4,VALUE(RIGHT($A2494,2))&gt;60),$A2494&amp;"01 1",$A2494),IF(AND(LEN($A2494)=4,VALUE(RIGHT($A2494,2))&lt;60),GUS_tabl_2!$A$8:$B$464,GUS_tabl_21!$A$5:$B$4886),2,FALSE))),-1)))))</f>
        <v>gm. w. Nowe Miasto Lubawskie</v>
      </c>
      <c r="D2494" s="141">
        <f>IF(OR($A2494="",ISERROR(VALUE(LEFT($A2494,6)))),"",IF(LEN($A2494)=2,SUMIF($A2495:$A$2965,$A2494&amp;"??",$D2495:$D$2965),IF(AND(LEN($A2494)=4,VALUE(RIGHT($A2494,2))&lt;=60),SUMIF($A2495:$A$2965,$A2494&amp;"????",$D2495:$D$2965),VLOOKUP(IF(LEN($A2494)=4,$A2494&amp;"01 1",$A2494),GUS_tabl_21!$A$5:$F$4886,6,FALSE))))</f>
        <v>8245</v>
      </c>
      <c r="E2494" s="29"/>
    </row>
    <row r="2495" spans="1:5" ht="12" customHeight="1">
      <c r="A2495" s="152" t="str">
        <f>"2813"</f>
        <v>2813</v>
      </c>
      <c r="B2495" s="153" t="s">
        <v>32</v>
      </c>
      <c r="C2495" s="154" t="str">
        <f>IF(OR($A2495="",ISERROR(VALUE(LEFT($A2495,6)))),"",IF(LEN($A2495)=2,"WOJ. ",IF(LEN($A2495)=4,IF(VALUE(RIGHT($A2495,2))&gt;60,"","Powiat "),IF(VALUE(RIGHT($A2495,1))=1,"m. ",IF(VALUE(RIGHT($A2495,1))=2,"gm. w. ",IF(VALUE(RIGHT($A2495,1))=8,"dz. ","gm. m.-w. ")))))&amp;IF(LEN($A2495)=2,TRIM(UPPER(VLOOKUP($A2495,GUS_tabl_1!$A$7:$B$22,2,FALSE))),IF(ISERROR(FIND("..",TRIM(VLOOKUP(IF(AND(LEN($A2495)=4,VALUE(RIGHT($A2495,2))&gt;60),$A2495&amp;"01 1",$A2495),IF(AND(LEN($A2495)=4,VALUE(RIGHT($A2495,2))&lt;60),GUS_tabl_2!$A$8:$B$464,GUS_tabl_21!$A$5:$B$4886),2,FALSE)))),TRIM(VLOOKUP(IF(AND(LEN($A2495)=4,VALUE(RIGHT($A2495,2))&gt;60),$A2495&amp;"01 1",$A2495),IF(AND(LEN($A2495)=4,VALUE(RIGHT($A2495,2))&lt;60),GUS_tabl_2!$A$8:$B$464,GUS_tabl_21!$A$5:$B$4886),2,FALSE)),LEFT(TRIM(VLOOKUP(IF(AND(LEN($A2495)=4,VALUE(RIGHT($A2495,2))&gt;60),$A2495&amp;"01 1",$A2495),IF(AND(LEN($A2495)=4,VALUE(RIGHT($A2495,2))&lt;60),GUS_tabl_2!$A$8:$B$464,GUS_tabl_21!$A$5:$B$4886),2,FALSE)),SUM(FIND("..",TRIM(VLOOKUP(IF(AND(LEN($A2495)=4,VALUE(RIGHT($A2495,2))&gt;60),$A2495&amp;"01 1",$A2495),IF(AND(LEN($A2495)=4,VALUE(RIGHT($A2495,2))&lt;60),GUS_tabl_2!$A$8:$B$464,GUS_tabl_21!$A$5:$B$4886),2,FALSE))),-1)))))</f>
        <v>Powiat olecki</v>
      </c>
      <c r="D2495" s="140">
        <f>IF(OR($A2495="",ISERROR(VALUE(LEFT($A2495,6)))),"",IF(LEN($A2495)=2,SUMIF($A2496:$A$2965,$A2495&amp;"??",$D2496:$D$2965),IF(AND(LEN($A2495)=4,VALUE(RIGHT($A2495,2))&lt;=60),SUMIF($A2496:$A$2965,$A2495&amp;"????",$D2496:$D$2965),VLOOKUP(IF(LEN($A2495)=4,$A2495&amp;"01 1",$A2495),GUS_tabl_21!$A$5:$F$4886,6,FALSE))))</f>
        <v>34148</v>
      </c>
      <c r="E2495" s="29"/>
    </row>
    <row r="2496" spans="1:5" ht="12" customHeight="1">
      <c r="A2496" s="155" t="str">
        <f>"281303 2"</f>
        <v>281303 2</v>
      </c>
      <c r="B2496" s="153" t="s">
        <v>32</v>
      </c>
      <c r="C2496" s="156" t="str">
        <f>IF(OR($A2496="",ISERROR(VALUE(LEFT($A2496,6)))),"",IF(LEN($A2496)=2,"WOJ. ",IF(LEN($A2496)=4,IF(VALUE(RIGHT($A2496,2))&gt;60,"","Powiat "),IF(VALUE(RIGHT($A2496,1))=1,"m. ",IF(VALUE(RIGHT($A2496,1))=2,"gm. w. ",IF(VALUE(RIGHT($A2496,1))=8,"dz. ","gm. m.-w. ")))))&amp;IF(LEN($A2496)=2,TRIM(UPPER(VLOOKUP($A2496,GUS_tabl_1!$A$7:$B$22,2,FALSE))),IF(ISERROR(FIND("..",TRIM(VLOOKUP(IF(AND(LEN($A2496)=4,VALUE(RIGHT($A2496,2))&gt;60),$A2496&amp;"01 1",$A2496),IF(AND(LEN($A2496)=4,VALUE(RIGHT($A2496,2))&lt;60),GUS_tabl_2!$A$8:$B$464,GUS_tabl_21!$A$5:$B$4886),2,FALSE)))),TRIM(VLOOKUP(IF(AND(LEN($A2496)=4,VALUE(RIGHT($A2496,2))&gt;60),$A2496&amp;"01 1",$A2496),IF(AND(LEN($A2496)=4,VALUE(RIGHT($A2496,2))&lt;60),GUS_tabl_2!$A$8:$B$464,GUS_tabl_21!$A$5:$B$4886),2,FALSE)),LEFT(TRIM(VLOOKUP(IF(AND(LEN($A2496)=4,VALUE(RIGHT($A2496,2))&gt;60),$A2496&amp;"01 1",$A2496),IF(AND(LEN($A2496)=4,VALUE(RIGHT($A2496,2))&lt;60),GUS_tabl_2!$A$8:$B$464,GUS_tabl_21!$A$5:$B$4886),2,FALSE)),SUM(FIND("..",TRIM(VLOOKUP(IF(AND(LEN($A2496)=4,VALUE(RIGHT($A2496,2))&gt;60),$A2496&amp;"01 1",$A2496),IF(AND(LEN($A2496)=4,VALUE(RIGHT($A2496,2))&lt;60),GUS_tabl_2!$A$8:$B$464,GUS_tabl_21!$A$5:$B$4886),2,FALSE))),-1)))))</f>
        <v>gm. w. Kowale Oleckie</v>
      </c>
      <c r="D2496" s="141">
        <f>IF(OR($A2496="",ISERROR(VALUE(LEFT($A2496,6)))),"",IF(LEN($A2496)=2,SUMIF($A2497:$A$2965,$A2496&amp;"??",$D2497:$D$2965),IF(AND(LEN($A2496)=4,VALUE(RIGHT($A2496,2))&lt;=60),SUMIF($A2497:$A$2965,$A2496&amp;"????",$D2497:$D$2965),VLOOKUP(IF(LEN($A2496)=4,$A2496&amp;"01 1",$A2496),GUS_tabl_21!$A$5:$F$4886,6,FALSE))))</f>
        <v>4960</v>
      </c>
      <c r="E2496" s="29"/>
    </row>
    <row r="2497" spans="1:5" ht="12" customHeight="1">
      <c r="A2497" s="155" t="str">
        <f>"281304 3"</f>
        <v>281304 3</v>
      </c>
      <c r="B2497" s="153" t="s">
        <v>32</v>
      </c>
      <c r="C2497" s="156" t="str">
        <f>IF(OR($A2497="",ISERROR(VALUE(LEFT($A2497,6)))),"",IF(LEN($A2497)=2,"WOJ. ",IF(LEN($A2497)=4,IF(VALUE(RIGHT($A2497,2))&gt;60,"","Powiat "),IF(VALUE(RIGHT($A2497,1))=1,"m. ",IF(VALUE(RIGHT($A2497,1))=2,"gm. w. ",IF(VALUE(RIGHT($A2497,1))=8,"dz. ","gm. m.-w. ")))))&amp;IF(LEN($A2497)=2,TRIM(UPPER(VLOOKUP($A2497,GUS_tabl_1!$A$7:$B$22,2,FALSE))),IF(ISERROR(FIND("..",TRIM(VLOOKUP(IF(AND(LEN($A2497)=4,VALUE(RIGHT($A2497,2))&gt;60),$A2497&amp;"01 1",$A2497),IF(AND(LEN($A2497)=4,VALUE(RIGHT($A2497,2))&lt;60),GUS_tabl_2!$A$8:$B$464,GUS_tabl_21!$A$5:$B$4886),2,FALSE)))),TRIM(VLOOKUP(IF(AND(LEN($A2497)=4,VALUE(RIGHT($A2497,2))&gt;60),$A2497&amp;"01 1",$A2497),IF(AND(LEN($A2497)=4,VALUE(RIGHT($A2497,2))&lt;60),GUS_tabl_2!$A$8:$B$464,GUS_tabl_21!$A$5:$B$4886),2,FALSE)),LEFT(TRIM(VLOOKUP(IF(AND(LEN($A2497)=4,VALUE(RIGHT($A2497,2))&gt;60),$A2497&amp;"01 1",$A2497),IF(AND(LEN($A2497)=4,VALUE(RIGHT($A2497,2))&lt;60),GUS_tabl_2!$A$8:$B$464,GUS_tabl_21!$A$5:$B$4886),2,FALSE)),SUM(FIND("..",TRIM(VLOOKUP(IF(AND(LEN($A2497)=4,VALUE(RIGHT($A2497,2))&gt;60),$A2497&amp;"01 1",$A2497),IF(AND(LEN($A2497)=4,VALUE(RIGHT($A2497,2))&lt;60),GUS_tabl_2!$A$8:$B$464,GUS_tabl_21!$A$5:$B$4886),2,FALSE))),-1)))))</f>
        <v>gm. m.-w. Olecko</v>
      </c>
      <c r="D2497" s="141">
        <f>IF(OR($A2497="",ISERROR(VALUE(LEFT($A2497,6)))),"",IF(LEN($A2497)=2,SUMIF($A2498:$A$2965,$A2497&amp;"??",$D2498:$D$2965),IF(AND(LEN($A2497)=4,VALUE(RIGHT($A2497,2))&lt;=60),SUMIF($A2498:$A$2965,$A2497&amp;"????",$D2498:$D$2965),VLOOKUP(IF(LEN($A2497)=4,$A2497&amp;"01 1",$A2497),GUS_tabl_21!$A$5:$F$4886,6,FALSE))))</f>
        <v>22025</v>
      </c>
      <c r="E2497" s="29"/>
    </row>
    <row r="2498" spans="1:5" ht="12" customHeight="1">
      <c r="A2498" s="155" t="str">
        <f>"281305 2"</f>
        <v>281305 2</v>
      </c>
      <c r="B2498" s="153" t="s">
        <v>32</v>
      </c>
      <c r="C2498" s="156" t="str">
        <f>IF(OR($A2498="",ISERROR(VALUE(LEFT($A2498,6)))),"",IF(LEN($A2498)=2,"WOJ. ",IF(LEN($A2498)=4,IF(VALUE(RIGHT($A2498,2))&gt;60,"","Powiat "),IF(VALUE(RIGHT($A2498,1))=1,"m. ",IF(VALUE(RIGHT($A2498,1))=2,"gm. w. ",IF(VALUE(RIGHT($A2498,1))=8,"dz. ","gm. m.-w. ")))))&amp;IF(LEN($A2498)=2,TRIM(UPPER(VLOOKUP($A2498,GUS_tabl_1!$A$7:$B$22,2,FALSE))),IF(ISERROR(FIND("..",TRIM(VLOOKUP(IF(AND(LEN($A2498)=4,VALUE(RIGHT($A2498,2))&gt;60),$A2498&amp;"01 1",$A2498),IF(AND(LEN($A2498)=4,VALUE(RIGHT($A2498,2))&lt;60),GUS_tabl_2!$A$8:$B$464,GUS_tabl_21!$A$5:$B$4886),2,FALSE)))),TRIM(VLOOKUP(IF(AND(LEN($A2498)=4,VALUE(RIGHT($A2498,2))&gt;60),$A2498&amp;"01 1",$A2498),IF(AND(LEN($A2498)=4,VALUE(RIGHT($A2498,2))&lt;60),GUS_tabl_2!$A$8:$B$464,GUS_tabl_21!$A$5:$B$4886),2,FALSE)),LEFT(TRIM(VLOOKUP(IF(AND(LEN($A2498)=4,VALUE(RIGHT($A2498,2))&gt;60),$A2498&amp;"01 1",$A2498),IF(AND(LEN($A2498)=4,VALUE(RIGHT($A2498,2))&lt;60),GUS_tabl_2!$A$8:$B$464,GUS_tabl_21!$A$5:$B$4886),2,FALSE)),SUM(FIND("..",TRIM(VLOOKUP(IF(AND(LEN($A2498)=4,VALUE(RIGHT($A2498,2))&gt;60),$A2498&amp;"01 1",$A2498),IF(AND(LEN($A2498)=4,VALUE(RIGHT($A2498,2))&lt;60),GUS_tabl_2!$A$8:$B$464,GUS_tabl_21!$A$5:$B$4886),2,FALSE))),-1)))))</f>
        <v>gm. w. Świętajno</v>
      </c>
      <c r="D2498" s="141">
        <f>IF(OR($A2498="",ISERROR(VALUE(LEFT($A2498,6)))),"",IF(LEN($A2498)=2,SUMIF($A2499:$A$2965,$A2498&amp;"??",$D2499:$D$2965),IF(AND(LEN($A2498)=4,VALUE(RIGHT($A2498,2))&lt;=60),SUMIF($A2499:$A$2965,$A2498&amp;"????",$D2499:$D$2965),VLOOKUP(IF(LEN($A2498)=4,$A2498&amp;"01 1",$A2498),GUS_tabl_21!$A$5:$F$4886,6,FALSE))))</f>
        <v>3883</v>
      </c>
      <c r="E2498" s="29"/>
    </row>
    <row r="2499" spans="1:5" ht="12" customHeight="1">
      <c r="A2499" s="155" t="str">
        <f>"281306 2"</f>
        <v>281306 2</v>
      </c>
      <c r="B2499" s="153" t="s">
        <v>32</v>
      </c>
      <c r="C2499" s="156" t="str">
        <f>IF(OR($A2499="",ISERROR(VALUE(LEFT($A2499,6)))),"",IF(LEN($A2499)=2,"WOJ. ",IF(LEN($A2499)=4,IF(VALUE(RIGHT($A2499,2))&gt;60,"","Powiat "),IF(VALUE(RIGHT($A2499,1))=1,"m. ",IF(VALUE(RIGHT($A2499,1))=2,"gm. w. ",IF(VALUE(RIGHT($A2499,1))=8,"dz. ","gm. m.-w. ")))))&amp;IF(LEN($A2499)=2,TRIM(UPPER(VLOOKUP($A2499,GUS_tabl_1!$A$7:$B$22,2,FALSE))),IF(ISERROR(FIND("..",TRIM(VLOOKUP(IF(AND(LEN($A2499)=4,VALUE(RIGHT($A2499,2))&gt;60),$A2499&amp;"01 1",$A2499),IF(AND(LEN($A2499)=4,VALUE(RIGHT($A2499,2))&lt;60),GUS_tabl_2!$A$8:$B$464,GUS_tabl_21!$A$5:$B$4886),2,FALSE)))),TRIM(VLOOKUP(IF(AND(LEN($A2499)=4,VALUE(RIGHT($A2499,2))&gt;60),$A2499&amp;"01 1",$A2499),IF(AND(LEN($A2499)=4,VALUE(RIGHT($A2499,2))&lt;60),GUS_tabl_2!$A$8:$B$464,GUS_tabl_21!$A$5:$B$4886),2,FALSE)),LEFT(TRIM(VLOOKUP(IF(AND(LEN($A2499)=4,VALUE(RIGHT($A2499,2))&gt;60),$A2499&amp;"01 1",$A2499),IF(AND(LEN($A2499)=4,VALUE(RIGHT($A2499,2))&lt;60),GUS_tabl_2!$A$8:$B$464,GUS_tabl_21!$A$5:$B$4886),2,FALSE)),SUM(FIND("..",TRIM(VLOOKUP(IF(AND(LEN($A2499)=4,VALUE(RIGHT($A2499,2))&gt;60),$A2499&amp;"01 1",$A2499),IF(AND(LEN($A2499)=4,VALUE(RIGHT($A2499,2))&lt;60),GUS_tabl_2!$A$8:$B$464,GUS_tabl_21!$A$5:$B$4886),2,FALSE))),-1)))))</f>
        <v>gm. w. Wieliczki</v>
      </c>
      <c r="D2499" s="141">
        <f>IF(OR($A2499="",ISERROR(VALUE(LEFT($A2499,6)))),"",IF(LEN($A2499)=2,SUMIF($A2500:$A$2965,$A2499&amp;"??",$D2500:$D$2965),IF(AND(LEN($A2499)=4,VALUE(RIGHT($A2499,2))&lt;=60),SUMIF($A2500:$A$2965,$A2499&amp;"????",$D2500:$D$2965),VLOOKUP(IF(LEN($A2499)=4,$A2499&amp;"01 1",$A2499),GUS_tabl_21!$A$5:$F$4886,6,FALSE))))</f>
        <v>3280</v>
      </c>
      <c r="E2499" s="29"/>
    </row>
    <row r="2500" spans="1:5" ht="12" customHeight="1">
      <c r="A2500" s="152" t="str">
        <f>"2814"</f>
        <v>2814</v>
      </c>
      <c r="B2500" s="153" t="s">
        <v>32</v>
      </c>
      <c r="C2500" s="154" t="str">
        <f>IF(OR($A2500="",ISERROR(VALUE(LEFT($A2500,6)))),"",IF(LEN($A2500)=2,"WOJ. ",IF(LEN($A2500)=4,IF(VALUE(RIGHT($A2500,2))&gt;60,"","Powiat "),IF(VALUE(RIGHT($A2500,1))=1,"m. ",IF(VALUE(RIGHT($A2500,1))=2,"gm. w. ",IF(VALUE(RIGHT($A2500,1))=8,"dz. ","gm. m.-w. ")))))&amp;IF(LEN($A2500)=2,TRIM(UPPER(VLOOKUP($A2500,GUS_tabl_1!$A$7:$B$22,2,FALSE))),IF(ISERROR(FIND("..",TRIM(VLOOKUP(IF(AND(LEN($A2500)=4,VALUE(RIGHT($A2500,2))&gt;60),$A2500&amp;"01 1",$A2500),IF(AND(LEN($A2500)=4,VALUE(RIGHT($A2500,2))&lt;60),GUS_tabl_2!$A$8:$B$464,GUS_tabl_21!$A$5:$B$4886),2,FALSE)))),TRIM(VLOOKUP(IF(AND(LEN($A2500)=4,VALUE(RIGHT($A2500,2))&gt;60),$A2500&amp;"01 1",$A2500),IF(AND(LEN($A2500)=4,VALUE(RIGHT($A2500,2))&lt;60),GUS_tabl_2!$A$8:$B$464,GUS_tabl_21!$A$5:$B$4886),2,FALSE)),LEFT(TRIM(VLOOKUP(IF(AND(LEN($A2500)=4,VALUE(RIGHT($A2500,2))&gt;60),$A2500&amp;"01 1",$A2500),IF(AND(LEN($A2500)=4,VALUE(RIGHT($A2500,2))&lt;60),GUS_tabl_2!$A$8:$B$464,GUS_tabl_21!$A$5:$B$4886),2,FALSE)),SUM(FIND("..",TRIM(VLOOKUP(IF(AND(LEN($A2500)=4,VALUE(RIGHT($A2500,2))&gt;60),$A2500&amp;"01 1",$A2500),IF(AND(LEN($A2500)=4,VALUE(RIGHT($A2500,2))&lt;60),GUS_tabl_2!$A$8:$B$464,GUS_tabl_21!$A$5:$B$4886),2,FALSE))),-1)))))</f>
        <v>Powiat olsztyński</v>
      </c>
      <c r="D2500" s="140">
        <f>IF(OR($A2500="",ISERROR(VALUE(LEFT($A2500,6)))),"",IF(LEN($A2500)=2,SUMIF($A2501:$A$2965,$A2500&amp;"??",$D2501:$D$2965),IF(AND(LEN($A2500)=4,VALUE(RIGHT($A2500,2))&lt;=60),SUMIF($A2501:$A$2965,$A2500&amp;"????",$D2501:$D$2965),VLOOKUP(IF(LEN($A2500)=4,$A2500&amp;"01 1",$A2500),GUS_tabl_21!$A$5:$F$4886,6,FALSE))))</f>
        <v>126781</v>
      </c>
      <c r="E2500" s="29"/>
    </row>
    <row r="2501" spans="1:5" ht="12" customHeight="1">
      <c r="A2501" s="155" t="str">
        <f>"281401 3"</f>
        <v>281401 3</v>
      </c>
      <c r="B2501" s="153" t="s">
        <v>32</v>
      </c>
      <c r="C2501" s="156" t="str">
        <f>IF(OR($A2501="",ISERROR(VALUE(LEFT($A2501,6)))),"",IF(LEN($A2501)=2,"WOJ. ",IF(LEN($A2501)=4,IF(VALUE(RIGHT($A2501,2))&gt;60,"","Powiat "),IF(VALUE(RIGHT($A2501,1))=1,"m. ",IF(VALUE(RIGHT($A2501,1))=2,"gm. w. ",IF(VALUE(RIGHT($A2501,1))=8,"dz. ","gm. m.-w. ")))))&amp;IF(LEN($A2501)=2,TRIM(UPPER(VLOOKUP($A2501,GUS_tabl_1!$A$7:$B$22,2,FALSE))),IF(ISERROR(FIND("..",TRIM(VLOOKUP(IF(AND(LEN($A2501)=4,VALUE(RIGHT($A2501,2))&gt;60),$A2501&amp;"01 1",$A2501),IF(AND(LEN($A2501)=4,VALUE(RIGHT($A2501,2))&lt;60),GUS_tabl_2!$A$8:$B$464,GUS_tabl_21!$A$5:$B$4886),2,FALSE)))),TRIM(VLOOKUP(IF(AND(LEN($A2501)=4,VALUE(RIGHT($A2501,2))&gt;60),$A2501&amp;"01 1",$A2501),IF(AND(LEN($A2501)=4,VALUE(RIGHT($A2501,2))&lt;60),GUS_tabl_2!$A$8:$B$464,GUS_tabl_21!$A$5:$B$4886),2,FALSE)),LEFT(TRIM(VLOOKUP(IF(AND(LEN($A2501)=4,VALUE(RIGHT($A2501,2))&gt;60),$A2501&amp;"01 1",$A2501),IF(AND(LEN($A2501)=4,VALUE(RIGHT($A2501,2))&lt;60),GUS_tabl_2!$A$8:$B$464,GUS_tabl_21!$A$5:$B$4886),2,FALSE)),SUM(FIND("..",TRIM(VLOOKUP(IF(AND(LEN($A2501)=4,VALUE(RIGHT($A2501,2))&gt;60),$A2501&amp;"01 1",$A2501),IF(AND(LEN($A2501)=4,VALUE(RIGHT($A2501,2))&lt;60),GUS_tabl_2!$A$8:$B$464,GUS_tabl_21!$A$5:$B$4886),2,FALSE))),-1)))))</f>
        <v>gm. m.-w. Barczewo</v>
      </c>
      <c r="D2501" s="141">
        <f>IF(OR($A2501="",ISERROR(VALUE(LEFT($A2501,6)))),"",IF(LEN($A2501)=2,SUMIF($A2502:$A$2965,$A2501&amp;"??",$D2502:$D$2965),IF(AND(LEN($A2501)=4,VALUE(RIGHT($A2501,2))&lt;=60),SUMIF($A2502:$A$2965,$A2501&amp;"????",$D2502:$D$2965),VLOOKUP(IF(LEN($A2501)=4,$A2501&amp;"01 1",$A2501),GUS_tabl_21!$A$5:$F$4886,6,FALSE))))</f>
        <v>18019</v>
      </c>
      <c r="E2501" s="29"/>
    </row>
    <row r="2502" spans="1:5" ht="12" customHeight="1">
      <c r="A2502" s="155" t="str">
        <f>"281402 3"</f>
        <v>281402 3</v>
      </c>
      <c r="B2502" s="153" t="s">
        <v>32</v>
      </c>
      <c r="C2502" s="156" t="str">
        <f>IF(OR($A2502="",ISERROR(VALUE(LEFT($A2502,6)))),"",IF(LEN($A2502)=2,"WOJ. ",IF(LEN($A2502)=4,IF(VALUE(RIGHT($A2502,2))&gt;60,"","Powiat "),IF(VALUE(RIGHT($A2502,1))=1,"m. ",IF(VALUE(RIGHT($A2502,1))=2,"gm. w. ",IF(VALUE(RIGHT($A2502,1))=8,"dz. ","gm. m.-w. ")))))&amp;IF(LEN($A2502)=2,TRIM(UPPER(VLOOKUP($A2502,GUS_tabl_1!$A$7:$B$22,2,FALSE))),IF(ISERROR(FIND("..",TRIM(VLOOKUP(IF(AND(LEN($A2502)=4,VALUE(RIGHT($A2502,2))&gt;60),$A2502&amp;"01 1",$A2502),IF(AND(LEN($A2502)=4,VALUE(RIGHT($A2502,2))&lt;60),GUS_tabl_2!$A$8:$B$464,GUS_tabl_21!$A$5:$B$4886),2,FALSE)))),TRIM(VLOOKUP(IF(AND(LEN($A2502)=4,VALUE(RIGHT($A2502,2))&gt;60),$A2502&amp;"01 1",$A2502),IF(AND(LEN($A2502)=4,VALUE(RIGHT($A2502,2))&lt;60),GUS_tabl_2!$A$8:$B$464,GUS_tabl_21!$A$5:$B$4886),2,FALSE)),LEFT(TRIM(VLOOKUP(IF(AND(LEN($A2502)=4,VALUE(RIGHT($A2502,2))&gt;60),$A2502&amp;"01 1",$A2502),IF(AND(LEN($A2502)=4,VALUE(RIGHT($A2502,2))&lt;60),GUS_tabl_2!$A$8:$B$464,GUS_tabl_21!$A$5:$B$4886),2,FALSE)),SUM(FIND("..",TRIM(VLOOKUP(IF(AND(LEN($A2502)=4,VALUE(RIGHT($A2502,2))&gt;60),$A2502&amp;"01 1",$A2502),IF(AND(LEN($A2502)=4,VALUE(RIGHT($A2502,2))&lt;60),GUS_tabl_2!$A$8:$B$464,GUS_tabl_21!$A$5:$B$4886),2,FALSE))),-1)))))</f>
        <v>gm. m.-w. Biskupiec</v>
      </c>
      <c r="D2502" s="141">
        <f>IF(OR($A2502="",ISERROR(VALUE(LEFT($A2502,6)))),"",IF(LEN($A2502)=2,SUMIF($A2503:$A$2965,$A2502&amp;"??",$D2503:$D$2965),IF(AND(LEN($A2502)=4,VALUE(RIGHT($A2502,2))&lt;=60),SUMIF($A2503:$A$2965,$A2502&amp;"????",$D2503:$D$2965),VLOOKUP(IF(LEN($A2502)=4,$A2502&amp;"01 1",$A2502),GUS_tabl_21!$A$5:$F$4886,6,FALSE))))</f>
        <v>18997</v>
      </c>
      <c r="E2502" s="29"/>
    </row>
    <row r="2503" spans="1:5" ht="12" customHeight="1">
      <c r="A2503" s="155" t="str">
        <f>"281403 3"</f>
        <v>281403 3</v>
      </c>
      <c r="B2503" s="153" t="s">
        <v>32</v>
      </c>
      <c r="C2503" s="156" t="str">
        <f>IF(OR($A2503="",ISERROR(VALUE(LEFT($A2503,6)))),"",IF(LEN($A2503)=2,"WOJ. ",IF(LEN($A2503)=4,IF(VALUE(RIGHT($A2503,2))&gt;60,"","Powiat "),IF(VALUE(RIGHT($A2503,1))=1,"m. ",IF(VALUE(RIGHT($A2503,1))=2,"gm. w. ",IF(VALUE(RIGHT($A2503,1))=8,"dz. ","gm. m.-w. ")))))&amp;IF(LEN($A2503)=2,TRIM(UPPER(VLOOKUP($A2503,GUS_tabl_1!$A$7:$B$22,2,FALSE))),IF(ISERROR(FIND("..",TRIM(VLOOKUP(IF(AND(LEN($A2503)=4,VALUE(RIGHT($A2503,2))&gt;60),$A2503&amp;"01 1",$A2503),IF(AND(LEN($A2503)=4,VALUE(RIGHT($A2503,2))&lt;60),GUS_tabl_2!$A$8:$B$464,GUS_tabl_21!$A$5:$B$4886),2,FALSE)))),TRIM(VLOOKUP(IF(AND(LEN($A2503)=4,VALUE(RIGHT($A2503,2))&gt;60),$A2503&amp;"01 1",$A2503),IF(AND(LEN($A2503)=4,VALUE(RIGHT($A2503,2))&lt;60),GUS_tabl_2!$A$8:$B$464,GUS_tabl_21!$A$5:$B$4886),2,FALSE)),LEFT(TRIM(VLOOKUP(IF(AND(LEN($A2503)=4,VALUE(RIGHT($A2503,2))&gt;60),$A2503&amp;"01 1",$A2503),IF(AND(LEN($A2503)=4,VALUE(RIGHT($A2503,2))&lt;60),GUS_tabl_2!$A$8:$B$464,GUS_tabl_21!$A$5:$B$4886),2,FALSE)),SUM(FIND("..",TRIM(VLOOKUP(IF(AND(LEN($A2503)=4,VALUE(RIGHT($A2503,2))&gt;60),$A2503&amp;"01 1",$A2503),IF(AND(LEN($A2503)=4,VALUE(RIGHT($A2503,2))&lt;60),GUS_tabl_2!$A$8:$B$464,GUS_tabl_21!$A$5:$B$4886),2,FALSE))),-1)))))</f>
        <v>gm. m.-w. Dobre Miasto</v>
      </c>
      <c r="D2503" s="141">
        <f>IF(OR($A2503="",ISERROR(VALUE(LEFT($A2503,6)))),"",IF(LEN($A2503)=2,SUMIF($A2504:$A$2965,$A2503&amp;"??",$D2504:$D$2965),IF(AND(LEN($A2503)=4,VALUE(RIGHT($A2503,2))&lt;=60),SUMIF($A2504:$A$2965,$A2503&amp;"????",$D2504:$D$2965),VLOOKUP(IF(LEN($A2503)=4,$A2503&amp;"01 1",$A2503),GUS_tabl_21!$A$5:$F$4886,6,FALSE))))</f>
        <v>15844</v>
      </c>
      <c r="E2503" s="29"/>
    </row>
    <row r="2504" spans="1:5" ht="12" customHeight="1">
      <c r="A2504" s="155" t="str">
        <f>"281404 2"</f>
        <v>281404 2</v>
      </c>
      <c r="B2504" s="153" t="s">
        <v>32</v>
      </c>
      <c r="C2504" s="156" t="str">
        <f>IF(OR($A2504="",ISERROR(VALUE(LEFT($A2504,6)))),"",IF(LEN($A2504)=2,"WOJ. ",IF(LEN($A2504)=4,IF(VALUE(RIGHT($A2504,2))&gt;60,"","Powiat "),IF(VALUE(RIGHT($A2504,1))=1,"m. ",IF(VALUE(RIGHT($A2504,1))=2,"gm. w. ",IF(VALUE(RIGHT($A2504,1))=8,"dz. ","gm. m.-w. ")))))&amp;IF(LEN($A2504)=2,TRIM(UPPER(VLOOKUP($A2504,GUS_tabl_1!$A$7:$B$22,2,FALSE))),IF(ISERROR(FIND("..",TRIM(VLOOKUP(IF(AND(LEN($A2504)=4,VALUE(RIGHT($A2504,2))&gt;60),$A2504&amp;"01 1",$A2504),IF(AND(LEN($A2504)=4,VALUE(RIGHT($A2504,2))&lt;60),GUS_tabl_2!$A$8:$B$464,GUS_tabl_21!$A$5:$B$4886),2,FALSE)))),TRIM(VLOOKUP(IF(AND(LEN($A2504)=4,VALUE(RIGHT($A2504,2))&gt;60),$A2504&amp;"01 1",$A2504),IF(AND(LEN($A2504)=4,VALUE(RIGHT($A2504,2))&lt;60),GUS_tabl_2!$A$8:$B$464,GUS_tabl_21!$A$5:$B$4886),2,FALSE)),LEFT(TRIM(VLOOKUP(IF(AND(LEN($A2504)=4,VALUE(RIGHT($A2504,2))&gt;60),$A2504&amp;"01 1",$A2504),IF(AND(LEN($A2504)=4,VALUE(RIGHT($A2504,2))&lt;60),GUS_tabl_2!$A$8:$B$464,GUS_tabl_21!$A$5:$B$4886),2,FALSE)),SUM(FIND("..",TRIM(VLOOKUP(IF(AND(LEN($A2504)=4,VALUE(RIGHT($A2504,2))&gt;60),$A2504&amp;"01 1",$A2504),IF(AND(LEN($A2504)=4,VALUE(RIGHT($A2504,2))&lt;60),GUS_tabl_2!$A$8:$B$464,GUS_tabl_21!$A$5:$B$4886),2,FALSE))),-1)))))</f>
        <v>gm. w. Dywity</v>
      </c>
      <c r="D2504" s="141">
        <f>IF(OR($A2504="",ISERROR(VALUE(LEFT($A2504,6)))),"",IF(LEN($A2504)=2,SUMIF($A2505:$A$2965,$A2504&amp;"??",$D2505:$D$2965),IF(AND(LEN($A2504)=4,VALUE(RIGHT($A2504,2))&lt;=60),SUMIF($A2505:$A$2965,$A2504&amp;"????",$D2505:$D$2965),VLOOKUP(IF(LEN($A2504)=4,$A2504&amp;"01 1",$A2504),GUS_tabl_21!$A$5:$F$4886,6,FALSE))))</f>
        <v>12004</v>
      </c>
      <c r="E2504" s="29"/>
    </row>
    <row r="2505" spans="1:5" ht="12" customHeight="1">
      <c r="A2505" s="155" t="str">
        <f>"281405 2"</f>
        <v>281405 2</v>
      </c>
      <c r="B2505" s="153" t="s">
        <v>32</v>
      </c>
      <c r="C2505" s="156" t="str">
        <f>IF(OR($A2505="",ISERROR(VALUE(LEFT($A2505,6)))),"",IF(LEN($A2505)=2,"WOJ. ",IF(LEN($A2505)=4,IF(VALUE(RIGHT($A2505,2))&gt;60,"","Powiat "),IF(VALUE(RIGHT($A2505,1))=1,"m. ",IF(VALUE(RIGHT($A2505,1))=2,"gm. w. ",IF(VALUE(RIGHT($A2505,1))=8,"dz. ","gm. m.-w. ")))))&amp;IF(LEN($A2505)=2,TRIM(UPPER(VLOOKUP($A2505,GUS_tabl_1!$A$7:$B$22,2,FALSE))),IF(ISERROR(FIND("..",TRIM(VLOOKUP(IF(AND(LEN($A2505)=4,VALUE(RIGHT($A2505,2))&gt;60),$A2505&amp;"01 1",$A2505),IF(AND(LEN($A2505)=4,VALUE(RIGHT($A2505,2))&lt;60),GUS_tabl_2!$A$8:$B$464,GUS_tabl_21!$A$5:$B$4886),2,FALSE)))),TRIM(VLOOKUP(IF(AND(LEN($A2505)=4,VALUE(RIGHT($A2505,2))&gt;60),$A2505&amp;"01 1",$A2505),IF(AND(LEN($A2505)=4,VALUE(RIGHT($A2505,2))&lt;60),GUS_tabl_2!$A$8:$B$464,GUS_tabl_21!$A$5:$B$4886),2,FALSE)),LEFT(TRIM(VLOOKUP(IF(AND(LEN($A2505)=4,VALUE(RIGHT($A2505,2))&gt;60),$A2505&amp;"01 1",$A2505),IF(AND(LEN($A2505)=4,VALUE(RIGHT($A2505,2))&lt;60),GUS_tabl_2!$A$8:$B$464,GUS_tabl_21!$A$5:$B$4886),2,FALSE)),SUM(FIND("..",TRIM(VLOOKUP(IF(AND(LEN($A2505)=4,VALUE(RIGHT($A2505,2))&gt;60),$A2505&amp;"01 1",$A2505),IF(AND(LEN($A2505)=4,VALUE(RIGHT($A2505,2))&lt;60),GUS_tabl_2!$A$8:$B$464,GUS_tabl_21!$A$5:$B$4886),2,FALSE))),-1)))))</f>
        <v>gm. w. Gietrzwałd</v>
      </c>
      <c r="D2505" s="141">
        <f>IF(OR($A2505="",ISERROR(VALUE(LEFT($A2505,6)))),"",IF(LEN($A2505)=2,SUMIF($A2506:$A$2965,$A2505&amp;"??",$D2506:$D$2965),IF(AND(LEN($A2505)=4,VALUE(RIGHT($A2505,2))&lt;=60),SUMIF($A2506:$A$2965,$A2505&amp;"????",$D2506:$D$2965),VLOOKUP(IF(LEN($A2505)=4,$A2505&amp;"01 1",$A2505),GUS_tabl_21!$A$5:$F$4886,6,FALSE))))</f>
        <v>6685</v>
      </c>
      <c r="E2505" s="29"/>
    </row>
    <row r="2506" spans="1:5" ht="12" customHeight="1">
      <c r="A2506" s="155" t="str">
        <f>"281406 3"</f>
        <v>281406 3</v>
      </c>
      <c r="B2506" s="153" t="s">
        <v>32</v>
      </c>
      <c r="C2506" s="156" t="str">
        <f>IF(OR($A2506="",ISERROR(VALUE(LEFT($A2506,6)))),"",IF(LEN($A2506)=2,"WOJ. ",IF(LEN($A2506)=4,IF(VALUE(RIGHT($A2506,2))&gt;60,"","Powiat "),IF(VALUE(RIGHT($A2506,1))=1,"m. ",IF(VALUE(RIGHT($A2506,1))=2,"gm. w. ",IF(VALUE(RIGHT($A2506,1))=8,"dz. ","gm. m.-w. ")))))&amp;IF(LEN($A2506)=2,TRIM(UPPER(VLOOKUP($A2506,GUS_tabl_1!$A$7:$B$22,2,FALSE))),IF(ISERROR(FIND("..",TRIM(VLOOKUP(IF(AND(LEN($A2506)=4,VALUE(RIGHT($A2506,2))&gt;60),$A2506&amp;"01 1",$A2506),IF(AND(LEN($A2506)=4,VALUE(RIGHT($A2506,2))&lt;60),GUS_tabl_2!$A$8:$B$464,GUS_tabl_21!$A$5:$B$4886),2,FALSE)))),TRIM(VLOOKUP(IF(AND(LEN($A2506)=4,VALUE(RIGHT($A2506,2))&gt;60),$A2506&amp;"01 1",$A2506),IF(AND(LEN($A2506)=4,VALUE(RIGHT($A2506,2))&lt;60),GUS_tabl_2!$A$8:$B$464,GUS_tabl_21!$A$5:$B$4886),2,FALSE)),LEFT(TRIM(VLOOKUP(IF(AND(LEN($A2506)=4,VALUE(RIGHT($A2506,2))&gt;60),$A2506&amp;"01 1",$A2506),IF(AND(LEN($A2506)=4,VALUE(RIGHT($A2506,2))&lt;60),GUS_tabl_2!$A$8:$B$464,GUS_tabl_21!$A$5:$B$4886),2,FALSE)),SUM(FIND("..",TRIM(VLOOKUP(IF(AND(LEN($A2506)=4,VALUE(RIGHT($A2506,2))&gt;60),$A2506&amp;"01 1",$A2506),IF(AND(LEN($A2506)=4,VALUE(RIGHT($A2506,2))&lt;60),GUS_tabl_2!$A$8:$B$464,GUS_tabl_21!$A$5:$B$4886),2,FALSE))),-1)))))</f>
        <v>gm. m.-w. Jeziorany</v>
      </c>
      <c r="D2506" s="141">
        <f>IF(OR($A2506="",ISERROR(VALUE(LEFT($A2506,6)))),"",IF(LEN($A2506)=2,SUMIF($A2507:$A$2965,$A2506&amp;"??",$D2507:$D$2965),IF(AND(LEN($A2506)=4,VALUE(RIGHT($A2506,2))&lt;=60),SUMIF($A2507:$A$2965,$A2506&amp;"????",$D2507:$D$2965),VLOOKUP(IF(LEN($A2506)=4,$A2506&amp;"01 1",$A2506),GUS_tabl_21!$A$5:$F$4886,6,FALSE))))</f>
        <v>7669</v>
      </c>
      <c r="E2506" s="29"/>
    </row>
    <row r="2507" spans="1:5" ht="12" customHeight="1">
      <c r="A2507" s="155" t="str">
        <f>"281407 2"</f>
        <v>281407 2</v>
      </c>
      <c r="B2507" s="153" t="s">
        <v>32</v>
      </c>
      <c r="C2507" s="156" t="str">
        <f>IF(OR($A2507="",ISERROR(VALUE(LEFT($A2507,6)))),"",IF(LEN($A2507)=2,"WOJ. ",IF(LEN($A2507)=4,IF(VALUE(RIGHT($A2507,2))&gt;60,"","Powiat "),IF(VALUE(RIGHT($A2507,1))=1,"m. ",IF(VALUE(RIGHT($A2507,1))=2,"gm. w. ",IF(VALUE(RIGHT($A2507,1))=8,"dz. ","gm. m.-w. ")))))&amp;IF(LEN($A2507)=2,TRIM(UPPER(VLOOKUP($A2507,GUS_tabl_1!$A$7:$B$22,2,FALSE))),IF(ISERROR(FIND("..",TRIM(VLOOKUP(IF(AND(LEN($A2507)=4,VALUE(RIGHT($A2507,2))&gt;60),$A2507&amp;"01 1",$A2507),IF(AND(LEN($A2507)=4,VALUE(RIGHT($A2507,2))&lt;60),GUS_tabl_2!$A$8:$B$464,GUS_tabl_21!$A$5:$B$4886),2,FALSE)))),TRIM(VLOOKUP(IF(AND(LEN($A2507)=4,VALUE(RIGHT($A2507,2))&gt;60),$A2507&amp;"01 1",$A2507),IF(AND(LEN($A2507)=4,VALUE(RIGHT($A2507,2))&lt;60),GUS_tabl_2!$A$8:$B$464,GUS_tabl_21!$A$5:$B$4886),2,FALSE)),LEFT(TRIM(VLOOKUP(IF(AND(LEN($A2507)=4,VALUE(RIGHT($A2507,2))&gt;60),$A2507&amp;"01 1",$A2507),IF(AND(LEN($A2507)=4,VALUE(RIGHT($A2507,2))&lt;60),GUS_tabl_2!$A$8:$B$464,GUS_tabl_21!$A$5:$B$4886),2,FALSE)),SUM(FIND("..",TRIM(VLOOKUP(IF(AND(LEN($A2507)=4,VALUE(RIGHT($A2507,2))&gt;60),$A2507&amp;"01 1",$A2507),IF(AND(LEN($A2507)=4,VALUE(RIGHT($A2507,2))&lt;60),GUS_tabl_2!$A$8:$B$464,GUS_tabl_21!$A$5:$B$4886),2,FALSE))),-1)))))</f>
        <v>gm. w. Jonkowo</v>
      </c>
      <c r="D2507" s="141">
        <f>IF(OR($A2507="",ISERROR(VALUE(LEFT($A2507,6)))),"",IF(LEN($A2507)=2,SUMIF($A2508:$A$2965,$A2507&amp;"??",$D2508:$D$2965),IF(AND(LEN($A2507)=4,VALUE(RIGHT($A2507,2))&lt;=60),SUMIF($A2508:$A$2965,$A2507&amp;"????",$D2508:$D$2965),VLOOKUP(IF(LEN($A2507)=4,$A2507&amp;"01 1",$A2507),GUS_tabl_21!$A$5:$F$4886,6,FALSE))))</f>
        <v>7430</v>
      </c>
      <c r="E2507" s="29"/>
    </row>
    <row r="2508" spans="1:5" ht="12" customHeight="1">
      <c r="A2508" s="155" t="str">
        <f>"281408 2"</f>
        <v>281408 2</v>
      </c>
      <c r="B2508" s="153" t="s">
        <v>32</v>
      </c>
      <c r="C2508" s="156" t="str">
        <f>IF(OR($A2508="",ISERROR(VALUE(LEFT($A2508,6)))),"",IF(LEN($A2508)=2,"WOJ. ",IF(LEN($A2508)=4,IF(VALUE(RIGHT($A2508,2))&gt;60,"","Powiat "),IF(VALUE(RIGHT($A2508,1))=1,"m. ",IF(VALUE(RIGHT($A2508,1))=2,"gm. w. ",IF(VALUE(RIGHT($A2508,1))=8,"dz. ","gm. m.-w. ")))))&amp;IF(LEN($A2508)=2,TRIM(UPPER(VLOOKUP($A2508,GUS_tabl_1!$A$7:$B$22,2,FALSE))),IF(ISERROR(FIND("..",TRIM(VLOOKUP(IF(AND(LEN($A2508)=4,VALUE(RIGHT($A2508,2))&gt;60),$A2508&amp;"01 1",$A2508),IF(AND(LEN($A2508)=4,VALUE(RIGHT($A2508,2))&lt;60),GUS_tabl_2!$A$8:$B$464,GUS_tabl_21!$A$5:$B$4886),2,FALSE)))),TRIM(VLOOKUP(IF(AND(LEN($A2508)=4,VALUE(RIGHT($A2508,2))&gt;60),$A2508&amp;"01 1",$A2508),IF(AND(LEN($A2508)=4,VALUE(RIGHT($A2508,2))&lt;60),GUS_tabl_2!$A$8:$B$464,GUS_tabl_21!$A$5:$B$4886),2,FALSE)),LEFT(TRIM(VLOOKUP(IF(AND(LEN($A2508)=4,VALUE(RIGHT($A2508,2))&gt;60),$A2508&amp;"01 1",$A2508),IF(AND(LEN($A2508)=4,VALUE(RIGHT($A2508,2))&lt;60),GUS_tabl_2!$A$8:$B$464,GUS_tabl_21!$A$5:$B$4886),2,FALSE)),SUM(FIND("..",TRIM(VLOOKUP(IF(AND(LEN($A2508)=4,VALUE(RIGHT($A2508,2))&gt;60),$A2508&amp;"01 1",$A2508),IF(AND(LEN($A2508)=4,VALUE(RIGHT($A2508,2))&lt;60),GUS_tabl_2!$A$8:$B$464,GUS_tabl_21!$A$5:$B$4886),2,FALSE))),-1)))))</f>
        <v>gm. w. Kolno</v>
      </c>
      <c r="D2508" s="141">
        <f>IF(OR($A2508="",ISERROR(VALUE(LEFT($A2508,6)))),"",IF(LEN($A2508)=2,SUMIF($A2509:$A$2965,$A2508&amp;"??",$D2509:$D$2965),IF(AND(LEN($A2508)=4,VALUE(RIGHT($A2508,2))&lt;=60),SUMIF($A2509:$A$2965,$A2508&amp;"????",$D2509:$D$2965),VLOOKUP(IF(LEN($A2508)=4,$A2508&amp;"01 1",$A2508),GUS_tabl_21!$A$5:$F$4886,6,FALSE))))</f>
        <v>3137</v>
      </c>
      <c r="E2508" s="29"/>
    </row>
    <row r="2509" spans="1:5" ht="12" customHeight="1">
      <c r="A2509" s="155" t="str">
        <f>"281409 3"</f>
        <v>281409 3</v>
      </c>
      <c r="B2509" s="153" t="s">
        <v>32</v>
      </c>
      <c r="C2509" s="156" t="str">
        <f>IF(OR($A2509="",ISERROR(VALUE(LEFT($A2509,6)))),"",IF(LEN($A2509)=2,"WOJ. ",IF(LEN($A2509)=4,IF(VALUE(RIGHT($A2509,2))&gt;60,"","Powiat "),IF(VALUE(RIGHT($A2509,1))=1,"m. ",IF(VALUE(RIGHT($A2509,1))=2,"gm. w. ",IF(VALUE(RIGHT($A2509,1))=8,"dz. ","gm. m.-w. ")))))&amp;IF(LEN($A2509)=2,TRIM(UPPER(VLOOKUP($A2509,GUS_tabl_1!$A$7:$B$22,2,FALSE))),IF(ISERROR(FIND("..",TRIM(VLOOKUP(IF(AND(LEN($A2509)=4,VALUE(RIGHT($A2509,2))&gt;60),$A2509&amp;"01 1",$A2509),IF(AND(LEN($A2509)=4,VALUE(RIGHT($A2509,2))&lt;60),GUS_tabl_2!$A$8:$B$464,GUS_tabl_21!$A$5:$B$4886),2,FALSE)))),TRIM(VLOOKUP(IF(AND(LEN($A2509)=4,VALUE(RIGHT($A2509,2))&gt;60),$A2509&amp;"01 1",$A2509),IF(AND(LEN($A2509)=4,VALUE(RIGHT($A2509,2))&lt;60),GUS_tabl_2!$A$8:$B$464,GUS_tabl_21!$A$5:$B$4886),2,FALSE)),LEFT(TRIM(VLOOKUP(IF(AND(LEN($A2509)=4,VALUE(RIGHT($A2509,2))&gt;60),$A2509&amp;"01 1",$A2509),IF(AND(LEN($A2509)=4,VALUE(RIGHT($A2509,2))&lt;60),GUS_tabl_2!$A$8:$B$464,GUS_tabl_21!$A$5:$B$4886),2,FALSE)),SUM(FIND("..",TRIM(VLOOKUP(IF(AND(LEN($A2509)=4,VALUE(RIGHT($A2509,2))&gt;60),$A2509&amp;"01 1",$A2509),IF(AND(LEN($A2509)=4,VALUE(RIGHT($A2509,2))&lt;60),GUS_tabl_2!$A$8:$B$464,GUS_tabl_21!$A$5:$B$4886),2,FALSE))),-1)))))</f>
        <v>gm. m.-w. Olsztynek</v>
      </c>
      <c r="D2509" s="141">
        <f>IF(OR($A2509="",ISERROR(VALUE(LEFT($A2509,6)))),"",IF(LEN($A2509)=2,SUMIF($A2510:$A$2965,$A2509&amp;"??",$D2510:$D$2965),IF(AND(LEN($A2509)=4,VALUE(RIGHT($A2509,2))&lt;=60),SUMIF($A2510:$A$2965,$A2509&amp;"????",$D2510:$D$2965),VLOOKUP(IF(LEN($A2509)=4,$A2509&amp;"01 1",$A2509),GUS_tabl_21!$A$5:$F$4886,6,FALSE))))</f>
        <v>13701</v>
      </c>
      <c r="E2509" s="29"/>
    </row>
    <row r="2510" spans="1:5" ht="12" customHeight="1">
      <c r="A2510" s="155" t="str">
        <f>"281410 2"</f>
        <v>281410 2</v>
      </c>
      <c r="B2510" s="153" t="s">
        <v>32</v>
      </c>
      <c r="C2510" s="156" t="str">
        <f>IF(OR($A2510="",ISERROR(VALUE(LEFT($A2510,6)))),"",IF(LEN($A2510)=2,"WOJ. ",IF(LEN($A2510)=4,IF(VALUE(RIGHT($A2510,2))&gt;60,"","Powiat "),IF(VALUE(RIGHT($A2510,1))=1,"m. ",IF(VALUE(RIGHT($A2510,1))=2,"gm. w. ",IF(VALUE(RIGHT($A2510,1))=8,"dz. ","gm. m.-w. ")))))&amp;IF(LEN($A2510)=2,TRIM(UPPER(VLOOKUP($A2510,GUS_tabl_1!$A$7:$B$22,2,FALSE))),IF(ISERROR(FIND("..",TRIM(VLOOKUP(IF(AND(LEN($A2510)=4,VALUE(RIGHT($A2510,2))&gt;60),$A2510&amp;"01 1",$A2510),IF(AND(LEN($A2510)=4,VALUE(RIGHT($A2510,2))&lt;60),GUS_tabl_2!$A$8:$B$464,GUS_tabl_21!$A$5:$B$4886),2,FALSE)))),TRIM(VLOOKUP(IF(AND(LEN($A2510)=4,VALUE(RIGHT($A2510,2))&gt;60),$A2510&amp;"01 1",$A2510),IF(AND(LEN($A2510)=4,VALUE(RIGHT($A2510,2))&lt;60),GUS_tabl_2!$A$8:$B$464,GUS_tabl_21!$A$5:$B$4886),2,FALSE)),LEFT(TRIM(VLOOKUP(IF(AND(LEN($A2510)=4,VALUE(RIGHT($A2510,2))&gt;60),$A2510&amp;"01 1",$A2510),IF(AND(LEN($A2510)=4,VALUE(RIGHT($A2510,2))&lt;60),GUS_tabl_2!$A$8:$B$464,GUS_tabl_21!$A$5:$B$4886),2,FALSE)),SUM(FIND("..",TRIM(VLOOKUP(IF(AND(LEN($A2510)=4,VALUE(RIGHT($A2510,2))&gt;60),$A2510&amp;"01 1",$A2510),IF(AND(LEN($A2510)=4,VALUE(RIGHT($A2510,2))&lt;60),GUS_tabl_2!$A$8:$B$464,GUS_tabl_21!$A$5:$B$4886),2,FALSE))),-1)))))</f>
        <v>gm. w. Purda</v>
      </c>
      <c r="D2510" s="141">
        <f>IF(OR($A2510="",ISERROR(VALUE(LEFT($A2510,6)))),"",IF(LEN($A2510)=2,SUMIF($A2511:$A$2965,$A2510&amp;"??",$D2511:$D$2965),IF(AND(LEN($A2510)=4,VALUE(RIGHT($A2510,2))&lt;=60),SUMIF($A2511:$A$2965,$A2510&amp;"????",$D2511:$D$2965),VLOOKUP(IF(LEN($A2510)=4,$A2510&amp;"01 1",$A2510),GUS_tabl_21!$A$5:$F$4886,6,FALSE))))</f>
        <v>8708</v>
      </c>
      <c r="E2510" s="29"/>
    </row>
    <row r="2511" spans="1:5" ht="12" customHeight="1">
      <c r="A2511" s="155" t="str">
        <f>"281411 2"</f>
        <v>281411 2</v>
      </c>
      <c r="B2511" s="153" t="s">
        <v>32</v>
      </c>
      <c r="C2511" s="156" t="str">
        <f>IF(OR($A2511="",ISERROR(VALUE(LEFT($A2511,6)))),"",IF(LEN($A2511)=2,"WOJ. ",IF(LEN($A2511)=4,IF(VALUE(RIGHT($A2511,2))&gt;60,"","Powiat "),IF(VALUE(RIGHT($A2511,1))=1,"m. ",IF(VALUE(RIGHT($A2511,1))=2,"gm. w. ",IF(VALUE(RIGHT($A2511,1))=8,"dz. ","gm. m.-w. ")))))&amp;IF(LEN($A2511)=2,TRIM(UPPER(VLOOKUP($A2511,GUS_tabl_1!$A$7:$B$22,2,FALSE))),IF(ISERROR(FIND("..",TRIM(VLOOKUP(IF(AND(LEN($A2511)=4,VALUE(RIGHT($A2511,2))&gt;60),$A2511&amp;"01 1",$A2511),IF(AND(LEN($A2511)=4,VALUE(RIGHT($A2511,2))&lt;60),GUS_tabl_2!$A$8:$B$464,GUS_tabl_21!$A$5:$B$4886),2,FALSE)))),TRIM(VLOOKUP(IF(AND(LEN($A2511)=4,VALUE(RIGHT($A2511,2))&gt;60),$A2511&amp;"01 1",$A2511),IF(AND(LEN($A2511)=4,VALUE(RIGHT($A2511,2))&lt;60),GUS_tabl_2!$A$8:$B$464,GUS_tabl_21!$A$5:$B$4886),2,FALSE)),LEFT(TRIM(VLOOKUP(IF(AND(LEN($A2511)=4,VALUE(RIGHT($A2511,2))&gt;60),$A2511&amp;"01 1",$A2511),IF(AND(LEN($A2511)=4,VALUE(RIGHT($A2511,2))&lt;60),GUS_tabl_2!$A$8:$B$464,GUS_tabl_21!$A$5:$B$4886),2,FALSE)),SUM(FIND("..",TRIM(VLOOKUP(IF(AND(LEN($A2511)=4,VALUE(RIGHT($A2511,2))&gt;60),$A2511&amp;"01 1",$A2511),IF(AND(LEN($A2511)=4,VALUE(RIGHT($A2511,2))&lt;60),GUS_tabl_2!$A$8:$B$464,GUS_tabl_21!$A$5:$B$4886),2,FALSE))),-1)))))</f>
        <v>gm. w. Stawiguda</v>
      </c>
      <c r="D2511" s="141">
        <f>IF(OR($A2511="",ISERROR(VALUE(LEFT($A2511,6)))),"",IF(LEN($A2511)=2,SUMIF($A2512:$A$2965,$A2511&amp;"??",$D2512:$D$2965),IF(AND(LEN($A2511)=4,VALUE(RIGHT($A2511,2))&lt;=60),SUMIF($A2512:$A$2965,$A2511&amp;"????",$D2512:$D$2965),VLOOKUP(IF(LEN($A2511)=4,$A2511&amp;"01 1",$A2511),GUS_tabl_21!$A$5:$F$4886,6,FALSE))))</f>
        <v>10548</v>
      </c>
      <c r="E2511" s="29"/>
    </row>
    <row r="2512" spans="1:5" ht="12" customHeight="1">
      <c r="A2512" s="155" t="str">
        <f>"281412 2"</f>
        <v>281412 2</v>
      </c>
      <c r="B2512" s="153" t="s">
        <v>32</v>
      </c>
      <c r="C2512" s="156" t="str">
        <f>IF(OR($A2512="",ISERROR(VALUE(LEFT($A2512,6)))),"",IF(LEN($A2512)=2,"WOJ. ",IF(LEN($A2512)=4,IF(VALUE(RIGHT($A2512,2))&gt;60,"","Powiat "),IF(VALUE(RIGHT($A2512,1))=1,"m. ",IF(VALUE(RIGHT($A2512,1))=2,"gm. w. ",IF(VALUE(RIGHT($A2512,1))=8,"dz. ","gm. m.-w. ")))))&amp;IF(LEN($A2512)=2,TRIM(UPPER(VLOOKUP($A2512,GUS_tabl_1!$A$7:$B$22,2,FALSE))),IF(ISERROR(FIND("..",TRIM(VLOOKUP(IF(AND(LEN($A2512)=4,VALUE(RIGHT($A2512,2))&gt;60),$A2512&amp;"01 1",$A2512),IF(AND(LEN($A2512)=4,VALUE(RIGHT($A2512,2))&lt;60),GUS_tabl_2!$A$8:$B$464,GUS_tabl_21!$A$5:$B$4886),2,FALSE)))),TRIM(VLOOKUP(IF(AND(LEN($A2512)=4,VALUE(RIGHT($A2512,2))&gt;60),$A2512&amp;"01 1",$A2512),IF(AND(LEN($A2512)=4,VALUE(RIGHT($A2512,2))&lt;60),GUS_tabl_2!$A$8:$B$464,GUS_tabl_21!$A$5:$B$4886),2,FALSE)),LEFT(TRIM(VLOOKUP(IF(AND(LEN($A2512)=4,VALUE(RIGHT($A2512,2))&gt;60),$A2512&amp;"01 1",$A2512),IF(AND(LEN($A2512)=4,VALUE(RIGHT($A2512,2))&lt;60),GUS_tabl_2!$A$8:$B$464,GUS_tabl_21!$A$5:$B$4886),2,FALSE)),SUM(FIND("..",TRIM(VLOOKUP(IF(AND(LEN($A2512)=4,VALUE(RIGHT($A2512,2))&gt;60),$A2512&amp;"01 1",$A2512),IF(AND(LEN($A2512)=4,VALUE(RIGHT($A2512,2))&lt;60),GUS_tabl_2!$A$8:$B$464,GUS_tabl_21!$A$5:$B$4886),2,FALSE))),-1)))))</f>
        <v>gm. w. Świątki</v>
      </c>
      <c r="D2512" s="141">
        <f>IF(OR($A2512="",ISERROR(VALUE(LEFT($A2512,6)))),"",IF(LEN($A2512)=2,SUMIF($A2513:$A$2965,$A2512&amp;"??",$D2513:$D$2965),IF(AND(LEN($A2512)=4,VALUE(RIGHT($A2512,2))&lt;=60),SUMIF($A2513:$A$2965,$A2512&amp;"????",$D2513:$D$2965),VLOOKUP(IF(LEN($A2512)=4,$A2512&amp;"01 1",$A2512),GUS_tabl_21!$A$5:$F$4886,6,FALSE))))</f>
        <v>4039</v>
      </c>
      <c r="E2512" s="29"/>
    </row>
    <row r="2513" spans="1:5" ht="12" customHeight="1">
      <c r="A2513" s="152" t="str">
        <f>"2815"</f>
        <v>2815</v>
      </c>
      <c r="B2513" s="153" t="s">
        <v>32</v>
      </c>
      <c r="C2513" s="154" t="str">
        <f>IF(OR($A2513="",ISERROR(VALUE(LEFT($A2513,6)))),"",IF(LEN($A2513)=2,"WOJ. ",IF(LEN($A2513)=4,IF(VALUE(RIGHT($A2513,2))&gt;60,"","Powiat "),IF(VALUE(RIGHT($A2513,1))=1,"m. ",IF(VALUE(RIGHT($A2513,1))=2,"gm. w. ",IF(VALUE(RIGHT($A2513,1))=8,"dz. ","gm. m.-w. ")))))&amp;IF(LEN($A2513)=2,TRIM(UPPER(VLOOKUP($A2513,GUS_tabl_1!$A$7:$B$22,2,FALSE))),IF(ISERROR(FIND("..",TRIM(VLOOKUP(IF(AND(LEN($A2513)=4,VALUE(RIGHT($A2513,2))&gt;60),$A2513&amp;"01 1",$A2513),IF(AND(LEN($A2513)=4,VALUE(RIGHT($A2513,2))&lt;60),GUS_tabl_2!$A$8:$B$464,GUS_tabl_21!$A$5:$B$4886),2,FALSE)))),TRIM(VLOOKUP(IF(AND(LEN($A2513)=4,VALUE(RIGHT($A2513,2))&gt;60),$A2513&amp;"01 1",$A2513),IF(AND(LEN($A2513)=4,VALUE(RIGHT($A2513,2))&lt;60),GUS_tabl_2!$A$8:$B$464,GUS_tabl_21!$A$5:$B$4886),2,FALSE)),LEFT(TRIM(VLOOKUP(IF(AND(LEN($A2513)=4,VALUE(RIGHT($A2513,2))&gt;60),$A2513&amp;"01 1",$A2513),IF(AND(LEN($A2513)=4,VALUE(RIGHT($A2513,2))&lt;60),GUS_tabl_2!$A$8:$B$464,GUS_tabl_21!$A$5:$B$4886),2,FALSE)),SUM(FIND("..",TRIM(VLOOKUP(IF(AND(LEN($A2513)=4,VALUE(RIGHT($A2513,2))&gt;60),$A2513&amp;"01 1",$A2513),IF(AND(LEN($A2513)=4,VALUE(RIGHT($A2513,2))&lt;60),GUS_tabl_2!$A$8:$B$464,GUS_tabl_21!$A$5:$B$4886),2,FALSE))),-1)))))</f>
        <v>Powiat ostródzki</v>
      </c>
      <c r="D2513" s="140">
        <f>IF(OR($A2513="",ISERROR(VALUE(LEFT($A2513,6)))),"",IF(LEN($A2513)=2,SUMIF($A2514:$A$2965,$A2513&amp;"??",$D2514:$D$2965),IF(AND(LEN($A2513)=4,VALUE(RIGHT($A2513,2))&lt;=60),SUMIF($A2514:$A$2965,$A2513&amp;"????",$D2514:$D$2965),VLOOKUP(IF(LEN($A2513)=4,$A2513&amp;"01 1",$A2513),GUS_tabl_21!$A$5:$F$4886,6,FALSE))))</f>
        <v>104151</v>
      </c>
      <c r="E2513" s="29"/>
    </row>
    <row r="2514" spans="1:5" ht="12" customHeight="1">
      <c r="A2514" s="155" t="str">
        <f>"281501 1"</f>
        <v>281501 1</v>
      </c>
      <c r="B2514" s="153" t="s">
        <v>32</v>
      </c>
      <c r="C2514" s="156" t="str">
        <f>IF(OR($A2514="",ISERROR(VALUE(LEFT($A2514,6)))),"",IF(LEN($A2514)=2,"WOJ. ",IF(LEN($A2514)=4,IF(VALUE(RIGHT($A2514,2))&gt;60,"","Powiat "),IF(VALUE(RIGHT($A2514,1))=1,"m. ",IF(VALUE(RIGHT($A2514,1))=2,"gm. w. ",IF(VALUE(RIGHT($A2514,1))=8,"dz. ","gm. m.-w. ")))))&amp;IF(LEN($A2514)=2,TRIM(UPPER(VLOOKUP($A2514,GUS_tabl_1!$A$7:$B$22,2,FALSE))),IF(ISERROR(FIND("..",TRIM(VLOOKUP(IF(AND(LEN($A2514)=4,VALUE(RIGHT($A2514,2))&gt;60),$A2514&amp;"01 1",$A2514),IF(AND(LEN($A2514)=4,VALUE(RIGHT($A2514,2))&lt;60),GUS_tabl_2!$A$8:$B$464,GUS_tabl_21!$A$5:$B$4886),2,FALSE)))),TRIM(VLOOKUP(IF(AND(LEN($A2514)=4,VALUE(RIGHT($A2514,2))&gt;60),$A2514&amp;"01 1",$A2514),IF(AND(LEN($A2514)=4,VALUE(RIGHT($A2514,2))&lt;60),GUS_tabl_2!$A$8:$B$464,GUS_tabl_21!$A$5:$B$4886),2,FALSE)),LEFT(TRIM(VLOOKUP(IF(AND(LEN($A2514)=4,VALUE(RIGHT($A2514,2))&gt;60),$A2514&amp;"01 1",$A2514),IF(AND(LEN($A2514)=4,VALUE(RIGHT($A2514,2))&lt;60),GUS_tabl_2!$A$8:$B$464,GUS_tabl_21!$A$5:$B$4886),2,FALSE)),SUM(FIND("..",TRIM(VLOOKUP(IF(AND(LEN($A2514)=4,VALUE(RIGHT($A2514,2))&gt;60),$A2514&amp;"01 1",$A2514),IF(AND(LEN($A2514)=4,VALUE(RIGHT($A2514,2))&lt;60),GUS_tabl_2!$A$8:$B$464,GUS_tabl_21!$A$5:$B$4886),2,FALSE))),-1)))))</f>
        <v>m. Ostróda</v>
      </c>
      <c r="D2514" s="141">
        <f>IF(OR($A2514="",ISERROR(VALUE(LEFT($A2514,6)))),"",IF(LEN($A2514)=2,SUMIF($A2515:$A$2965,$A2514&amp;"??",$D2515:$D$2965),IF(AND(LEN($A2514)=4,VALUE(RIGHT($A2514,2))&lt;=60),SUMIF($A2515:$A$2965,$A2514&amp;"????",$D2515:$D$2965),VLOOKUP(IF(LEN($A2514)=4,$A2514&amp;"01 1",$A2514),GUS_tabl_21!$A$5:$F$4886,6,FALSE))))</f>
        <v>32888</v>
      </c>
      <c r="E2514" s="29"/>
    </row>
    <row r="2515" spans="1:5" ht="12" customHeight="1">
      <c r="A2515" s="155" t="str">
        <f>"281502 2"</f>
        <v>281502 2</v>
      </c>
      <c r="B2515" s="153" t="s">
        <v>32</v>
      </c>
      <c r="C2515" s="156" t="str">
        <f>IF(OR($A2515="",ISERROR(VALUE(LEFT($A2515,6)))),"",IF(LEN($A2515)=2,"WOJ. ",IF(LEN($A2515)=4,IF(VALUE(RIGHT($A2515,2))&gt;60,"","Powiat "),IF(VALUE(RIGHT($A2515,1))=1,"m. ",IF(VALUE(RIGHT($A2515,1))=2,"gm. w. ",IF(VALUE(RIGHT($A2515,1))=8,"dz. ","gm. m.-w. ")))))&amp;IF(LEN($A2515)=2,TRIM(UPPER(VLOOKUP($A2515,GUS_tabl_1!$A$7:$B$22,2,FALSE))),IF(ISERROR(FIND("..",TRIM(VLOOKUP(IF(AND(LEN($A2515)=4,VALUE(RIGHT($A2515,2))&gt;60),$A2515&amp;"01 1",$A2515),IF(AND(LEN($A2515)=4,VALUE(RIGHT($A2515,2))&lt;60),GUS_tabl_2!$A$8:$B$464,GUS_tabl_21!$A$5:$B$4886),2,FALSE)))),TRIM(VLOOKUP(IF(AND(LEN($A2515)=4,VALUE(RIGHT($A2515,2))&gt;60),$A2515&amp;"01 1",$A2515),IF(AND(LEN($A2515)=4,VALUE(RIGHT($A2515,2))&lt;60),GUS_tabl_2!$A$8:$B$464,GUS_tabl_21!$A$5:$B$4886),2,FALSE)),LEFT(TRIM(VLOOKUP(IF(AND(LEN($A2515)=4,VALUE(RIGHT($A2515,2))&gt;60),$A2515&amp;"01 1",$A2515),IF(AND(LEN($A2515)=4,VALUE(RIGHT($A2515,2))&lt;60),GUS_tabl_2!$A$8:$B$464,GUS_tabl_21!$A$5:$B$4886),2,FALSE)),SUM(FIND("..",TRIM(VLOOKUP(IF(AND(LEN($A2515)=4,VALUE(RIGHT($A2515,2))&gt;60),$A2515&amp;"01 1",$A2515),IF(AND(LEN($A2515)=4,VALUE(RIGHT($A2515,2))&lt;60),GUS_tabl_2!$A$8:$B$464,GUS_tabl_21!$A$5:$B$4886),2,FALSE))),-1)))))</f>
        <v>gm. w. Dąbrówno</v>
      </c>
      <c r="D2515" s="141">
        <f>IF(OR($A2515="",ISERROR(VALUE(LEFT($A2515,6)))),"",IF(LEN($A2515)=2,SUMIF($A2516:$A$2965,$A2515&amp;"??",$D2516:$D$2965),IF(AND(LEN($A2515)=4,VALUE(RIGHT($A2515,2))&lt;=60),SUMIF($A2516:$A$2965,$A2515&amp;"????",$D2516:$D$2965),VLOOKUP(IF(LEN($A2515)=4,$A2515&amp;"01 1",$A2515),GUS_tabl_21!$A$5:$F$4886,6,FALSE))))</f>
        <v>4283</v>
      </c>
      <c r="E2515" s="29"/>
    </row>
    <row r="2516" spans="1:5" ht="12" customHeight="1">
      <c r="A2516" s="155" t="str">
        <f>"281503 2"</f>
        <v>281503 2</v>
      </c>
      <c r="B2516" s="153" t="s">
        <v>32</v>
      </c>
      <c r="C2516" s="156" t="str">
        <f>IF(OR($A2516="",ISERROR(VALUE(LEFT($A2516,6)))),"",IF(LEN($A2516)=2,"WOJ. ",IF(LEN($A2516)=4,IF(VALUE(RIGHT($A2516,2))&gt;60,"","Powiat "),IF(VALUE(RIGHT($A2516,1))=1,"m. ",IF(VALUE(RIGHT($A2516,1))=2,"gm. w. ",IF(VALUE(RIGHT($A2516,1))=8,"dz. ","gm. m.-w. ")))))&amp;IF(LEN($A2516)=2,TRIM(UPPER(VLOOKUP($A2516,GUS_tabl_1!$A$7:$B$22,2,FALSE))),IF(ISERROR(FIND("..",TRIM(VLOOKUP(IF(AND(LEN($A2516)=4,VALUE(RIGHT($A2516,2))&gt;60),$A2516&amp;"01 1",$A2516),IF(AND(LEN($A2516)=4,VALUE(RIGHT($A2516,2))&lt;60),GUS_tabl_2!$A$8:$B$464,GUS_tabl_21!$A$5:$B$4886),2,FALSE)))),TRIM(VLOOKUP(IF(AND(LEN($A2516)=4,VALUE(RIGHT($A2516,2))&gt;60),$A2516&amp;"01 1",$A2516),IF(AND(LEN($A2516)=4,VALUE(RIGHT($A2516,2))&lt;60),GUS_tabl_2!$A$8:$B$464,GUS_tabl_21!$A$5:$B$4886),2,FALSE)),LEFT(TRIM(VLOOKUP(IF(AND(LEN($A2516)=4,VALUE(RIGHT($A2516,2))&gt;60),$A2516&amp;"01 1",$A2516),IF(AND(LEN($A2516)=4,VALUE(RIGHT($A2516,2))&lt;60),GUS_tabl_2!$A$8:$B$464,GUS_tabl_21!$A$5:$B$4886),2,FALSE)),SUM(FIND("..",TRIM(VLOOKUP(IF(AND(LEN($A2516)=4,VALUE(RIGHT($A2516,2))&gt;60),$A2516&amp;"01 1",$A2516),IF(AND(LEN($A2516)=4,VALUE(RIGHT($A2516,2))&lt;60),GUS_tabl_2!$A$8:$B$464,GUS_tabl_21!$A$5:$B$4886),2,FALSE))),-1)))))</f>
        <v>gm. w. Grunwald</v>
      </c>
      <c r="D2516" s="141">
        <f>IF(OR($A2516="",ISERROR(VALUE(LEFT($A2516,6)))),"",IF(LEN($A2516)=2,SUMIF($A2517:$A$2965,$A2516&amp;"??",$D2517:$D$2965),IF(AND(LEN($A2516)=4,VALUE(RIGHT($A2516,2))&lt;=60),SUMIF($A2517:$A$2965,$A2516&amp;"????",$D2517:$D$2965),VLOOKUP(IF(LEN($A2516)=4,$A2516&amp;"01 1",$A2516),GUS_tabl_21!$A$5:$F$4886,6,FALSE))))</f>
        <v>5638</v>
      </c>
      <c r="E2516" s="29"/>
    </row>
    <row r="2517" spans="1:5" ht="12" customHeight="1">
      <c r="A2517" s="155" t="str">
        <f>"281504 2"</f>
        <v>281504 2</v>
      </c>
      <c r="B2517" s="153" t="s">
        <v>32</v>
      </c>
      <c r="C2517" s="156" t="str">
        <f>IF(OR($A2517="",ISERROR(VALUE(LEFT($A2517,6)))),"",IF(LEN($A2517)=2,"WOJ. ",IF(LEN($A2517)=4,IF(VALUE(RIGHT($A2517,2))&gt;60,"","Powiat "),IF(VALUE(RIGHT($A2517,1))=1,"m. ",IF(VALUE(RIGHT($A2517,1))=2,"gm. w. ",IF(VALUE(RIGHT($A2517,1))=8,"dz. ","gm. m.-w. ")))))&amp;IF(LEN($A2517)=2,TRIM(UPPER(VLOOKUP($A2517,GUS_tabl_1!$A$7:$B$22,2,FALSE))),IF(ISERROR(FIND("..",TRIM(VLOOKUP(IF(AND(LEN($A2517)=4,VALUE(RIGHT($A2517,2))&gt;60),$A2517&amp;"01 1",$A2517),IF(AND(LEN($A2517)=4,VALUE(RIGHT($A2517,2))&lt;60),GUS_tabl_2!$A$8:$B$464,GUS_tabl_21!$A$5:$B$4886),2,FALSE)))),TRIM(VLOOKUP(IF(AND(LEN($A2517)=4,VALUE(RIGHT($A2517,2))&gt;60),$A2517&amp;"01 1",$A2517),IF(AND(LEN($A2517)=4,VALUE(RIGHT($A2517,2))&lt;60),GUS_tabl_2!$A$8:$B$464,GUS_tabl_21!$A$5:$B$4886),2,FALSE)),LEFT(TRIM(VLOOKUP(IF(AND(LEN($A2517)=4,VALUE(RIGHT($A2517,2))&gt;60),$A2517&amp;"01 1",$A2517),IF(AND(LEN($A2517)=4,VALUE(RIGHT($A2517,2))&lt;60),GUS_tabl_2!$A$8:$B$464,GUS_tabl_21!$A$5:$B$4886),2,FALSE)),SUM(FIND("..",TRIM(VLOOKUP(IF(AND(LEN($A2517)=4,VALUE(RIGHT($A2517,2))&gt;60),$A2517&amp;"01 1",$A2517),IF(AND(LEN($A2517)=4,VALUE(RIGHT($A2517,2))&lt;60),GUS_tabl_2!$A$8:$B$464,GUS_tabl_21!$A$5:$B$4886),2,FALSE))),-1)))))</f>
        <v>gm. w. Łukta</v>
      </c>
      <c r="D2517" s="141">
        <f>IF(OR($A2517="",ISERROR(VALUE(LEFT($A2517,6)))),"",IF(LEN($A2517)=2,SUMIF($A2518:$A$2965,$A2517&amp;"??",$D2518:$D$2965),IF(AND(LEN($A2517)=4,VALUE(RIGHT($A2517,2))&lt;=60),SUMIF($A2518:$A$2965,$A2517&amp;"????",$D2518:$D$2965),VLOOKUP(IF(LEN($A2517)=4,$A2517&amp;"01 1",$A2517),GUS_tabl_21!$A$5:$F$4886,6,FALSE))))</f>
        <v>4455</v>
      </c>
      <c r="E2517" s="29"/>
    </row>
    <row r="2518" spans="1:5" ht="12" customHeight="1">
      <c r="A2518" s="155" t="str">
        <f>"281505 2"</f>
        <v>281505 2</v>
      </c>
      <c r="B2518" s="153" t="s">
        <v>32</v>
      </c>
      <c r="C2518" s="156" t="str">
        <f>IF(OR($A2518="",ISERROR(VALUE(LEFT($A2518,6)))),"",IF(LEN($A2518)=2,"WOJ. ",IF(LEN($A2518)=4,IF(VALUE(RIGHT($A2518,2))&gt;60,"","Powiat "),IF(VALUE(RIGHT($A2518,1))=1,"m. ",IF(VALUE(RIGHT($A2518,1))=2,"gm. w. ",IF(VALUE(RIGHT($A2518,1))=8,"dz. ","gm. m.-w. ")))))&amp;IF(LEN($A2518)=2,TRIM(UPPER(VLOOKUP($A2518,GUS_tabl_1!$A$7:$B$22,2,FALSE))),IF(ISERROR(FIND("..",TRIM(VLOOKUP(IF(AND(LEN($A2518)=4,VALUE(RIGHT($A2518,2))&gt;60),$A2518&amp;"01 1",$A2518),IF(AND(LEN($A2518)=4,VALUE(RIGHT($A2518,2))&lt;60),GUS_tabl_2!$A$8:$B$464,GUS_tabl_21!$A$5:$B$4886),2,FALSE)))),TRIM(VLOOKUP(IF(AND(LEN($A2518)=4,VALUE(RIGHT($A2518,2))&gt;60),$A2518&amp;"01 1",$A2518),IF(AND(LEN($A2518)=4,VALUE(RIGHT($A2518,2))&lt;60),GUS_tabl_2!$A$8:$B$464,GUS_tabl_21!$A$5:$B$4886),2,FALSE)),LEFT(TRIM(VLOOKUP(IF(AND(LEN($A2518)=4,VALUE(RIGHT($A2518,2))&gt;60),$A2518&amp;"01 1",$A2518),IF(AND(LEN($A2518)=4,VALUE(RIGHT($A2518,2))&lt;60),GUS_tabl_2!$A$8:$B$464,GUS_tabl_21!$A$5:$B$4886),2,FALSE)),SUM(FIND("..",TRIM(VLOOKUP(IF(AND(LEN($A2518)=4,VALUE(RIGHT($A2518,2))&gt;60),$A2518&amp;"01 1",$A2518),IF(AND(LEN($A2518)=4,VALUE(RIGHT($A2518,2))&lt;60),GUS_tabl_2!$A$8:$B$464,GUS_tabl_21!$A$5:$B$4886),2,FALSE))),-1)))))</f>
        <v>gm. w. Małdyty</v>
      </c>
      <c r="D2518" s="141">
        <f>IF(OR($A2518="",ISERROR(VALUE(LEFT($A2518,6)))),"",IF(LEN($A2518)=2,SUMIF($A2519:$A$2965,$A2518&amp;"??",$D2519:$D$2965),IF(AND(LEN($A2518)=4,VALUE(RIGHT($A2518,2))&lt;=60),SUMIF($A2519:$A$2965,$A2518&amp;"????",$D2519:$D$2965),VLOOKUP(IF(LEN($A2518)=4,$A2518&amp;"01 1",$A2518),GUS_tabl_21!$A$5:$F$4886,6,FALSE))))</f>
        <v>6251</v>
      </c>
      <c r="E2518" s="29"/>
    </row>
    <row r="2519" spans="1:5" ht="12" customHeight="1">
      <c r="A2519" s="155" t="str">
        <f>"281506 3"</f>
        <v>281506 3</v>
      </c>
      <c r="B2519" s="153" t="s">
        <v>32</v>
      </c>
      <c r="C2519" s="156" t="str">
        <f>IF(OR($A2519="",ISERROR(VALUE(LEFT($A2519,6)))),"",IF(LEN($A2519)=2,"WOJ. ",IF(LEN($A2519)=4,IF(VALUE(RIGHT($A2519,2))&gt;60,"","Powiat "),IF(VALUE(RIGHT($A2519,1))=1,"m. ",IF(VALUE(RIGHT($A2519,1))=2,"gm. w. ",IF(VALUE(RIGHT($A2519,1))=8,"dz. ","gm. m.-w. ")))))&amp;IF(LEN($A2519)=2,TRIM(UPPER(VLOOKUP($A2519,GUS_tabl_1!$A$7:$B$22,2,FALSE))),IF(ISERROR(FIND("..",TRIM(VLOOKUP(IF(AND(LEN($A2519)=4,VALUE(RIGHT($A2519,2))&gt;60),$A2519&amp;"01 1",$A2519),IF(AND(LEN($A2519)=4,VALUE(RIGHT($A2519,2))&lt;60),GUS_tabl_2!$A$8:$B$464,GUS_tabl_21!$A$5:$B$4886),2,FALSE)))),TRIM(VLOOKUP(IF(AND(LEN($A2519)=4,VALUE(RIGHT($A2519,2))&gt;60),$A2519&amp;"01 1",$A2519),IF(AND(LEN($A2519)=4,VALUE(RIGHT($A2519,2))&lt;60),GUS_tabl_2!$A$8:$B$464,GUS_tabl_21!$A$5:$B$4886),2,FALSE)),LEFT(TRIM(VLOOKUP(IF(AND(LEN($A2519)=4,VALUE(RIGHT($A2519,2))&gt;60),$A2519&amp;"01 1",$A2519),IF(AND(LEN($A2519)=4,VALUE(RIGHT($A2519,2))&lt;60),GUS_tabl_2!$A$8:$B$464,GUS_tabl_21!$A$5:$B$4886),2,FALSE)),SUM(FIND("..",TRIM(VLOOKUP(IF(AND(LEN($A2519)=4,VALUE(RIGHT($A2519,2))&gt;60),$A2519&amp;"01 1",$A2519),IF(AND(LEN($A2519)=4,VALUE(RIGHT($A2519,2))&lt;60),GUS_tabl_2!$A$8:$B$464,GUS_tabl_21!$A$5:$B$4886),2,FALSE))),-1)))))</f>
        <v>gm. m.-w. Miłakowo</v>
      </c>
      <c r="D2519" s="141">
        <f>IF(OR($A2519="",ISERROR(VALUE(LEFT($A2519,6)))),"",IF(LEN($A2519)=2,SUMIF($A2520:$A$2965,$A2519&amp;"??",$D2520:$D$2965),IF(AND(LEN($A2519)=4,VALUE(RIGHT($A2519,2))&lt;=60),SUMIF($A2520:$A$2965,$A2519&amp;"????",$D2520:$D$2965),VLOOKUP(IF(LEN($A2519)=4,$A2519&amp;"01 1",$A2519),GUS_tabl_21!$A$5:$F$4886,6,FALSE))))</f>
        <v>5404</v>
      </c>
      <c r="E2519" s="29"/>
    </row>
    <row r="2520" spans="1:5" ht="12" customHeight="1">
      <c r="A2520" s="155" t="str">
        <f>"281507 3"</f>
        <v>281507 3</v>
      </c>
      <c r="B2520" s="153" t="s">
        <v>32</v>
      </c>
      <c r="C2520" s="156" t="str">
        <f>IF(OR($A2520="",ISERROR(VALUE(LEFT($A2520,6)))),"",IF(LEN($A2520)=2,"WOJ. ",IF(LEN($A2520)=4,IF(VALUE(RIGHT($A2520,2))&gt;60,"","Powiat "),IF(VALUE(RIGHT($A2520,1))=1,"m. ",IF(VALUE(RIGHT($A2520,1))=2,"gm. w. ",IF(VALUE(RIGHT($A2520,1))=8,"dz. ","gm. m.-w. ")))))&amp;IF(LEN($A2520)=2,TRIM(UPPER(VLOOKUP($A2520,GUS_tabl_1!$A$7:$B$22,2,FALSE))),IF(ISERROR(FIND("..",TRIM(VLOOKUP(IF(AND(LEN($A2520)=4,VALUE(RIGHT($A2520,2))&gt;60),$A2520&amp;"01 1",$A2520),IF(AND(LEN($A2520)=4,VALUE(RIGHT($A2520,2))&lt;60),GUS_tabl_2!$A$8:$B$464,GUS_tabl_21!$A$5:$B$4886),2,FALSE)))),TRIM(VLOOKUP(IF(AND(LEN($A2520)=4,VALUE(RIGHT($A2520,2))&gt;60),$A2520&amp;"01 1",$A2520),IF(AND(LEN($A2520)=4,VALUE(RIGHT($A2520,2))&lt;60),GUS_tabl_2!$A$8:$B$464,GUS_tabl_21!$A$5:$B$4886),2,FALSE)),LEFT(TRIM(VLOOKUP(IF(AND(LEN($A2520)=4,VALUE(RIGHT($A2520,2))&gt;60),$A2520&amp;"01 1",$A2520),IF(AND(LEN($A2520)=4,VALUE(RIGHT($A2520,2))&lt;60),GUS_tabl_2!$A$8:$B$464,GUS_tabl_21!$A$5:$B$4886),2,FALSE)),SUM(FIND("..",TRIM(VLOOKUP(IF(AND(LEN($A2520)=4,VALUE(RIGHT($A2520,2))&gt;60),$A2520&amp;"01 1",$A2520),IF(AND(LEN($A2520)=4,VALUE(RIGHT($A2520,2))&lt;60),GUS_tabl_2!$A$8:$B$464,GUS_tabl_21!$A$5:$B$4886),2,FALSE))),-1)))))</f>
        <v>gm. m.-w. Miłomłyn</v>
      </c>
      <c r="D2520" s="141">
        <f>IF(OR($A2520="",ISERROR(VALUE(LEFT($A2520,6)))),"",IF(LEN($A2520)=2,SUMIF($A2521:$A$2965,$A2520&amp;"??",$D2521:$D$2965),IF(AND(LEN($A2520)=4,VALUE(RIGHT($A2520,2))&lt;=60),SUMIF($A2521:$A$2965,$A2520&amp;"????",$D2521:$D$2965),VLOOKUP(IF(LEN($A2520)=4,$A2520&amp;"01 1",$A2520),GUS_tabl_21!$A$5:$F$4886,6,FALSE))))</f>
        <v>4919</v>
      </c>
      <c r="E2520" s="29"/>
    </row>
    <row r="2521" spans="1:5" ht="12" customHeight="1">
      <c r="A2521" s="155" t="str">
        <f>"281508 3"</f>
        <v>281508 3</v>
      </c>
      <c r="B2521" s="153" t="s">
        <v>32</v>
      </c>
      <c r="C2521" s="156" t="str">
        <f>IF(OR($A2521="",ISERROR(VALUE(LEFT($A2521,6)))),"",IF(LEN($A2521)=2,"WOJ. ",IF(LEN($A2521)=4,IF(VALUE(RIGHT($A2521,2))&gt;60,"","Powiat "),IF(VALUE(RIGHT($A2521,1))=1,"m. ",IF(VALUE(RIGHT($A2521,1))=2,"gm. w. ",IF(VALUE(RIGHT($A2521,1))=8,"dz. ","gm. m.-w. ")))))&amp;IF(LEN($A2521)=2,TRIM(UPPER(VLOOKUP($A2521,GUS_tabl_1!$A$7:$B$22,2,FALSE))),IF(ISERROR(FIND("..",TRIM(VLOOKUP(IF(AND(LEN($A2521)=4,VALUE(RIGHT($A2521,2))&gt;60),$A2521&amp;"01 1",$A2521),IF(AND(LEN($A2521)=4,VALUE(RIGHT($A2521,2))&lt;60),GUS_tabl_2!$A$8:$B$464,GUS_tabl_21!$A$5:$B$4886),2,FALSE)))),TRIM(VLOOKUP(IF(AND(LEN($A2521)=4,VALUE(RIGHT($A2521,2))&gt;60),$A2521&amp;"01 1",$A2521),IF(AND(LEN($A2521)=4,VALUE(RIGHT($A2521,2))&lt;60),GUS_tabl_2!$A$8:$B$464,GUS_tabl_21!$A$5:$B$4886),2,FALSE)),LEFT(TRIM(VLOOKUP(IF(AND(LEN($A2521)=4,VALUE(RIGHT($A2521,2))&gt;60),$A2521&amp;"01 1",$A2521),IF(AND(LEN($A2521)=4,VALUE(RIGHT($A2521,2))&lt;60),GUS_tabl_2!$A$8:$B$464,GUS_tabl_21!$A$5:$B$4886),2,FALSE)),SUM(FIND("..",TRIM(VLOOKUP(IF(AND(LEN($A2521)=4,VALUE(RIGHT($A2521,2))&gt;60),$A2521&amp;"01 1",$A2521),IF(AND(LEN($A2521)=4,VALUE(RIGHT($A2521,2))&lt;60),GUS_tabl_2!$A$8:$B$464,GUS_tabl_21!$A$5:$B$4886),2,FALSE))),-1)))))</f>
        <v>gm. m.-w. Morąg</v>
      </c>
      <c r="D2521" s="141">
        <f>IF(OR($A2521="",ISERROR(VALUE(LEFT($A2521,6)))),"",IF(LEN($A2521)=2,SUMIF($A2522:$A$2965,$A2521&amp;"??",$D2522:$D$2965),IF(AND(LEN($A2521)=4,VALUE(RIGHT($A2521,2))&lt;=60),SUMIF($A2522:$A$2965,$A2521&amp;"????",$D2522:$D$2965),VLOOKUP(IF(LEN($A2521)=4,$A2521&amp;"01 1",$A2521),GUS_tabl_21!$A$5:$F$4886,6,FALSE))))</f>
        <v>24199</v>
      </c>
      <c r="E2521" s="29"/>
    </row>
    <row r="2522" spans="1:5" ht="12" customHeight="1">
      <c r="A2522" s="155" t="str">
        <f>"281509 2"</f>
        <v>281509 2</v>
      </c>
      <c r="B2522" s="153" t="s">
        <v>32</v>
      </c>
      <c r="C2522" s="156" t="str">
        <f>IF(OR($A2522="",ISERROR(VALUE(LEFT($A2522,6)))),"",IF(LEN($A2522)=2,"WOJ. ",IF(LEN($A2522)=4,IF(VALUE(RIGHT($A2522,2))&gt;60,"","Powiat "),IF(VALUE(RIGHT($A2522,1))=1,"m. ",IF(VALUE(RIGHT($A2522,1))=2,"gm. w. ",IF(VALUE(RIGHT($A2522,1))=8,"dz. ","gm. m.-w. ")))))&amp;IF(LEN($A2522)=2,TRIM(UPPER(VLOOKUP($A2522,GUS_tabl_1!$A$7:$B$22,2,FALSE))),IF(ISERROR(FIND("..",TRIM(VLOOKUP(IF(AND(LEN($A2522)=4,VALUE(RIGHT($A2522,2))&gt;60),$A2522&amp;"01 1",$A2522),IF(AND(LEN($A2522)=4,VALUE(RIGHT($A2522,2))&lt;60),GUS_tabl_2!$A$8:$B$464,GUS_tabl_21!$A$5:$B$4886),2,FALSE)))),TRIM(VLOOKUP(IF(AND(LEN($A2522)=4,VALUE(RIGHT($A2522,2))&gt;60),$A2522&amp;"01 1",$A2522),IF(AND(LEN($A2522)=4,VALUE(RIGHT($A2522,2))&lt;60),GUS_tabl_2!$A$8:$B$464,GUS_tabl_21!$A$5:$B$4886),2,FALSE)),LEFT(TRIM(VLOOKUP(IF(AND(LEN($A2522)=4,VALUE(RIGHT($A2522,2))&gt;60),$A2522&amp;"01 1",$A2522),IF(AND(LEN($A2522)=4,VALUE(RIGHT($A2522,2))&lt;60),GUS_tabl_2!$A$8:$B$464,GUS_tabl_21!$A$5:$B$4886),2,FALSE)),SUM(FIND("..",TRIM(VLOOKUP(IF(AND(LEN($A2522)=4,VALUE(RIGHT($A2522,2))&gt;60),$A2522&amp;"01 1",$A2522),IF(AND(LEN($A2522)=4,VALUE(RIGHT($A2522,2))&lt;60),GUS_tabl_2!$A$8:$B$464,GUS_tabl_21!$A$5:$B$4886),2,FALSE))),-1)))))</f>
        <v>gm. w. Ostróda</v>
      </c>
      <c r="D2522" s="141">
        <f>IF(OR($A2522="",ISERROR(VALUE(LEFT($A2522,6)))),"",IF(LEN($A2522)=2,SUMIF($A2523:$A$2965,$A2522&amp;"??",$D2523:$D$2965),IF(AND(LEN($A2522)=4,VALUE(RIGHT($A2522,2))&lt;=60),SUMIF($A2523:$A$2965,$A2522&amp;"????",$D2523:$D$2965),VLOOKUP(IF(LEN($A2522)=4,$A2522&amp;"01 1",$A2522),GUS_tabl_21!$A$5:$F$4886,6,FALSE))))</f>
        <v>16114</v>
      </c>
      <c r="E2522" s="29"/>
    </row>
    <row r="2523" spans="1:5" ht="12" customHeight="1">
      <c r="A2523" s="152" t="str">
        <f>"2816"</f>
        <v>2816</v>
      </c>
      <c r="B2523" s="153" t="s">
        <v>32</v>
      </c>
      <c r="C2523" s="154" t="str">
        <f>IF(OR($A2523="",ISERROR(VALUE(LEFT($A2523,6)))),"",IF(LEN($A2523)=2,"WOJ. ",IF(LEN($A2523)=4,IF(VALUE(RIGHT($A2523,2))&gt;60,"","Powiat "),IF(VALUE(RIGHT($A2523,1))=1,"m. ",IF(VALUE(RIGHT($A2523,1))=2,"gm. w. ",IF(VALUE(RIGHT($A2523,1))=8,"dz. ","gm. m.-w. ")))))&amp;IF(LEN($A2523)=2,TRIM(UPPER(VLOOKUP($A2523,GUS_tabl_1!$A$7:$B$22,2,FALSE))),IF(ISERROR(FIND("..",TRIM(VLOOKUP(IF(AND(LEN($A2523)=4,VALUE(RIGHT($A2523,2))&gt;60),$A2523&amp;"01 1",$A2523),IF(AND(LEN($A2523)=4,VALUE(RIGHT($A2523,2))&lt;60),GUS_tabl_2!$A$8:$B$464,GUS_tabl_21!$A$5:$B$4886),2,FALSE)))),TRIM(VLOOKUP(IF(AND(LEN($A2523)=4,VALUE(RIGHT($A2523,2))&gt;60),$A2523&amp;"01 1",$A2523),IF(AND(LEN($A2523)=4,VALUE(RIGHT($A2523,2))&lt;60),GUS_tabl_2!$A$8:$B$464,GUS_tabl_21!$A$5:$B$4886),2,FALSE)),LEFT(TRIM(VLOOKUP(IF(AND(LEN($A2523)=4,VALUE(RIGHT($A2523,2))&gt;60),$A2523&amp;"01 1",$A2523),IF(AND(LEN($A2523)=4,VALUE(RIGHT($A2523,2))&lt;60),GUS_tabl_2!$A$8:$B$464,GUS_tabl_21!$A$5:$B$4886),2,FALSE)),SUM(FIND("..",TRIM(VLOOKUP(IF(AND(LEN($A2523)=4,VALUE(RIGHT($A2523,2))&gt;60),$A2523&amp;"01 1",$A2523),IF(AND(LEN($A2523)=4,VALUE(RIGHT($A2523,2))&lt;60),GUS_tabl_2!$A$8:$B$464,GUS_tabl_21!$A$5:$B$4886),2,FALSE))),-1)))))</f>
        <v>Powiat piski</v>
      </c>
      <c r="D2523" s="140">
        <f>IF(OR($A2523="",ISERROR(VALUE(LEFT($A2523,6)))),"",IF(LEN($A2523)=2,SUMIF($A2524:$A$2965,$A2523&amp;"??",$D2524:$D$2965),IF(AND(LEN($A2523)=4,VALUE(RIGHT($A2523,2))&lt;=60),SUMIF($A2524:$A$2965,$A2523&amp;"????",$D2524:$D$2965),VLOOKUP(IF(LEN($A2523)=4,$A2523&amp;"01 1",$A2523),GUS_tabl_21!$A$5:$F$4886,6,FALSE))))</f>
        <v>56135</v>
      </c>
      <c r="E2523" s="29"/>
    </row>
    <row r="2524" spans="1:5" ht="12" customHeight="1">
      <c r="A2524" s="155" t="str">
        <f>"281601 3"</f>
        <v>281601 3</v>
      </c>
      <c r="B2524" s="153" t="s">
        <v>32</v>
      </c>
      <c r="C2524" s="156" t="str">
        <f>IF(OR($A2524="",ISERROR(VALUE(LEFT($A2524,6)))),"",IF(LEN($A2524)=2,"WOJ. ",IF(LEN($A2524)=4,IF(VALUE(RIGHT($A2524,2))&gt;60,"","Powiat "),IF(VALUE(RIGHT($A2524,1))=1,"m. ",IF(VALUE(RIGHT($A2524,1))=2,"gm. w. ",IF(VALUE(RIGHT($A2524,1))=8,"dz. ","gm. m.-w. ")))))&amp;IF(LEN($A2524)=2,TRIM(UPPER(VLOOKUP($A2524,GUS_tabl_1!$A$7:$B$22,2,FALSE))),IF(ISERROR(FIND("..",TRIM(VLOOKUP(IF(AND(LEN($A2524)=4,VALUE(RIGHT($A2524,2))&gt;60),$A2524&amp;"01 1",$A2524),IF(AND(LEN($A2524)=4,VALUE(RIGHT($A2524,2))&lt;60),GUS_tabl_2!$A$8:$B$464,GUS_tabl_21!$A$5:$B$4886),2,FALSE)))),TRIM(VLOOKUP(IF(AND(LEN($A2524)=4,VALUE(RIGHT($A2524,2))&gt;60),$A2524&amp;"01 1",$A2524),IF(AND(LEN($A2524)=4,VALUE(RIGHT($A2524,2))&lt;60),GUS_tabl_2!$A$8:$B$464,GUS_tabl_21!$A$5:$B$4886),2,FALSE)),LEFT(TRIM(VLOOKUP(IF(AND(LEN($A2524)=4,VALUE(RIGHT($A2524,2))&gt;60),$A2524&amp;"01 1",$A2524),IF(AND(LEN($A2524)=4,VALUE(RIGHT($A2524,2))&lt;60),GUS_tabl_2!$A$8:$B$464,GUS_tabl_21!$A$5:$B$4886),2,FALSE)),SUM(FIND("..",TRIM(VLOOKUP(IF(AND(LEN($A2524)=4,VALUE(RIGHT($A2524,2))&gt;60),$A2524&amp;"01 1",$A2524),IF(AND(LEN($A2524)=4,VALUE(RIGHT($A2524,2))&lt;60),GUS_tabl_2!$A$8:$B$464,GUS_tabl_21!$A$5:$B$4886),2,FALSE))),-1)))))</f>
        <v>gm. m.-w. Biała Piska</v>
      </c>
      <c r="D2524" s="141">
        <f>IF(OR($A2524="",ISERROR(VALUE(LEFT($A2524,6)))),"",IF(LEN($A2524)=2,SUMIF($A2525:$A$2965,$A2524&amp;"??",$D2525:$D$2965),IF(AND(LEN($A2524)=4,VALUE(RIGHT($A2524,2))&lt;=60),SUMIF($A2525:$A$2965,$A2524&amp;"????",$D2525:$D$2965),VLOOKUP(IF(LEN($A2524)=4,$A2524&amp;"01 1",$A2524),GUS_tabl_21!$A$5:$F$4886,6,FALSE))))</f>
        <v>11622</v>
      </c>
      <c r="E2524" s="29"/>
    </row>
    <row r="2525" spans="1:5" ht="12" customHeight="1">
      <c r="A2525" s="155" t="str">
        <f>"281602 3"</f>
        <v>281602 3</v>
      </c>
      <c r="B2525" s="153" t="s">
        <v>32</v>
      </c>
      <c r="C2525" s="156" t="str">
        <f>IF(OR($A2525="",ISERROR(VALUE(LEFT($A2525,6)))),"",IF(LEN($A2525)=2,"WOJ. ",IF(LEN($A2525)=4,IF(VALUE(RIGHT($A2525,2))&gt;60,"","Powiat "),IF(VALUE(RIGHT($A2525,1))=1,"m. ",IF(VALUE(RIGHT($A2525,1))=2,"gm. w. ",IF(VALUE(RIGHT($A2525,1))=8,"dz. ","gm. m.-w. ")))))&amp;IF(LEN($A2525)=2,TRIM(UPPER(VLOOKUP($A2525,GUS_tabl_1!$A$7:$B$22,2,FALSE))),IF(ISERROR(FIND("..",TRIM(VLOOKUP(IF(AND(LEN($A2525)=4,VALUE(RIGHT($A2525,2))&gt;60),$A2525&amp;"01 1",$A2525),IF(AND(LEN($A2525)=4,VALUE(RIGHT($A2525,2))&lt;60),GUS_tabl_2!$A$8:$B$464,GUS_tabl_21!$A$5:$B$4886),2,FALSE)))),TRIM(VLOOKUP(IF(AND(LEN($A2525)=4,VALUE(RIGHT($A2525,2))&gt;60),$A2525&amp;"01 1",$A2525),IF(AND(LEN($A2525)=4,VALUE(RIGHT($A2525,2))&lt;60),GUS_tabl_2!$A$8:$B$464,GUS_tabl_21!$A$5:$B$4886),2,FALSE)),LEFT(TRIM(VLOOKUP(IF(AND(LEN($A2525)=4,VALUE(RIGHT($A2525,2))&gt;60),$A2525&amp;"01 1",$A2525),IF(AND(LEN($A2525)=4,VALUE(RIGHT($A2525,2))&lt;60),GUS_tabl_2!$A$8:$B$464,GUS_tabl_21!$A$5:$B$4886),2,FALSE)),SUM(FIND("..",TRIM(VLOOKUP(IF(AND(LEN($A2525)=4,VALUE(RIGHT($A2525,2))&gt;60),$A2525&amp;"01 1",$A2525),IF(AND(LEN($A2525)=4,VALUE(RIGHT($A2525,2))&lt;60),GUS_tabl_2!$A$8:$B$464,GUS_tabl_21!$A$5:$B$4886),2,FALSE))),-1)))))</f>
        <v>gm. m.-w. Orzysz</v>
      </c>
      <c r="D2525" s="141">
        <f>IF(OR($A2525="",ISERROR(VALUE(LEFT($A2525,6)))),"",IF(LEN($A2525)=2,SUMIF($A2526:$A$2965,$A2525&amp;"??",$D2526:$D$2965),IF(AND(LEN($A2525)=4,VALUE(RIGHT($A2525,2))&lt;=60),SUMIF($A2526:$A$2965,$A2525&amp;"????",$D2526:$D$2965),VLOOKUP(IF(LEN($A2525)=4,$A2525&amp;"01 1",$A2525),GUS_tabl_21!$A$5:$F$4886,6,FALSE))))</f>
        <v>8863</v>
      </c>
      <c r="E2525" s="29"/>
    </row>
    <row r="2526" spans="1:5" ht="12" customHeight="1">
      <c r="A2526" s="155" t="str">
        <f>"281603 3"</f>
        <v>281603 3</v>
      </c>
      <c r="B2526" s="153" t="s">
        <v>32</v>
      </c>
      <c r="C2526" s="156" t="str">
        <f>IF(OR($A2526="",ISERROR(VALUE(LEFT($A2526,6)))),"",IF(LEN($A2526)=2,"WOJ. ",IF(LEN($A2526)=4,IF(VALUE(RIGHT($A2526,2))&gt;60,"","Powiat "),IF(VALUE(RIGHT($A2526,1))=1,"m. ",IF(VALUE(RIGHT($A2526,1))=2,"gm. w. ",IF(VALUE(RIGHT($A2526,1))=8,"dz. ","gm. m.-w. ")))))&amp;IF(LEN($A2526)=2,TRIM(UPPER(VLOOKUP($A2526,GUS_tabl_1!$A$7:$B$22,2,FALSE))),IF(ISERROR(FIND("..",TRIM(VLOOKUP(IF(AND(LEN($A2526)=4,VALUE(RIGHT($A2526,2))&gt;60),$A2526&amp;"01 1",$A2526),IF(AND(LEN($A2526)=4,VALUE(RIGHT($A2526,2))&lt;60),GUS_tabl_2!$A$8:$B$464,GUS_tabl_21!$A$5:$B$4886),2,FALSE)))),TRIM(VLOOKUP(IF(AND(LEN($A2526)=4,VALUE(RIGHT($A2526,2))&gt;60),$A2526&amp;"01 1",$A2526),IF(AND(LEN($A2526)=4,VALUE(RIGHT($A2526,2))&lt;60),GUS_tabl_2!$A$8:$B$464,GUS_tabl_21!$A$5:$B$4886),2,FALSE)),LEFT(TRIM(VLOOKUP(IF(AND(LEN($A2526)=4,VALUE(RIGHT($A2526,2))&gt;60),$A2526&amp;"01 1",$A2526),IF(AND(LEN($A2526)=4,VALUE(RIGHT($A2526,2))&lt;60),GUS_tabl_2!$A$8:$B$464,GUS_tabl_21!$A$5:$B$4886),2,FALSE)),SUM(FIND("..",TRIM(VLOOKUP(IF(AND(LEN($A2526)=4,VALUE(RIGHT($A2526,2))&gt;60),$A2526&amp;"01 1",$A2526),IF(AND(LEN($A2526)=4,VALUE(RIGHT($A2526,2))&lt;60),GUS_tabl_2!$A$8:$B$464,GUS_tabl_21!$A$5:$B$4886),2,FALSE))),-1)))))</f>
        <v>gm. m.-w. Pisz</v>
      </c>
      <c r="D2526" s="141">
        <f>IF(OR($A2526="",ISERROR(VALUE(LEFT($A2526,6)))),"",IF(LEN($A2526)=2,SUMIF($A2527:$A$2965,$A2526&amp;"??",$D2527:$D$2965),IF(AND(LEN($A2526)=4,VALUE(RIGHT($A2526,2))&lt;=60),SUMIF($A2527:$A$2965,$A2526&amp;"????",$D2527:$D$2965),VLOOKUP(IF(LEN($A2526)=4,$A2526&amp;"01 1",$A2526),GUS_tabl_21!$A$5:$F$4886,6,FALSE))))</f>
        <v>27659</v>
      </c>
      <c r="E2526" s="29"/>
    </row>
    <row r="2527" spans="1:5" ht="12" customHeight="1">
      <c r="A2527" s="155" t="str">
        <f>"281604 3"</f>
        <v>281604 3</v>
      </c>
      <c r="B2527" s="153" t="s">
        <v>32</v>
      </c>
      <c r="C2527" s="156" t="str">
        <f>IF(OR($A2527="",ISERROR(VALUE(LEFT($A2527,6)))),"",IF(LEN($A2527)=2,"WOJ. ",IF(LEN($A2527)=4,IF(VALUE(RIGHT($A2527,2))&gt;60,"","Powiat "),IF(VALUE(RIGHT($A2527,1))=1,"m. ",IF(VALUE(RIGHT($A2527,1))=2,"gm. w. ",IF(VALUE(RIGHT($A2527,1))=8,"dz. ","gm. m.-w. ")))))&amp;IF(LEN($A2527)=2,TRIM(UPPER(VLOOKUP($A2527,GUS_tabl_1!$A$7:$B$22,2,FALSE))),IF(ISERROR(FIND("..",TRIM(VLOOKUP(IF(AND(LEN($A2527)=4,VALUE(RIGHT($A2527,2))&gt;60),$A2527&amp;"01 1",$A2527),IF(AND(LEN($A2527)=4,VALUE(RIGHT($A2527,2))&lt;60),GUS_tabl_2!$A$8:$B$464,GUS_tabl_21!$A$5:$B$4886),2,FALSE)))),TRIM(VLOOKUP(IF(AND(LEN($A2527)=4,VALUE(RIGHT($A2527,2))&gt;60),$A2527&amp;"01 1",$A2527),IF(AND(LEN($A2527)=4,VALUE(RIGHT($A2527,2))&lt;60),GUS_tabl_2!$A$8:$B$464,GUS_tabl_21!$A$5:$B$4886),2,FALSE)),LEFT(TRIM(VLOOKUP(IF(AND(LEN($A2527)=4,VALUE(RIGHT($A2527,2))&gt;60),$A2527&amp;"01 1",$A2527),IF(AND(LEN($A2527)=4,VALUE(RIGHT($A2527,2))&lt;60),GUS_tabl_2!$A$8:$B$464,GUS_tabl_21!$A$5:$B$4886),2,FALSE)),SUM(FIND("..",TRIM(VLOOKUP(IF(AND(LEN($A2527)=4,VALUE(RIGHT($A2527,2))&gt;60),$A2527&amp;"01 1",$A2527),IF(AND(LEN($A2527)=4,VALUE(RIGHT($A2527,2))&lt;60),GUS_tabl_2!$A$8:$B$464,GUS_tabl_21!$A$5:$B$4886),2,FALSE))),-1)))))</f>
        <v>gm. m.-w. Ruciane-Nida</v>
      </c>
      <c r="D2527" s="141">
        <f>IF(OR($A2527="",ISERROR(VALUE(LEFT($A2527,6)))),"",IF(LEN($A2527)=2,SUMIF($A2528:$A$2965,$A2527&amp;"??",$D2528:$D$2965),IF(AND(LEN($A2527)=4,VALUE(RIGHT($A2527,2))&lt;=60),SUMIF($A2528:$A$2965,$A2527&amp;"????",$D2528:$D$2965),VLOOKUP(IF(LEN($A2527)=4,$A2527&amp;"01 1",$A2527),GUS_tabl_21!$A$5:$F$4886,6,FALSE))))</f>
        <v>7991</v>
      </c>
      <c r="E2527" s="29"/>
    </row>
    <row r="2528" spans="1:5" ht="12" customHeight="1">
      <c r="A2528" s="152" t="str">
        <f>"2817"</f>
        <v>2817</v>
      </c>
      <c r="B2528" s="153" t="s">
        <v>32</v>
      </c>
      <c r="C2528" s="154" t="str">
        <f>IF(OR($A2528="",ISERROR(VALUE(LEFT($A2528,6)))),"",IF(LEN($A2528)=2,"WOJ. ",IF(LEN($A2528)=4,IF(VALUE(RIGHT($A2528,2))&gt;60,"","Powiat "),IF(VALUE(RIGHT($A2528,1))=1,"m. ",IF(VALUE(RIGHT($A2528,1))=2,"gm. w. ",IF(VALUE(RIGHT($A2528,1))=8,"dz. ","gm. m.-w. ")))))&amp;IF(LEN($A2528)=2,TRIM(UPPER(VLOOKUP($A2528,GUS_tabl_1!$A$7:$B$22,2,FALSE))),IF(ISERROR(FIND("..",TRIM(VLOOKUP(IF(AND(LEN($A2528)=4,VALUE(RIGHT($A2528,2))&gt;60),$A2528&amp;"01 1",$A2528),IF(AND(LEN($A2528)=4,VALUE(RIGHT($A2528,2))&lt;60),GUS_tabl_2!$A$8:$B$464,GUS_tabl_21!$A$5:$B$4886),2,FALSE)))),TRIM(VLOOKUP(IF(AND(LEN($A2528)=4,VALUE(RIGHT($A2528,2))&gt;60),$A2528&amp;"01 1",$A2528),IF(AND(LEN($A2528)=4,VALUE(RIGHT($A2528,2))&lt;60),GUS_tabl_2!$A$8:$B$464,GUS_tabl_21!$A$5:$B$4886),2,FALSE)),LEFT(TRIM(VLOOKUP(IF(AND(LEN($A2528)=4,VALUE(RIGHT($A2528,2))&gt;60),$A2528&amp;"01 1",$A2528),IF(AND(LEN($A2528)=4,VALUE(RIGHT($A2528,2))&lt;60),GUS_tabl_2!$A$8:$B$464,GUS_tabl_21!$A$5:$B$4886),2,FALSE)),SUM(FIND("..",TRIM(VLOOKUP(IF(AND(LEN($A2528)=4,VALUE(RIGHT($A2528,2))&gt;60),$A2528&amp;"01 1",$A2528),IF(AND(LEN($A2528)=4,VALUE(RIGHT($A2528,2))&lt;60),GUS_tabl_2!$A$8:$B$464,GUS_tabl_21!$A$5:$B$4886),2,FALSE))),-1)))))</f>
        <v>Powiat szczycieński</v>
      </c>
      <c r="D2528" s="140">
        <f>IF(OR($A2528="",ISERROR(VALUE(LEFT($A2528,6)))),"",IF(LEN($A2528)=2,SUMIF($A2529:$A$2965,$A2528&amp;"??",$D2529:$D$2965),IF(AND(LEN($A2528)=4,VALUE(RIGHT($A2528,2))&lt;=60),SUMIF($A2529:$A$2965,$A2528&amp;"????",$D2529:$D$2965),VLOOKUP(IF(LEN($A2528)=4,$A2528&amp;"01 1",$A2528),GUS_tabl_21!$A$5:$F$4886,6,FALSE))))</f>
        <v>69376</v>
      </c>
      <c r="E2528" s="29"/>
    </row>
    <row r="2529" spans="1:5" ht="12" customHeight="1">
      <c r="A2529" s="155" t="str">
        <f>"281701 1"</f>
        <v>281701 1</v>
      </c>
      <c r="B2529" s="153" t="s">
        <v>32</v>
      </c>
      <c r="C2529" s="156" t="str">
        <f>IF(OR($A2529="",ISERROR(VALUE(LEFT($A2529,6)))),"",IF(LEN($A2529)=2,"WOJ. ",IF(LEN($A2529)=4,IF(VALUE(RIGHT($A2529,2))&gt;60,"","Powiat "),IF(VALUE(RIGHT($A2529,1))=1,"m. ",IF(VALUE(RIGHT($A2529,1))=2,"gm. w. ",IF(VALUE(RIGHT($A2529,1))=8,"dz. ","gm. m.-w. ")))))&amp;IF(LEN($A2529)=2,TRIM(UPPER(VLOOKUP($A2529,GUS_tabl_1!$A$7:$B$22,2,FALSE))),IF(ISERROR(FIND("..",TRIM(VLOOKUP(IF(AND(LEN($A2529)=4,VALUE(RIGHT($A2529,2))&gt;60),$A2529&amp;"01 1",$A2529),IF(AND(LEN($A2529)=4,VALUE(RIGHT($A2529,2))&lt;60),GUS_tabl_2!$A$8:$B$464,GUS_tabl_21!$A$5:$B$4886),2,FALSE)))),TRIM(VLOOKUP(IF(AND(LEN($A2529)=4,VALUE(RIGHT($A2529,2))&gt;60),$A2529&amp;"01 1",$A2529),IF(AND(LEN($A2529)=4,VALUE(RIGHT($A2529,2))&lt;60),GUS_tabl_2!$A$8:$B$464,GUS_tabl_21!$A$5:$B$4886),2,FALSE)),LEFT(TRIM(VLOOKUP(IF(AND(LEN($A2529)=4,VALUE(RIGHT($A2529,2))&gt;60),$A2529&amp;"01 1",$A2529),IF(AND(LEN($A2529)=4,VALUE(RIGHT($A2529,2))&lt;60),GUS_tabl_2!$A$8:$B$464,GUS_tabl_21!$A$5:$B$4886),2,FALSE)),SUM(FIND("..",TRIM(VLOOKUP(IF(AND(LEN($A2529)=4,VALUE(RIGHT($A2529,2))&gt;60),$A2529&amp;"01 1",$A2529),IF(AND(LEN($A2529)=4,VALUE(RIGHT($A2529,2))&lt;60),GUS_tabl_2!$A$8:$B$464,GUS_tabl_21!$A$5:$B$4886),2,FALSE))),-1)))))</f>
        <v>m. Szczytno</v>
      </c>
      <c r="D2529" s="141">
        <f>IF(OR($A2529="",ISERROR(VALUE(LEFT($A2529,6)))),"",IF(LEN($A2529)=2,SUMIF($A2530:$A$2965,$A2529&amp;"??",$D2530:$D$2965),IF(AND(LEN($A2529)=4,VALUE(RIGHT($A2529,2))&lt;=60),SUMIF($A2530:$A$2965,$A2529&amp;"????",$D2530:$D$2965),VLOOKUP(IF(LEN($A2529)=4,$A2529&amp;"01 1",$A2529),GUS_tabl_21!$A$5:$F$4886,6,FALSE))))</f>
        <v>23088</v>
      </c>
      <c r="E2529" s="29"/>
    </row>
    <row r="2530" spans="1:5" ht="12" customHeight="1">
      <c r="A2530" s="155" t="str">
        <f>"281702 2"</f>
        <v>281702 2</v>
      </c>
      <c r="B2530" s="153" t="s">
        <v>32</v>
      </c>
      <c r="C2530" s="156" t="str">
        <f>IF(OR($A2530="",ISERROR(VALUE(LEFT($A2530,6)))),"",IF(LEN($A2530)=2,"WOJ. ",IF(LEN($A2530)=4,IF(VALUE(RIGHT($A2530,2))&gt;60,"","Powiat "),IF(VALUE(RIGHT($A2530,1))=1,"m. ",IF(VALUE(RIGHT($A2530,1))=2,"gm. w. ",IF(VALUE(RIGHT($A2530,1))=8,"dz. ","gm. m.-w. ")))))&amp;IF(LEN($A2530)=2,TRIM(UPPER(VLOOKUP($A2530,GUS_tabl_1!$A$7:$B$22,2,FALSE))),IF(ISERROR(FIND("..",TRIM(VLOOKUP(IF(AND(LEN($A2530)=4,VALUE(RIGHT($A2530,2))&gt;60),$A2530&amp;"01 1",$A2530),IF(AND(LEN($A2530)=4,VALUE(RIGHT($A2530,2))&lt;60),GUS_tabl_2!$A$8:$B$464,GUS_tabl_21!$A$5:$B$4886),2,FALSE)))),TRIM(VLOOKUP(IF(AND(LEN($A2530)=4,VALUE(RIGHT($A2530,2))&gt;60),$A2530&amp;"01 1",$A2530),IF(AND(LEN($A2530)=4,VALUE(RIGHT($A2530,2))&lt;60),GUS_tabl_2!$A$8:$B$464,GUS_tabl_21!$A$5:$B$4886),2,FALSE)),LEFT(TRIM(VLOOKUP(IF(AND(LEN($A2530)=4,VALUE(RIGHT($A2530,2))&gt;60),$A2530&amp;"01 1",$A2530),IF(AND(LEN($A2530)=4,VALUE(RIGHT($A2530,2))&lt;60),GUS_tabl_2!$A$8:$B$464,GUS_tabl_21!$A$5:$B$4886),2,FALSE)),SUM(FIND("..",TRIM(VLOOKUP(IF(AND(LEN($A2530)=4,VALUE(RIGHT($A2530,2))&gt;60),$A2530&amp;"01 1",$A2530),IF(AND(LEN($A2530)=4,VALUE(RIGHT($A2530,2))&lt;60),GUS_tabl_2!$A$8:$B$464,GUS_tabl_21!$A$5:$B$4886),2,FALSE))),-1)))))</f>
        <v>gm. w. Dźwierzuty</v>
      </c>
      <c r="D2530" s="141">
        <f>IF(OR($A2530="",ISERROR(VALUE(LEFT($A2530,6)))),"",IF(LEN($A2530)=2,SUMIF($A2531:$A$2965,$A2530&amp;"??",$D2531:$D$2965),IF(AND(LEN($A2530)=4,VALUE(RIGHT($A2530,2))&lt;=60),SUMIF($A2531:$A$2965,$A2530&amp;"????",$D2531:$D$2965),VLOOKUP(IF(LEN($A2530)=4,$A2530&amp;"01 1",$A2530),GUS_tabl_21!$A$5:$F$4886,6,FALSE))))</f>
        <v>6492</v>
      </c>
      <c r="E2530" s="29"/>
    </row>
    <row r="2531" spans="1:5" ht="12" customHeight="1">
      <c r="A2531" s="155" t="str">
        <f>"281703 2"</f>
        <v>281703 2</v>
      </c>
      <c r="B2531" s="153" t="s">
        <v>32</v>
      </c>
      <c r="C2531" s="156" t="str">
        <f>IF(OR($A2531="",ISERROR(VALUE(LEFT($A2531,6)))),"",IF(LEN($A2531)=2,"WOJ. ",IF(LEN($A2531)=4,IF(VALUE(RIGHT($A2531,2))&gt;60,"","Powiat "),IF(VALUE(RIGHT($A2531,1))=1,"m. ",IF(VALUE(RIGHT($A2531,1))=2,"gm. w. ",IF(VALUE(RIGHT($A2531,1))=8,"dz. ","gm. m.-w. ")))))&amp;IF(LEN($A2531)=2,TRIM(UPPER(VLOOKUP($A2531,GUS_tabl_1!$A$7:$B$22,2,FALSE))),IF(ISERROR(FIND("..",TRIM(VLOOKUP(IF(AND(LEN($A2531)=4,VALUE(RIGHT($A2531,2))&gt;60),$A2531&amp;"01 1",$A2531),IF(AND(LEN($A2531)=4,VALUE(RIGHT($A2531,2))&lt;60),GUS_tabl_2!$A$8:$B$464,GUS_tabl_21!$A$5:$B$4886),2,FALSE)))),TRIM(VLOOKUP(IF(AND(LEN($A2531)=4,VALUE(RIGHT($A2531,2))&gt;60),$A2531&amp;"01 1",$A2531),IF(AND(LEN($A2531)=4,VALUE(RIGHT($A2531,2))&lt;60),GUS_tabl_2!$A$8:$B$464,GUS_tabl_21!$A$5:$B$4886),2,FALSE)),LEFT(TRIM(VLOOKUP(IF(AND(LEN($A2531)=4,VALUE(RIGHT($A2531,2))&gt;60),$A2531&amp;"01 1",$A2531),IF(AND(LEN($A2531)=4,VALUE(RIGHT($A2531,2))&lt;60),GUS_tabl_2!$A$8:$B$464,GUS_tabl_21!$A$5:$B$4886),2,FALSE)),SUM(FIND("..",TRIM(VLOOKUP(IF(AND(LEN($A2531)=4,VALUE(RIGHT($A2531,2))&gt;60),$A2531&amp;"01 1",$A2531),IF(AND(LEN($A2531)=4,VALUE(RIGHT($A2531,2))&lt;60),GUS_tabl_2!$A$8:$B$464,GUS_tabl_21!$A$5:$B$4886),2,FALSE))),-1)))))</f>
        <v>gm. w. Jedwabno</v>
      </c>
      <c r="D2531" s="141">
        <f>IF(OR($A2531="",ISERROR(VALUE(LEFT($A2531,6)))),"",IF(LEN($A2531)=2,SUMIF($A2532:$A$2965,$A2531&amp;"??",$D2532:$D$2965),IF(AND(LEN($A2531)=4,VALUE(RIGHT($A2531,2))&lt;=60),SUMIF($A2532:$A$2965,$A2531&amp;"????",$D2532:$D$2965),VLOOKUP(IF(LEN($A2531)=4,$A2531&amp;"01 1",$A2531),GUS_tabl_21!$A$5:$F$4886,6,FALSE))))</f>
        <v>3631</v>
      </c>
      <c r="E2531" s="29"/>
    </row>
    <row r="2532" spans="1:5" ht="12" customHeight="1">
      <c r="A2532" s="155" t="str">
        <f>"281704 3"</f>
        <v>281704 3</v>
      </c>
      <c r="B2532" s="153" t="s">
        <v>32</v>
      </c>
      <c r="C2532" s="156" t="str">
        <f>IF(OR($A2532="",ISERROR(VALUE(LEFT($A2532,6)))),"",IF(LEN($A2532)=2,"WOJ. ",IF(LEN($A2532)=4,IF(VALUE(RIGHT($A2532,2))&gt;60,"","Powiat "),IF(VALUE(RIGHT($A2532,1))=1,"m. ",IF(VALUE(RIGHT($A2532,1))=2,"gm. w. ",IF(VALUE(RIGHT($A2532,1))=8,"dz. ","gm. m.-w. ")))))&amp;IF(LEN($A2532)=2,TRIM(UPPER(VLOOKUP($A2532,GUS_tabl_1!$A$7:$B$22,2,FALSE))),IF(ISERROR(FIND("..",TRIM(VLOOKUP(IF(AND(LEN($A2532)=4,VALUE(RIGHT($A2532,2))&gt;60),$A2532&amp;"01 1",$A2532),IF(AND(LEN($A2532)=4,VALUE(RIGHT($A2532,2))&lt;60),GUS_tabl_2!$A$8:$B$464,GUS_tabl_21!$A$5:$B$4886),2,FALSE)))),TRIM(VLOOKUP(IF(AND(LEN($A2532)=4,VALUE(RIGHT($A2532,2))&gt;60),$A2532&amp;"01 1",$A2532),IF(AND(LEN($A2532)=4,VALUE(RIGHT($A2532,2))&lt;60),GUS_tabl_2!$A$8:$B$464,GUS_tabl_21!$A$5:$B$4886),2,FALSE)),LEFT(TRIM(VLOOKUP(IF(AND(LEN($A2532)=4,VALUE(RIGHT($A2532,2))&gt;60),$A2532&amp;"01 1",$A2532),IF(AND(LEN($A2532)=4,VALUE(RIGHT($A2532,2))&lt;60),GUS_tabl_2!$A$8:$B$464,GUS_tabl_21!$A$5:$B$4886),2,FALSE)),SUM(FIND("..",TRIM(VLOOKUP(IF(AND(LEN($A2532)=4,VALUE(RIGHT($A2532,2))&gt;60),$A2532&amp;"01 1",$A2532),IF(AND(LEN($A2532)=4,VALUE(RIGHT($A2532,2))&lt;60),GUS_tabl_2!$A$8:$B$464,GUS_tabl_21!$A$5:$B$4886),2,FALSE))),-1)))))</f>
        <v>gm. m.-w. Pasym</v>
      </c>
      <c r="D2532" s="141">
        <f>IF(OR($A2532="",ISERROR(VALUE(LEFT($A2532,6)))),"",IF(LEN($A2532)=2,SUMIF($A2533:$A$2965,$A2532&amp;"??",$D2533:$D$2965),IF(AND(LEN($A2532)=4,VALUE(RIGHT($A2532,2))&lt;=60),SUMIF($A2533:$A$2965,$A2532&amp;"????",$D2533:$D$2965),VLOOKUP(IF(LEN($A2532)=4,$A2532&amp;"01 1",$A2532),GUS_tabl_21!$A$5:$F$4886,6,FALSE))))</f>
        <v>5312</v>
      </c>
      <c r="E2532" s="29"/>
    </row>
    <row r="2533" spans="1:5" ht="12" customHeight="1">
      <c r="A2533" s="155" t="str">
        <f>"281705 2"</f>
        <v>281705 2</v>
      </c>
      <c r="B2533" s="153" t="s">
        <v>32</v>
      </c>
      <c r="C2533" s="156" t="str">
        <f>IF(OR($A2533="",ISERROR(VALUE(LEFT($A2533,6)))),"",IF(LEN($A2533)=2,"WOJ. ",IF(LEN($A2533)=4,IF(VALUE(RIGHT($A2533,2))&gt;60,"","Powiat "),IF(VALUE(RIGHT($A2533,1))=1,"m. ",IF(VALUE(RIGHT($A2533,1))=2,"gm. w. ",IF(VALUE(RIGHT($A2533,1))=8,"dz. ","gm. m.-w. ")))))&amp;IF(LEN($A2533)=2,TRIM(UPPER(VLOOKUP($A2533,GUS_tabl_1!$A$7:$B$22,2,FALSE))),IF(ISERROR(FIND("..",TRIM(VLOOKUP(IF(AND(LEN($A2533)=4,VALUE(RIGHT($A2533,2))&gt;60),$A2533&amp;"01 1",$A2533),IF(AND(LEN($A2533)=4,VALUE(RIGHT($A2533,2))&lt;60),GUS_tabl_2!$A$8:$B$464,GUS_tabl_21!$A$5:$B$4886),2,FALSE)))),TRIM(VLOOKUP(IF(AND(LEN($A2533)=4,VALUE(RIGHT($A2533,2))&gt;60),$A2533&amp;"01 1",$A2533),IF(AND(LEN($A2533)=4,VALUE(RIGHT($A2533,2))&lt;60),GUS_tabl_2!$A$8:$B$464,GUS_tabl_21!$A$5:$B$4886),2,FALSE)),LEFT(TRIM(VLOOKUP(IF(AND(LEN($A2533)=4,VALUE(RIGHT($A2533,2))&gt;60),$A2533&amp;"01 1",$A2533),IF(AND(LEN($A2533)=4,VALUE(RIGHT($A2533,2))&lt;60),GUS_tabl_2!$A$8:$B$464,GUS_tabl_21!$A$5:$B$4886),2,FALSE)),SUM(FIND("..",TRIM(VLOOKUP(IF(AND(LEN($A2533)=4,VALUE(RIGHT($A2533,2))&gt;60),$A2533&amp;"01 1",$A2533),IF(AND(LEN($A2533)=4,VALUE(RIGHT($A2533,2))&lt;60),GUS_tabl_2!$A$8:$B$464,GUS_tabl_21!$A$5:$B$4886),2,FALSE))),-1)))))</f>
        <v>gm. w. Rozogi</v>
      </c>
      <c r="D2533" s="141">
        <f>IF(OR($A2533="",ISERROR(VALUE(LEFT($A2533,6)))),"",IF(LEN($A2533)=2,SUMIF($A2534:$A$2965,$A2533&amp;"??",$D2534:$D$2965),IF(AND(LEN($A2533)=4,VALUE(RIGHT($A2533,2))&lt;=60),SUMIF($A2534:$A$2965,$A2533&amp;"????",$D2534:$D$2965),VLOOKUP(IF(LEN($A2533)=4,$A2533&amp;"01 1",$A2533),GUS_tabl_21!$A$5:$F$4886,6,FALSE))))</f>
        <v>5523</v>
      </c>
      <c r="E2533" s="29"/>
    </row>
    <row r="2534" spans="1:5" ht="12" customHeight="1">
      <c r="A2534" s="155" t="str">
        <f>"281706 2"</f>
        <v>281706 2</v>
      </c>
      <c r="B2534" s="153" t="s">
        <v>32</v>
      </c>
      <c r="C2534" s="156" t="str">
        <f>IF(OR($A2534="",ISERROR(VALUE(LEFT($A2534,6)))),"",IF(LEN($A2534)=2,"WOJ. ",IF(LEN($A2534)=4,IF(VALUE(RIGHT($A2534,2))&gt;60,"","Powiat "),IF(VALUE(RIGHT($A2534,1))=1,"m. ",IF(VALUE(RIGHT($A2534,1))=2,"gm. w. ",IF(VALUE(RIGHT($A2534,1))=8,"dz. ","gm. m.-w. ")))))&amp;IF(LEN($A2534)=2,TRIM(UPPER(VLOOKUP($A2534,GUS_tabl_1!$A$7:$B$22,2,FALSE))),IF(ISERROR(FIND("..",TRIM(VLOOKUP(IF(AND(LEN($A2534)=4,VALUE(RIGHT($A2534,2))&gt;60),$A2534&amp;"01 1",$A2534),IF(AND(LEN($A2534)=4,VALUE(RIGHT($A2534,2))&lt;60),GUS_tabl_2!$A$8:$B$464,GUS_tabl_21!$A$5:$B$4886),2,FALSE)))),TRIM(VLOOKUP(IF(AND(LEN($A2534)=4,VALUE(RIGHT($A2534,2))&gt;60),$A2534&amp;"01 1",$A2534),IF(AND(LEN($A2534)=4,VALUE(RIGHT($A2534,2))&lt;60),GUS_tabl_2!$A$8:$B$464,GUS_tabl_21!$A$5:$B$4886),2,FALSE)),LEFT(TRIM(VLOOKUP(IF(AND(LEN($A2534)=4,VALUE(RIGHT($A2534,2))&gt;60),$A2534&amp;"01 1",$A2534),IF(AND(LEN($A2534)=4,VALUE(RIGHT($A2534,2))&lt;60),GUS_tabl_2!$A$8:$B$464,GUS_tabl_21!$A$5:$B$4886),2,FALSE)),SUM(FIND("..",TRIM(VLOOKUP(IF(AND(LEN($A2534)=4,VALUE(RIGHT($A2534,2))&gt;60),$A2534&amp;"01 1",$A2534),IF(AND(LEN($A2534)=4,VALUE(RIGHT($A2534,2))&lt;60),GUS_tabl_2!$A$8:$B$464,GUS_tabl_21!$A$5:$B$4886),2,FALSE))),-1)))))</f>
        <v>gm. w. Szczytno (a)</v>
      </c>
      <c r="D2534" s="141">
        <f>IF(OR($A2534="",ISERROR(VALUE(LEFT($A2534,6)))),"",IF(LEN($A2534)=2,SUMIF($A2535:$A$2965,$A2534&amp;"??",$D2535:$D$2965),IF(AND(LEN($A2534)=4,VALUE(RIGHT($A2534,2))&lt;=60),SUMIF($A2535:$A$2965,$A2534&amp;"????",$D2535:$D$2965),VLOOKUP(IF(LEN($A2534)=4,$A2534&amp;"01 1",$A2534),GUS_tabl_21!$A$5:$F$4886,6,FALSE))))</f>
        <v>13095</v>
      </c>
      <c r="E2534" s="29"/>
    </row>
    <row r="2535" spans="1:5" ht="12" customHeight="1">
      <c r="A2535" s="155" t="str">
        <f>"281707 2"</f>
        <v>281707 2</v>
      </c>
      <c r="B2535" s="153" t="s">
        <v>32</v>
      </c>
      <c r="C2535" s="156" t="str">
        <f>IF(OR($A2535="",ISERROR(VALUE(LEFT($A2535,6)))),"",IF(LEN($A2535)=2,"WOJ. ",IF(LEN($A2535)=4,IF(VALUE(RIGHT($A2535,2))&gt;60,"","Powiat "),IF(VALUE(RIGHT($A2535,1))=1,"m. ",IF(VALUE(RIGHT($A2535,1))=2,"gm. w. ",IF(VALUE(RIGHT($A2535,1))=8,"dz. ","gm. m.-w. ")))))&amp;IF(LEN($A2535)=2,TRIM(UPPER(VLOOKUP($A2535,GUS_tabl_1!$A$7:$B$22,2,FALSE))),IF(ISERROR(FIND("..",TRIM(VLOOKUP(IF(AND(LEN($A2535)=4,VALUE(RIGHT($A2535,2))&gt;60),$A2535&amp;"01 1",$A2535),IF(AND(LEN($A2535)=4,VALUE(RIGHT($A2535,2))&lt;60),GUS_tabl_2!$A$8:$B$464,GUS_tabl_21!$A$5:$B$4886),2,FALSE)))),TRIM(VLOOKUP(IF(AND(LEN($A2535)=4,VALUE(RIGHT($A2535,2))&gt;60),$A2535&amp;"01 1",$A2535),IF(AND(LEN($A2535)=4,VALUE(RIGHT($A2535,2))&lt;60),GUS_tabl_2!$A$8:$B$464,GUS_tabl_21!$A$5:$B$4886),2,FALSE)),LEFT(TRIM(VLOOKUP(IF(AND(LEN($A2535)=4,VALUE(RIGHT($A2535,2))&gt;60),$A2535&amp;"01 1",$A2535),IF(AND(LEN($A2535)=4,VALUE(RIGHT($A2535,2))&lt;60),GUS_tabl_2!$A$8:$B$464,GUS_tabl_21!$A$5:$B$4886),2,FALSE)),SUM(FIND("..",TRIM(VLOOKUP(IF(AND(LEN($A2535)=4,VALUE(RIGHT($A2535,2))&gt;60),$A2535&amp;"01 1",$A2535),IF(AND(LEN($A2535)=4,VALUE(RIGHT($A2535,2))&lt;60),GUS_tabl_2!$A$8:$B$464,GUS_tabl_21!$A$5:$B$4886),2,FALSE))),-1)))))</f>
        <v>gm. w. Świętajno</v>
      </c>
      <c r="D2535" s="141">
        <f>IF(OR($A2535="",ISERROR(VALUE(LEFT($A2535,6)))),"",IF(LEN($A2535)=2,SUMIF($A2536:$A$2965,$A2535&amp;"??",$D2536:$D$2965),IF(AND(LEN($A2535)=4,VALUE(RIGHT($A2535,2))&lt;=60),SUMIF($A2536:$A$2965,$A2535&amp;"????",$D2536:$D$2965),VLOOKUP(IF(LEN($A2535)=4,$A2535&amp;"01 1",$A2535),GUS_tabl_21!$A$5:$F$4886,6,FALSE))))</f>
        <v>5774</v>
      </c>
      <c r="E2535" s="29"/>
    </row>
    <row r="2536" spans="1:5" ht="12" customHeight="1">
      <c r="A2536" s="155" t="str">
        <f>"281708 3"</f>
        <v>281708 3</v>
      </c>
      <c r="B2536" s="153" t="s">
        <v>32</v>
      </c>
      <c r="C2536" s="156" t="str">
        <f>IF(OR($A2536="",ISERROR(VALUE(LEFT($A2536,6)))),"",IF(LEN($A2536)=2,"WOJ. ",IF(LEN($A2536)=4,IF(VALUE(RIGHT($A2536,2))&gt;60,"","Powiat "),IF(VALUE(RIGHT($A2536,1))=1,"m. ",IF(VALUE(RIGHT($A2536,1))=2,"gm. w. ",IF(VALUE(RIGHT($A2536,1))=8,"dz. ","gm. m.-w. ")))))&amp;IF(LEN($A2536)=2,TRIM(UPPER(VLOOKUP($A2536,GUS_tabl_1!$A$7:$B$22,2,FALSE))),IF(ISERROR(FIND("..",TRIM(VLOOKUP(IF(AND(LEN($A2536)=4,VALUE(RIGHT($A2536,2))&gt;60),$A2536&amp;"01 1",$A2536),IF(AND(LEN($A2536)=4,VALUE(RIGHT($A2536,2))&lt;60),GUS_tabl_2!$A$8:$B$464,GUS_tabl_21!$A$5:$B$4886),2,FALSE)))),TRIM(VLOOKUP(IF(AND(LEN($A2536)=4,VALUE(RIGHT($A2536,2))&gt;60),$A2536&amp;"01 1",$A2536),IF(AND(LEN($A2536)=4,VALUE(RIGHT($A2536,2))&lt;60),GUS_tabl_2!$A$8:$B$464,GUS_tabl_21!$A$5:$B$4886),2,FALSE)),LEFT(TRIM(VLOOKUP(IF(AND(LEN($A2536)=4,VALUE(RIGHT($A2536,2))&gt;60),$A2536&amp;"01 1",$A2536),IF(AND(LEN($A2536)=4,VALUE(RIGHT($A2536,2))&lt;60),GUS_tabl_2!$A$8:$B$464,GUS_tabl_21!$A$5:$B$4886),2,FALSE)),SUM(FIND("..",TRIM(VLOOKUP(IF(AND(LEN($A2536)=4,VALUE(RIGHT($A2536,2))&gt;60),$A2536&amp;"01 1",$A2536),IF(AND(LEN($A2536)=4,VALUE(RIGHT($A2536,2))&lt;60),GUS_tabl_2!$A$8:$B$464,GUS_tabl_21!$A$5:$B$4886),2,FALSE))),-1)))))</f>
        <v>gm. m.-w. Wielbark</v>
      </c>
      <c r="D2536" s="141">
        <f>IF(OR($A2536="",ISERROR(VALUE(LEFT($A2536,6)))),"",IF(LEN($A2536)=2,SUMIF($A2537:$A$2965,$A2536&amp;"??",$D2537:$D$2965),IF(AND(LEN($A2536)=4,VALUE(RIGHT($A2536,2))&lt;=60),SUMIF($A2537:$A$2965,$A2536&amp;"????",$D2537:$D$2965),VLOOKUP(IF(LEN($A2536)=4,$A2536&amp;"01 1",$A2536),GUS_tabl_21!$A$5:$F$4886,6,FALSE))))</f>
        <v>6461</v>
      </c>
      <c r="E2536" s="29"/>
    </row>
    <row r="2537" spans="1:5" ht="12" customHeight="1">
      <c r="A2537" s="152" t="str">
        <f>"2819"</f>
        <v>2819</v>
      </c>
      <c r="B2537" s="153" t="s">
        <v>32</v>
      </c>
      <c r="C2537" s="154" t="str">
        <f>IF(OR($A2537="",ISERROR(VALUE(LEFT($A2537,6)))),"",IF(LEN($A2537)=2,"WOJ. ",IF(LEN($A2537)=4,IF(VALUE(RIGHT($A2537,2))&gt;60,"","Powiat "),IF(VALUE(RIGHT($A2537,1))=1,"m. ",IF(VALUE(RIGHT($A2537,1))=2,"gm. w. ",IF(VALUE(RIGHT($A2537,1))=8,"dz. ","gm. m.-w. ")))))&amp;IF(LEN($A2537)=2,TRIM(UPPER(VLOOKUP($A2537,GUS_tabl_1!$A$7:$B$22,2,FALSE))),IF(ISERROR(FIND("..",TRIM(VLOOKUP(IF(AND(LEN($A2537)=4,VALUE(RIGHT($A2537,2))&gt;60),$A2537&amp;"01 1",$A2537),IF(AND(LEN($A2537)=4,VALUE(RIGHT($A2537,2))&lt;60),GUS_tabl_2!$A$8:$B$464,GUS_tabl_21!$A$5:$B$4886),2,FALSE)))),TRIM(VLOOKUP(IF(AND(LEN($A2537)=4,VALUE(RIGHT($A2537,2))&gt;60),$A2537&amp;"01 1",$A2537),IF(AND(LEN($A2537)=4,VALUE(RIGHT($A2537,2))&lt;60),GUS_tabl_2!$A$8:$B$464,GUS_tabl_21!$A$5:$B$4886),2,FALSE)),LEFT(TRIM(VLOOKUP(IF(AND(LEN($A2537)=4,VALUE(RIGHT($A2537,2))&gt;60),$A2537&amp;"01 1",$A2537),IF(AND(LEN($A2537)=4,VALUE(RIGHT($A2537,2))&lt;60),GUS_tabl_2!$A$8:$B$464,GUS_tabl_21!$A$5:$B$4886),2,FALSE)),SUM(FIND("..",TRIM(VLOOKUP(IF(AND(LEN($A2537)=4,VALUE(RIGHT($A2537,2))&gt;60),$A2537&amp;"01 1",$A2537),IF(AND(LEN($A2537)=4,VALUE(RIGHT($A2537,2))&lt;60),GUS_tabl_2!$A$8:$B$464,GUS_tabl_21!$A$5:$B$4886),2,FALSE))),-1)))))</f>
        <v>Powiat węgorzewski</v>
      </c>
      <c r="D2537" s="140">
        <f>IF(OR($A2537="",ISERROR(VALUE(LEFT($A2537,6)))),"",IF(LEN($A2537)=2,SUMIF($A2538:$A$2965,$A2537&amp;"??",$D2538:$D$2965),IF(AND(LEN($A2537)=4,VALUE(RIGHT($A2537,2))&lt;=60),SUMIF($A2538:$A$2965,$A2537&amp;"????",$D2538:$D$2965),VLOOKUP(IF(LEN($A2537)=4,$A2537&amp;"01 1",$A2537),GUS_tabl_21!$A$5:$F$4886,6,FALSE))))</f>
        <v>22638</v>
      </c>
      <c r="E2537" s="29"/>
    </row>
    <row r="2538" spans="1:5" ht="12" customHeight="1">
      <c r="A2538" s="155" t="str">
        <f>"281901 2"</f>
        <v>281901 2</v>
      </c>
      <c r="B2538" s="153" t="s">
        <v>32</v>
      </c>
      <c r="C2538" s="156" t="str">
        <f>IF(OR($A2538="",ISERROR(VALUE(LEFT($A2538,6)))),"",IF(LEN($A2538)=2,"WOJ. ",IF(LEN($A2538)=4,IF(VALUE(RIGHT($A2538,2))&gt;60,"","Powiat "),IF(VALUE(RIGHT($A2538,1))=1,"m. ",IF(VALUE(RIGHT($A2538,1))=2,"gm. w. ",IF(VALUE(RIGHT($A2538,1))=8,"dz. ","gm. m.-w. ")))))&amp;IF(LEN($A2538)=2,TRIM(UPPER(VLOOKUP($A2538,GUS_tabl_1!$A$7:$B$22,2,FALSE))),IF(ISERROR(FIND("..",TRIM(VLOOKUP(IF(AND(LEN($A2538)=4,VALUE(RIGHT($A2538,2))&gt;60),$A2538&amp;"01 1",$A2538),IF(AND(LEN($A2538)=4,VALUE(RIGHT($A2538,2))&lt;60),GUS_tabl_2!$A$8:$B$464,GUS_tabl_21!$A$5:$B$4886),2,FALSE)))),TRIM(VLOOKUP(IF(AND(LEN($A2538)=4,VALUE(RIGHT($A2538,2))&gt;60),$A2538&amp;"01 1",$A2538),IF(AND(LEN($A2538)=4,VALUE(RIGHT($A2538,2))&lt;60),GUS_tabl_2!$A$8:$B$464,GUS_tabl_21!$A$5:$B$4886),2,FALSE)),LEFT(TRIM(VLOOKUP(IF(AND(LEN($A2538)=4,VALUE(RIGHT($A2538,2))&gt;60),$A2538&amp;"01 1",$A2538),IF(AND(LEN($A2538)=4,VALUE(RIGHT($A2538,2))&lt;60),GUS_tabl_2!$A$8:$B$464,GUS_tabl_21!$A$5:$B$4886),2,FALSE)),SUM(FIND("..",TRIM(VLOOKUP(IF(AND(LEN($A2538)=4,VALUE(RIGHT($A2538,2))&gt;60),$A2538&amp;"01 1",$A2538),IF(AND(LEN($A2538)=4,VALUE(RIGHT($A2538,2))&lt;60),GUS_tabl_2!$A$8:$B$464,GUS_tabl_21!$A$5:$B$4886),2,FALSE))),-1)))))</f>
        <v>gm. w. Budry</v>
      </c>
      <c r="D2538" s="141">
        <f>IF(OR($A2538="",ISERROR(VALUE(LEFT($A2538,6)))),"",IF(LEN($A2538)=2,SUMIF($A2539:$A$2965,$A2538&amp;"??",$D2539:$D$2965),IF(AND(LEN($A2538)=4,VALUE(RIGHT($A2538,2))&lt;=60),SUMIF($A2539:$A$2965,$A2538&amp;"????",$D2539:$D$2965),VLOOKUP(IF(LEN($A2538)=4,$A2538&amp;"01 1",$A2538),GUS_tabl_21!$A$5:$F$4886,6,FALSE))))</f>
        <v>2780</v>
      </c>
      <c r="E2538" s="29"/>
    </row>
    <row r="2539" spans="1:5" ht="12" customHeight="1">
      <c r="A2539" s="155" t="str">
        <f>"281902 2"</f>
        <v>281902 2</v>
      </c>
      <c r="B2539" s="153" t="s">
        <v>32</v>
      </c>
      <c r="C2539" s="156" t="str">
        <f>IF(OR($A2539="",ISERROR(VALUE(LEFT($A2539,6)))),"",IF(LEN($A2539)=2,"WOJ. ",IF(LEN($A2539)=4,IF(VALUE(RIGHT($A2539,2))&gt;60,"","Powiat "),IF(VALUE(RIGHT($A2539,1))=1,"m. ",IF(VALUE(RIGHT($A2539,1))=2,"gm. w. ",IF(VALUE(RIGHT($A2539,1))=8,"dz. ","gm. m.-w. ")))))&amp;IF(LEN($A2539)=2,TRIM(UPPER(VLOOKUP($A2539,GUS_tabl_1!$A$7:$B$22,2,FALSE))),IF(ISERROR(FIND("..",TRIM(VLOOKUP(IF(AND(LEN($A2539)=4,VALUE(RIGHT($A2539,2))&gt;60),$A2539&amp;"01 1",$A2539),IF(AND(LEN($A2539)=4,VALUE(RIGHT($A2539,2))&lt;60),GUS_tabl_2!$A$8:$B$464,GUS_tabl_21!$A$5:$B$4886),2,FALSE)))),TRIM(VLOOKUP(IF(AND(LEN($A2539)=4,VALUE(RIGHT($A2539,2))&gt;60),$A2539&amp;"01 1",$A2539),IF(AND(LEN($A2539)=4,VALUE(RIGHT($A2539,2))&lt;60),GUS_tabl_2!$A$8:$B$464,GUS_tabl_21!$A$5:$B$4886),2,FALSE)),LEFT(TRIM(VLOOKUP(IF(AND(LEN($A2539)=4,VALUE(RIGHT($A2539,2))&gt;60),$A2539&amp;"01 1",$A2539),IF(AND(LEN($A2539)=4,VALUE(RIGHT($A2539,2))&lt;60),GUS_tabl_2!$A$8:$B$464,GUS_tabl_21!$A$5:$B$4886),2,FALSE)),SUM(FIND("..",TRIM(VLOOKUP(IF(AND(LEN($A2539)=4,VALUE(RIGHT($A2539,2))&gt;60),$A2539&amp;"01 1",$A2539),IF(AND(LEN($A2539)=4,VALUE(RIGHT($A2539,2))&lt;60),GUS_tabl_2!$A$8:$B$464,GUS_tabl_21!$A$5:$B$4886),2,FALSE))),-1)))))</f>
        <v>gm. w. Pozezdrze</v>
      </c>
      <c r="D2539" s="141">
        <f>IF(OR($A2539="",ISERROR(VALUE(LEFT($A2539,6)))),"",IF(LEN($A2539)=2,SUMIF($A2540:$A$2965,$A2539&amp;"??",$D2540:$D$2965),IF(AND(LEN($A2539)=4,VALUE(RIGHT($A2539,2))&lt;=60),SUMIF($A2540:$A$2965,$A2539&amp;"????",$D2540:$D$2965),VLOOKUP(IF(LEN($A2539)=4,$A2539&amp;"01 1",$A2539),GUS_tabl_21!$A$5:$F$4886,6,FALSE))))</f>
        <v>3253</v>
      </c>
      <c r="E2539" s="29"/>
    </row>
    <row r="2540" spans="1:5" ht="12" customHeight="1">
      <c r="A2540" s="155" t="str">
        <f>"281903 3"</f>
        <v>281903 3</v>
      </c>
      <c r="B2540" s="153" t="s">
        <v>32</v>
      </c>
      <c r="C2540" s="156" t="str">
        <f>IF(OR($A2540="",ISERROR(VALUE(LEFT($A2540,6)))),"",IF(LEN($A2540)=2,"WOJ. ",IF(LEN($A2540)=4,IF(VALUE(RIGHT($A2540,2))&gt;60,"","Powiat "),IF(VALUE(RIGHT($A2540,1))=1,"m. ",IF(VALUE(RIGHT($A2540,1))=2,"gm. w. ",IF(VALUE(RIGHT($A2540,1))=8,"dz. ","gm. m.-w. ")))))&amp;IF(LEN($A2540)=2,TRIM(UPPER(VLOOKUP($A2540,GUS_tabl_1!$A$7:$B$22,2,FALSE))),IF(ISERROR(FIND("..",TRIM(VLOOKUP(IF(AND(LEN($A2540)=4,VALUE(RIGHT($A2540,2))&gt;60),$A2540&amp;"01 1",$A2540),IF(AND(LEN($A2540)=4,VALUE(RIGHT($A2540,2))&lt;60),GUS_tabl_2!$A$8:$B$464,GUS_tabl_21!$A$5:$B$4886),2,FALSE)))),TRIM(VLOOKUP(IF(AND(LEN($A2540)=4,VALUE(RIGHT($A2540,2))&gt;60),$A2540&amp;"01 1",$A2540),IF(AND(LEN($A2540)=4,VALUE(RIGHT($A2540,2))&lt;60),GUS_tabl_2!$A$8:$B$464,GUS_tabl_21!$A$5:$B$4886),2,FALSE)),LEFT(TRIM(VLOOKUP(IF(AND(LEN($A2540)=4,VALUE(RIGHT($A2540,2))&gt;60),$A2540&amp;"01 1",$A2540),IF(AND(LEN($A2540)=4,VALUE(RIGHT($A2540,2))&lt;60),GUS_tabl_2!$A$8:$B$464,GUS_tabl_21!$A$5:$B$4886),2,FALSE)),SUM(FIND("..",TRIM(VLOOKUP(IF(AND(LEN($A2540)=4,VALUE(RIGHT($A2540,2))&gt;60),$A2540&amp;"01 1",$A2540),IF(AND(LEN($A2540)=4,VALUE(RIGHT($A2540,2))&lt;60),GUS_tabl_2!$A$8:$B$464,GUS_tabl_21!$A$5:$B$4886),2,FALSE))),-1)))))</f>
        <v>gm. m.-w. Węgorzewo</v>
      </c>
      <c r="D2540" s="141">
        <f>IF(OR($A2540="",ISERROR(VALUE(LEFT($A2540,6)))),"",IF(LEN($A2540)=2,SUMIF($A2541:$A$2965,$A2540&amp;"??",$D2541:$D$2965),IF(AND(LEN($A2540)=4,VALUE(RIGHT($A2540,2))&lt;=60),SUMIF($A2541:$A$2965,$A2540&amp;"????",$D2541:$D$2965),VLOOKUP(IF(LEN($A2540)=4,$A2540&amp;"01 1",$A2540),GUS_tabl_21!$A$5:$F$4886,6,FALSE))))</f>
        <v>16605</v>
      </c>
      <c r="E2540" s="29"/>
    </row>
    <row r="2541" spans="1:5" ht="12" customHeight="1">
      <c r="A2541" s="152"/>
      <c r="B2541" s="153" t="s">
        <v>32</v>
      </c>
      <c r="C2541" s="154" t="s">
        <v>0</v>
      </c>
      <c r="D2541" s="140" t="str">
        <f>IF(OR($A2541="",ISERROR(VALUE(LEFT($A2541,6)))),"",IF(LEN($A2541)=2,SUMIF($A2542:$A$2965,$A2541&amp;"??",$D2542:$D$2965),IF(AND(LEN($A2541)=4,VALUE(RIGHT($A2541,2))&lt;=60),SUMIF($A2542:$A$2965,$A2541&amp;"????",$D2542:$D$2965),VLOOKUP(IF(LEN($A2541)=4,$A2541&amp;"01 1",$A2541),GUS_tabl_21!$A$5:$F$4886,6,FALSE))))</f>
        <v/>
      </c>
      <c r="E2541" s="29"/>
    </row>
    <row r="2542" spans="1:5" ht="12" customHeight="1">
      <c r="A2542" s="152"/>
      <c r="B2542" s="153" t="s">
        <v>32</v>
      </c>
      <c r="C2542" s="162" t="s">
        <v>1</v>
      </c>
      <c r="D2542" s="140" t="str">
        <f>IF(OR($A2542="",ISERROR(VALUE(LEFT($A2542,6)))),"",IF(LEN($A2542)=2,SUMIF($A2543:$A$2965,$A2542&amp;"??",$D2543:$D$2965),IF(AND(LEN($A2542)=4,VALUE(RIGHT($A2542,2))&lt;=60),SUMIF($A2543:$A$2965,$A2542&amp;"????",$D2543:$D$2965),VLOOKUP(IF(LEN($A2542)=4,$A2542&amp;"01 1",$A2542),GUS_tabl_21!$A$5:$F$4886,6,FALSE))))</f>
        <v/>
      </c>
      <c r="E2542" s="29"/>
    </row>
    <row r="2543" spans="1:5" ht="12" customHeight="1">
      <c r="A2543" s="152" t="str">
        <f>"2861"</f>
        <v>2861</v>
      </c>
      <c r="B2543" s="153" t="s">
        <v>32</v>
      </c>
      <c r="C2543" s="154" t="str">
        <f>IF(OR($A2543="",ISERROR(VALUE(LEFT($A2543,6)))),"",IF(LEN($A2543)=2,"WOJ. ",IF(LEN($A2543)=4,IF(VALUE(RIGHT($A2543,2))&gt;60,"","Powiat "),IF(VALUE(RIGHT($A2543,1))=1,"m. ",IF(VALUE(RIGHT($A2543,1))=2,"gm. w. ",IF(VALUE(RIGHT($A2543,1))=8,"dz. ","gm. m.-w. ")))))&amp;IF(LEN($A2543)=2,TRIM(UPPER(VLOOKUP($A2543,GUS_tabl_1!$A$7:$B$22,2,FALSE))),IF(ISERROR(FIND("..",TRIM(VLOOKUP(IF(AND(LEN($A2543)=4,VALUE(RIGHT($A2543,2))&gt;60),$A2543&amp;"01 1",$A2543),IF(AND(LEN($A2543)=4,VALUE(RIGHT($A2543,2))&lt;60),GUS_tabl_2!$A$8:$B$464,GUS_tabl_21!$A$5:$B$4886),2,FALSE)))),TRIM(VLOOKUP(IF(AND(LEN($A2543)=4,VALUE(RIGHT($A2543,2))&gt;60),$A2543&amp;"01 1",$A2543),IF(AND(LEN($A2543)=4,VALUE(RIGHT($A2543,2))&lt;60),GUS_tabl_2!$A$8:$B$464,GUS_tabl_21!$A$5:$B$4886),2,FALSE)),LEFT(TRIM(VLOOKUP(IF(AND(LEN($A2543)=4,VALUE(RIGHT($A2543,2))&gt;60),$A2543&amp;"01 1",$A2543),IF(AND(LEN($A2543)=4,VALUE(RIGHT($A2543,2))&lt;60),GUS_tabl_2!$A$8:$B$464,GUS_tabl_21!$A$5:$B$4886),2,FALSE)),SUM(FIND("..",TRIM(VLOOKUP(IF(AND(LEN($A2543)=4,VALUE(RIGHT($A2543,2))&gt;60),$A2543&amp;"01 1",$A2543),IF(AND(LEN($A2543)=4,VALUE(RIGHT($A2543,2))&lt;60),GUS_tabl_2!$A$8:$B$464,GUS_tabl_21!$A$5:$B$4886),2,FALSE))),-1)))))</f>
        <v>Elbląg (b)</v>
      </c>
      <c r="D2543" s="140">
        <f>IF(OR($A2543="",ISERROR(VALUE(LEFT($A2543,6)))),"",IF(LEN($A2543)=2,SUMIF($A2544:$A$2965,$A2543&amp;"??",$D2544:$D$2965),IF(AND(LEN($A2543)=4,VALUE(RIGHT($A2543,2))&lt;=60),SUMIF($A2544:$A$2965,$A2543&amp;"????",$D2544:$D$2965),VLOOKUP(IF(LEN($A2543)=4,$A2543&amp;"01 1",$A2543),GUS_tabl_21!$A$5:$F$4886,6,FALSE))))</f>
        <v>119317</v>
      </c>
      <c r="E2543" s="29"/>
    </row>
    <row r="2544" spans="1:5" ht="12" customHeight="1">
      <c r="A2544" s="152" t="str">
        <f>"2862"</f>
        <v>2862</v>
      </c>
      <c r="B2544" s="153" t="s">
        <v>32</v>
      </c>
      <c r="C2544" s="154" t="str">
        <f>IF(OR($A2544="",ISERROR(VALUE(LEFT($A2544,6)))),"",IF(LEN($A2544)=2,"WOJ. ",IF(LEN($A2544)=4,IF(VALUE(RIGHT($A2544,2))&gt;60,"","Powiat "),IF(VALUE(RIGHT($A2544,1))=1,"m. ",IF(VALUE(RIGHT($A2544,1))=2,"gm. w. ",IF(VALUE(RIGHT($A2544,1))=8,"dz. ","gm. m.-w. ")))))&amp;IF(LEN($A2544)=2,TRIM(UPPER(VLOOKUP($A2544,GUS_tabl_1!$A$7:$B$22,2,FALSE))),IF(ISERROR(FIND("..",TRIM(VLOOKUP(IF(AND(LEN($A2544)=4,VALUE(RIGHT($A2544,2))&gt;60),$A2544&amp;"01 1",$A2544),IF(AND(LEN($A2544)=4,VALUE(RIGHT($A2544,2))&lt;60),GUS_tabl_2!$A$8:$B$464,GUS_tabl_21!$A$5:$B$4886),2,FALSE)))),TRIM(VLOOKUP(IF(AND(LEN($A2544)=4,VALUE(RIGHT($A2544,2))&gt;60),$A2544&amp;"01 1",$A2544),IF(AND(LEN($A2544)=4,VALUE(RIGHT($A2544,2))&lt;60),GUS_tabl_2!$A$8:$B$464,GUS_tabl_21!$A$5:$B$4886),2,FALSE)),LEFT(TRIM(VLOOKUP(IF(AND(LEN($A2544)=4,VALUE(RIGHT($A2544,2))&gt;60),$A2544&amp;"01 1",$A2544),IF(AND(LEN($A2544)=4,VALUE(RIGHT($A2544,2))&lt;60),GUS_tabl_2!$A$8:$B$464,GUS_tabl_21!$A$5:$B$4886),2,FALSE)),SUM(FIND("..",TRIM(VLOOKUP(IF(AND(LEN($A2544)=4,VALUE(RIGHT($A2544,2))&gt;60),$A2544&amp;"01 1",$A2544),IF(AND(LEN($A2544)=4,VALUE(RIGHT($A2544,2))&lt;60),GUS_tabl_2!$A$8:$B$464,GUS_tabl_21!$A$5:$B$4886),2,FALSE))),-1)))))</f>
        <v>Olsztyn</v>
      </c>
      <c r="D2544" s="140">
        <f>IF(OR($A2544="",ISERROR(VALUE(LEFT($A2544,6)))),"",IF(LEN($A2544)=2,SUMIF($A2545:$A$2965,$A2544&amp;"??",$D2545:$D$2965),IF(AND(LEN($A2544)=4,VALUE(RIGHT($A2544,2))&lt;=60),SUMIF($A2545:$A$2965,$A2544&amp;"????",$D2545:$D$2965),VLOOKUP(IF(LEN($A2544)=4,$A2544&amp;"01 1",$A2544),GUS_tabl_21!$A$5:$F$4886,6,FALSE))))</f>
        <v>171979</v>
      </c>
      <c r="E2544" s="29"/>
    </row>
    <row r="2545" spans="1:5" ht="12" customHeight="1" thickBot="1">
      <c r="A2545" s="152"/>
      <c r="B2545" s="153"/>
      <c r="C2545" s="156" t="str">
        <f>IF(OR($A2545="",ISERROR(VALUE(LEFT($A2545,6)))),"",IF(LEN($A2545)=2,"WOJ. ",IF(LEN($A2545)=4,IF(VALUE(RIGHT($A2545,2))&gt;60,"","Powiat "),IF(VALUE(RIGHT($A2545,1))=1,"m. ",IF(VALUE(RIGHT($A2545,1))=2,"gm. w. ",IF(VALUE(RIGHT($A2545,1))=8,"dz. ","gm. m.-w. ")))))&amp;IF(LEN($A2545)=2,TRIM(UPPER(VLOOKUP($A2545,GUS_tabl_1!$A$7:$B$22,2,FALSE))),IF(ISERROR(FIND("..",TRIM(VLOOKUP(IF(AND(LEN($A2545)=4,VALUE(RIGHT($A2545,2))&gt;60),$A2545&amp;"01 1",$A2545),IF(AND(LEN($A2545)=4,VALUE(RIGHT($A2545,2))&lt;60),GUS_tabl_2!$A$8:$B$464,GUS_tabl_21!$A$5:$B$4886),2,FALSE)))),TRIM(VLOOKUP(IF(AND(LEN($A2545)=4,VALUE(RIGHT($A2545,2))&gt;60),$A2545&amp;"01 1",$A2545),IF(AND(LEN($A2545)=4,VALUE(RIGHT($A2545,2))&lt;60),GUS_tabl_2!$A$8:$B$464,GUS_tabl_21!$A$5:$B$4886),2,FALSE)),LEFT(TRIM(VLOOKUP(IF(AND(LEN($A2545)=4,VALUE(RIGHT($A2545,2))&gt;60),$A2545&amp;"01 1",$A2545),IF(AND(LEN($A2545)=4,VALUE(RIGHT($A2545,2))&lt;60),GUS_tabl_2!$A$8:$B$464,GUS_tabl_21!$A$5:$B$4886),2,FALSE)),SUM(FIND("..",TRIM(VLOOKUP(IF(AND(LEN($A2545)=4,VALUE(RIGHT($A2545,2))&gt;60),$A2545&amp;"01 1",$A2545),IF(AND(LEN($A2545)=4,VALUE(RIGHT($A2545,2))&lt;60),GUS_tabl_2!$A$8:$B$464,GUS_tabl_21!$A$5:$B$4886),2,FALSE))),-1)))))</f>
        <v/>
      </c>
      <c r="D2545" s="140" t="str">
        <f>IF(OR($A2545="",ISERROR(VALUE(LEFT($A2545,6)))),"",IF(LEN($A2545)=2,SUMIF($A2546:$A$2965,$A2545&amp;"??",$D2546:$D$2965),IF(AND(LEN($A2545)=4,VALUE(RIGHT($A2545,2))&lt;=60),SUMIF($A2546:$A$2965,$A2545&amp;"????",$D2546:$D$2965),VLOOKUP(IF(LEN($A2545)=4,$A2545&amp;"01 1",$A2545),GUS_tabl_21!$A$5:$F$4886,6,FALSE))))</f>
        <v/>
      </c>
      <c r="E2545" s="29"/>
    </row>
    <row r="2546" spans="1:5" ht="25.5" customHeight="1" thickTop="1">
      <c r="A2546" s="241" t="s">
        <v>97</v>
      </c>
      <c r="B2546" s="247" t="s">
        <v>60</v>
      </c>
      <c r="C2546" s="243" t="s">
        <v>7311</v>
      </c>
      <c r="D2546" s="251" t="s">
        <v>6</v>
      </c>
    </row>
    <row r="2547" spans="1:5" ht="25.5" customHeight="1" thickBot="1">
      <c r="A2547" s="242"/>
      <c r="B2547" s="253"/>
      <c r="C2547" s="244"/>
      <c r="D2547" s="252"/>
    </row>
    <row r="2548" spans="1:5" ht="12" customHeight="1" thickTop="1">
      <c r="A2548" s="158"/>
      <c r="B2548" s="153"/>
      <c r="C2548" s="156" t="str">
        <f>IF(OR($A2548="",ISERROR(VALUE(LEFT($A2548,6)))),"",IF(LEN($A2548)=2,"WOJ. ",IF(LEN($A2548)=4,IF(VALUE(RIGHT($A2548,2))&gt;60,"","Powiat "),IF(VALUE(RIGHT($A2548,1))=1,"m. ",IF(VALUE(RIGHT($A2548,1))=2,"gm. w. ",IF(VALUE(RIGHT($A2548,1))=8,"dz. ","gm. m.-w. ")))))&amp;IF(LEN($A2548)=2,TRIM(UPPER(VLOOKUP($A2548,GUS_tabl_1!$A$7:$B$22,2,FALSE))),IF(ISERROR(FIND("..",TRIM(VLOOKUP(IF(AND(LEN($A2548)=4,VALUE(RIGHT($A2548,2))&gt;60),$A2548&amp;"01 1",$A2548),IF(AND(LEN($A2548)=4,VALUE(RIGHT($A2548,2))&lt;60),GUS_tabl_2!$A$8:$B$464,GUS_tabl_21!$A$5:$B$4886),2,FALSE)))),TRIM(VLOOKUP(IF(AND(LEN($A2548)=4,VALUE(RIGHT($A2548,2))&gt;60),$A2548&amp;"01 1",$A2548),IF(AND(LEN($A2548)=4,VALUE(RIGHT($A2548,2))&lt;60),GUS_tabl_2!$A$8:$B$464,GUS_tabl_21!$A$5:$B$4886),2,FALSE)),LEFT(TRIM(VLOOKUP(IF(AND(LEN($A2548)=4,VALUE(RIGHT($A2548,2))&gt;60),$A2548&amp;"01 1",$A2548),IF(AND(LEN($A2548)=4,VALUE(RIGHT($A2548,2))&lt;60),GUS_tabl_2!$A$8:$B$464,GUS_tabl_21!$A$5:$B$4886),2,FALSE)),SUM(FIND("..",TRIM(VLOOKUP(IF(AND(LEN($A2548)=4,VALUE(RIGHT($A2548,2))&gt;60),$A2548&amp;"01 1",$A2548),IF(AND(LEN($A2548)=4,VALUE(RIGHT($A2548,2))&lt;60),GUS_tabl_2!$A$8:$B$464,GUS_tabl_21!$A$5:$B$4886),2,FALSE))),-1)))))</f>
        <v/>
      </c>
      <c r="D2548" s="140" t="str">
        <f>IF(OR($A2548="",ISERROR(VALUE(LEFT($A2548,6)))),"",IF(LEN($A2548)=2,SUMIF($A2549:$A$2965,$A2548&amp;"??",$D2549:$D$2965),IF(AND(LEN($A2548)=4,VALUE(RIGHT($A2548,2))&lt;=60),SUMIF($A2549:$A$2965,$A2548&amp;"????",$D2549:$D$2965),VLOOKUP(IF(LEN($A2548)=4,$A2548&amp;"01 1",$A2548),GUS_tabl_21!$A$5:$F$4886,6,FALSE))))</f>
        <v/>
      </c>
      <c r="E2548" s="29"/>
    </row>
    <row r="2549" spans="1:5" ht="12" customHeight="1">
      <c r="A2549" s="152" t="str">
        <f>"30"</f>
        <v>30</v>
      </c>
      <c r="B2549" s="153" t="s">
        <v>34</v>
      </c>
      <c r="C2549" s="154" t="str">
        <f>IF(OR($A2549="",ISERROR(VALUE(LEFT($A2549,6)))),"",IF(LEN($A2549)=2,"WOJ. ",IF(LEN($A2549)=4,IF(VALUE(RIGHT($A2549,2))&gt;60,"","Powiat "),IF(VALUE(RIGHT($A2549,1))=1,"m. ",IF(VALUE(RIGHT($A2549,1))=2,"gm. w. ",IF(VALUE(RIGHT($A2549,1))=8,"dz. ","gm. m.-w. ")))))&amp;IF(LEN($A2549)=2,TRIM(UPPER(VLOOKUP($A2549,GUS_tabl_1!$A$7:$B$22,2,FALSE))),IF(ISERROR(FIND("..",TRIM(VLOOKUP(IF(AND(LEN($A2549)=4,VALUE(RIGHT($A2549,2))&gt;60),$A2549&amp;"01 1",$A2549),IF(AND(LEN($A2549)=4,VALUE(RIGHT($A2549,2))&lt;60),GUS_tabl_2!$A$8:$B$464,GUS_tabl_21!$A$5:$B$4886),2,FALSE)))),TRIM(VLOOKUP(IF(AND(LEN($A2549)=4,VALUE(RIGHT($A2549,2))&gt;60),$A2549&amp;"01 1",$A2549),IF(AND(LEN($A2549)=4,VALUE(RIGHT($A2549,2))&lt;60),GUS_tabl_2!$A$8:$B$464,GUS_tabl_21!$A$5:$B$4886),2,FALSE)),LEFT(TRIM(VLOOKUP(IF(AND(LEN($A2549)=4,VALUE(RIGHT($A2549,2))&gt;60),$A2549&amp;"01 1",$A2549),IF(AND(LEN($A2549)=4,VALUE(RIGHT($A2549,2))&lt;60),GUS_tabl_2!$A$8:$B$464,GUS_tabl_21!$A$5:$B$4886),2,FALSE)),SUM(FIND("..",TRIM(VLOOKUP(IF(AND(LEN($A2549)=4,VALUE(RIGHT($A2549,2))&gt;60),$A2549&amp;"01 1",$A2549),IF(AND(LEN($A2549)=4,VALUE(RIGHT($A2549,2))&lt;60),GUS_tabl_2!$A$8:$B$464,GUS_tabl_21!$A$5:$B$4886),2,FALSE))),-1)))))</f>
        <v>WOJ. WIELKOPOLSKIE</v>
      </c>
      <c r="D2549" s="140">
        <f>IF(OR($A2549="",ISERROR(VALUE(LEFT($A2549,6)))),"",IF(LEN($A2549)=2,SUMIF($A2550:$A$2965,$A2549&amp;"??",$D2550:$D$2965),IF(AND(LEN($A2549)=4,VALUE(RIGHT($A2549,2))&lt;=60),SUMIF($A2550:$A$2965,$A2549&amp;"????",$D2550:$D$2965),VLOOKUP(IF(LEN($A2549)=4,$A2549&amp;"01 1",$A2549),GUS_tabl_21!$A$5:$F$4886,6,FALSE))))</f>
        <v>3498733</v>
      </c>
      <c r="E2549" s="29"/>
    </row>
    <row r="2550" spans="1:5" ht="12" customHeight="1">
      <c r="A2550" s="152"/>
      <c r="B2550" s="153" t="s">
        <v>34</v>
      </c>
      <c r="C2550" s="156" t="str">
        <f>IF(OR($A2550="",ISERROR(VALUE(LEFT($A2550,6)))),"",IF(LEN($A2550)=2,"WOJ. ",IF(LEN($A2550)=4,IF(VALUE(RIGHT($A2550,2))&gt;60,"","Powiat "),IF(VALUE(RIGHT($A2550,1))=1,"m. ",IF(VALUE(RIGHT($A2550,1))=2,"gm. w. ",IF(VALUE(RIGHT($A2550,1))=8,"dz. ","gm. m.-w. ")))))&amp;IF(LEN($A2550)=2,TRIM(UPPER(VLOOKUP($A2550,GUS_tabl_1!$A$7:$B$22,2,FALSE))),IF(ISERROR(FIND("..",TRIM(VLOOKUP(IF(AND(LEN($A2550)=4,VALUE(RIGHT($A2550,2))&gt;60),$A2550&amp;"01 1",$A2550),IF(AND(LEN($A2550)=4,VALUE(RIGHT($A2550,2))&lt;60),GUS_tabl_2!$A$8:$B$464,GUS_tabl_21!$A$5:$B$4886),2,FALSE)))),TRIM(VLOOKUP(IF(AND(LEN($A2550)=4,VALUE(RIGHT($A2550,2))&gt;60),$A2550&amp;"01 1",$A2550),IF(AND(LEN($A2550)=4,VALUE(RIGHT($A2550,2))&lt;60),GUS_tabl_2!$A$8:$B$464,GUS_tabl_21!$A$5:$B$4886),2,FALSE)),LEFT(TRIM(VLOOKUP(IF(AND(LEN($A2550)=4,VALUE(RIGHT($A2550,2))&gt;60),$A2550&amp;"01 1",$A2550),IF(AND(LEN($A2550)=4,VALUE(RIGHT($A2550,2))&lt;60),GUS_tabl_2!$A$8:$B$464,GUS_tabl_21!$A$5:$B$4886),2,FALSE)),SUM(FIND("..",TRIM(VLOOKUP(IF(AND(LEN($A2550)=4,VALUE(RIGHT($A2550,2))&gt;60),$A2550&amp;"01 1",$A2550),IF(AND(LEN($A2550)=4,VALUE(RIGHT($A2550,2))&lt;60),GUS_tabl_2!$A$8:$B$464,GUS_tabl_21!$A$5:$B$4886),2,FALSE))),-1)))))</f>
        <v/>
      </c>
      <c r="D2550" s="140" t="str">
        <f>IF(OR($A2550="",ISERROR(VALUE(LEFT($A2550,6)))),"",IF(LEN($A2550)=2,SUMIF($A2551:$A$2965,$A2550&amp;"??",$D2551:$D$2965),IF(AND(LEN($A2550)=4,VALUE(RIGHT($A2550,2))&lt;=60),SUMIF($A2551:$A$2965,$A2550&amp;"????",$D2551:$D$2965),VLOOKUP(IF(LEN($A2550)=4,$A2550&amp;"01 1",$A2550),GUS_tabl_21!$A$5:$F$4886,6,FALSE))))</f>
        <v/>
      </c>
      <c r="E2550" s="29"/>
    </row>
    <row r="2551" spans="1:5" ht="12" customHeight="1">
      <c r="A2551" s="152" t="str">
        <f>"3001"</f>
        <v>3001</v>
      </c>
      <c r="B2551" s="153" t="s">
        <v>34</v>
      </c>
      <c r="C2551" s="154" t="str">
        <f>IF(OR($A2551="",ISERROR(VALUE(LEFT($A2551,6)))),"",IF(LEN($A2551)=2,"WOJ. ",IF(LEN($A2551)=4,IF(VALUE(RIGHT($A2551,2))&gt;60,"","Powiat "),IF(VALUE(RIGHT($A2551,1))=1,"m. ",IF(VALUE(RIGHT($A2551,1))=2,"gm. w. ",IF(VALUE(RIGHT($A2551,1))=8,"dz. ","gm. m.-w. ")))))&amp;IF(LEN($A2551)=2,TRIM(UPPER(VLOOKUP($A2551,GUS_tabl_1!$A$7:$B$22,2,FALSE))),IF(ISERROR(FIND("..",TRIM(VLOOKUP(IF(AND(LEN($A2551)=4,VALUE(RIGHT($A2551,2))&gt;60),$A2551&amp;"01 1",$A2551),IF(AND(LEN($A2551)=4,VALUE(RIGHT($A2551,2))&lt;60),GUS_tabl_2!$A$8:$B$464,GUS_tabl_21!$A$5:$B$4886),2,FALSE)))),TRIM(VLOOKUP(IF(AND(LEN($A2551)=4,VALUE(RIGHT($A2551,2))&gt;60),$A2551&amp;"01 1",$A2551),IF(AND(LEN($A2551)=4,VALUE(RIGHT($A2551,2))&lt;60),GUS_tabl_2!$A$8:$B$464,GUS_tabl_21!$A$5:$B$4886),2,FALSE)),LEFT(TRIM(VLOOKUP(IF(AND(LEN($A2551)=4,VALUE(RIGHT($A2551,2))&gt;60),$A2551&amp;"01 1",$A2551),IF(AND(LEN($A2551)=4,VALUE(RIGHT($A2551,2))&lt;60),GUS_tabl_2!$A$8:$B$464,GUS_tabl_21!$A$5:$B$4886),2,FALSE)),SUM(FIND("..",TRIM(VLOOKUP(IF(AND(LEN($A2551)=4,VALUE(RIGHT($A2551,2))&gt;60),$A2551&amp;"01 1",$A2551),IF(AND(LEN($A2551)=4,VALUE(RIGHT($A2551,2))&lt;60),GUS_tabl_2!$A$8:$B$464,GUS_tabl_21!$A$5:$B$4886),2,FALSE))),-1)))))</f>
        <v>Powiat chodzieski</v>
      </c>
      <c r="D2551" s="140">
        <f>IF(OR($A2551="",ISERROR(VALUE(LEFT($A2551,6)))),"",IF(LEN($A2551)=2,SUMIF($A2552:$A$2965,$A2551&amp;"??",$D2552:$D$2965),IF(AND(LEN($A2551)=4,VALUE(RIGHT($A2551,2))&lt;=60),SUMIF($A2552:$A$2965,$A2551&amp;"????",$D2552:$D$2965),VLOOKUP(IF(LEN($A2551)=4,$A2551&amp;"01 1",$A2551),GUS_tabl_21!$A$5:$F$4886,6,FALSE))))</f>
        <v>47055</v>
      </c>
      <c r="E2551" s="29"/>
    </row>
    <row r="2552" spans="1:5" ht="12" customHeight="1">
      <c r="A2552" s="155" t="str">
        <f>"300101 1"</f>
        <v>300101 1</v>
      </c>
      <c r="B2552" s="153" t="s">
        <v>34</v>
      </c>
      <c r="C2552" s="156" t="str">
        <f>IF(OR($A2552="",ISERROR(VALUE(LEFT($A2552,6)))),"",IF(LEN($A2552)=2,"WOJ. ",IF(LEN($A2552)=4,IF(VALUE(RIGHT($A2552,2))&gt;60,"","Powiat "),IF(VALUE(RIGHT($A2552,1))=1,"m. ",IF(VALUE(RIGHT($A2552,1))=2,"gm. w. ",IF(VALUE(RIGHT($A2552,1))=8,"dz. ","gm. m.-w. ")))))&amp;IF(LEN($A2552)=2,TRIM(UPPER(VLOOKUP($A2552,GUS_tabl_1!$A$7:$B$22,2,FALSE))),IF(ISERROR(FIND("..",TRIM(VLOOKUP(IF(AND(LEN($A2552)=4,VALUE(RIGHT($A2552,2))&gt;60),$A2552&amp;"01 1",$A2552),IF(AND(LEN($A2552)=4,VALUE(RIGHT($A2552,2))&lt;60),GUS_tabl_2!$A$8:$B$464,GUS_tabl_21!$A$5:$B$4886),2,FALSE)))),TRIM(VLOOKUP(IF(AND(LEN($A2552)=4,VALUE(RIGHT($A2552,2))&gt;60),$A2552&amp;"01 1",$A2552),IF(AND(LEN($A2552)=4,VALUE(RIGHT($A2552,2))&lt;60),GUS_tabl_2!$A$8:$B$464,GUS_tabl_21!$A$5:$B$4886),2,FALSE)),LEFT(TRIM(VLOOKUP(IF(AND(LEN($A2552)=4,VALUE(RIGHT($A2552,2))&gt;60),$A2552&amp;"01 1",$A2552),IF(AND(LEN($A2552)=4,VALUE(RIGHT($A2552,2))&lt;60),GUS_tabl_2!$A$8:$B$464,GUS_tabl_21!$A$5:$B$4886),2,FALSE)),SUM(FIND("..",TRIM(VLOOKUP(IF(AND(LEN($A2552)=4,VALUE(RIGHT($A2552,2))&gt;60),$A2552&amp;"01 1",$A2552),IF(AND(LEN($A2552)=4,VALUE(RIGHT($A2552,2))&lt;60),GUS_tabl_2!$A$8:$B$464,GUS_tabl_21!$A$5:$B$4886),2,FALSE))),-1)))))</f>
        <v>m. Chodzież</v>
      </c>
      <c r="D2552" s="141">
        <f>IF(OR($A2552="",ISERROR(VALUE(LEFT($A2552,6)))),"",IF(LEN($A2552)=2,SUMIF($A2553:$A$2965,$A2552&amp;"??",$D2553:$D$2965),IF(AND(LEN($A2552)=4,VALUE(RIGHT($A2552,2))&lt;=60),SUMIF($A2553:$A$2965,$A2552&amp;"????",$D2553:$D$2965),VLOOKUP(IF(LEN($A2552)=4,$A2552&amp;"01 1",$A2552),GUS_tabl_21!$A$5:$F$4886,6,FALSE))))</f>
        <v>18480</v>
      </c>
      <c r="E2552" s="29"/>
    </row>
    <row r="2553" spans="1:5" ht="12" customHeight="1">
      <c r="A2553" s="155" t="str">
        <f>"300102 2"</f>
        <v>300102 2</v>
      </c>
      <c r="B2553" s="153" t="s">
        <v>34</v>
      </c>
      <c r="C2553" s="156" t="str">
        <f>IF(OR($A2553="",ISERROR(VALUE(LEFT($A2553,6)))),"",IF(LEN($A2553)=2,"WOJ. ",IF(LEN($A2553)=4,IF(VALUE(RIGHT($A2553,2))&gt;60,"","Powiat "),IF(VALUE(RIGHT($A2553,1))=1,"m. ",IF(VALUE(RIGHT($A2553,1))=2,"gm. w. ",IF(VALUE(RIGHT($A2553,1))=8,"dz. ","gm. m.-w. ")))))&amp;IF(LEN($A2553)=2,TRIM(UPPER(VLOOKUP($A2553,GUS_tabl_1!$A$7:$B$22,2,FALSE))),IF(ISERROR(FIND("..",TRIM(VLOOKUP(IF(AND(LEN($A2553)=4,VALUE(RIGHT($A2553,2))&gt;60),$A2553&amp;"01 1",$A2553),IF(AND(LEN($A2553)=4,VALUE(RIGHT($A2553,2))&lt;60),GUS_tabl_2!$A$8:$B$464,GUS_tabl_21!$A$5:$B$4886),2,FALSE)))),TRIM(VLOOKUP(IF(AND(LEN($A2553)=4,VALUE(RIGHT($A2553,2))&gt;60),$A2553&amp;"01 1",$A2553),IF(AND(LEN($A2553)=4,VALUE(RIGHT($A2553,2))&lt;60),GUS_tabl_2!$A$8:$B$464,GUS_tabl_21!$A$5:$B$4886),2,FALSE)),LEFT(TRIM(VLOOKUP(IF(AND(LEN($A2553)=4,VALUE(RIGHT($A2553,2))&gt;60),$A2553&amp;"01 1",$A2553),IF(AND(LEN($A2553)=4,VALUE(RIGHT($A2553,2))&lt;60),GUS_tabl_2!$A$8:$B$464,GUS_tabl_21!$A$5:$B$4886),2,FALSE)),SUM(FIND("..",TRIM(VLOOKUP(IF(AND(LEN($A2553)=4,VALUE(RIGHT($A2553,2))&gt;60),$A2553&amp;"01 1",$A2553),IF(AND(LEN($A2553)=4,VALUE(RIGHT($A2553,2))&lt;60),GUS_tabl_2!$A$8:$B$464,GUS_tabl_21!$A$5:$B$4886),2,FALSE))),-1)))))</f>
        <v>gm. w. Budzyń</v>
      </c>
      <c r="D2553" s="141">
        <f>IF(OR($A2553="",ISERROR(VALUE(LEFT($A2553,6)))),"",IF(LEN($A2553)=2,SUMIF($A2554:$A$2965,$A2553&amp;"??",$D2554:$D$2965),IF(AND(LEN($A2553)=4,VALUE(RIGHT($A2553,2))&lt;=60),SUMIF($A2554:$A$2965,$A2553&amp;"????",$D2554:$D$2965),VLOOKUP(IF(LEN($A2553)=4,$A2553&amp;"01 1",$A2553),GUS_tabl_21!$A$5:$F$4886,6,FALSE))))</f>
        <v>8526</v>
      </c>
      <c r="E2553" s="29"/>
    </row>
    <row r="2554" spans="1:5" ht="12" customHeight="1">
      <c r="A2554" s="155" t="str">
        <f>"300103 2"</f>
        <v>300103 2</v>
      </c>
      <c r="B2554" s="153" t="s">
        <v>34</v>
      </c>
      <c r="C2554" s="156" t="str">
        <f>IF(OR($A2554="",ISERROR(VALUE(LEFT($A2554,6)))),"",IF(LEN($A2554)=2,"WOJ. ",IF(LEN($A2554)=4,IF(VALUE(RIGHT($A2554,2))&gt;60,"","Powiat "),IF(VALUE(RIGHT($A2554,1))=1,"m. ",IF(VALUE(RIGHT($A2554,1))=2,"gm. w. ",IF(VALUE(RIGHT($A2554,1))=8,"dz. ","gm. m.-w. ")))))&amp;IF(LEN($A2554)=2,TRIM(UPPER(VLOOKUP($A2554,GUS_tabl_1!$A$7:$B$22,2,FALSE))),IF(ISERROR(FIND("..",TRIM(VLOOKUP(IF(AND(LEN($A2554)=4,VALUE(RIGHT($A2554,2))&gt;60),$A2554&amp;"01 1",$A2554),IF(AND(LEN($A2554)=4,VALUE(RIGHT($A2554,2))&lt;60),GUS_tabl_2!$A$8:$B$464,GUS_tabl_21!$A$5:$B$4886),2,FALSE)))),TRIM(VLOOKUP(IF(AND(LEN($A2554)=4,VALUE(RIGHT($A2554,2))&gt;60),$A2554&amp;"01 1",$A2554),IF(AND(LEN($A2554)=4,VALUE(RIGHT($A2554,2))&lt;60),GUS_tabl_2!$A$8:$B$464,GUS_tabl_21!$A$5:$B$4886),2,FALSE)),LEFT(TRIM(VLOOKUP(IF(AND(LEN($A2554)=4,VALUE(RIGHT($A2554,2))&gt;60),$A2554&amp;"01 1",$A2554),IF(AND(LEN($A2554)=4,VALUE(RIGHT($A2554,2))&lt;60),GUS_tabl_2!$A$8:$B$464,GUS_tabl_21!$A$5:$B$4886),2,FALSE)),SUM(FIND("..",TRIM(VLOOKUP(IF(AND(LEN($A2554)=4,VALUE(RIGHT($A2554,2))&gt;60),$A2554&amp;"01 1",$A2554),IF(AND(LEN($A2554)=4,VALUE(RIGHT($A2554,2))&lt;60),GUS_tabl_2!$A$8:$B$464,GUS_tabl_21!$A$5:$B$4886),2,FALSE))),-1)))))</f>
        <v>gm. w. Chodzież</v>
      </c>
      <c r="D2554" s="141">
        <f>IF(OR($A2554="",ISERROR(VALUE(LEFT($A2554,6)))),"",IF(LEN($A2554)=2,SUMIF($A2555:$A$2965,$A2554&amp;"??",$D2555:$D$2965),IF(AND(LEN($A2554)=4,VALUE(RIGHT($A2554,2))&lt;=60),SUMIF($A2555:$A$2965,$A2554&amp;"????",$D2555:$D$2965),VLOOKUP(IF(LEN($A2554)=4,$A2554&amp;"01 1",$A2554),GUS_tabl_21!$A$5:$F$4886,6,FALSE))))</f>
        <v>6100</v>
      </c>
      <c r="E2554" s="29"/>
    </row>
    <row r="2555" spans="1:5" ht="12" customHeight="1">
      <c r="A2555" s="155" t="str">
        <f>"300104 3"</f>
        <v>300104 3</v>
      </c>
      <c r="B2555" s="153" t="s">
        <v>34</v>
      </c>
      <c r="C2555" s="156" t="str">
        <f>IF(OR($A2555="",ISERROR(VALUE(LEFT($A2555,6)))),"",IF(LEN($A2555)=2,"WOJ. ",IF(LEN($A2555)=4,IF(VALUE(RIGHT($A2555,2))&gt;60,"","Powiat "),IF(VALUE(RIGHT($A2555,1))=1,"m. ",IF(VALUE(RIGHT($A2555,1))=2,"gm. w. ",IF(VALUE(RIGHT($A2555,1))=8,"dz. ","gm. m.-w. ")))))&amp;IF(LEN($A2555)=2,TRIM(UPPER(VLOOKUP($A2555,GUS_tabl_1!$A$7:$B$22,2,FALSE))),IF(ISERROR(FIND("..",TRIM(VLOOKUP(IF(AND(LEN($A2555)=4,VALUE(RIGHT($A2555,2))&gt;60),$A2555&amp;"01 1",$A2555),IF(AND(LEN($A2555)=4,VALUE(RIGHT($A2555,2))&lt;60),GUS_tabl_2!$A$8:$B$464,GUS_tabl_21!$A$5:$B$4886),2,FALSE)))),TRIM(VLOOKUP(IF(AND(LEN($A2555)=4,VALUE(RIGHT($A2555,2))&gt;60),$A2555&amp;"01 1",$A2555),IF(AND(LEN($A2555)=4,VALUE(RIGHT($A2555,2))&lt;60),GUS_tabl_2!$A$8:$B$464,GUS_tabl_21!$A$5:$B$4886),2,FALSE)),LEFT(TRIM(VLOOKUP(IF(AND(LEN($A2555)=4,VALUE(RIGHT($A2555,2))&gt;60),$A2555&amp;"01 1",$A2555),IF(AND(LEN($A2555)=4,VALUE(RIGHT($A2555,2))&lt;60),GUS_tabl_2!$A$8:$B$464,GUS_tabl_21!$A$5:$B$4886),2,FALSE)),SUM(FIND("..",TRIM(VLOOKUP(IF(AND(LEN($A2555)=4,VALUE(RIGHT($A2555,2))&gt;60),$A2555&amp;"01 1",$A2555),IF(AND(LEN($A2555)=4,VALUE(RIGHT($A2555,2))&lt;60),GUS_tabl_2!$A$8:$B$464,GUS_tabl_21!$A$5:$B$4886),2,FALSE))),-1)))))</f>
        <v>gm. m.-w. Margonin</v>
      </c>
      <c r="D2555" s="141">
        <f>IF(OR($A2555="",ISERROR(VALUE(LEFT($A2555,6)))),"",IF(LEN($A2555)=2,SUMIF($A2556:$A$2965,$A2555&amp;"??",$D2556:$D$2965),IF(AND(LEN($A2555)=4,VALUE(RIGHT($A2555,2))&lt;=60),SUMIF($A2556:$A$2965,$A2555&amp;"????",$D2556:$D$2965),VLOOKUP(IF(LEN($A2555)=4,$A2555&amp;"01 1",$A2555),GUS_tabl_21!$A$5:$F$4886,6,FALSE))))</f>
        <v>6447</v>
      </c>
      <c r="E2555" s="29"/>
    </row>
    <row r="2556" spans="1:5" ht="12" customHeight="1">
      <c r="A2556" s="155" t="str">
        <f>"300105 3"</f>
        <v>300105 3</v>
      </c>
      <c r="B2556" s="153" t="s">
        <v>34</v>
      </c>
      <c r="C2556" s="156" t="str">
        <f>IF(OR($A2556="",ISERROR(VALUE(LEFT($A2556,6)))),"",IF(LEN($A2556)=2,"WOJ. ",IF(LEN($A2556)=4,IF(VALUE(RIGHT($A2556,2))&gt;60,"","Powiat "),IF(VALUE(RIGHT($A2556,1))=1,"m. ",IF(VALUE(RIGHT($A2556,1))=2,"gm. w. ",IF(VALUE(RIGHT($A2556,1))=8,"dz. ","gm. m.-w. ")))))&amp;IF(LEN($A2556)=2,TRIM(UPPER(VLOOKUP($A2556,GUS_tabl_1!$A$7:$B$22,2,FALSE))),IF(ISERROR(FIND("..",TRIM(VLOOKUP(IF(AND(LEN($A2556)=4,VALUE(RIGHT($A2556,2))&gt;60),$A2556&amp;"01 1",$A2556),IF(AND(LEN($A2556)=4,VALUE(RIGHT($A2556,2))&lt;60),GUS_tabl_2!$A$8:$B$464,GUS_tabl_21!$A$5:$B$4886),2,FALSE)))),TRIM(VLOOKUP(IF(AND(LEN($A2556)=4,VALUE(RIGHT($A2556,2))&gt;60),$A2556&amp;"01 1",$A2556),IF(AND(LEN($A2556)=4,VALUE(RIGHT($A2556,2))&lt;60),GUS_tabl_2!$A$8:$B$464,GUS_tabl_21!$A$5:$B$4886),2,FALSE)),LEFT(TRIM(VLOOKUP(IF(AND(LEN($A2556)=4,VALUE(RIGHT($A2556,2))&gt;60),$A2556&amp;"01 1",$A2556),IF(AND(LEN($A2556)=4,VALUE(RIGHT($A2556,2))&lt;60),GUS_tabl_2!$A$8:$B$464,GUS_tabl_21!$A$5:$B$4886),2,FALSE)),SUM(FIND("..",TRIM(VLOOKUP(IF(AND(LEN($A2556)=4,VALUE(RIGHT($A2556,2))&gt;60),$A2556&amp;"01 1",$A2556),IF(AND(LEN($A2556)=4,VALUE(RIGHT($A2556,2))&lt;60),GUS_tabl_2!$A$8:$B$464,GUS_tabl_21!$A$5:$B$4886),2,FALSE))),-1)))))</f>
        <v>gm. m.-w. Szamocin</v>
      </c>
      <c r="D2556" s="141">
        <f>IF(OR($A2556="",ISERROR(VALUE(LEFT($A2556,6)))),"",IF(LEN($A2556)=2,SUMIF($A2557:$A$2965,$A2556&amp;"??",$D2557:$D$2965),IF(AND(LEN($A2556)=4,VALUE(RIGHT($A2556,2))&lt;=60),SUMIF($A2557:$A$2965,$A2556&amp;"????",$D2557:$D$2965),VLOOKUP(IF(LEN($A2556)=4,$A2556&amp;"01 1",$A2556),GUS_tabl_21!$A$5:$F$4886,6,FALSE))))</f>
        <v>7502</v>
      </c>
      <c r="E2556" s="29"/>
    </row>
    <row r="2557" spans="1:5" ht="12" customHeight="1">
      <c r="A2557" s="152" t="str">
        <f>"3002"</f>
        <v>3002</v>
      </c>
      <c r="B2557" s="153" t="s">
        <v>34</v>
      </c>
      <c r="C2557" s="154" t="str">
        <f>IF(OR($A2557="",ISERROR(VALUE(LEFT($A2557,6)))),"",IF(LEN($A2557)=2,"WOJ. ",IF(LEN($A2557)=4,IF(VALUE(RIGHT($A2557,2))&gt;60,"","Powiat "),IF(VALUE(RIGHT($A2557,1))=1,"m. ",IF(VALUE(RIGHT($A2557,1))=2,"gm. w. ",IF(VALUE(RIGHT($A2557,1))=8,"dz. ","gm. m.-w. ")))))&amp;IF(LEN($A2557)=2,TRIM(UPPER(VLOOKUP($A2557,GUS_tabl_1!$A$7:$B$22,2,FALSE))),IF(ISERROR(FIND("..",TRIM(VLOOKUP(IF(AND(LEN($A2557)=4,VALUE(RIGHT($A2557,2))&gt;60),$A2557&amp;"01 1",$A2557),IF(AND(LEN($A2557)=4,VALUE(RIGHT($A2557,2))&lt;60),GUS_tabl_2!$A$8:$B$464,GUS_tabl_21!$A$5:$B$4886),2,FALSE)))),TRIM(VLOOKUP(IF(AND(LEN($A2557)=4,VALUE(RIGHT($A2557,2))&gt;60),$A2557&amp;"01 1",$A2557),IF(AND(LEN($A2557)=4,VALUE(RIGHT($A2557,2))&lt;60),GUS_tabl_2!$A$8:$B$464,GUS_tabl_21!$A$5:$B$4886),2,FALSE)),LEFT(TRIM(VLOOKUP(IF(AND(LEN($A2557)=4,VALUE(RIGHT($A2557,2))&gt;60),$A2557&amp;"01 1",$A2557),IF(AND(LEN($A2557)=4,VALUE(RIGHT($A2557,2))&lt;60),GUS_tabl_2!$A$8:$B$464,GUS_tabl_21!$A$5:$B$4886),2,FALSE)),SUM(FIND("..",TRIM(VLOOKUP(IF(AND(LEN($A2557)=4,VALUE(RIGHT($A2557,2))&gt;60),$A2557&amp;"01 1",$A2557),IF(AND(LEN($A2557)=4,VALUE(RIGHT($A2557,2))&lt;60),GUS_tabl_2!$A$8:$B$464,GUS_tabl_21!$A$5:$B$4886),2,FALSE))),-1)))))</f>
        <v>Powiat czarnkowsko-trzcianecki</v>
      </c>
      <c r="D2557" s="140">
        <f>IF(OR($A2557="",ISERROR(VALUE(LEFT($A2557,6)))),"",IF(LEN($A2557)=2,SUMIF($A2558:$A$2965,$A2557&amp;"??",$D2558:$D$2965),IF(AND(LEN($A2557)=4,VALUE(RIGHT($A2557,2))&lt;=60),SUMIF($A2558:$A$2965,$A2557&amp;"????",$D2558:$D$2965),VLOOKUP(IF(LEN($A2557)=4,$A2557&amp;"01 1",$A2557),GUS_tabl_21!$A$5:$F$4886,6,FALSE))))</f>
        <v>86990</v>
      </c>
      <c r="E2557" s="29"/>
    </row>
    <row r="2558" spans="1:5" ht="12" customHeight="1">
      <c r="A2558" s="155" t="str">
        <f>"300201 1"</f>
        <v>300201 1</v>
      </c>
      <c r="B2558" s="153" t="s">
        <v>34</v>
      </c>
      <c r="C2558" s="156" t="str">
        <f>IF(OR($A2558="",ISERROR(VALUE(LEFT($A2558,6)))),"",IF(LEN($A2558)=2,"WOJ. ",IF(LEN($A2558)=4,IF(VALUE(RIGHT($A2558,2))&gt;60,"","Powiat "),IF(VALUE(RIGHT($A2558,1))=1,"m. ",IF(VALUE(RIGHT($A2558,1))=2,"gm. w. ",IF(VALUE(RIGHT($A2558,1))=8,"dz. ","gm. m.-w. ")))))&amp;IF(LEN($A2558)=2,TRIM(UPPER(VLOOKUP($A2558,GUS_tabl_1!$A$7:$B$22,2,FALSE))),IF(ISERROR(FIND("..",TRIM(VLOOKUP(IF(AND(LEN($A2558)=4,VALUE(RIGHT($A2558,2))&gt;60),$A2558&amp;"01 1",$A2558),IF(AND(LEN($A2558)=4,VALUE(RIGHT($A2558,2))&lt;60),GUS_tabl_2!$A$8:$B$464,GUS_tabl_21!$A$5:$B$4886),2,FALSE)))),TRIM(VLOOKUP(IF(AND(LEN($A2558)=4,VALUE(RIGHT($A2558,2))&gt;60),$A2558&amp;"01 1",$A2558),IF(AND(LEN($A2558)=4,VALUE(RIGHT($A2558,2))&lt;60),GUS_tabl_2!$A$8:$B$464,GUS_tabl_21!$A$5:$B$4886),2,FALSE)),LEFT(TRIM(VLOOKUP(IF(AND(LEN($A2558)=4,VALUE(RIGHT($A2558,2))&gt;60),$A2558&amp;"01 1",$A2558),IF(AND(LEN($A2558)=4,VALUE(RIGHT($A2558,2))&lt;60),GUS_tabl_2!$A$8:$B$464,GUS_tabl_21!$A$5:$B$4886),2,FALSE)),SUM(FIND("..",TRIM(VLOOKUP(IF(AND(LEN($A2558)=4,VALUE(RIGHT($A2558,2))&gt;60),$A2558&amp;"01 1",$A2558),IF(AND(LEN($A2558)=4,VALUE(RIGHT($A2558,2))&lt;60),GUS_tabl_2!$A$8:$B$464,GUS_tabl_21!$A$5:$B$4886),2,FALSE))),-1)))))</f>
        <v>m. Czarnków</v>
      </c>
      <c r="D2558" s="141">
        <f>IF(OR($A2558="",ISERROR(VALUE(LEFT($A2558,6)))),"",IF(LEN($A2558)=2,SUMIF($A2559:$A$2965,$A2558&amp;"??",$D2559:$D$2965),IF(AND(LEN($A2558)=4,VALUE(RIGHT($A2558,2))&lt;=60),SUMIF($A2559:$A$2965,$A2558&amp;"????",$D2559:$D$2965),VLOOKUP(IF(LEN($A2558)=4,$A2558&amp;"01 1",$A2558),GUS_tabl_21!$A$5:$F$4886,6,FALSE))))</f>
        <v>10607</v>
      </c>
      <c r="E2558" s="29"/>
    </row>
    <row r="2559" spans="1:5" ht="12" customHeight="1">
      <c r="A2559" s="155" t="str">
        <f>"300202 2"</f>
        <v>300202 2</v>
      </c>
      <c r="B2559" s="153" t="s">
        <v>34</v>
      </c>
      <c r="C2559" s="156" t="str">
        <f>IF(OR($A2559="",ISERROR(VALUE(LEFT($A2559,6)))),"",IF(LEN($A2559)=2,"WOJ. ",IF(LEN($A2559)=4,IF(VALUE(RIGHT($A2559,2))&gt;60,"","Powiat "),IF(VALUE(RIGHT($A2559,1))=1,"m. ",IF(VALUE(RIGHT($A2559,1))=2,"gm. w. ",IF(VALUE(RIGHT($A2559,1))=8,"dz. ","gm. m.-w. ")))))&amp;IF(LEN($A2559)=2,TRIM(UPPER(VLOOKUP($A2559,GUS_tabl_1!$A$7:$B$22,2,FALSE))),IF(ISERROR(FIND("..",TRIM(VLOOKUP(IF(AND(LEN($A2559)=4,VALUE(RIGHT($A2559,2))&gt;60),$A2559&amp;"01 1",$A2559),IF(AND(LEN($A2559)=4,VALUE(RIGHT($A2559,2))&lt;60),GUS_tabl_2!$A$8:$B$464,GUS_tabl_21!$A$5:$B$4886),2,FALSE)))),TRIM(VLOOKUP(IF(AND(LEN($A2559)=4,VALUE(RIGHT($A2559,2))&gt;60),$A2559&amp;"01 1",$A2559),IF(AND(LEN($A2559)=4,VALUE(RIGHT($A2559,2))&lt;60),GUS_tabl_2!$A$8:$B$464,GUS_tabl_21!$A$5:$B$4886),2,FALSE)),LEFT(TRIM(VLOOKUP(IF(AND(LEN($A2559)=4,VALUE(RIGHT($A2559,2))&gt;60),$A2559&amp;"01 1",$A2559),IF(AND(LEN($A2559)=4,VALUE(RIGHT($A2559,2))&lt;60),GUS_tabl_2!$A$8:$B$464,GUS_tabl_21!$A$5:$B$4886),2,FALSE)),SUM(FIND("..",TRIM(VLOOKUP(IF(AND(LEN($A2559)=4,VALUE(RIGHT($A2559,2))&gt;60),$A2559&amp;"01 1",$A2559),IF(AND(LEN($A2559)=4,VALUE(RIGHT($A2559,2))&lt;60),GUS_tabl_2!$A$8:$B$464,GUS_tabl_21!$A$5:$B$4886),2,FALSE))),-1)))))</f>
        <v>gm. w. Czarnków</v>
      </c>
      <c r="D2559" s="141">
        <f>IF(OR($A2559="",ISERROR(VALUE(LEFT($A2559,6)))),"",IF(LEN($A2559)=2,SUMIF($A2560:$A$2965,$A2559&amp;"??",$D2560:$D$2965),IF(AND(LEN($A2559)=4,VALUE(RIGHT($A2559,2))&lt;=60),SUMIF($A2560:$A$2965,$A2559&amp;"????",$D2560:$D$2965),VLOOKUP(IF(LEN($A2559)=4,$A2559&amp;"01 1",$A2559),GUS_tabl_21!$A$5:$F$4886,6,FALSE))))</f>
        <v>11419</v>
      </c>
      <c r="E2559" s="29"/>
    </row>
    <row r="2560" spans="1:5" ht="12" customHeight="1">
      <c r="A2560" s="155" t="str">
        <f>"300203 2"</f>
        <v>300203 2</v>
      </c>
      <c r="B2560" s="153" t="s">
        <v>34</v>
      </c>
      <c r="C2560" s="156" t="str">
        <f>IF(OR($A2560="",ISERROR(VALUE(LEFT($A2560,6)))),"",IF(LEN($A2560)=2,"WOJ. ",IF(LEN($A2560)=4,IF(VALUE(RIGHT($A2560,2))&gt;60,"","Powiat "),IF(VALUE(RIGHT($A2560,1))=1,"m. ",IF(VALUE(RIGHT($A2560,1))=2,"gm. w. ",IF(VALUE(RIGHT($A2560,1))=8,"dz. ","gm. m.-w. ")))))&amp;IF(LEN($A2560)=2,TRIM(UPPER(VLOOKUP($A2560,GUS_tabl_1!$A$7:$B$22,2,FALSE))),IF(ISERROR(FIND("..",TRIM(VLOOKUP(IF(AND(LEN($A2560)=4,VALUE(RIGHT($A2560,2))&gt;60),$A2560&amp;"01 1",$A2560),IF(AND(LEN($A2560)=4,VALUE(RIGHT($A2560,2))&lt;60),GUS_tabl_2!$A$8:$B$464,GUS_tabl_21!$A$5:$B$4886),2,FALSE)))),TRIM(VLOOKUP(IF(AND(LEN($A2560)=4,VALUE(RIGHT($A2560,2))&gt;60),$A2560&amp;"01 1",$A2560),IF(AND(LEN($A2560)=4,VALUE(RIGHT($A2560,2))&lt;60),GUS_tabl_2!$A$8:$B$464,GUS_tabl_21!$A$5:$B$4886),2,FALSE)),LEFT(TRIM(VLOOKUP(IF(AND(LEN($A2560)=4,VALUE(RIGHT($A2560,2))&gt;60),$A2560&amp;"01 1",$A2560),IF(AND(LEN($A2560)=4,VALUE(RIGHT($A2560,2))&lt;60),GUS_tabl_2!$A$8:$B$464,GUS_tabl_21!$A$5:$B$4886),2,FALSE)),SUM(FIND("..",TRIM(VLOOKUP(IF(AND(LEN($A2560)=4,VALUE(RIGHT($A2560,2))&gt;60),$A2560&amp;"01 1",$A2560),IF(AND(LEN($A2560)=4,VALUE(RIGHT($A2560,2))&lt;60),GUS_tabl_2!$A$8:$B$464,GUS_tabl_21!$A$5:$B$4886),2,FALSE))),-1)))))</f>
        <v>gm. w. Drawsko</v>
      </c>
      <c r="D2560" s="141">
        <f>IF(OR($A2560="",ISERROR(VALUE(LEFT($A2560,6)))),"",IF(LEN($A2560)=2,SUMIF($A2561:$A$2965,$A2560&amp;"??",$D2561:$D$2965),IF(AND(LEN($A2560)=4,VALUE(RIGHT($A2560,2))&lt;=60),SUMIF($A2561:$A$2965,$A2560&amp;"????",$D2561:$D$2965),VLOOKUP(IF(LEN($A2560)=4,$A2560&amp;"01 1",$A2560),GUS_tabl_21!$A$5:$F$4886,6,FALSE))))</f>
        <v>5775</v>
      </c>
      <c r="E2560" s="29"/>
    </row>
    <row r="2561" spans="1:5" ht="12" customHeight="1">
      <c r="A2561" s="155" t="str">
        <f>"300204 3"</f>
        <v>300204 3</v>
      </c>
      <c r="B2561" s="153" t="s">
        <v>34</v>
      </c>
      <c r="C2561" s="156" t="str">
        <f>IF(OR($A2561="",ISERROR(VALUE(LEFT($A2561,6)))),"",IF(LEN($A2561)=2,"WOJ. ",IF(LEN($A2561)=4,IF(VALUE(RIGHT($A2561,2))&gt;60,"","Powiat "),IF(VALUE(RIGHT($A2561,1))=1,"m. ",IF(VALUE(RIGHT($A2561,1))=2,"gm. w. ",IF(VALUE(RIGHT($A2561,1))=8,"dz. ","gm. m.-w. ")))))&amp;IF(LEN($A2561)=2,TRIM(UPPER(VLOOKUP($A2561,GUS_tabl_1!$A$7:$B$22,2,FALSE))),IF(ISERROR(FIND("..",TRIM(VLOOKUP(IF(AND(LEN($A2561)=4,VALUE(RIGHT($A2561,2))&gt;60),$A2561&amp;"01 1",$A2561),IF(AND(LEN($A2561)=4,VALUE(RIGHT($A2561,2))&lt;60),GUS_tabl_2!$A$8:$B$464,GUS_tabl_21!$A$5:$B$4886),2,FALSE)))),TRIM(VLOOKUP(IF(AND(LEN($A2561)=4,VALUE(RIGHT($A2561,2))&gt;60),$A2561&amp;"01 1",$A2561),IF(AND(LEN($A2561)=4,VALUE(RIGHT($A2561,2))&lt;60),GUS_tabl_2!$A$8:$B$464,GUS_tabl_21!$A$5:$B$4886),2,FALSE)),LEFT(TRIM(VLOOKUP(IF(AND(LEN($A2561)=4,VALUE(RIGHT($A2561,2))&gt;60),$A2561&amp;"01 1",$A2561),IF(AND(LEN($A2561)=4,VALUE(RIGHT($A2561,2))&lt;60),GUS_tabl_2!$A$8:$B$464,GUS_tabl_21!$A$5:$B$4886),2,FALSE)),SUM(FIND("..",TRIM(VLOOKUP(IF(AND(LEN($A2561)=4,VALUE(RIGHT($A2561,2))&gt;60),$A2561&amp;"01 1",$A2561),IF(AND(LEN($A2561)=4,VALUE(RIGHT($A2561,2))&lt;60),GUS_tabl_2!$A$8:$B$464,GUS_tabl_21!$A$5:$B$4886),2,FALSE))),-1)))))</f>
        <v>gm. m.-w. Krzyż Wielkopolski</v>
      </c>
      <c r="D2561" s="141">
        <f>IF(OR($A2561="",ISERROR(VALUE(LEFT($A2561,6)))),"",IF(LEN($A2561)=2,SUMIF($A2562:$A$2965,$A2561&amp;"??",$D2562:$D$2965),IF(AND(LEN($A2561)=4,VALUE(RIGHT($A2561,2))&lt;=60),SUMIF($A2562:$A$2965,$A2561&amp;"????",$D2562:$D$2965),VLOOKUP(IF(LEN($A2561)=4,$A2561&amp;"01 1",$A2561),GUS_tabl_21!$A$5:$F$4886,6,FALSE))))</f>
        <v>8693</v>
      </c>
      <c r="E2561" s="29"/>
    </row>
    <row r="2562" spans="1:5" ht="12" customHeight="1">
      <c r="A2562" s="155" t="str">
        <f>"300205 2"</f>
        <v>300205 2</v>
      </c>
      <c r="B2562" s="153" t="s">
        <v>34</v>
      </c>
      <c r="C2562" s="156" t="str">
        <f>IF(OR($A2562="",ISERROR(VALUE(LEFT($A2562,6)))),"",IF(LEN($A2562)=2,"WOJ. ",IF(LEN($A2562)=4,IF(VALUE(RIGHT($A2562,2))&gt;60,"","Powiat "),IF(VALUE(RIGHT($A2562,1))=1,"m. ",IF(VALUE(RIGHT($A2562,1))=2,"gm. w. ",IF(VALUE(RIGHT($A2562,1))=8,"dz. ","gm. m.-w. ")))))&amp;IF(LEN($A2562)=2,TRIM(UPPER(VLOOKUP($A2562,GUS_tabl_1!$A$7:$B$22,2,FALSE))),IF(ISERROR(FIND("..",TRIM(VLOOKUP(IF(AND(LEN($A2562)=4,VALUE(RIGHT($A2562,2))&gt;60),$A2562&amp;"01 1",$A2562),IF(AND(LEN($A2562)=4,VALUE(RIGHT($A2562,2))&lt;60),GUS_tabl_2!$A$8:$B$464,GUS_tabl_21!$A$5:$B$4886),2,FALSE)))),TRIM(VLOOKUP(IF(AND(LEN($A2562)=4,VALUE(RIGHT($A2562,2))&gt;60),$A2562&amp;"01 1",$A2562),IF(AND(LEN($A2562)=4,VALUE(RIGHT($A2562,2))&lt;60),GUS_tabl_2!$A$8:$B$464,GUS_tabl_21!$A$5:$B$4886),2,FALSE)),LEFT(TRIM(VLOOKUP(IF(AND(LEN($A2562)=4,VALUE(RIGHT($A2562,2))&gt;60),$A2562&amp;"01 1",$A2562),IF(AND(LEN($A2562)=4,VALUE(RIGHT($A2562,2))&lt;60),GUS_tabl_2!$A$8:$B$464,GUS_tabl_21!$A$5:$B$4886),2,FALSE)),SUM(FIND("..",TRIM(VLOOKUP(IF(AND(LEN($A2562)=4,VALUE(RIGHT($A2562,2))&gt;60),$A2562&amp;"01 1",$A2562),IF(AND(LEN($A2562)=4,VALUE(RIGHT($A2562,2))&lt;60),GUS_tabl_2!$A$8:$B$464,GUS_tabl_21!$A$5:$B$4886),2,FALSE))),-1)))))</f>
        <v>gm. w. Lubasz</v>
      </c>
      <c r="D2562" s="141">
        <f>IF(OR($A2562="",ISERROR(VALUE(LEFT($A2562,6)))),"",IF(LEN($A2562)=2,SUMIF($A2563:$A$2965,$A2562&amp;"??",$D2563:$D$2965),IF(AND(LEN($A2562)=4,VALUE(RIGHT($A2562,2))&lt;=60),SUMIF($A2563:$A$2965,$A2562&amp;"????",$D2563:$D$2965),VLOOKUP(IF(LEN($A2562)=4,$A2562&amp;"01 1",$A2562),GUS_tabl_21!$A$5:$F$4886,6,FALSE))))</f>
        <v>7701</v>
      </c>
      <c r="E2562" s="29"/>
    </row>
    <row r="2563" spans="1:5" ht="12" customHeight="1">
      <c r="A2563" s="155" t="str">
        <f>"300206 2"</f>
        <v>300206 2</v>
      </c>
      <c r="B2563" s="153" t="s">
        <v>34</v>
      </c>
      <c r="C2563" s="156" t="str">
        <f>IF(OR($A2563="",ISERROR(VALUE(LEFT($A2563,6)))),"",IF(LEN($A2563)=2,"WOJ. ",IF(LEN($A2563)=4,IF(VALUE(RIGHT($A2563,2))&gt;60,"","Powiat "),IF(VALUE(RIGHT($A2563,1))=1,"m. ",IF(VALUE(RIGHT($A2563,1))=2,"gm. w. ",IF(VALUE(RIGHT($A2563,1))=8,"dz. ","gm. m.-w. ")))))&amp;IF(LEN($A2563)=2,TRIM(UPPER(VLOOKUP($A2563,GUS_tabl_1!$A$7:$B$22,2,FALSE))),IF(ISERROR(FIND("..",TRIM(VLOOKUP(IF(AND(LEN($A2563)=4,VALUE(RIGHT($A2563,2))&gt;60),$A2563&amp;"01 1",$A2563),IF(AND(LEN($A2563)=4,VALUE(RIGHT($A2563,2))&lt;60),GUS_tabl_2!$A$8:$B$464,GUS_tabl_21!$A$5:$B$4886),2,FALSE)))),TRIM(VLOOKUP(IF(AND(LEN($A2563)=4,VALUE(RIGHT($A2563,2))&gt;60),$A2563&amp;"01 1",$A2563),IF(AND(LEN($A2563)=4,VALUE(RIGHT($A2563,2))&lt;60),GUS_tabl_2!$A$8:$B$464,GUS_tabl_21!$A$5:$B$4886),2,FALSE)),LEFT(TRIM(VLOOKUP(IF(AND(LEN($A2563)=4,VALUE(RIGHT($A2563,2))&gt;60),$A2563&amp;"01 1",$A2563),IF(AND(LEN($A2563)=4,VALUE(RIGHT($A2563,2))&lt;60),GUS_tabl_2!$A$8:$B$464,GUS_tabl_21!$A$5:$B$4886),2,FALSE)),SUM(FIND("..",TRIM(VLOOKUP(IF(AND(LEN($A2563)=4,VALUE(RIGHT($A2563,2))&gt;60),$A2563&amp;"01 1",$A2563),IF(AND(LEN($A2563)=4,VALUE(RIGHT($A2563,2))&lt;60),GUS_tabl_2!$A$8:$B$464,GUS_tabl_21!$A$5:$B$4886),2,FALSE))),-1)))))</f>
        <v>gm. w. Połajewo</v>
      </c>
      <c r="D2563" s="141">
        <f>IF(OR($A2563="",ISERROR(VALUE(LEFT($A2563,6)))),"",IF(LEN($A2563)=2,SUMIF($A2564:$A$2965,$A2563&amp;"??",$D2564:$D$2965),IF(AND(LEN($A2563)=4,VALUE(RIGHT($A2563,2))&lt;=60),SUMIF($A2564:$A$2965,$A2563&amp;"????",$D2564:$D$2965),VLOOKUP(IF(LEN($A2563)=4,$A2563&amp;"01 1",$A2563),GUS_tabl_21!$A$5:$F$4886,6,FALSE))))</f>
        <v>6173</v>
      </c>
      <c r="E2563" s="29"/>
    </row>
    <row r="2564" spans="1:5" ht="12" customHeight="1">
      <c r="A2564" s="155" t="str">
        <f>"300207 3"</f>
        <v>300207 3</v>
      </c>
      <c r="B2564" s="153" t="s">
        <v>34</v>
      </c>
      <c r="C2564" s="156" t="str">
        <f>IF(OR($A2564="",ISERROR(VALUE(LEFT($A2564,6)))),"",IF(LEN($A2564)=2,"WOJ. ",IF(LEN($A2564)=4,IF(VALUE(RIGHT($A2564,2))&gt;60,"","Powiat "),IF(VALUE(RIGHT($A2564,1))=1,"m. ",IF(VALUE(RIGHT($A2564,1))=2,"gm. w. ",IF(VALUE(RIGHT($A2564,1))=8,"dz. ","gm. m.-w. ")))))&amp;IF(LEN($A2564)=2,TRIM(UPPER(VLOOKUP($A2564,GUS_tabl_1!$A$7:$B$22,2,FALSE))),IF(ISERROR(FIND("..",TRIM(VLOOKUP(IF(AND(LEN($A2564)=4,VALUE(RIGHT($A2564,2))&gt;60),$A2564&amp;"01 1",$A2564),IF(AND(LEN($A2564)=4,VALUE(RIGHT($A2564,2))&lt;60),GUS_tabl_2!$A$8:$B$464,GUS_tabl_21!$A$5:$B$4886),2,FALSE)))),TRIM(VLOOKUP(IF(AND(LEN($A2564)=4,VALUE(RIGHT($A2564,2))&gt;60),$A2564&amp;"01 1",$A2564),IF(AND(LEN($A2564)=4,VALUE(RIGHT($A2564,2))&lt;60),GUS_tabl_2!$A$8:$B$464,GUS_tabl_21!$A$5:$B$4886),2,FALSE)),LEFT(TRIM(VLOOKUP(IF(AND(LEN($A2564)=4,VALUE(RIGHT($A2564,2))&gt;60),$A2564&amp;"01 1",$A2564),IF(AND(LEN($A2564)=4,VALUE(RIGHT($A2564,2))&lt;60),GUS_tabl_2!$A$8:$B$464,GUS_tabl_21!$A$5:$B$4886),2,FALSE)),SUM(FIND("..",TRIM(VLOOKUP(IF(AND(LEN($A2564)=4,VALUE(RIGHT($A2564,2))&gt;60),$A2564&amp;"01 1",$A2564),IF(AND(LEN($A2564)=4,VALUE(RIGHT($A2564,2))&lt;60),GUS_tabl_2!$A$8:$B$464,GUS_tabl_21!$A$5:$B$4886),2,FALSE))),-1)))))</f>
        <v>gm. m.-w. Trzcianka</v>
      </c>
      <c r="D2564" s="141">
        <f>IF(OR($A2564="",ISERROR(VALUE(LEFT($A2564,6)))),"",IF(LEN($A2564)=2,SUMIF($A2565:$A$2965,$A2564&amp;"??",$D2565:$D$2965),IF(AND(LEN($A2564)=4,VALUE(RIGHT($A2564,2))&lt;=60),SUMIF($A2565:$A$2965,$A2564&amp;"????",$D2565:$D$2965),VLOOKUP(IF(LEN($A2564)=4,$A2564&amp;"01 1",$A2564),GUS_tabl_21!$A$5:$F$4886,6,FALSE))))</f>
        <v>24318</v>
      </c>
      <c r="E2564" s="29"/>
    </row>
    <row r="2565" spans="1:5" ht="12" customHeight="1">
      <c r="A2565" s="155" t="str">
        <f>"300208 3"</f>
        <v>300208 3</v>
      </c>
      <c r="B2565" s="153" t="s">
        <v>34</v>
      </c>
      <c r="C2565" s="156" t="str">
        <f>IF(OR($A2565="",ISERROR(VALUE(LEFT($A2565,6)))),"",IF(LEN($A2565)=2,"WOJ. ",IF(LEN($A2565)=4,IF(VALUE(RIGHT($A2565,2))&gt;60,"","Powiat "),IF(VALUE(RIGHT($A2565,1))=1,"m. ",IF(VALUE(RIGHT($A2565,1))=2,"gm. w. ",IF(VALUE(RIGHT($A2565,1))=8,"dz. ","gm. m.-w. ")))))&amp;IF(LEN($A2565)=2,TRIM(UPPER(VLOOKUP($A2565,GUS_tabl_1!$A$7:$B$22,2,FALSE))),IF(ISERROR(FIND("..",TRIM(VLOOKUP(IF(AND(LEN($A2565)=4,VALUE(RIGHT($A2565,2))&gt;60),$A2565&amp;"01 1",$A2565),IF(AND(LEN($A2565)=4,VALUE(RIGHT($A2565,2))&lt;60),GUS_tabl_2!$A$8:$B$464,GUS_tabl_21!$A$5:$B$4886),2,FALSE)))),TRIM(VLOOKUP(IF(AND(LEN($A2565)=4,VALUE(RIGHT($A2565,2))&gt;60),$A2565&amp;"01 1",$A2565),IF(AND(LEN($A2565)=4,VALUE(RIGHT($A2565,2))&lt;60),GUS_tabl_2!$A$8:$B$464,GUS_tabl_21!$A$5:$B$4886),2,FALSE)),LEFT(TRIM(VLOOKUP(IF(AND(LEN($A2565)=4,VALUE(RIGHT($A2565,2))&gt;60),$A2565&amp;"01 1",$A2565),IF(AND(LEN($A2565)=4,VALUE(RIGHT($A2565,2))&lt;60),GUS_tabl_2!$A$8:$B$464,GUS_tabl_21!$A$5:$B$4886),2,FALSE)),SUM(FIND("..",TRIM(VLOOKUP(IF(AND(LEN($A2565)=4,VALUE(RIGHT($A2565,2))&gt;60),$A2565&amp;"01 1",$A2565),IF(AND(LEN($A2565)=4,VALUE(RIGHT($A2565,2))&lt;60),GUS_tabl_2!$A$8:$B$464,GUS_tabl_21!$A$5:$B$4886),2,FALSE))),-1)))))</f>
        <v>gm. m.-w. Wieleń</v>
      </c>
      <c r="D2565" s="141">
        <f>IF(OR($A2565="",ISERROR(VALUE(LEFT($A2565,6)))),"",IF(LEN($A2565)=2,SUMIF($A2566:$A$2965,$A2565&amp;"??",$D2566:$D$2965),IF(AND(LEN($A2565)=4,VALUE(RIGHT($A2565,2))&lt;=60),SUMIF($A2566:$A$2965,$A2565&amp;"????",$D2566:$D$2965),VLOOKUP(IF(LEN($A2565)=4,$A2565&amp;"01 1",$A2565),GUS_tabl_21!$A$5:$F$4886,6,FALSE))))</f>
        <v>12304</v>
      </c>
      <c r="E2565" s="29"/>
    </row>
    <row r="2566" spans="1:5" ht="12" customHeight="1">
      <c r="A2566" s="152" t="str">
        <f>"3003"</f>
        <v>3003</v>
      </c>
      <c r="B2566" s="153" t="s">
        <v>34</v>
      </c>
      <c r="C2566" s="154" t="str">
        <f>IF(OR($A2566="",ISERROR(VALUE(LEFT($A2566,6)))),"",IF(LEN($A2566)=2,"WOJ. ",IF(LEN($A2566)=4,IF(VALUE(RIGHT($A2566,2))&gt;60,"","Powiat "),IF(VALUE(RIGHT($A2566,1))=1,"m. ",IF(VALUE(RIGHT($A2566,1))=2,"gm. w. ",IF(VALUE(RIGHT($A2566,1))=8,"dz. ","gm. m.-w. ")))))&amp;IF(LEN($A2566)=2,TRIM(UPPER(VLOOKUP($A2566,GUS_tabl_1!$A$7:$B$22,2,FALSE))),IF(ISERROR(FIND("..",TRIM(VLOOKUP(IF(AND(LEN($A2566)=4,VALUE(RIGHT($A2566,2))&gt;60),$A2566&amp;"01 1",$A2566),IF(AND(LEN($A2566)=4,VALUE(RIGHT($A2566,2))&lt;60),GUS_tabl_2!$A$8:$B$464,GUS_tabl_21!$A$5:$B$4886),2,FALSE)))),TRIM(VLOOKUP(IF(AND(LEN($A2566)=4,VALUE(RIGHT($A2566,2))&gt;60),$A2566&amp;"01 1",$A2566),IF(AND(LEN($A2566)=4,VALUE(RIGHT($A2566,2))&lt;60),GUS_tabl_2!$A$8:$B$464,GUS_tabl_21!$A$5:$B$4886),2,FALSE)),LEFT(TRIM(VLOOKUP(IF(AND(LEN($A2566)=4,VALUE(RIGHT($A2566,2))&gt;60),$A2566&amp;"01 1",$A2566),IF(AND(LEN($A2566)=4,VALUE(RIGHT($A2566,2))&lt;60),GUS_tabl_2!$A$8:$B$464,GUS_tabl_21!$A$5:$B$4886),2,FALSE)),SUM(FIND("..",TRIM(VLOOKUP(IF(AND(LEN($A2566)=4,VALUE(RIGHT($A2566,2))&gt;60),$A2566&amp;"01 1",$A2566),IF(AND(LEN($A2566)=4,VALUE(RIGHT($A2566,2))&lt;60),GUS_tabl_2!$A$8:$B$464,GUS_tabl_21!$A$5:$B$4886),2,FALSE))),-1)))))</f>
        <v>Powiat gnieźnieński</v>
      </c>
      <c r="D2566" s="140">
        <f>IF(OR($A2566="",ISERROR(VALUE(LEFT($A2566,6)))),"",IF(LEN($A2566)=2,SUMIF($A2567:$A$2965,$A2566&amp;"??",$D2567:$D$2965),IF(AND(LEN($A2566)=4,VALUE(RIGHT($A2566,2))&lt;=60),SUMIF($A2567:$A$2965,$A2566&amp;"????",$D2567:$D$2965),VLOOKUP(IF(LEN($A2566)=4,$A2566&amp;"01 1",$A2566),GUS_tabl_21!$A$5:$F$4886,6,FALSE))))</f>
        <v>145418</v>
      </c>
      <c r="E2566" s="29"/>
    </row>
    <row r="2567" spans="1:5" ht="12" customHeight="1">
      <c r="A2567" s="155" t="str">
        <f>"300301 1"</f>
        <v>300301 1</v>
      </c>
      <c r="B2567" s="153" t="s">
        <v>34</v>
      </c>
      <c r="C2567" s="156" t="str">
        <f>IF(OR($A2567="",ISERROR(VALUE(LEFT($A2567,6)))),"",IF(LEN($A2567)=2,"WOJ. ",IF(LEN($A2567)=4,IF(VALUE(RIGHT($A2567,2))&gt;60,"","Powiat "),IF(VALUE(RIGHT($A2567,1))=1,"m. ",IF(VALUE(RIGHT($A2567,1))=2,"gm. w. ",IF(VALUE(RIGHT($A2567,1))=8,"dz. ","gm. m.-w. ")))))&amp;IF(LEN($A2567)=2,TRIM(UPPER(VLOOKUP($A2567,GUS_tabl_1!$A$7:$B$22,2,FALSE))),IF(ISERROR(FIND("..",TRIM(VLOOKUP(IF(AND(LEN($A2567)=4,VALUE(RIGHT($A2567,2))&gt;60),$A2567&amp;"01 1",$A2567),IF(AND(LEN($A2567)=4,VALUE(RIGHT($A2567,2))&lt;60),GUS_tabl_2!$A$8:$B$464,GUS_tabl_21!$A$5:$B$4886),2,FALSE)))),TRIM(VLOOKUP(IF(AND(LEN($A2567)=4,VALUE(RIGHT($A2567,2))&gt;60),$A2567&amp;"01 1",$A2567),IF(AND(LEN($A2567)=4,VALUE(RIGHT($A2567,2))&lt;60),GUS_tabl_2!$A$8:$B$464,GUS_tabl_21!$A$5:$B$4886),2,FALSE)),LEFT(TRIM(VLOOKUP(IF(AND(LEN($A2567)=4,VALUE(RIGHT($A2567,2))&gt;60),$A2567&amp;"01 1",$A2567),IF(AND(LEN($A2567)=4,VALUE(RIGHT($A2567,2))&lt;60),GUS_tabl_2!$A$8:$B$464,GUS_tabl_21!$A$5:$B$4886),2,FALSE)),SUM(FIND("..",TRIM(VLOOKUP(IF(AND(LEN($A2567)=4,VALUE(RIGHT($A2567,2))&gt;60),$A2567&amp;"01 1",$A2567),IF(AND(LEN($A2567)=4,VALUE(RIGHT($A2567,2))&lt;60),GUS_tabl_2!$A$8:$B$464,GUS_tabl_21!$A$5:$B$4886),2,FALSE))),-1)))))</f>
        <v>m. Gniezno</v>
      </c>
      <c r="D2567" s="141">
        <f>IF(OR($A2567="",ISERROR(VALUE(LEFT($A2567,6)))),"",IF(LEN($A2567)=2,SUMIF($A2568:$A$2965,$A2567&amp;"??",$D2568:$D$2965),IF(AND(LEN($A2567)=4,VALUE(RIGHT($A2567,2))&lt;=60),SUMIF($A2568:$A$2965,$A2567&amp;"????",$D2568:$D$2965),VLOOKUP(IF(LEN($A2567)=4,$A2567&amp;"01 1",$A2567),GUS_tabl_21!$A$5:$F$4886,6,FALSE))))</f>
        <v>68217</v>
      </c>
      <c r="E2567" s="29"/>
    </row>
    <row r="2568" spans="1:5" ht="12" customHeight="1">
      <c r="A2568" s="155" t="str">
        <f>"300302 3"</f>
        <v>300302 3</v>
      </c>
      <c r="B2568" s="153" t="s">
        <v>34</v>
      </c>
      <c r="C2568" s="156" t="str">
        <f>IF(OR($A2568="",ISERROR(VALUE(LEFT($A2568,6)))),"",IF(LEN($A2568)=2,"WOJ. ",IF(LEN($A2568)=4,IF(VALUE(RIGHT($A2568,2))&gt;60,"","Powiat "),IF(VALUE(RIGHT($A2568,1))=1,"m. ",IF(VALUE(RIGHT($A2568,1))=2,"gm. w. ",IF(VALUE(RIGHT($A2568,1))=8,"dz. ","gm. m.-w. ")))))&amp;IF(LEN($A2568)=2,TRIM(UPPER(VLOOKUP($A2568,GUS_tabl_1!$A$7:$B$22,2,FALSE))),IF(ISERROR(FIND("..",TRIM(VLOOKUP(IF(AND(LEN($A2568)=4,VALUE(RIGHT($A2568,2))&gt;60),$A2568&amp;"01 1",$A2568),IF(AND(LEN($A2568)=4,VALUE(RIGHT($A2568,2))&lt;60),GUS_tabl_2!$A$8:$B$464,GUS_tabl_21!$A$5:$B$4886),2,FALSE)))),TRIM(VLOOKUP(IF(AND(LEN($A2568)=4,VALUE(RIGHT($A2568,2))&gt;60),$A2568&amp;"01 1",$A2568),IF(AND(LEN($A2568)=4,VALUE(RIGHT($A2568,2))&lt;60),GUS_tabl_2!$A$8:$B$464,GUS_tabl_21!$A$5:$B$4886),2,FALSE)),LEFT(TRIM(VLOOKUP(IF(AND(LEN($A2568)=4,VALUE(RIGHT($A2568,2))&gt;60),$A2568&amp;"01 1",$A2568),IF(AND(LEN($A2568)=4,VALUE(RIGHT($A2568,2))&lt;60),GUS_tabl_2!$A$8:$B$464,GUS_tabl_21!$A$5:$B$4886),2,FALSE)),SUM(FIND("..",TRIM(VLOOKUP(IF(AND(LEN($A2568)=4,VALUE(RIGHT($A2568,2))&gt;60),$A2568&amp;"01 1",$A2568),IF(AND(LEN($A2568)=4,VALUE(RIGHT($A2568,2))&lt;60),GUS_tabl_2!$A$8:$B$464,GUS_tabl_21!$A$5:$B$4886),2,FALSE))),-1)))))</f>
        <v>gm. m.-w. Czerniejewo</v>
      </c>
      <c r="D2568" s="141">
        <f>IF(OR($A2568="",ISERROR(VALUE(LEFT($A2568,6)))),"",IF(LEN($A2568)=2,SUMIF($A2569:$A$2965,$A2568&amp;"??",$D2569:$D$2965),IF(AND(LEN($A2568)=4,VALUE(RIGHT($A2568,2))&lt;=60),SUMIF($A2569:$A$2965,$A2568&amp;"????",$D2569:$D$2965),VLOOKUP(IF(LEN($A2568)=4,$A2568&amp;"01 1",$A2568),GUS_tabl_21!$A$5:$F$4886,6,FALSE))))</f>
        <v>7405</v>
      </c>
      <c r="E2568" s="29"/>
    </row>
    <row r="2569" spans="1:5" ht="12" customHeight="1">
      <c r="A2569" s="155" t="str">
        <f>"300303 2"</f>
        <v>300303 2</v>
      </c>
      <c r="B2569" s="153" t="s">
        <v>34</v>
      </c>
      <c r="C2569" s="156" t="str">
        <f>IF(OR($A2569="",ISERROR(VALUE(LEFT($A2569,6)))),"",IF(LEN($A2569)=2,"WOJ. ",IF(LEN($A2569)=4,IF(VALUE(RIGHT($A2569,2))&gt;60,"","Powiat "),IF(VALUE(RIGHT($A2569,1))=1,"m. ",IF(VALUE(RIGHT($A2569,1))=2,"gm. w. ",IF(VALUE(RIGHT($A2569,1))=8,"dz. ","gm. m.-w. ")))))&amp;IF(LEN($A2569)=2,TRIM(UPPER(VLOOKUP($A2569,GUS_tabl_1!$A$7:$B$22,2,FALSE))),IF(ISERROR(FIND("..",TRIM(VLOOKUP(IF(AND(LEN($A2569)=4,VALUE(RIGHT($A2569,2))&gt;60),$A2569&amp;"01 1",$A2569),IF(AND(LEN($A2569)=4,VALUE(RIGHT($A2569,2))&lt;60),GUS_tabl_2!$A$8:$B$464,GUS_tabl_21!$A$5:$B$4886),2,FALSE)))),TRIM(VLOOKUP(IF(AND(LEN($A2569)=4,VALUE(RIGHT($A2569,2))&gt;60),$A2569&amp;"01 1",$A2569),IF(AND(LEN($A2569)=4,VALUE(RIGHT($A2569,2))&lt;60),GUS_tabl_2!$A$8:$B$464,GUS_tabl_21!$A$5:$B$4886),2,FALSE)),LEFT(TRIM(VLOOKUP(IF(AND(LEN($A2569)=4,VALUE(RIGHT($A2569,2))&gt;60),$A2569&amp;"01 1",$A2569),IF(AND(LEN($A2569)=4,VALUE(RIGHT($A2569,2))&lt;60),GUS_tabl_2!$A$8:$B$464,GUS_tabl_21!$A$5:$B$4886),2,FALSE)),SUM(FIND("..",TRIM(VLOOKUP(IF(AND(LEN($A2569)=4,VALUE(RIGHT($A2569,2))&gt;60),$A2569&amp;"01 1",$A2569),IF(AND(LEN($A2569)=4,VALUE(RIGHT($A2569,2))&lt;60),GUS_tabl_2!$A$8:$B$464,GUS_tabl_21!$A$5:$B$4886),2,FALSE))),-1)))))</f>
        <v>gm. w. Gniezno</v>
      </c>
      <c r="D2569" s="141">
        <f>IF(OR($A2569="",ISERROR(VALUE(LEFT($A2569,6)))),"",IF(LEN($A2569)=2,SUMIF($A2570:$A$2965,$A2569&amp;"??",$D2570:$D$2965),IF(AND(LEN($A2569)=4,VALUE(RIGHT($A2569,2))&lt;=60),SUMIF($A2570:$A$2965,$A2569&amp;"????",$D2570:$D$2965),VLOOKUP(IF(LEN($A2569)=4,$A2569&amp;"01 1",$A2569),GUS_tabl_21!$A$5:$F$4886,6,FALSE))))</f>
        <v>12268</v>
      </c>
      <c r="E2569" s="29"/>
    </row>
    <row r="2570" spans="1:5" ht="12" customHeight="1">
      <c r="A2570" s="155" t="str">
        <f>"300304 2"</f>
        <v>300304 2</v>
      </c>
      <c r="B2570" s="153" t="s">
        <v>34</v>
      </c>
      <c r="C2570" s="156" t="str">
        <f>IF(OR($A2570="",ISERROR(VALUE(LEFT($A2570,6)))),"",IF(LEN($A2570)=2,"WOJ. ",IF(LEN($A2570)=4,IF(VALUE(RIGHT($A2570,2))&gt;60,"","Powiat "),IF(VALUE(RIGHT($A2570,1))=1,"m. ",IF(VALUE(RIGHT($A2570,1))=2,"gm. w. ",IF(VALUE(RIGHT($A2570,1))=8,"dz. ","gm. m.-w. ")))))&amp;IF(LEN($A2570)=2,TRIM(UPPER(VLOOKUP($A2570,GUS_tabl_1!$A$7:$B$22,2,FALSE))),IF(ISERROR(FIND("..",TRIM(VLOOKUP(IF(AND(LEN($A2570)=4,VALUE(RIGHT($A2570,2))&gt;60),$A2570&amp;"01 1",$A2570),IF(AND(LEN($A2570)=4,VALUE(RIGHT($A2570,2))&lt;60),GUS_tabl_2!$A$8:$B$464,GUS_tabl_21!$A$5:$B$4886),2,FALSE)))),TRIM(VLOOKUP(IF(AND(LEN($A2570)=4,VALUE(RIGHT($A2570,2))&gt;60),$A2570&amp;"01 1",$A2570),IF(AND(LEN($A2570)=4,VALUE(RIGHT($A2570,2))&lt;60),GUS_tabl_2!$A$8:$B$464,GUS_tabl_21!$A$5:$B$4886),2,FALSE)),LEFT(TRIM(VLOOKUP(IF(AND(LEN($A2570)=4,VALUE(RIGHT($A2570,2))&gt;60),$A2570&amp;"01 1",$A2570),IF(AND(LEN($A2570)=4,VALUE(RIGHT($A2570,2))&lt;60),GUS_tabl_2!$A$8:$B$464,GUS_tabl_21!$A$5:$B$4886),2,FALSE)),SUM(FIND("..",TRIM(VLOOKUP(IF(AND(LEN($A2570)=4,VALUE(RIGHT($A2570,2))&gt;60),$A2570&amp;"01 1",$A2570),IF(AND(LEN($A2570)=4,VALUE(RIGHT($A2570,2))&lt;60),GUS_tabl_2!$A$8:$B$464,GUS_tabl_21!$A$5:$B$4886),2,FALSE))),-1)))))</f>
        <v>gm. w. Kiszkowo</v>
      </c>
      <c r="D2570" s="141">
        <f>IF(OR($A2570="",ISERROR(VALUE(LEFT($A2570,6)))),"",IF(LEN($A2570)=2,SUMIF($A2571:$A$2965,$A2570&amp;"??",$D2571:$D$2965),IF(AND(LEN($A2570)=4,VALUE(RIGHT($A2570,2))&lt;=60),SUMIF($A2571:$A$2965,$A2570&amp;"????",$D2571:$D$2965),VLOOKUP(IF(LEN($A2570)=4,$A2570&amp;"01 1",$A2570),GUS_tabl_21!$A$5:$F$4886,6,FALSE))))</f>
        <v>5443</v>
      </c>
      <c r="E2570" s="29"/>
    </row>
    <row r="2571" spans="1:5" ht="12" customHeight="1">
      <c r="A2571" s="155" t="str">
        <f>"300305 3"</f>
        <v>300305 3</v>
      </c>
      <c r="B2571" s="153" t="s">
        <v>34</v>
      </c>
      <c r="C2571" s="156" t="str">
        <f>IF(OR($A2571="",ISERROR(VALUE(LEFT($A2571,6)))),"",IF(LEN($A2571)=2,"WOJ. ",IF(LEN($A2571)=4,IF(VALUE(RIGHT($A2571,2))&gt;60,"","Powiat "),IF(VALUE(RIGHT($A2571,1))=1,"m. ",IF(VALUE(RIGHT($A2571,1))=2,"gm. w. ",IF(VALUE(RIGHT($A2571,1))=8,"dz. ","gm. m.-w. ")))))&amp;IF(LEN($A2571)=2,TRIM(UPPER(VLOOKUP($A2571,GUS_tabl_1!$A$7:$B$22,2,FALSE))),IF(ISERROR(FIND("..",TRIM(VLOOKUP(IF(AND(LEN($A2571)=4,VALUE(RIGHT($A2571,2))&gt;60),$A2571&amp;"01 1",$A2571),IF(AND(LEN($A2571)=4,VALUE(RIGHT($A2571,2))&lt;60),GUS_tabl_2!$A$8:$B$464,GUS_tabl_21!$A$5:$B$4886),2,FALSE)))),TRIM(VLOOKUP(IF(AND(LEN($A2571)=4,VALUE(RIGHT($A2571,2))&gt;60),$A2571&amp;"01 1",$A2571),IF(AND(LEN($A2571)=4,VALUE(RIGHT($A2571,2))&lt;60),GUS_tabl_2!$A$8:$B$464,GUS_tabl_21!$A$5:$B$4886),2,FALSE)),LEFT(TRIM(VLOOKUP(IF(AND(LEN($A2571)=4,VALUE(RIGHT($A2571,2))&gt;60),$A2571&amp;"01 1",$A2571),IF(AND(LEN($A2571)=4,VALUE(RIGHT($A2571,2))&lt;60),GUS_tabl_2!$A$8:$B$464,GUS_tabl_21!$A$5:$B$4886),2,FALSE)),SUM(FIND("..",TRIM(VLOOKUP(IF(AND(LEN($A2571)=4,VALUE(RIGHT($A2571,2))&gt;60),$A2571&amp;"01 1",$A2571),IF(AND(LEN($A2571)=4,VALUE(RIGHT($A2571,2))&lt;60),GUS_tabl_2!$A$8:$B$464,GUS_tabl_21!$A$5:$B$4886),2,FALSE))),-1)))))</f>
        <v>gm. m.-w. Kłecko</v>
      </c>
      <c r="D2571" s="141">
        <f>IF(OR($A2571="",ISERROR(VALUE(LEFT($A2571,6)))),"",IF(LEN($A2571)=2,SUMIF($A2572:$A$2965,$A2571&amp;"??",$D2572:$D$2965),IF(AND(LEN($A2571)=4,VALUE(RIGHT($A2571,2))&lt;=60),SUMIF($A2572:$A$2965,$A2571&amp;"????",$D2572:$D$2965),VLOOKUP(IF(LEN($A2571)=4,$A2571&amp;"01 1",$A2571),GUS_tabl_21!$A$5:$F$4886,6,FALSE))))</f>
        <v>7452</v>
      </c>
      <c r="E2571" s="29"/>
    </row>
    <row r="2572" spans="1:5" ht="12" customHeight="1">
      <c r="A2572" s="155" t="str">
        <f>"300306 2"</f>
        <v>300306 2</v>
      </c>
      <c r="B2572" s="153" t="s">
        <v>34</v>
      </c>
      <c r="C2572" s="156" t="str">
        <f>IF(OR($A2572="",ISERROR(VALUE(LEFT($A2572,6)))),"",IF(LEN($A2572)=2,"WOJ. ",IF(LEN($A2572)=4,IF(VALUE(RIGHT($A2572,2))&gt;60,"","Powiat "),IF(VALUE(RIGHT($A2572,1))=1,"m. ",IF(VALUE(RIGHT($A2572,1))=2,"gm. w. ",IF(VALUE(RIGHT($A2572,1))=8,"dz. ","gm. m.-w. ")))))&amp;IF(LEN($A2572)=2,TRIM(UPPER(VLOOKUP($A2572,GUS_tabl_1!$A$7:$B$22,2,FALSE))),IF(ISERROR(FIND("..",TRIM(VLOOKUP(IF(AND(LEN($A2572)=4,VALUE(RIGHT($A2572,2))&gt;60),$A2572&amp;"01 1",$A2572),IF(AND(LEN($A2572)=4,VALUE(RIGHT($A2572,2))&lt;60),GUS_tabl_2!$A$8:$B$464,GUS_tabl_21!$A$5:$B$4886),2,FALSE)))),TRIM(VLOOKUP(IF(AND(LEN($A2572)=4,VALUE(RIGHT($A2572,2))&gt;60),$A2572&amp;"01 1",$A2572),IF(AND(LEN($A2572)=4,VALUE(RIGHT($A2572,2))&lt;60),GUS_tabl_2!$A$8:$B$464,GUS_tabl_21!$A$5:$B$4886),2,FALSE)),LEFT(TRIM(VLOOKUP(IF(AND(LEN($A2572)=4,VALUE(RIGHT($A2572,2))&gt;60),$A2572&amp;"01 1",$A2572),IF(AND(LEN($A2572)=4,VALUE(RIGHT($A2572,2))&lt;60),GUS_tabl_2!$A$8:$B$464,GUS_tabl_21!$A$5:$B$4886),2,FALSE)),SUM(FIND("..",TRIM(VLOOKUP(IF(AND(LEN($A2572)=4,VALUE(RIGHT($A2572,2))&gt;60),$A2572&amp;"01 1",$A2572),IF(AND(LEN($A2572)=4,VALUE(RIGHT($A2572,2))&lt;60),GUS_tabl_2!$A$8:$B$464,GUS_tabl_21!$A$5:$B$4886),2,FALSE))),-1)))))</f>
        <v>gm. w. Łubowo</v>
      </c>
      <c r="D2572" s="141">
        <f>IF(OR($A2572="",ISERROR(VALUE(LEFT($A2572,6)))),"",IF(LEN($A2572)=2,SUMIF($A2573:$A$2965,$A2572&amp;"??",$D2573:$D$2965),IF(AND(LEN($A2572)=4,VALUE(RIGHT($A2572,2))&lt;=60),SUMIF($A2573:$A$2965,$A2572&amp;"????",$D2573:$D$2965),VLOOKUP(IF(LEN($A2572)=4,$A2572&amp;"01 1",$A2572),GUS_tabl_21!$A$5:$F$4886,6,FALSE))))</f>
        <v>6743</v>
      </c>
      <c r="E2572" s="29"/>
    </row>
    <row r="2573" spans="1:5" ht="12" customHeight="1">
      <c r="A2573" s="155" t="str">
        <f>"300307 2"</f>
        <v>300307 2</v>
      </c>
      <c r="B2573" s="153" t="s">
        <v>34</v>
      </c>
      <c r="C2573" s="156" t="str">
        <f>IF(OR($A2573="",ISERROR(VALUE(LEFT($A2573,6)))),"",IF(LEN($A2573)=2,"WOJ. ",IF(LEN($A2573)=4,IF(VALUE(RIGHT($A2573,2))&gt;60,"","Powiat "),IF(VALUE(RIGHT($A2573,1))=1,"m. ",IF(VALUE(RIGHT($A2573,1))=2,"gm. w. ",IF(VALUE(RIGHT($A2573,1))=8,"dz. ","gm. m.-w. ")))))&amp;IF(LEN($A2573)=2,TRIM(UPPER(VLOOKUP($A2573,GUS_tabl_1!$A$7:$B$22,2,FALSE))),IF(ISERROR(FIND("..",TRIM(VLOOKUP(IF(AND(LEN($A2573)=4,VALUE(RIGHT($A2573,2))&gt;60),$A2573&amp;"01 1",$A2573),IF(AND(LEN($A2573)=4,VALUE(RIGHT($A2573,2))&lt;60),GUS_tabl_2!$A$8:$B$464,GUS_tabl_21!$A$5:$B$4886),2,FALSE)))),TRIM(VLOOKUP(IF(AND(LEN($A2573)=4,VALUE(RIGHT($A2573,2))&gt;60),$A2573&amp;"01 1",$A2573),IF(AND(LEN($A2573)=4,VALUE(RIGHT($A2573,2))&lt;60),GUS_tabl_2!$A$8:$B$464,GUS_tabl_21!$A$5:$B$4886),2,FALSE)),LEFT(TRIM(VLOOKUP(IF(AND(LEN($A2573)=4,VALUE(RIGHT($A2573,2))&gt;60),$A2573&amp;"01 1",$A2573),IF(AND(LEN($A2573)=4,VALUE(RIGHT($A2573,2))&lt;60),GUS_tabl_2!$A$8:$B$464,GUS_tabl_21!$A$5:$B$4886),2,FALSE)),SUM(FIND("..",TRIM(VLOOKUP(IF(AND(LEN($A2573)=4,VALUE(RIGHT($A2573,2))&gt;60),$A2573&amp;"01 1",$A2573),IF(AND(LEN($A2573)=4,VALUE(RIGHT($A2573,2))&lt;60),GUS_tabl_2!$A$8:$B$464,GUS_tabl_21!$A$5:$B$4886),2,FALSE))),-1)))))</f>
        <v>gm. w. Mieleszyn</v>
      </c>
      <c r="D2573" s="141">
        <f>IF(OR($A2573="",ISERROR(VALUE(LEFT($A2573,6)))),"",IF(LEN($A2573)=2,SUMIF($A2574:$A$2965,$A2573&amp;"??",$D2574:$D$2965),IF(AND(LEN($A2573)=4,VALUE(RIGHT($A2573,2))&lt;=60),SUMIF($A2574:$A$2965,$A2573&amp;"????",$D2574:$D$2965),VLOOKUP(IF(LEN($A2573)=4,$A2573&amp;"01 1",$A2573),GUS_tabl_21!$A$5:$F$4886,6,FALSE))))</f>
        <v>4038</v>
      </c>
      <c r="E2573" s="29"/>
    </row>
    <row r="2574" spans="1:5" ht="12" customHeight="1">
      <c r="A2574" s="155" t="str">
        <f>"300308 2"</f>
        <v>300308 2</v>
      </c>
      <c r="B2574" s="153" t="s">
        <v>34</v>
      </c>
      <c r="C2574" s="156" t="str">
        <f>IF(OR($A2574="",ISERROR(VALUE(LEFT($A2574,6)))),"",IF(LEN($A2574)=2,"WOJ. ",IF(LEN($A2574)=4,IF(VALUE(RIGHT($A2574,2))&gt;60,"","Powiat "),IF(VALUE(RIGHT($A2574,1))=1,"m. ",IF(VALUE(RIGHT($A2574,1))=2,"gm. w. ",IF(VALUE(RIGHT($A2574,1))=8,"dz. ","gm. m.-w. ")))))&amp;IF(LEN($A2574)=2,TRIM(UPPER(VLOOKUP($A2574,GUS_tabl_1!$A$7:$B$22,2,FALSE))),IF(ISERROR(FIND("..",TRIM(VLOOKUP(IF(AND(LEN($A2574)=4,VALUE(RIGHT($A2574,2))&gt;60),$A2574&amp;"01 1",$A2574),IF(AND(LEN($A2574)=4,VALUE(RIGHT($A2574,2))&lt;60),GUS_tabl_2!$A$8:$B$464,GUS_tabl_21!$A$5:$B$4886),2,FALSE)))),TRIM(VLOOKUP(IF(AND(LEN($A2574)=4,VALUE(RIGHT($A2574,2))&gt;60),$A2574&amp;"01 1",$A2574),IF(AND(LEN($A2574)=4,VALUE(RIGHT($A2574,2))&lt;60),GUS_tabl_2!$A$8:$B$464,GUS_tabl_21!$A$5:$B$4886),2,FALSE)),LEFT(TRIM(VLOOKUP(IF(AND(LEN($A2574)=4,VALUE(RIGHT($A2574,2))&gt;60),$A2574&amp;"01 1",$A2574),IF(AND(LEN($A2574)=4,VALUE(RIGHT($A2574,2))&lt;60),GUS_tabl_2!$A$8:$B$464,GUS_tabl_21!$A$5:$B$4886),2,FALSE)),SUM(FIND("..",TRIM(VLOOKUP(IF(AND(LEN($A2574)=4,VALUE(RIGHT($A2574,2))&gt;60),$A2574&amp;"01 1",$A2574),IF(AND(LEN($A2574)=4,VALUE(RIGHT($A2574,2))&lt;60),GUS_tabl_2!$A$8:$B$464,GUS_tabl_21!$A$5:$B$4886),2,FALSE))),-1)))))</f>
        <v>gm. w. Niechanowo</v>
      </c>
      <c r="D2574" s="141">
        <f>IF(OR($A2574="",ISERROR(VALUE(LEFT($A2574,6)))),"",IF(LEN($A2574)=2,SUMIF($A2575:$A$2965,$A2574&amp;"??",$D2575:$D$2965),IF(AND(LEN($A2574)=4,VALUE(RIGHT($A2574,2))&lt;=60),SUMIF($A2575:$A$2965,$A2574&amp;"????",$D2575:$D$2965),VLOOKUP(IF(LEN($A2574)=4,$A2574&amp;"01 1",$A2574),GUS_tabl_21!$A$5:$F$4886,6,FALSE))))</f>
        <v>5965</v>
      </c>
      <c r="E2574" s="29"/>
    </row>
    <row r="2575" spans="1:5" ht="12" customHeight="1">
      <c r="A2575" s="155" t="str">
        <f>"300309 3"</f>
        <v>300309 3</v>
      </c>
      <c r="B2575" s="153" t="s">
        <v>34</v>
      </c>
      <c r="C2575" s="156" t="str">
        <f>IF(OR($A2575="",ISERROR(VALUE(LEFT($A2575,6)))),"",IF(LEN($A2575)=2,"WOJ. ",IF(LEN($A2575)=4,IF(VALUE(RIGHT($A2575,2))&gt;60,"","Powiat "),IF(VALUE(RIGHT($A2575,1))=1,"m. ",IF(VALUE(RIGHT($A2575,1))=2,"gm. w. ",IF(VALUE(RIGHT($A2575,1))=8,"dz. ","gm. m.-w. ")))))&amp;IF(LEN($A2575)=2,TRIM(UPPER(VLOOKUP($A2575,GUS_tabl_1!$A$7:$B$22,2,FALSE))),IF(ISERROR(FIND("..",TRIM(VLOOKUP(IF(AND(LEN($A2575)=4,VALUE(RIGHT($A2575,2))&gt;60),$A2575&amp;"01 1",$A2575),IF(AND(LEN($A2575)=4,VALUE(RIGHT($A2575,2))&lt;60),GUS_tabl_2!$A$8:$B$464,GUS_tabl_21!$A$5:$B$4886),2,FALSE)))),TRIM(VLOOKUP(IF(AND(LEN($A2575)=4,VALUE(RIGHT($A2575,2))&gt;60),$A2575&amp;"01 1",$A2575),IF(AND(LEN($A2575)=4,VALUE(RIGHT($A2575,2))&lt;60),GUS_tabl_2!$A$8:$B$464,GUS_tabl_21!$A$5:$B$4886),2,FALSE)),LEFT(TRIM(VLOOKUP(IF(AND(LEN($A2575)=4,VALUE(RIGHT($A2575,2))&gt;60),$A2575&amp;"01 1",$A2575),IF(AND(LEN($A2575)=4,VALUE(RIGHT($A2575,2))&lt;60),GUS_tabl_2!$A$8:$B$464,GUS_tabl_21!$A$5:$B$4886),2,FALSE)),SUM(FIND("..",TRIM(VLOOKUP(IF(AND(LEN($A2575)=4,VALUE(RIGHT($A2575,2))&gt;60),$A2575&amp;"01 1",$A2575),IF(AND(LEN($A2575)=4,VALUE(RIGHT($A2575,2))&lt;60),GUS_tabl_2!$A$8:$B$464,GUS_tabl_21!$A$5:$B$4886),2,FALSE))),-1)))))</f>
        <v>gm. m.-w. Trzemeszno</v>
      </c>
      <c r="D2575" s="141">
        <f>IF(OR($A2575="",ISERROR(VALUE(LEFT($A2575,6)))),"",IF(LEN($A2575)=2,SUMIF($A2576:$A$2965,$A2575&amp;"??",$D2576:$D$2965),IF(AND(LEN($A2575)=4,VALUE(RIGHT($A2575,2))&lt;=60),SUMIF($A2576:$A$2965,$A2575&amp;"????",$D2576:$D$2965),VLOOKUP(IF(LEN($A2575)=4,$A2575&amp;"01 1",$A2575),GUS_tabl_21!$A$5:$F$4886,6,FALSE))))</f>
        <v>14294</v>
      </c>
      <c r="E2575" s="29"/>
    </row>
    <row r="2576" spans="1:5" ht="12" customHeight="1">
      <c r="A2576" s="155" t="str">
        <f>"300310 3"</f>
        <v>300310 3</v>
      </c>
      <c r="B2576" s="153" t="s">
        <v>34</v>
      </c>
      <c r="C2576" s="156" t="str">
        <f>IF(OR($A2576="",ISERROR(VALUE(LEFT($A2576,6)))),"",IF(LEN($A2576)=2,"WOJ. ",IF(LEN($A2576)=4,IF(VALUE(RIGHT($A2576,2))&gt;60,"","Powiat "),IF(VALUE(RIGHT($A2576,1))=1,"m. ",IF(VALUE(RIGHT($A2576,1))=2,"gm. w. ",IF(VALUE(RIGHT($A2576,1))=8,"dz. ","gm. m.-w. ")))))&amp;IF(LEN($A2576)=2,TRIM(UPPER(VLOOKUP($A2576,GUS_tabl_1!$A$7:$B$22,2,FALSE))),IF(ISERROR(FIND("..",TRIM(VLOOKUP(IF(AND(LEN($A2576)=4,VALUE(RIGHT($A2576,2))&gt;60),$A2576&amp;"01 1",$A2576),IF(AND(LEN($A2576)=4,VALUE(RIGHT($A2576,2))&lt;60),GUS_tabl_2!$A$8:$B$464,GUS_tabl_21!$A$5:$B$4886),2,FALSE)))),TRIM(VLOOKUP(IF(AND(LEN($A2576)=4,VALUE(RIGHT($A2576,2))&gt;60),$A2576&amp;"01 1",$A2576),IF(AND(LEN($A2576)=4,VALUE(RIGHT($A2576,2))&lt;60),GUS_tabl_2!$A$8:$B$464,GUS_tabl_21!$A$5:$B$4886),2,FALSE)),LEFT(TRIM(VLOOKUP(IF(AND(LEN($A2576)=4,VALUE(RIGHT($A2576,2))&gt;60),$A2576&amp;"01 1",$A2576),IF(AND(LEN($A2576)=4,VALUE(RIGHT($A2576,2))&lt;60),GUS_tabl_2!$A$8:$B$464,GUS_tabl_21!$A$5:$B$4886),2,FALSE)),SUM(FIND("..",TRIM(VLOOKUP(IF(AND(LEN($A2576)=4,VALUE(RIGHT($A2576,2))&gt;60),$A2576&amp;"01 1",$A2576),IF(AND(LEN($A2576)=4,VALUE(RIGHT($A2576,2))&lt;60),GUS_tabl_2!$A$8:$B$464,GUS_tabl_21!$A$5:$B$4886),2,FALSE))),-1)))))</f>
        <v>gm. m.-w. Witkowo</v>
      </c>
      <c r="D2576" s="141">
        <f>IF(OR($A2576="",ISERROR(VALUE(LEFT($A2576,6)))),"",IF(LEN($A2576)=2,SUMIF($A2577:$A$2965,$A2576&amp;"??",$D2577:$D$2965),IF(AND(LEN($A2576)=4,VALUE(RIGHT($A2576,2))&lt;=60),SUMIF($A2577:$A$2965,$A2576&amp;"????",$D2577:$D$2965),VLOOKUP(IF(LEN($A2576)=4,$A2576&amp;"01 1",$A2576),GUS_tabl_21!$A$5:$F$4886,6,FALSE))))</f>
        <v>13593</v>
      </c>
      <c r="E2576" s="29"/>
    </row>
    <row r="2577" spans="1:5" ht="12" customHeight="1">
      <c r="A2577" s="152" t="str">
        <f>"3004"</f>
        <v>3004</v>
      </c>
      <c r="B2577" s="153" t="s">
        <v>34</v>
      </c>
      <c r="C2577" s="154" t="str">
        <f>IF(OR($A2577="",ISERROR(VALUE(LEFT($A2577,6)))),"",IF(LEN($A2577)=2,"WOJ. ",IF(LEN($A2577)=4,IF(VALUE(RIGHT($A2577,2))&gt;60,"","Powiat "),IF(VALUE(RIGHT($A2577,1))=1,"m. ",IF(VALUE(RIGHT($A2577,1))=2,"gm. w. ",IF(VALUE(RIGHT($A2577,1))=8,"dz. ","gm. m.-w. ")))))&amp;IF(LEN($A2577)=2,TRIM(UPPER(VLOOKUP($A2577,GUS_tabl_1!$A$7:$B$22,2,FALSE))),IF(ISERROR(FIND("..",TRIM(VLOOKUP(IF(AND(LEN($A2577)=4,VALUE(RIGHT($A2577,2))&gt;60),$A2577&amp;"01 1",$A2577),IF(AND(LEN($A2577)=4,VALUE(RIGHT($A2577,2))&lt;60),GUS_tabl_2!$A$8:$B$464,GUS_tabl_21!$A$5:$B$4886),2,FALSE)))),TRIM(VLOOKUP(IF(AND(LEN($A2577)=4,VALUE(RIGHT($A2577,2))&gt;60),$A2577&amp;"01 1",$A2577),IF(AND(LEN($A2577)=4,VALUE(RIGHT($A2577,2))&lt;60),GUS_tabl_2!$A$8:$B$464,GUS_tabl_21!$A$5:$B$4886),2,FALSE)),LEFT(TRIM(VLOOKUP(IF(AND(LEN($A2577)=4,VALUE(RIGHT($A2577,2))&gt;60),$A2577&amp;"01 1",$A2577),IF(AND(LEN($A2577)=4,VALUE(RIGHT($A2577,2))&lt;60),GUS_tabl_2!$A$8:$B$464,GUS_tabl_21!$A$5:$B$4886),2,FALSE)),SUM(FIND("..",TRIM(VLOOKUP(IF(AND(LEN($A2577)=4,VALUE(RIGHT($A2577,2))&gt;60),$A2577&amp;"01 1",$A2577),IF(AND(LEN($A2577)=4,VALUE(RIGHT($A2577,2))&lt;60),GUS_tabl_2!$A$8:$B$464,GUS_tabl_21!$A$5:$B$4886),2,FALSE))),-1)))))</f>
        <v>Powiat gostyński</v>
      </c>
      <c r="D2577" s="140">
        <f>IF(OR($A2577="",ISERROR(VALUE(LEFT($A2577,6)))),"",IF(LEN($A2577)=2,SUMIF($A2578:$A$2965,$A2577&amp;"??",$D2578:$D$2965),IF(AND(LEN($A2577)=4,VALUE(RIGHT($A2577,2))&lt;=60),SUMIF($A2578:$A$2965,$A2577&amp;"????",$D2578:$D$2965),VLOOKUP(IF(LEN($A2577)=4,$A2577&amp;"01 1",$A2577),GUS_tabl_21!$A$5:$F$4886,6,FALSE))))</f>
        <v>75908</v>
      </c>
      <c r="E2577" s="29"/>
    </row>
    <row r="2578" spans="1:5" ht="12" customHeight="1">
      <c r="A2578" s="155" t="str">
        <f>"300401 3"</f>
        <v>300401 3</v>
      </c>
      <c r="B2578" s="153" t="s">
        <v>34</v>
      </c>
      <c r="C2578" s="156" t="str">
        <f>IF(OR($A2578="",ISERROR(VALUE(LEFT($A2578,6)))),"",IF(LEN($A2578)=2,"WOJ. ",IF(LEN($A2578)=4,IF(VALUE(RIGHT($A2578,2))&gt;60,"","Powiat "),IF(VALUE(RIGHT($A2578,1))=1,"m. ",IF(VALUE(RIGHT($A2578,1))=2,"gm. w. ",IF(VALUE(RIGHT($A2578,1))=8,"dz. ","gm. m.-w. ")))))&amp;IF(LEN($A2578)=2,TRIM(UPPER(VLOOKUP($A2578,GUS_tabl_1!$A$7:$B$22,2,FALSE))),IF(ISERROR(FIND("..",TRIM(VLOOKUP(IF(AND(LEN($A2578)=4,VALUE(RIGHT($A2578,2))&gt;60),$A2578&amp;"01 1",$A2578),IF(AND(LEN($A2578)=4,VALUE(RIGHT($A2578,2))&lt;60),GUS_tabl_2!$A$8:$B$464,GUS_tabl_21!$A$5:$B$4886),2,FALSE)))),TRIM(VLOOKUP(IF(AND(LEN($A2578)=4,VALUE(RIGHT($A2578,2))&gt;60),$A2578&amp;"01 1",$A2578),IF(AND(LEN($A2578)=4,VALUE(RIGHT($A2578,2))&lt;60),GUS_tabl_2!$A$8:$B$464,GUS_tabl_21!$A$5:$B$4886),2,FALSE)),LEFT(TRIM(VLOOKUP(IF(AND(LEN($A2578)=4,VALUE(RIGHT($A2578,2))&gt;60),$A2578&amp;"01 1",$A2578),IF(AND(LEN($A2578)=4,VALUE(RIGHT($A2578,2))&lt;60),GUS_tabl_2!$A$8:$B$464,GUS_tabl_21!$A$5:$B$4886),2,FALSE)),SUM(FIND("..",TRIM(VLOOKUP(IF(AND(LEN($A2578)=4,VALUE(RIGHT($A2578,2))&gt;60),$A2578&amp;"01 1",$A2578),IF(AND(LEN($A2578)=4,VALUE(RIGHT($A2578,2))&lt;60),GUS_tabl_2!$A$8:$B$464,GUS_tabl_21!$A$5:$B$4886),2,FALSE))),-1)))))</f>
        <v>gm. m.-w. Borek Wielkopolski</v>
      </c>
      <c r="D2578" s="141">
        <f>IF(OR($A2578="",ISERROR(VALUE(LEFT($A2578,6)))),"",IF(LEN($A2578)=2,SUMIF($A2579:$A$2965,$A2578&amp;"??",$D2579:$D$2965),IF(AND(LEN($A2578)=4,VALUE(RIGHT($A2578,2))&lt;=60),SUMIF($A2579:$A$2965,$A2578&amp;"????",$D2579:$D$2965),VLOOKUP(IF(LEN($A2578)=4,$A2578&amp;"01 1",$A2578),GUS_tabl_21!$A$5:$F$4886,6,FALSE))))</f>
        <v>7473</v>
      </c>
      <c r="E2578" s="29"/>
    </row>
    <row r="2579" spans="1:5" ht="12" customHeight="1">
      <c r="A2579" s="155" t="str">
        <f>"300402 3"</f>
        <v>300402 3</v>
      </c>
      <c r="B2579" s="153" t="s">
        <v>34</v>
      </c>
      <c r="C2579" s="156" t="str">
        <f>IF(OR($A2579="",ISERROR(VALUE(LEFT($A2579,6)))),"",IF(LEN($A2579)=2,"WOJ. ",IF(LEN($A2579)=4,IF(VALUE(RIGHT($A2579,2))&gt;60,"","Powiat "),IF(VALUE(RIGHT($A2579,1))=1,"m. ",IF(VALUE(RIGHT($A2579,1))=2,"gm. w. ",IF(VALUE(RIGHT($A2579,1))=8,"dz. ","gm. m.-w. ")))))&amp;IF(LEN($A2579)=2,TRIM(UPPER(VLOOKUP($A2579,GUS_tabl_1!$A$7:$B$22,2,FALSE))),IF(ISERROR(FIND("..",TRIM(VLOOKUP(IF(AND(LEN($A2579)=4,VALUE(RIGHT($A2579,2))&gt;60),$A2579&amp;"01 1",$A2579),IF(AND(LEN($A2579)=4,VALUE(RIGHT($A2579,2))&lt;60),GUS_tabl_2!$A$8:$B$464,GUS_tabl_21!$A$5:$B$4886),2,FALSE)))),TRIM(VLOOKUP(IF(AND(LEN($A2579)=4,VALUE(RIGHT($A2579,2))&gt;60),$A2579&amp;"01 1",$A2579),IF(AND(LEN($A2579)=4,VALUE(RIGHT($A2579,2))&lt;60),GUS_tabl_2!$A$8:$B$464,GUS_tabl_21!$A$5:$B$4886),2,FALSE)),LEFT(TRIM(VLOOKUP(IF(AND(LEN($A2579)=4,VALUE(RIGHT($A2579,2))&gt;60),$A2579&amp;"01 1",$A2579),IF(AND(LEN($A2579)=4,VALUE(RIGHT($A2579,2))&lt;60),GUS_tabl_2!$A$8:$B$464,GUS_tabl_21!$A$5:$B$4886),2,FALSE)),SUM(FIND("..",TRIM(VLOOKUP(IF(AND(LEN($A2579)=4,VALUE(RIGHT($A2579,2))&gt;60),$A2579&amp;"01 1",$A2579),IF(AND(LEN($A2579)=4,VALUE(RIGHT($A2579,2))&lt;60),GUS_tabl_2!$A$8:$B$464,GUS_tabl_21!$A$5:$B$4886),2,FALSE))),-1)))))</f>
        <v>gm. m.-w. Gostyń</v>
      </c>
      <c r="D2579" s="141">
        <f>IF(OR($A2579="",ISERROR(VALUE(LEFT($A2579,6)))),"",IF(LEN($A2579)=2,SUMIF($A2580:$A$2965,$A2579&amp;"??",$D2580:$D$2965),IF(AND(LEN($A2579)=4,VALUE(RIGHT($A2579,2))&lt;=60),SUMIF($A2580:$A$2965,$A2579&amp;"????",$D2580:$D$2965),VLOOKUP(IF(LEN($A2579)=4,$A2579&amp;"01 1",$A2579),GUS_tabl_21!$A$5:$F$4886,6,FALSE))))</f>
        <v>28192</v>
      </c>
      <c r="E2579" s="29"/>
    </row>
    <row r="2580" spans="1:5" ht="12" customHeight="1">
      <c r="A2580" s="155" t="str">
        <f>"300403 3"</f>
        <v>300403 3</v>
      </c>
      <c r="B2580" s="153" t="s">
        <v>34</v>
      </c>
      <c r="C2580" s="156" t="str">
        <f>IF(OR($A2580="",ISERROR(VALUE(LEFT($A2580,6)))),"",IF(LEN($A2580)=2,"WOJ. ",IF(LEN($A2580)=4,IF(VALUE(RIGHT($A2580,2))&gt;60,"","Powiat "),IF(VALUE(RIGHT($A2580,1))=1,"m. ",IF(VALUE(RIGHT($A2580,1))=2,"gm. w. ",IF(VALUE(RIGHT($A2580,1))=8,"dz. ","gm. m.-w. ")))))&amp;IF(LEN($A2580)=2,TRIM(UPPER(VLOOKUP($A2580,GUS_tabl_1!$A$7:$B$22,2,FALSE))),IF(ISERROR(FIND("..",TRIM(VLOOKUP(IF(AND(LEN($A2580)=4,VALUE(RIGHT($A2580,2))&gt;60),$A2580&amp;"01 1",$A2580),IF(AND(LEN($A2580)=4,VALUE(RIGHT($A2580,2))&lt;60),GUS_tabl_2!$A$8:$B$464,GUS_tabl_21!$A$5:$B$4886),2,FALSE)))),TRIM(VLOOKUP(IF(AND(LEN($A2580)=4,VALUE(RIGHT($A2580,2))&gt;60),$A2580&amp;"01 1",$A2580),IF(AND(LEN($A2580)=4,VALUE(RIGHT($A2580,2))&lt;60),GUS_tabl_2!$A$8:$B$464,GUS_tabl_21!$A$5:$B$4886),2,FALSE)),LEFT(TRIM(VLOOKUP(IF(AND(LEN($A2580)=4,VALUE(RIGHT($A2580,2))&gt;60),$A2580&amp;"01 1",$A2580),IF(AND(LEN($A2580)=4,VALUE(RIGHT($A2580,2))&lt;60),GUS_tabl_2!$A$8:$B$464,GUS_tabl_21!$A$5:$B$4886),2,FALSE)),SUM(FIND("..",TRIM(VLOOKUP(IF(AND(LEN($A2580)=4,VALUE(RIGHT($A2580,2))&gt;60),$A2580&amp;"01 1",$A2580),IF(AND(LEN($A2580)=4,VALUE(RIGHT($A2580,2))&lt;60),GUS_tabl_2!$A$8:$B$464,GUS_tabl_21!$A$5:$B$4886),2,FALSE))),-1)))))</f>
        <v>gm. m.-w. Krobia</v>
      </c>
      <c r="D2580" s="141">
        <f>IF(OR($A2580="",ISERROR(VALUE(LEFT($A2580,6)))),"",IF(LEN($A2580)=2,SUMIF($A2581:$A$2965,$A2580&amp;"??",$D2581:$D$2965),IF(AND(LEN($A2580)=4,VALUE(RIGHT($A2580,2))&lt;=60),SUMIF($A2581:$A$2965,$A2580&amp;"????",$D2581:$D$2965),VLOOKUP(IF(LEN($A2580)=4,$A2580&amp;"01 1",$A2580),GUS_tabl_21!$A$5:$F$4886,6,FALSE))))</f>
        <v>12994</v>
      </c>
      <c r="E2580" s="29"/>
    </row>
    <row r="2581" spans="1:5" ht="12" customHeight="1">
      <c r="A2581" s="155" t="str">
        <f>"300404 2"</f>
        <v>300404 2</v>
      </c>
      <c r="B2581" s="153" t="s">
        <v>34</v>
      </c>
      <c r="C2581" s="156" t="str">
        <f>IF(OR($A2581="",ISERROR(VALUE(LEFT($A2581,6)))),"",IF(LEN($A2581)=2,"WOJ. ",IF(LEN($A2581)=4,IF(VALUE(RIGHT($A2581,2))&gt;60,"","Powiat "),IF(VALUE(RIGHT($A2581,1))=1,"m. ",IF(VALUE(RIGHT($A2581,1))=2,"gm. w. ",IF(VALUE(RIGHT($A2581,1))=8,"dz. ","gm. m.-w. ")))))&amp;IF(LEN($A2581)=2,TRIM(UPPER(VLOOKUP($A2581,GUS_tabl_1!$A$7:$B$22,2,FALSE))),IF(ISERROR(FIND("..",TRIM(VLOOKUP(IF(AND(LEN($A2581)=4,VALUE(RIGHT($A2581,2))&gt;60),$A2581&amp;"01 1",$A2581),IF(AND(LEN($A2581)=4,VALUE(RIGHT($A2581,2))&lt;60),GUS_tabl_2!$A$8:$B$464,GUS_tabl_21!$A$5:$B$4886),2,FALSE)))),TRIM(VLOOKUP(IF(AND(LEN($A2581)=4,VALUE(RIGHT($A2581,2))&gt;60),$A2581&amp;"01 1",$A2581),IF(AND(LEN($A2581)=4,VALUE(RIGHT($A2581,2))&lt;60),GUS_tabl_2!$A$8:$B$464,GUS_tabl_21!$A$5:$B$4886),2,FALSE)),LEFT(TRIM(VLOOKUP(IF(AND(LEN($A2581)=4,VALUE(RIGHT($A2581,2))&gt;60),$A2581&amp;"01 1",$A2581),IF(AND(LEN($A2581)=4,VALUE(RIGHT($A2581,2))&lt;60),GUS_tabl_2!$A$8:$B$464,GUS_tabl_21!$A$5:$B$4886),2,FALSE)),SUM(FIND("..",TRIM(VLOOKUP(IF(AND(LEN($A2581)=4,VALUE(RIGHT($A2581,2))&gt;60),$A2581&amp;"01 1",$A2581),IF(AND(LEN($A2581)=4,VALUE(RIGHT($A2581,2))&lt;60),GUS_tabl_2!$A$8:$B$464,GUS_tabl_21!$A$5:$B$4886),2,FALSE))),-1)))))</f>
        <v>gm. w. Pępowo</v>
      </c>
      <c r="D2581" s="141">
        <f>IF(OR($A2581="",ISERROR(VALUE(LEFT($A2581,6)))),"",IF(LEN($A2581)=2,SUMIF($A2582:$A$2965,$A2581&amp;"??",$D2582:$D$2965),IF(AND(LEN($A2581)=4,VALUE(RIGHT($A2581,2))&lt;=60),SUMIF($A2582:$A$2965,$A2581&amp;"????",$D2582:$D$2965),VLOOKUP(IF(LEN($A2581)=4,$A2581&amp;"01 1",$A2581),GUS_tabl_21!$A$5:$F$4886,6,FALSE))))</f>
        <v>5948</v>
      </c>
      <c r="E2581" s="29"/>
    </row>
    <row r="2582" spans="1:5" ht="12" customHeight="1">
      <c r="A2582" s="155" t="str">
        <f>"300405 2"</f>
        <v>300405 2</v>
      </c>
      <c r="B2582" s="153" t="s">
        <v>34</v>
      </c>
      <c r="C2582" s="156" t="str">
        <f>IF(OR($A2582="",ISERROR(VALUE(LEFT($A2582,6)))),"",IF(LEN($A2582)=2,"WOJ. ",IF(LEN($A2582)=4,IF(VALUE(RIGHT($A2582,2))&gt;60,"","Powiat "),IF(VALUE(RIGHT($A2582,1))=1,"m. ",IF(VALUE(RIGHT($A2582,1))=2,"gm. w. ",IF(VALUE(RIGHT($A2582,1))=8,"dz. ","gm. m.-w. ")))))&amp;IF(LEN($A2582)=2,TRIM(UPPER(VLOOKUP($A2582,GUS_tabl_1!$A$7:$B$22,2,FALSE))),IF(ISERROR(FIND("..",TRIM(VLOOKUP(IF(AND(LEN($A2582)=4,VALUE(RIGHT($A2582,2))&gt;60),$A2582&amp;"01 1",$A2582),IF(AND(LEN($A2582)=4,VALUE(RIGHT($A2582,2))&lt;60),GUS_tabl_2!$A$8:$B$464,GUS_tabl_21!$A$5:$B$4886),2,FALSE)))),TRIM(VLOOKUP(IF(AND(LEN($A2582)=4,VALUE(RIGHT($A2582,2))&gt;60),$A2582&amp;"01 1",$A2582),IF(AND(LEN($A2582)=4,VALUE(RIGHT($A2582,2))&lt;60),GUS_tabl_2!$A$8:$B$464,GUS_tabl_21!$A$5:$B$4886),2,FALSE)),LEFT(TRIM(VLOOKUP(IF(AND(LEN($A2582)=4,VALUE(RIGHT($A2582,2))&gt;60),$A2582&amp;"01 1",$A2582),IF(AND(LEN($A2582)=4,VALUE(RIGHT($A2582,2))&lt;60),GUS_tabl_2!$A$8:$B$464,GUS_tabl_21!$A$5:$B$4886),2,FALSE)),SUM(FIND("..",TRIM(VLOOKUP(IF(AND(LEN($A2582)=4,VALUE(RIGHT($A2582,2))&gt;60),$A2582&amp;"01 1",$A2582),IF(AND(LEN($A2582)=4,VALUE(RIGHT($A2582,2))&lt;60),GUS_tabl_2!$A$8:$B$464,GUS_tabl_21!$A$5:$B$4886),2,FALSE))),-1)))))</f>
        <v>gm. w. Piaski</v>
      </c>
      <c r="D2582" s="141">
        <f>IF(OR($A2582="",ISERROR(VALUE(LEFT($A2582,6)))),"",IF(LEN($A2582)=2,SUMIF($A2583:$A$2965,$A2582&amp;"??",$D2583:$D$2965),IF(AND(LEN($A2582)=4,VALUE(RIGHT($A2582,2))&lt;=60),SUMIF($A2583:$A$2965,$A2582&amp;"????",$D2583:$D$2965),VLOOKUP(IF(LEN($A2582)=4,$A2582&amp;"01 1",$A2582),GUS_tabl_21!$A$5:$F$4886,6,FALSE))))</f>
        <v>8630</v>
      </c>
      <c r="E2582" s="29"/>
    </row>
    <row r="2583" spans="1:5" ht="12" customHeight="1">
      <c r="A2583" s="155" t="str">
        <f>"300406 3"</f>
        <v>300406 3</v>
      </c>
      <c r="B2583" s="153" t="s">
        <v>34</v>
      </c>
      <c r="C2583" s="156" t="str">
        <f>IF(OR($A2583="",ISERROR(VALUE(LEFT($A2583,6)))),"",IF(LEN($A2583)=2,"WOJ. ",IF(LEN($A2583)=4,IF(VALUE(RIGHT($A2583,2))&gt;60,"","Powiat "),IF(VALUE(RIGHT($A2583,1))=1,"m. ",IF(VALUE(RIGHT($A2583,1))=2,"gm. w. ",IF(VALUE(RIGHT($A2583,1))=8,"dz. ","gm. m.-w. ")))))&amp;IF(LEN($A2583)=2,TRIM(UPPER(VLOOKUP($A2583,GUS_tabl_1!$A$7:$B$22,2,FALSE))),IF(ISERROR(FIND("..",TRIM(VLOOKUP(IF(AND(LEN($A2583)=4,VALUE(RIGHT($A2583,2))&gt;60),$A2583&amp;"01 1",$A2583),IF(AND(LEN($A2583)=4,VALUE(RIGHT($A2583,2))&lt;60),GUS_tabl_2!$A$8:$B$464,GUS_tabl_21!$A$5:$B$4886),2,FALSE)))),TRIM(VLOOKUP(IF(AND(LEN($A2583)=4,VALUE(RIGHT($A2583,2))&gt;60),$A2583&amp;"01 1",$A2583),IF(AND(LEN($A2583)=4,VALUE(RIGHT($A2583,2))&lt;60),GUS_tabl_2!$A$8:$B$464,GUS_tabl_21!$A$5:$B$4886),2,FALSE)),LEFT(TRIM(VLOOKUP(IF(AND(LEN($A2583)=4,VALUE(RIGHT($A2583,2))&gt;60),$A2583&amp;"01 1",$A2583),IF(AND(LEN($A2583)=4,VALUE(RIGHT($A2583,2))&lt;60),GUS_tabl_2!$A$8:$B$464,GUS_tabl_21!$A$5:$B$4886),2,FALSE)),SUM(FIND("..",TRIM(VLOOKUP(IF(AND(LEN($A2583)=4,VALUE(RIGHT($A2583,2))&gt;60),$A2583&amp;"01 1",$A2583),IF(AND(LEN($A2583)=4,VALUE(RIGHT($A2583,2))&lt;60),GUS_tabl_2!$A$8:$B$464,GUS_tabl_21!$A$5:$B$4886),2,FALSE))),-1)))))</f>
        <v>gm. m.-w. Pogorzela</v>
      </c>
      <c r="D2583" s="141">
        <f>IF(OR($A2583="",ISERROR(VALUE(LEFT($A2583,6)))),"",IF(LEN($A2583)=2,SUMIF($A2584:$A$2965,$A2583&amp;"??",$D2584:$D$2965),IF(AND(LEN($A2583)=4,VALUE(RIGHT($A2583,2))&lt;=60),SUMIF($A2584:$A$2965,$A2583&amp;"????",$D2584:$D$2965),VLOOKUP(IF(LEN($A2583)=4,$A2583&amp;"01 1",$A2583),GUS_tabl_21!$A$5:$F$4886,6,FALSE))))</f>
        <v>4937</v>
      </c>
      <c r="E2583" s="29"/>
    </row>
    <row r="2584" spans="1:5" ht="12" customHeight="1">
      <c r="A2584" s="155" t="str">
        <f>"300407 3"</f>
        <v>300407 3</v>
      </c>
      <c r="B2584" s="153" t="s">
        <v>34</v>
      </c>
      <c r="C2584" s="156" t="str">
        <f>IF(OR($A2584="",ISERROR(VALUE(LEFT($A2584,6)))),"",IF(LEN($A2584)=2,"WOJ. ",IF(LEN($A2584)=4,IF(VALUE(RIGHT($A2584,2))&gt;60,"","Powiat "),IF(VALUE(RIGHT($A2584,1))=1,"m. ",IF(VALUE(RIGHT($A2584,1))=2,"gm. w. ",IF(VALUE(RIGHT($A2584,1))=8,"dz. ","gm. m.-w. ")))))&amp;IF(LEN($A2584)=2,TRIM(UPPER(VLOOKUP($A2584,GUS_tabl_1!$A$7:$B$22,2,FALSE))),IF(ISERROR(FIND("..",TRIM(VLOOKUP(IF(AND(LEN($A2584)=4,VALUE(RIGHT($A2584,2))&gt;60),$A2584&amp;"01 1",$A2584),IF(AND(LEN($A2584)=4,VALUE(RIGHT($A2584,2))&lt;60),GUS_tabl_2!$A$8:$B$464,GUS_tabl_21!$A$5:$B$4886),2,FALSE)))),TRIM(VLOOKUP(IF(AND(LEN($A2584)=4,VALUE(RIGHT($A2584,2))&gt;60),$A2584&amp;"01 1",$A2584),IF(AND(LEN($A2584)=4,VALUE(RIGHT($A2584,2))&lt;60),GUS_tabl_2!$A$8:$B$464,GUS_tabl_21!$A$5:$B$4886),2,FALSE)),LEFT(TRIM(VLOOKUP(IF(AND(LEN($A2584)=4,VALUE(RIGHT($A2584,2))&gt;60),$A2584&amp;"01 1",$A2584),IF(AND(LEN($A2584)=4,VALUE(RIGHT($A2584,2))&lt;60),GUS_tabl_2!$A$8:$B$464,GUS_tabl_21!$A$5:$B$4886),2,FALSE)),SUM(FIND("..",TRIM(VLOOKUP(IF(AND(LEN($A2584)=4,VALUE(RIGHT($A2584,2))&gt;60),$A2584&amp;"01 1",$A2584),IF(AND(LEN($A2584)=4,VALUE(RIGHT($A2584,2))&lt;60),GUS_tabl_2!$A$8:$B$464,GUS_tabl_21!$A$5:$B$4886),2,FALSE))),-1)))))</f>
        <v>gm. m.-w. Poniec</v>
      </c>
      <c r="D2584" s="141">
        <f>IF(OR($A2584="",ISERROR(VALUE(LEFT($A2584,6)))),"",IF(LEN($A2584)=2,SUMIF($A2585:$A$2965,$A2584&amp;"??",$D2585:$D$2965),IF(AND(LEN($A2584)=4,VALUE(RIGHT($A2584,2))&lt;=60),SUMIF($A2585:$A$2965,$A2584&amp;"????",$D2585:$D$2965),VLOOKUP(IF(LEN($A2584)=4,$A2584&amp;"01 1",$A2584),GUS_tabl_21!$A$5:$F$4886,6,FALSE))))</f>
        <v>7734</v>
      </c>
      <c r="E2584" s="29"/>
    </row>
    <row r="2585" spans="1:5" ht="12" customHeight="1">
      <c r="A2585" s="152" t="str">
        <f>"3005"</f>
        <v>3005</v>
      </c>
      <c r="B2585" s="153" t="s">
        <v>34</v>
      </c>
      <c r="C2585" s="154" t="str">
        <f>IF(OR($A2585="",ISERROR(VALUE(LEFT($A2585,6)))),"",IF(LEN($A2585)=2,"WOJ. ",IF(LEN($A2585)=4,IF(VALUE(RIGHT($A2585,2))&gt;60,"","Powiat "),IF(VALUE(RIGHT($A2585,1))=1,"m. ",IF(VALUE(RIGHT($A2585,1))=2,"gm. w. ",IF(VALUE(RIGHT($A2585,1))=8,"dz. ","gm. m.-w. ")))))&amp;IF(LEN($A2585)=2,TRIM(UPPER(VLOOKUP($A2585,GUS_tabl_1!$A$7:$B$22,2,FALSE))),IF(ISERROR(FIND("..",TRIM(VLOOKUP(IF(AND(LEN($A2585)=4,VALUE(RIGHT($A2585,2))&gt;60),$A2585&amp;"01 1",$A2585),IF(AND(LEN($A2585)=4,VALUE(RIGHT($A2585,2))&lt;60),GUS_tabl_2!$A$8:$B$464,GUS_tabl_21!$A$5:$B$4886),2,FALSE)))),TRIM(VLOOKUP(IF(AND(LEN($A2585)=4,VALUE(RIGHT($A2585,2))&gt;60),$A2585&amp;"01 1",$A2585),IF(AND(LEN($A2585)=4,VALUE(RIGHT($A2585,2))&lt;60),GUS_tabl_2!$A$8:$B$464,GUS_tabl_21!$A$5:$B$4886),2,FALSE)),LEFT(TRIM(VLOOKUP(IF(AND(LEN($A2585)=4,VALUE(RIGHT($A2585,2))&gt;60),$A2585&amp;"01 1",$A2585),IF(AND(LEN($A2585)=4,VALUE(RIGHT($A2585,2))&lt;60),GUS_tabl_2!$A$8:$B$464,GUS_tabl_21!$A$5:$B$4886),2,FALSE)),SUM(FIND("..",TRIM(VLOOKUP(IF(AND(LEN($A2585)=4,VALUE(RIGHT($A2585,2))&gt;60),$A2585&amp;"01 1",$A2585),IF(AND(LEN($A2585)=4,VALUE(RIGHT($A2585,2))&lt;60),GUS_tabl_2!$A$8:$B$464,GUS_tabl_21!$A$5:$B$4886),2,FALSE))),-1)))))</f>
        <v>Powiat grodziski</v>
      </c>
      <c r="D2585" s="140">
        <f>IF(OR($A2585="",ISERROR(VALUE(LEFT($A2585,6)))),"",IF(LEN($A2585)=2,SUMIF($A2586:$A$2965,$A2585&amp;"??",$D2586:$D$2965),IF(AND(LEN($A2585)=4,VALUE(RIGHT($A2585,2))&lt;=60),SUMIF($A2586:$A$2965,$A2585&amp;"????",$D2586:$D$2965),VLOOKUP(IF(LEN($A2585)=4,$A2585&amp;"01 1",$A2585),GUS_tabl_21!$A$5:$F$4886,6,FALSE))))</f>
        <v>51893</v>
      </c>
      <c r="E2585" s="29"/>
    </row>
    <row r="2586" spans="1:5" ht="12" customHeight="1">
      <c r="A2586" s="155" t="str">
        <f>"300501 2"</f>
        <v>300501 2</v>
      </c>
      <c r="B2586" s="153" t="s">
        <v>34</v>
      </c>
      <c r="C2586" s="156" t="str">
        <f>IF(OR($A2586="",ISERROR(VALUE(LEFT($A2586,6)))),"",IF(LEN($A2586)=2,"WOJ. ",IF(LEN($A2586)=4,IF(VALUE(RIGHT($A2586,2))&gt;60,"","Powiat "),IF(VALUE(RIGHT($A2586,1))=1,"m. ",IF(VALUE(RIGHT($A2586,1))=2,"gm. w. ",IF(VALUE(RIGHT($A2586,1))=8,"dz. ","gm. m.-w. ")))))&amp;IF(LEN($A2586)=2,TRIM(UPPER(VLOOKUP($A2586,GUS_tabl_1!$A$7:$B$22,2,FALSE))),IF(ISERROR(FIND("..",TRIM(VLOOKUP(IF(AND(LEN($A2586)=4,VALUE(RIGHT($A2586,2))&gt;60),$A2586&amp;"01 1",$A2586),IF(AND(LEN($A2586)=4,VALUE(RIGHT($A2586,2))&lt;60),GUS_tabl_2!$A$8:$B$464,GUS_tabl_21!$A$5:$B$4886),2,FALSE)))),TRIM(VLOOKUP(IF(AND(LEN($A2586)=4,VALUE(RIGHT($A2586,2))&gt;60),$A2586&amp;"01 1",$A2586),IF(AND(LEN($A2586)=4,VALUE(RIGHT($A2586,2))&lt;60),GUS_tabl_2!$A$8:$B$464,GUS_tabl_21!$A$5:$B$4886),2,FALSE)),LEFT(TRIM(VLOOKUP(IF(AND(LEN($A2586)=4,VALUE(RIGHT($A2586,2))&gt;60),$A2586&amp;"01 1",$A2586),IF(AND(LEN($A2586)=4,VALUE(RIGHT($A2586,2))&lt;60),GUS_tabl_2!$A$8:$B$464,GUS_tabl_21!$A$5:$B$4886),2,FALSE)),SUM(FIND("..",TRIM(VLOOKUP(IF(AND(LEN($A2586)=4,VALUE(RIGHT($A2586,2))&gt;60),$A2586&amp;"01 1",$A2586),IF(AND(LEN($A2586)=4,VALUE(RIGHT($A2586,2))&lt;60),GUS_tabl_2!$A$8:$B$464,GUS_tabl_21!$A$5:$B$4886),2,FALSE))),-1)))))</f>
        <v>gm. w. Granowo</v>
      </c>
      <c r="D2586" s="141">
        <f>IF(OR($A2586="",ISERROR(VALUE(LEFT($A2586,6)))),"",IF(LEN($A2586)=2,SUMIF($A2587:$A$2965,$A2586&amp;"??",$D2587:$D$2965),IF(AND(LEN($A2586)=4,VALUE(RIGHT($A2586,2))&lt;=60),SUMIF($A2587:$A$2965,$A2586&amp;"????",$D2587:$D$2965),VLOOKUP(IF(LEN($A2586)=4,$A2586&amp;"01 1",$A2586),GUS_tabl_21!$A$5:$F$4886,6,FALSE))))</f>
        <v>5068</v>
      </c>
      <c r="E2586" s="29"/>
    </row>
    <row r="2587" spans="1:5" ht="12" customHeight="1">
      <c r="A2587" s="155" t="str">
        <f>"300502 3"</f>
        <v>300502 3</v>
      </c>
      <c r="B2587" s="153" t="s">
        <v>34</v>
      </c>
      <c r="C2587" s="156" t="str">
        <f>IF(OR($A2587="",ISERROR(VALUE(LEFT($A2587,6)))),"",IF(LEN($A2587)=2,"WOJ. ",IF(LEN($A2587)=4,IF(VALUE(RIGHT($A2587,2))&gt;60,"","Powiat "),IF(VALUE(RIGHT($A2587,1))=1,"m. ",IF(VALUE(RIGHT($A2587,1))=2,"gm. w. ",IF(VALUE(RIGHT($A2587,1))=8,"dz. ","gm. m.-w. ")))))&amp;IF(LEN($A2587)=2,TRIM(UPPER(VLOOKUP($A2587,GUS_tabl_1!$A$7:$B$22,2,FALSE))),IF(ISERROR(FIND("..",TRIM(VLOOKUP(IF(AND(LEN($A2587)=4,VALUE(RIGHT($A2587,2))&gt;60),$A2587&amp;"01 1",$A2587),IF(AND(LEN($A2587)=4,VALUE(RIGHT($A2587,2))&lt;60),GUS_tabl_2!$A$8:$B$464,GUS_tabl_21!$A$5:$B$4886),2,FALSE)))),TRIM(VLOOKUP(IF(AND(LEN($A2587)=4,VALUE(RIGHT($A2587,2))&gt;60),$A2587&amp;"01 1",$A2587),IF(AND(LEN($A2587)=4,VALUE(RIGHT($A2587,2))&lt;60),GUS_tabl_2!$A$8:$B$464,GUS_tabl_21!$A$5:$B$4886),2,FALSE)),LEFT(TRIM(VLOOKUP(IF(AND(LEN($A2587)=4,VALUE(RIGHT($A2587,2))&gt;60),$A2587&amp;"01 1",$A2587),IF(AND(LEN($A2587)=4,VALUE(RIGHT($A2587,2))&lt;60),GUS_tabl_2!$A$8:$B$464,GUS_tabl_21!$A$5:$B$4886),2,FALSE)),SUM(FIND("..",TRIM(VLOOKUP(IF(AND(LEN($A2587)=4,VALUE(RIGHT($A2587,2))&gt;60),$A2587&amp;"01 1",$A2587),IF(AND(LEN($A2587)=4,VALUE(RIGHT($A2587,2))&lt;60),GUS_tabl_2!$A$8:$B$464,GUS_tabl_21!$A$5:$B$4886),2,FALSE))),-1)))))</f>
        <v>gm. m.-w. Grodzisk Wielkopolski</v>
      </c>
      <c r="D2587" s="141">
        <f>IF(OR($A2587="",ISERROR(VALUE(LEFT($A2587,6)))),"",IF(LEN($A2587)=2,SUMIF($A2588:$A$2965,$A2587&amp;"??",$D2588:$D$2965),IF(AND(LEN($A2587)=4,VALUE(RIGHT($A2587,2))&lt;=60),SUMIF($A2588:$A$2965,$A2587&amp;"????",$D2588:$D$2965),VLOOKUP(IF(LEN($A2587)=4,$A2587&amp;"01 1",$A2587),GUS_tabl_21!$A$5:$F$4886,6,FALSE))))</f>
        <v>20064</v>
      </c>
      <c r="E2587" s="29"/>
    </row>
    <row r="2588" spans="1:5" ht="12" customHeight="1">
      <c r="A2588" s="155" t="str">
        <f>"300503 2"</f>
        <v>300503 2</v>
      </c>
      <c r="B2588" s="153" t="s">
        <v>34</v>
      </c>
      <c r="C2588" s="156" t="str">
        <f>IF(OR($A2588="",ISERROR(VALUE(LEFT($A2588,6)))),"",IF(LEN($A2588)=2,"WOJ. ",IF(LEN($A2588)=4,IF(VALUE(RIGHT($A2588,2))&gt;60,"","Powiat "),IF(VALUE(RIGHT($A2588,1))=1,"m. ",IF(VALUE(RIGHT($A2588,1))=2,"gm. w. ",IF(VALUE(RIGHT($A2588,1))=8,"dz. ","gm. m.-w. ")))))&amp;IF(LEN($A2588)=2,TRIM(UPPER(VLOOKUP($A2588,GUS_tabl_1!$A$7:$B$22,2,FALSE))),IF(ISERROR(FIND("..",TRIM(VLOOKUP(IF(AND(LEN($A2588)=4,VALUE(RIGHT($A2588,2))&gt;60),$A2588&amp;"01 1",$A2588),IF(AND(LEN($A2588)=4,VALUE(RIGHT($A2588,2))&lt;60),GUS_tabl_2!$A$8:$B$464,GUS_tabl_21!$A$5:$B$4886),2,FALSE)))),TRIM(VLOOKUP(IF(AND(LEN($A2588)=4,VALUE(RIGHT($A2588,2))&gt;60),$A2588&amp;"01 1",$A2588),IF(AND(LEN($A2588)=4,VALUE(RIGHT($A2588,2))&lt;60),GUS_tabl_2!$A$8:$B$464,GUS_tabl_21!$A$5:$B$4886),2,FALSE)),LEFT(TRIM(VLOOKUP(IF(AND(LEN($A2588)=4,VALUE(RIGHT($A2588,2))&gt;60),$A2588&amp;"01 1",$A2588),IF(AND(LEN($A2588)=4,VALUE(RIGHT($A2588,2))&lt;60),GUS_tabl_2!$A$8:$B$464,GUS_tabl_21!$A$5:$B$4886),2,FALSE)),SUM(FIND("..",TRIM(VLOOKUP(IF(AND(LEN($A2588)=4,VALUE(RIGHT($A2588,2))&gt;60),$A2588&amp;"01 1",$A2588),IF(AND(LEN($A2588)=4,VALUE(RIGHT($A2588,2))&lt;60),GUS_tabl_2!$A$8:$B$464,GUS_tabl_21!$A$5:$B$4886),2,FALSE))),-1)))))</f>
        <v>gm. w. Kamieniec</v>
      </c>
      <c r="D2588" s="141">
        <f>IF(OR($A2588="",ISERROR(VALUE(LEFT($A2588,6)))),"",IF(LEN($A2588)=2,SUMIF($A2589:$A$2965,$A2588&amp;"??",$D2589:$D$2965),IF(AND(LEN($A2588)=4,VALUE(RIGHT($A2588,2))&lt;=60),SUMIF($A2589:$A$2965,$A2588&amp;"????",$D2589:$D$2965),VLOOKUP(IF(LEN($A2588)=4,$A2588&amp;"01 1",$A2588),GUS_tabl_21!$A$5:$F$4886,6,FALSE))))</f>
        <v>6673</v>
      </c>
      <c r="E2588" s="29"/>
    </row>
    <row r="2589" spans="1:5" ht="12" customHeight="1">
      <c r="A2589" s="155" t="str">
        <f>"300504 3"</f>
        <v>300504 3</v>
      </c>
      <c r="B2589" s="153" t="s">
        <v>34</v>
      </c>
      <c r="C2589" s="156" t="str">
        <f>IF(OR($A2589="",ISERROR(VALUE(LEFT($A2589,6)))),"",IF(LEN($A2589)=2,"WOJ. ",IF(LEN($A2589)=4,IF(VALUE(RIGHT($A2589,2))&gt;60,"","Powiat "),IF(VALUE(RIGHT($A2589,1))=1,"m. ",IF(VALUE(RIGHT($A2589,1))=2,"gm. w. ",IF(VALUE(RIGHT($A2589,1))=8,"dz. ","gm. m.-w. ")))))&amp;IF(LEN($A2589)=2,TRIM(UPPER(VLOOKUP($A2589,GUS_tabl_1!$A$7:$B$22,2,FALSE))),IF(ISERROR(FIND("..",TRIM(VLOOKUP(IF(AND(LEN($A2589)=4,VALUE(RIGHT($A2589,2))&gt;60),$A2589&amp;"01 1",$A2589),IF(AND(LEN($A2589)=4,VALUE(RIGHT($A2589,2))&lt;60),GUS_tabl_2!$A$8:$B$464,GUS_tabl_21!$A$5:$B$4886),2,FALSE)))),TRIM(VLOOKUP(IF(AND(LEN($A2589)=4,VALUE(RIGHT($A2589,2))&gt;60),$A2589&amp;"01 1",$A2589),IF(AND(LEN($A2589)=4,VALUE(RIGHT($A2589,2))&lt;60),GUS_tabl_2!$A$8:$B$464,GUS_tabl_21!$A$5:$B$4886),2,FALSE)),LEFT(TRIM(VLOOKUP(IF(AND(LEN($A2589)=4,VALUE(RIGHT($A2589,2))&gt;60),$A2589&amp;"01 1",$A2589),IF(AND(LEN($A2589)=4,VALUE(RIGHT($A2589,2))&lt;60),GUS_tabl_2!$A$8:$B$464,GUS_tabl_21!$A$5:$B$4886),2,FALSE)),SUM(FIND("..",TRIM(VLOOKUP(IF(AND(LEN($A2589)=4,VALUE(RIGHT($A2589,2))&gt;60),$A2589&amp;"01 1",$A2589),IF(AND(LEN($A2589)=4,VALUE(RIGHT($A2589,2))&lt;60),GUS_tabl_2!$A$8:$B$464,GUS_tabl_21!$A$5:$B$4886),2,FALSE))),-1)))))</f>
        <v>gm. m.-w. Rakoniewice</v>
      </c>
      <c r="D2589" s="141">
        <f>IF(OR($A2589="",ISERROR(VALUE(LEFT($A2589,6)))),"",IF(LEN($A2589)=2,SUMIF($A2590:$A$2965,$A2589&amp;"??",$D2590:$D$2965),IF(AND(LEN($A2589)=4,VALUE(RIGHT($A2589,2))&lt;=60),SUMIF($A2590:$A$2965,$A2589&amp;"????",$D2590:$D$2965),VLOOKUP(IF(LEN($A2589)=4,$A2589&amp;"01 1",$A2589),GUS_tabl_21!$A$5:$F$4886,6,FALSE))))</f>
        <v>13178</v>
      </c>
      <c r="E2589" s="29"/>
    </row>
    <row r="2590" spans="1:5" ht="12" customHeight="1">
      <c r="A2590" s="155" t="str">
        <f>"300505 3"</f>
        <v>300505 3</v>
      </c>
      <c r="B2590" s="153" t="s">
        <v>34</v>
      </c>
      <c r="C2590" s="156" t="str">
        <f>IF(OR($A2590="",ISERROR(VALUE(LEFT($A2590,6)))),"",IF(LEN($A2590)=2,"WOJ. ",IF(LEN($A2590)=4,IF(VALUE(RIGHT($A2590,2))&gt;60,"","Powiat "),IF(VALUE(RIGHT($A2590,1))=1,"m. ",IF(VALUE(RIGHT($A2590,1))=2,"gm. w. ",IF(VALUE(RIGHT($A2590,1))=8,"dz. ","gm. m.-w. ")))))&amp;IF(LEN($A2590)=2,TRIM(UPPER(VLOOKUP($A2590,GUS_tabl_1!$A$7:$B$22,2,FALSE))),IF(ISERROR(FIND("..",TRIM(VLOOKUP(IF(AND(LEN($A2590)=4,VALUE(RIGHT($A2590,2))&gt;60),$A2590&amp;"01 1",$A2590),IF(AND(LEN($A2590)=4,VALUE(RIGHT($A2590,2))&lt;60),GUS_tabl_2!$A$8:$B$464,GUS_tabl_21!$A$5:$B$4886),2,FALSE)))),TRIM(VLOOKUP(IF(AND(LEN($A2590)=4,VALUE(RIGHT($A2590,2))&gt;60),$A2590&amp;"01 1",$A2590),IF(AND(LEN($A2590)=4,VALUE(RIGHT($A2590,2))&lt;60),GUS_tabl_2!$A$8:$B$464,GUS_tabl_21!$A$5:$B$4886),2,FALSE)),LEFT(TRIM(VLOOKUP(IF(AND(LEN($A2590)=4,VALUE(RIGHT($A2590,2))&gt;60),$A2590&amp;"01 1",$A2590),IF(AND(LEN($A2590)=4,VALUE(RIGHT($A2590,2))&lt;60),GUS_tabl_2!$A$8:$B$464,GUS_tabl_21!$A$5:$B$4886),2,FALSE)),SUM(FIND("..",TRIM(VLOOKUP(IF(AND(LEN($A2590)=4,VALUE(RIGHT($A2590,2))&gt;60),$A2590&amp;"01 1",$A2590),IF(AND(LEN($A2590)=4,VALUE(RIGHT($A2590,2))&lt;60),GUS_tabl_2!$A$8:$B$464,GUS_tabl_21!$A$5:$B$4886),2,FALSE))),-1)))))</f>
        <v>gm. m.-w. Wielichowo</v>
      </c>
      <c r="D2590" s="141">
        <f>IF(OR($A2590="",ISERROR(VALUE(LEFT($A2590,6)))),"",IF(LEN($A2590)=2,SUMIF($A2591:$A$2965,$A2590&amp;"??",$D2591:$D$2965),IF(AND(LEN($A2590)=4,VALUE(RIGHT($A2590,2))&lt;=60),SUMIF($A2591:$A$2965,$A2590&amp;"????",$D2591:$D$2965),VLOOKUP(IF(LEN($A2590)=4,$A2590&amp;"01 1",$A2590),GUS_tabl_21!$A$5:$F$4886,6,FALSE))))</f>
        <v>6910</v>
      </c>
      <c r="E2590" s="29"/>
    </row>
    <row r="2591" spans="1:5" ht="12" customHeight="1">
      <c r="A2591" s="152" t="str">
        <f>"3006"</f>
        <v>3006</v>
      </c>
      <c r="B2591" s="153" t="s">
        <v>34</v>
      </c>
      <c r="C2591" s="154" t="str">
        <f>IF(OR($A2591="",ISERROR(VALUE(LEFT($A2591,6)))),"",IF(LEN($A2591)=2,"WOJ. ",IF(LEN($A2591)=4,IF(VALUE(RIGHT($A2591,2))&gt;60,"","Powiat "),IF(VALUE(RIGHT($A2591,1))=1,"m. ",IF(VALUE(RIGHT($A2591,1))=2,"gm. w. ",IF(VALUE(RIGHT($A2591,1))=8,"dz. ","gm. m.-w. ")))))&amp;IF(LEN($A2591)=2,TRIM(UPPER(VLOOKUP($A2591,GUS_tabl_1!$A$7:$B$22,2,FALSE))),IF(ISERROR(FIND("..",TRIM(VLOOKUP(IF(AND(LEN($A2591)=4,VALUE(RIGHT($A2591,2))&gt;60),$A2591&amp;"01 1",$A2591),IF(AND(LEN($A2591)=4,VALUE(RIGHT($A2591,2))&lt;60),GUS_tabl_2!$A$8:$B$464,GUS_tabl_21!$A$5:$B$4886),2,FALSE)))),TRIM(VLOOKUP(IF(AND(LEN($A2591)=4,VALUE(RIGHT($A2591,2))&gt;60),$A2591&amp;"01 1",$A2591),IF(AND(LEN($A2591)=4,VALUE(RIGHT($A2591,2))&lt;60),GUS_tabl_2!$A$8:$B$464,GUS_tabl_21!$A$5:$B$4886),2,FALSE)),LEFT(TRIM(VLOOKUP(IF(AND(LEN($A2591)=4,VALUE(RIGHT($A2591,2))&gt;60),$A2591&amp;"01 1",$A2591),IF(AND(LEN($A2591)=4,VALUE(RIGHT($A2591,2))&lt;60),GUS_tabl_2!$A$8:$B$464,GUS_tabl_21!$A$5:$B$4886),2,FALSE)),SUM(FIND("..",TRIM(VLOOKUP(IF(AND(LEN($A2591)=4,VALUE(RIGHT($A2591,2))&gt;60),$A2591&amp;"01 1",$A2591),IF(AND(LEN($A2591)=4,VALUE(RIGHT($A2591,2))&lt;60),GUS_tabl_2!$A$8:$B$464,GUS_tabl_21!$A$5:$B$4886),2,FALSE))),-1)))))</f>
        <v>Powiat jarociński</v>
      </c>
      <c r="D2591" s="140">
        <f>IF(OR($A2591="",ISERROR(VALUE(LEFT($A2591,6)))),"",IF(LEN($A2591)=2,SUMIF($A2592:$A$2965,$A2591&amp;"??",$D2592:$D$2965),IF(AND(LEN($A2591)=4,VALUE(RIGHT($A2591,2))&lt;=60),SUMIF($A2592:$A$2965,$A2591&amp;"????",$D2592:$D$2965),VLOOKUP(IF(LEN($A2591)=4,$A2591&amp;"01 1",$A2591),GUS_tabl_21!$A$5:$F$4886,6,FALSE))))</f>
        <v>71563</v>
      </c>
      <c r="E2591" s="29"/>
    </row>
    <row r="2592" spans="1:5" ht="12" customHeight="1">
      <c r="A2592" s="155" t="str">
        <f>"300601 3"</f>
        <v>300601 3</v>
      </c>
      <c r="B2592" s="153" t="s">
        <v>34</v>
      </c>
      <c r="C2592" s="159" t="str">
        <f>IF(OR($A2592="",ISERROR(VALUE(LEFT($A2592,6)))),"",IF(LEN($A2592)=2,"WOJ. ",IF(LEN($A2592)=4,IF(VALUE(RIGHT($A2592,2))&gt;60,"","Powiat "),IF(VALUE(RIGHT($A2592,1))=1,"m. ",IF(VALUE(RIGHT($A2592,1))=2,"gm. w. ",IF(VALUE(RIGHT($A2592,1))=8,"dz. ","gm. m.-w. ")))))&amp;IF(LEN($A2592)=2,TRIM(UPPER(VLOOKUP($A2592,GUS_tabl_1!$A$7:$B$22,2,FALSE))),IF(ISERROR(FIND("..",TRIM(VLOOKUP(IF(AND(LEN($A2592)=4,VALUE(RIGHT($A2592,2))&gt;60),$A2592&amp;"01 1",$A2592),IF(AND(LEN($A2592)=4,VALUE(RIGHT($A2592,2))&lt;60),GUS_tabl_2!$A$8:$B$464,GUS_tabl_21!$A$5:$B$4886),2,FALSE)))),TRIM(VLOOKUP(IF(AND(LEN($A2592)=4,VALUE(RIGHT($A2592,2))&gt;60),$A2592&amp;"01 1",$A2592),IF(AND(LEN($A2592)=4,VALUE(RIGHT($A2592,2))&lt;60),GUS_tabl_2!$A$8:$B$464,GUS_tabl_21!$A$5:$B$4886),2,FALSE)),LEFT(TRIM(VLOOKUP(IF(AND(LEN($A2592)=4,VALUE(RIGHT($A2592,2))&gt;60),$A2592&amp;"01 1",$A2592),IF(AND(LEN($A2592)=4,VALUE(RIGHT($A2592,2))&lt;60),GUS_tabl_2!$A$8:$B$464,GUS_tabl_21!$A$5:$B$4886),2,FALSE)),SUM(FIND("..",TRIM(VLOOKUP(IF(AND(LEN($A2592)=4,VALUE(RIGHT($A2592,2))&gt;60),$A2592&amp;"01 1",$A2592),IF(AND(LEN($A2592)=4,VALUE(RIGHT($A2592,2))&lt;60),GUS_tabl_2!$A$8:$B$464,GUS_tabl_21!$A$5:$B$4886),2,FALSE))),-1)))))</f>
        <v>gm. m.-w. Jaraczewo</v>
      </c>
      <c r="D2592" s="141">
        <f>IF(OR($A2592="",ISERROR(VALUE(LEFT($A2592,6)))),"",IF(LEN($A2592)=2,SUMIF($A2593:$A$2965,$A2592&amp;"??",$D2593:$D$2965),IF(AND(LEN($A2592)=4,VALUE(RIGHT($A2592,2))&lt;=60),SUMIF($A2593:$A$2965,$A2592&amp;"????",$D2593:$D$2965),VLOOKUP(IF(LEN($A2592)=4,$A2592&amp;"01 1",$A2592),GUS_tabl_21!$A$5:$F$4886,6,FALSE))))</f>
        <v>8142</v>
      </c>
      <c r="E2592" s="29"/>
    </row>
    <row r="2593" spans="1:5" ht="12" customHeight="1">
      <c r="A2593" s="155" t="str">
        <f>"300602 3"</f>
        <v>300602 3</v>
      </c>
      <c r="B2593" s="153" t="s">
        <v>34</v>
      </c>
      <c r="C2593" s="156" t="str">
        <f>IF(OR($A2593="",ISERROR(VALUE(LEFT($A2593,6)))),"",IF(LEN($A2593)=2,"WOJ. ",IF(LEN($A2593)=4,IF(VALUE(RIGHT($A2593,2))&gt;60,"","Powiat "),IF(VALUE(RIGHT($A2593,1))=1,"m. ",IF(VALUE(RIGHT($A2593,1))=2,"gm. w. ",IF(VALUE(RIGHT($A2593,1))=8,"dz. ","gm. m.-w. ")))))&amp;IF(LEN($A2593)=2,TRIM(UPPER(VLOOKUP($A2593,GUS_tabl_1!$A$7:$B$22,2,FALSE))),IF(ISERROR(FIND("..",TRIM(VLOOKUP(IF(AND(LEN($A2593)=4,VALUE(RIGHT($A2593,2))&gt;60),$A2593&amp;"01 1",$A2593),IF(AND(LEN($A2593)=4,VALUE(RIGHT($A2593,2))&lt;60),GUS_tabl_2!$A$8:$B$464,GUS_tabl_21!$A$5:$B$4886),2,FALSE)))),TRIM(VLOOKUP(IF(AND(LEN($A2593)=4,VALUE(RIGHT($A2593,2))&gt;60),$A2593&amp;"01 1",$A2593),IF(AND(LEN($A2593)=4,VALUE(RIGHT($A2593,2))&lt;60),GUS_tabl_2!$A$8:$B$464,GUS_tabl_21!$A$5:$B$4886),2,FALSE)),LEFT(TRIM(VLOOKUP(IF(AND(LEN($A2593)=4,VALUE(RIGHT($A2593,2))&gt;60),$A2593&amp;"01 1",$A2593),IF(AND(LEN($A2593)=4,VALUE(RIGHT($A2593,2))&lt;60),GUS_tabl_2!$A$8:$B$464,GUS_tabl_21!$A$5:$B$4886),2,FALSE)),SUM(FIND("..",TRIM(VLOOKUP(IF(AND(LEN($A2593)=4,VALUE(RIGHT($A2593,2))&gt;60),$A2593&amp;"01 1",$A2593),IF(AND(LEN($A2593)=4,VALUE(RIGHT($A2593,2))&lt;60),GUS_tabl_2!$A$8:$B$464,GUS_tabl_21!$A$5:$B$4886),2,FALSE))),-1)))))</f>
        <v>gm. m.-w. Jarocin</v>
      </c>
      <c r="D2593" s="141">
        <f>IF(OR($A2593="",ISERROR(VALUE(LEFT($A2593,6)))),"",IF(LEN($A2593)=2,SUMIF($A2594:$A$2965,$A2593&amp;"??",$D2594:$D$2965),IF(AND(LEN($A2593)=4,VALUE(RIGHT($A2593,2))&lt;=60),SUMIF($A2594:$A$2965,$A2593&amp;"????",$D2594:$D$2965),VLOOKUP(IF(LEN($A2593)=4,$A2593&amp;"01 1",$A2593),GUS_tabl_21!$A$5:$F$4886,6,FALSE))))</f>
        <v>45731</v>
      </c>
      <c r="E2593" s="29"/>
    </row>
    <row r="2594" spans="1:5" ht="12" customHeight="1">
      <c r="A2594" s="155" t="str">
        <f>"300603 2"</f>
        <v>300603 2</v>
      </c>
      <c r="B2594" s="153" t="s">
        <v>34</v>
      </c>
      <c r="C2594" s="156" t="str">
        <f>IF(OR($A2594="",ISERROR(VALUE(LEFT($A2594,6)))),"",IF(LEN($A2594)=2,"WOJ. ",IF(LEN($A2594)=4,IF(VALUE(RIGHT($A2594,2))&gt;60,"","Powiat "),IF(VALUE(RIGHT($A2594,1))=1,"m. ",IF(VALUE(RIGHT($A2594,1))=2,"gm. w. ",IF(VALUE(RIGHT($A2594,1))=8,"dz. ","gm. m.-w. ")))))&amp;IF(LEN($A2594)=2,TRIM(UPPER(VLOOKUP($A2594,GUS_tabl_1!$A$7:$B$22,2,FALSE))),IF(ISERROR(FIND("..",TRIM(VLOOKUP(IF(AND(LEN($A2594)=4,VALUE(RIGHT($A2594,2))&gt;60),$A2594&amp;"01 1",$A2594),IF(AND(LEN($A2594)=4,VALUE(RIGHT($A2594,2))&lt;60),GUS_tabl_2!$A$8:$B$464,GUS_tabl_21!$A$5:$B$4886),2,FALSE)))),TRIM(VLOOKUP(IF(AND(LEN($A2594)=4,VALUE(RIGHT($A2594,2))&gt;60),$A2594&amp;"01 1",$A2594),IF(AND(LEN($A2594)=4,VALUE(RIGHT($A2594,2))&lt;60),GUS_tabl_2!$A$8:$B$464,GUS_tabl_21!$A$5:$B$4886),2,FALSE)),LEFT(TRIM(VLOOKUP(IF(AND(LEN($A2594)=4,VALUE(RIGHT($A2594,2))&gt;60),$A2594&amp;"01 1",$A2594),IF(AND(LEN($A2594)=4,VALUE(RIGHT($A2594,2))&lt;60),GUS_tabl_2!$A$8:$B$464,GUS_tabl_21!$A$5:$B$4886),2,FALSE)),SUM(FIND("..",TRIM(VLOOKUP(IF(AND(LEN($A2594)=4,VALUE(RIGHT($A2594,2))&gt;60),$A2594&amp;"01 1",$A2594),IF(AND(LEN($A2594)=4,VALUE(RIGHT($A2594,2))&lt;60),GUS_tabl_2!$A$8:$B$464,GUS_tabl_21!$A$5:$B$4886),2,FALSE))),-1)))))</f>
        <v>gm. w. Kotlin</v>
      </c>
      <c r="D2594" s="141">
        <f>IF(OR($A2594="",ISERROR(VALUE(LEFT($A2594,6)))),"",IF(LEN($A2594)=2,SUMIF($A2595:$A$2965,$A2594&amp;"??",$D2595:$D$2965),IF(AND(LEN($A2594)=4,VALUE(RIGHT($A2594,2))&lt;=60),SUMIF($A2595:$A$2965,$A2594&amp;"????",$D2595:$D$2965),VLOOKUP(IF(LEN($A2594)=4,$A2594&amp;"01 1",$A2594),GUS_tabl_21!$A$5:$F$4886,6,FALSE))))</f>
        <v>7442</v>
      </c>
      <c r="E2594" s="29"/>
    </row>
    <row r="2595" spans="1:5" ht="12" customHeight="1">
      <c r="A2595" s="155" t="str">
        <f>"300604 3"</f>
        <v>300604 3</v>
      </c>
      <c r="B2595" s="153" t="s">
        <v>34</v>
      </c>
      <c r="C2595" s="156" t="str">
        <f>IF(OR($A2595="",ISERROR(VALUE(LEFT($A2595,6)))),"",IF(LEN($A2595)=2,"WOJ. ",IF(LEN($A2595)=4,IF(VALUE(RIGHT($A2595,2))&gt;60,"","Powiat "),IF(VALUE(RIGHT($A2595,1))=1,"m. ",IF(VALUE(RIGHT($A2595,1))=2,"gm. w. ",IF(VALUE(RIGHT($A2595,1))=8,"dz. ","gm. m.-w. ")))))&amp;IF(LEN($A2595)=2,TRIM(UPPER(VLOOKUP($A2595,GUS_tabl_1!$A$7:$B$22,2,FALSE))),IF(ISERROR(FIND("..",TRIM(VLOOKUP(IF(AND(LEN($A2595)=4,VALUE(RIGHT($A2595,2))&gt;60),$A2595&amp;"01 1",$A2595),IF(AND(LEN($A2595)=4,VALUE(RIGHT($A2595,2))&lt;60),GUS_tabl_2!$A$8:$B$464,GUS_tabl_21!$A$5:$B$4886),2,FALSE)))),TRIM(VLOOKUP(IF(AND(LEN($A2595)=4,VALUE(RIGHT($A2595,2))&gt;60),$A2595&amp;"01 1",$A2595),IF(AND(LEN($A2595)=4,VALUE(RIGHT($A2595,2))&lt;60),GUS_tabl_2!$A$8:$B$464,GUS_tabl_21!$A$5:$B$4886),2,FALSE)),LEFT(TRIM(VLOOKUP(IF(AND(LEN($A2595)=4,VALUE(RIGHT($A2595,2))&gt;60),$A2595&amp;"01 1",$A2595),IF(AND(LEN($A2595)=4,VALUE(RIGHT($A2595,2))&lt;60),GUS_tabl_2!$A$8:$B$464,GUS_tabl_21!$A$5:$B$4886),2,FALSE)),SUM(FIND("..",TRIM(VLOOKUP(IF(AND(LEN($A2595)=4,VALUE(RIGHT($A2595,2))&gt;60),$A2595&amp;"01 1",$A2595),IF(AND(LEN($A2595)=4,VALUE(RIGHT($A2595,2))&lt;60),GUS_tabl_2!$A$8:$B$464,GUS_tabl_21!$A$5:$B$4886),2,FALSE))),-1)))))</f>
        <v>gm. m.-w. Żerków</v>
      </c>
      <c r="D2595" s="141">
        <f>IF(OR($A2595="",ISERROR(VALUE(LEFT($A2595,6)))),"",IF(LEN($A2595)=2,SUMIF($A2596:$A$2965,$A2595&amp;"??",$D2596:$D$2965),IF(AND(LEN($A2595)=4,VALUE(RIGHT($A2595,2))&lt;=60),SUMIF($A2596:$A$2965,$A2595&amp;"????",$D2596:$D$2965),VLOOKUP(IF(LEN($A2595)=4,$A2595&amp;"01 1",$A2595),GUS_tabl_21!$A$5:$F$4886,6,FALSE))))</f>
        <v>10248</v>
      </c>
      <c r="E2595" s="29"/>
    </row>
    <row r="2596" spans="1:5" ht="12" customHeight="1">
      <c r="A2596" s="152" t="str">
        <f>"3007"</f>
        <v>3007</v>
      </c>
      <c r="B2596" s="153" t="s">
        <v>34</v>
      </c>
      <c r="C2596" s="154" t="str">
        <f>IF(OR($A2596="",ISERROR(VALUE(LEFT($A2596,6)))),"",IF(LEN($A2596)=2,"WOJ. ",IF(LEN($A2596)=4,IF(VALUE(RIGHT($A2596,2))&gt;60,"","Powiat "),IF(VALUE(RIGHT($A2596,1))=1,"m. ",IF(VALUE(RIGHT($A2596,1))=2,"gm. w. ",IF(VALUE(RIGHT($A2596,1))=8,"dz. ","gm. m.-w. ")))))&amp;IF(LEN($A2596)=2,TRIM(UPPER(VLOOKUP($A2596,GUS_tabl_1!$A$7:$B$22,2,FALSE))),IF(ISERROR(FIND("..",TRIM(VLOOKUP(IF(AND(LEN($A2596)=4,VALUE(RIGHT($A2596,2))&gt;60),$A2596&amp;"01 1",$A2596),IF(AND(LEN($A2596)=4,VALUE(RIGHT($A2596,2))&lt;60),GUS_tabl_2!$A$8:$B$464,GUS_tabl_21!$A$5:$B$4886),2,FALSE)))),TRIM(VLOOKUP(IF(AND(LEN($A2596)=4,VALUE(RIGHT($A2596,2))&gt;60),$A2596&amp;"01 1",$A2596),IF(AND(LEN($A2596)=4,VALUE(RIGHT($A2596,2))&lt;60),GUS_tabl_2!$A$8:$B$464,GUS_tabl_21!$A$5:$B$4886),2,FALSE)),LEFT(TRIM(VLOOKUP(IF(AND(LEN($A2596)=4,VALUE(RIGHT($A2596,2))&gt;60),$A2596&amp;"01 1",$A2596),IF(AND(LEN($A2596)=4,VALUE(RIGHT($A2596,2))&lt;60),GUS_tabl_2!$A$8:$B$464,GUS_tabl_21!$A$5:$B$4886),2,FALSE)),SUM(FIND("..",TRIM(VLOOKUP(IF(AND(LEN($A2596)=4,VALUE(RIGHT($A2596,2))&gt;60),$A2596&amp;"01 1",$A2596),IF(AND(LEN($A2596)=4,VALUE(RIGHT($A2596,2))&lt;60),GUS_tabl_2!$A$8:$B$464,GUS_tabl_21!$A$5:$B$4886),2,FALSE))),-1)))))</f>
        <v>Powiat kaliski</v>
      </c>
      <c r="D2596" s="140">
        <f>IF(OR($A2596="",ISERROR(VALUE(LEFT($A2596,6)))),"",IF(LEN($A2596)=2,SUMIF($A2597:$A$2965,$A2596&amp;"??",$D2597:$D$2965),IF(AND(LEN($A2596)=4,VALUE(RIGHT($A2596,2))&lt;=60),SUMIF($A2597:$A$2965,$A2596&amp;"????",$D2597:$D$2965),VLOOKUP(IF(LEN($A2596)=4,$A2596&amp;"01 1",$A2596),GUS_tabl_21!$A$5:$F$4886,6,FALSE))))</f>
        <v>83026</v>
      </c>
      <c r="E2596" s="29"/>
    </row>
    <row r="2597" spans="1:5" ht="12" customHeight="1">
      <c r="A2597" s="155" t="str">
        <f>"300701 2"</f>
        <v>300701 2</v>
      </c>
      <c r="B2597" s="153" t="s">
        <v>34</v>
      </c>
      <c r="C2597" s="156" t="str">
        <f>IF(OR($A2597="",ISERROR(VALUE(LEFT($A2597,6)))),"",IF(LEN($A2597)=2,"WOJ. ",IF(LEN($A2597)=4,IF(VALUE(RIGHT($A2597,2))&gt;60,"","Powiat "),IF(VALUE(RIGHT($A2597,1))=1,"m. ",IF(VALUE(RIGHT($A2597,1))=2,"gm. w. ",IF(VALUE(RIGHT($A2597,1))=8,"dz. ","gm. m.-w. ")))))&amp;IF(LEN($A2597)=2,TRIM(UPPER(VLOOKUP($A2597,GUS_tabl_1!$A$7:$B$22,2,FALSE))),IF(ISERROR(FIND("..",TRIM(VLOOKUP(IF(AND(LEN($A2597)=4,VALUE(RIGHT($A2597,2))&gt;60),$A2597&amp;"01 1",$A2597),IF(AND(LEN($A2597)=4,VALUE(RIGHT($A2597,2))&lt;60),GUS_tabl_2!$A$8:$B$464,GUS_tabl_21!$A$5:$B$4886),2,FALSE)))),TRIM(VLOOKUP(IF(AND(LEN($A2597)=4,VALUE(RIGHT($A2597,2))&gt;60),$A2597&amp;"01 1",$A2597),IF(AND(LEN($A2597)=4,VALUE(RIGHT($A2597,2))&lt;60),GUS_tabl_2!$A$8:$B$464,GUS_tabl_21!$A$5:$B$4886),2,FALSE)),LEFT(TRIM(VLOOKUP(IF(AND(LEN($A2597)=4,VALUE(RIGHT($A2597,2))&gt;60),$A2597&amp;"01 1",$A2597),IF(AND(LEN($A2597)=4,VALUE(RIGHT($A2597,2))&lt;60),GUS_tabl_2!$A$8:$B$464,GUS_tabl_21!$A$5:$B$4886),2,FALSE)),SUM(FIND("..",TRIM(VLOOKUP(IF(AND(LEN($A2597)=4,VALUE(RIGHT($A2597,2))&gt;60),$A2597&amp;"01 1",$A2597),IF(AND(LEN($A2597)=4,VALUE(RIGHT($A2597,2))&lt;60),GUS_tabl_2!$A$8:$B$464,GUS_tabl_21!$A$5:$B$4886),2,FALSE))),-1)))))</f>
        <v>gm. w. Blizanów</v>
      </c>
      <c r="D2597" s="141">
        <f>IF(OR($A2597="",ISERROR(VALUE(LEFT($A2597,6)))),"",IF(LEN($A2597)=2,SUMIF($A2598:$A$2965,$A2597&amp;"??",$D2598:$D$2965),IF(AND(LEN($A2597)=4,VALUE(RIGHT($A2597,2))&lt;=60),SUMIF($A2598:$A$2965,$A2597&amp;"????",$D2598:$D$2965),VLOOKUP(IF(LEN($A2597)=4,$A2597&amp;"01 1",$A2597),GUS_tabl_21!$A$5:$F$4886,6,FALSE))))</f>
        <v>9940</v>
      </c>
      <c r="E2597" s="29"/>
    </row>
    <row r="2598" spans="1:5" ht="12" customHeight="1">
      <c r="A2598" s="155" t="str">
        <f>"300702 2"</f>
        <v>300702 2</v>
      </c>
      <c r="B2598" s="153" t="s">
        <v>34</v>
      </c>
      <c r="C2598" s="156" t="str">
        <f>IF(OR($A2598="",ISERROR(VALUE(LEFT($A2598,6)))),"",IF(LEN($A2598)=2,"WOJ. ",IF(LEN($A2598)=4,IF(VALUE(RIGHT($A2598,2))&gt;60,"","Powiat "),IF(VALUE(RIGHT($A2598,1))=1,"m. ",IF(VALUE(RIGHT($A2598,1))=2,"gm. w. ",IF(VALUE(RIGHT($A2598,1))=8,"dz. ","gm. m.-w. ")))))&amp;IF(LEN($A2598)=2,TRIM(UPPER(VLOOKUP($A2598,GUS_tabl_1!$A$7:$B$22,2,FALSE))),IF(ISERROR(FIND("..",TRIM(VLOOKUP(IF(AND(LEN($A2598)=4,VALUE(RIGHT($A2598,2))&gt;60),$A2598&amp;"01 1",$A2598),IF(AND(LEN($A2598)=4,VALUE(RIGHT($A2598,2))&lt;60),GUS_tabl_2!$A$8:$B$464,GUS_tabl_21!$A$5:$B$4886),2,FALSE)))),TRIM(VLOOKUP(IF(AND(LEN($A2598)=4,VALUE(RIGHT($A2598,2))&gt;60),$A2598&amp;"01 1",$A2598),IF(AND(LEN($A2598)=4,VALUE(RIGHT($A2598,2))&lt;60),GUS_tabl_2!$A$8:$B$464,GUS_tabl_21!$A$5:$B$4886),2,FALSE)),LEFT(TRIM(VLOOKUP(IF(AND(LEN($A2598)=4,VALUE(RIGHT($A2598,2))&gt;60),$A2598&amp;"01 1",$A2598),IF(AND(LEN($A2598)=4,VALUE(RIGHT($A2598,2))&lt;60),GUS_tabl_2!$A$8:$B$464,GUS_tabl_21!$A$5:$B$4886),2,FALSE)),SUM(FIND("..",TRIM(VLOOKUP(IF(AND(LEN($A2598)=4,VALUE(RIGHT($A2598,2))&gt;60),$A2598&amp;"01 1",$A2598),IF(AND(LEN($A2598)=4,VALUE(RIGHT($A2598,2))&lt;60),GUS_tabl_2!$A$8:$B$464,GUS_tabl_21!$A$5:$B$4886),2,FALSE))),-1)))))</f>
        <v>gm. w. Brzeziny</v>
      </c>
      <c r="D2598" s="141">
        <f>IF(OR($A2598="",ISERROR(VALUE(LEFT($A2598,6)))),"",IF(LEN($A2598)=2,SUMIF($A2599:$A$2965,$A2598&amp;"??",$D2599:$D$2965),IF(AND(LEN($A2598)=4,VALUE(RIGHT($A2598,2))&lt;=60),SUMIF($A2599:$A$2965,$A2598&amp;"????",$D2599:$D$2965),VLOOKUP(IF(LEN($A2598)=4,$A2598&amp;"01 1",$A2598),GUS_tabl_21!$A$5:$F$4886,6,FALSE))))</f>
        <v>5817</v>
      </c>
      <c r="E2598" s="29"/>
    </row>
    <row r="2599" spans="1:5" ht="12" customHeight="1">
      <c r="A2599" s="155" t="str">
        <f>"300703 2"</f>
        <v>300703 2</v>
      </c>
      <c r="B2599" s="153" t="s">
        <v>34</v>
      </c>
      <c r="C2599" s="156" t="str">
        <f>IF(OR($A2599="",ISERROR(VALUE(LEFT($A2599,6)))),"",IF(LEN($A2599)=2,"WOJ. ",IF(LEN($A2599)=4,IF(VALUE(RIGHT($A2599,2))&gt;60,"","Powiat "),IF(VALUE(RIGHT($A2599,1))=1,"m. ",IF(VALUE(RIGHT($A2599,1))=2,"gm. w. ",IF(VALUE(RIGHT($A2599,1))=8,"dz. ","gm. m.-w. ")))))&amp;IF(LEN($A2599)=2,TRIM(UPPER(VLOOKUP($A2599,GUS_tabl_1!$A$7:$B$22,2,FALSE))),IF(ISERROR(FIND("..",TRIM(VLOOKUP(IF(AND(LEN($A2599)=4,VALUE(RIGHT($A2599,2))&gt;60),$A2599&amp;"01 1",$A2599),IF(AND(LEN($A2599)=4,VALUE(RIGHT($A2599,2))&lt;60),GUS_tabl_2!$A$8:$B$464,GUS_tabl_21!$A$5:$B$4886),2,FALSE)))),TRIM(VLOOKUP(IF(AND(LEN($A2599)=4,VALUE(RIGHT($A2599,2))&gt;60),$A2599&amp;"01 1",$A2599),IF(AND(LEN($A2599)=4,VALUE(RIGHT($A2599,2))&lt;60),GUS_tabl_2!$A$8:$B$464,GUS_tabl_21!$A$5:$B$4886),2,FALSE)),LEFT(TRIM(VLOOKUP(IF(AND(LEN($A2599)=4,VALUE(RIGHT($A2599,2))&gt;60),$A2599&amp;"01 1",$A2599),IF(AND(LEN($A2599)=4,VALUE(RIGHT($A2599,2))&lt;60),GUS_tabl_2!$A$8:$B$464,GUS_tabl_21!$A$5:$B$4886),2,FALSE)),SUM(FIND("..",TRIM(VLOOKUP(IF(AND(LEN($A2599)=4,VALUE(RIGHT($A2599,2))&gt;60),$A2599&amp;"01 1",$A2599),IF(AND(LEN($A2599)=4,VALUE(RIGHT($A2599,2))&lt;60),GUS_tabl_2!$A$8:$B$464,GUS_tabl_21!$A$5:$B$4886),2,FALSE))),-1)))))</f>
        <v>gm. w. Ceków-Kolonia</v>
      </c>
      <c r="D2599" s="141">
        <f>IF(OR($A2599="",ISERROR(VALUE(LEFT($A2599,6)))),"",IF(LEN($A2599)=2,SUMIF($A2600:$A$2965,$A2599&amp;"??",$D2600:$D$2965),IF(AND(LEN($A2599)=4,VALUE(RIGHT($A2599,2))&lt;=60),SUMIF($A2600:$A$2965,$A2599&amp;"????",$D2600:$D$2965),VLOOKUP(IF(LEN($A2599)=4,$A2599&amp;"01 1",$A2599),GUS_tabl_21!$A$5:$F$4886,6,FALSE))))</f>
        <v>4746</v>
      </c>
      <c r="E2599" s="29"/>
    </row>
    <row r="2600" spans="1:5" ht="12" customHeight="1">
      <c r="A2600" s="155" t="str">
        <f>"300704 2"</f>
        <v>300704 2</v>
      </c>
      <c r="B2600" s="153" t="s">
        <v>34</v>
      </c>
      <c r="C2600" s="156" t="str">
        <f>IF(OR($A2600="",ISERROR(VALUE(LEFT($A2600,6)))),"",IF(LEN($A2600)=2,"WOJ. ",IF(LEN($A2600)=4,IF(VALUE(RIGHT($A2600,2))&gt;60,"","Powiat "),IF(VALUE(RIGHT($A2600,1))=1,"m. ",IF(VALUE(RIGHT($A2600,1))=2,"gm. w. ",IF(VALUE(RIGHT($A2600,1))=8,"dz. ","gm. m.-w. ")))))&amp;IF(LEN($A2600)=2,TRIM(UPPER(VLOOKUP($A2600,GUS_tabl_1!$A$7:$B$22,2,FALSE))),IF(ISERROR(FIND("..",TRIM(VLOOKUP(IF(AND(LEN($A2600)=4,VALUE(RIGHT($A2600,2))&gt;60),$A2600&amp;"01 1",$A2600),IF(AND(LEN($A2600)=4,VALUE(RIGHT($A2600,2))&lt;60),GUS_tabl_2!$A$8:$B$464,GUS_tabl_21!$A$5:$B$4886),2,FALSE)))),TRIM(VLOOKUP(IF(AND(LEN($A2600)=4,VALUE(RIGHT($A2600,2))&gt;60),$A2600&amp;"01 1",$A2600),IF(AND(LEN($A2600)=4,VALUE(RIGHT($A2600,2))&lt;60),GUS_tabl_2!$A$8:$B$464,GUS_tabl_21!$A$5:$B$4886),2,FALSE)),LEFT(TRIM(VLOOKUP(IF(AND(LEN($A2600)=4,VALUE(RIGHT($A2600,2))&gt;60),$A2600&amp;"01 1",$A2600),IF(AND(LEN($A2600)=4,VALUE(RIGHT($A2600,2))&lt;60),GUS_tabl_2!$A$8:$B$464,GUS_tabl_21!$A$5:$B$4886),2,FALSE)),SUM(FIND("..",TRIM(VLOOKUP(IF(AND(LEN($A2600)=4,VALUE(RIGHT($A2600,2))&gt;60),$A2600&amp;"01 1",$A2600),IF(AND(LEN($A2600)=4,VALUE(RIGHT($A2600,2))&lt;60),GUS_tabl_2!$A$8:$B$464,GUS_tabl_21!$A$5:$B$4886),2,FALSE))),-1)))))</f>
        <v>gm. w. Godziesze Wielkie</v>
      </c>
      <c r="D2600" s="141">
        <f>IF(OR($A2600="",ISERROR(VALUE(LEFT($A2600,6)))),"",IF(LEN($A2600)=2,SUMIF($A2601:$A$2965,$A2600&amp;"??",$D2601:$D$2965),IF(AND(LEN($A2600)=4,VALUE(RIGHT($A2600,2))&lt;=60),SUMIF($A2601:$A$2965,$A2600&amp;"????",$D2601:$D$2965),VLOOKUP(IF(LEN($A2600)=4,$A2600&amp;"01 1",$A2600),GUS_tabl_21!$A$5:$F$4886,6,FALSE))))</f>
        <v>9591</v>
      </c>
      <c r="E2600" s="29"/>
    </row>
    <row r="2601" spans="1:5" ht="12" customHeight="1">
      <c r="A2601" s="155" t="str">
        <f>"300705 2"</f>
        <v>300705 2</v>
      </c>
      <c r="B2601" s="153" t="s">
        <v>34</v>
      </c>
      <c r="C2601" s="156" t="str">
        <f>IF(OR($A2601="",ISERROR(VALUE(LEFT($A2601,6)))),"",IF(LEN($A2601)=2,"WOJ. ",IF(LEN($A2601)=4,IF(VALUE(RIGHT($A2601,2))&gt;60,"","Powiat "),IF(VALUE(RIGHT($A2601,1))=1,"m. ",IF(VALUE(RIGHT($A2601,1))=2,"gm. w. ",IF(VALUE(RIGHT($A2601,1))=8,"dz. ","gm. m.-w. ")))))&amp;IF(LEN($A2601)=2,TRIM(UPPER(VLOOKUP($A2601,GUS_tabl_1!$A$7:$B$22,2,FALSE))),IF(ISERROR(FIND("..",TRIM(VLOOKUP(IF(AND(LEN($A2601)=4,VALUE(RIGHT($A2601,2))&gt;60),$A2601&amp;"01 1",$A2601),IF(AND(LEN($A2601)=4,VALUE(RIGHT($A2601,2))&lt;60),GUS_tabl_2!$A$8:$B$464,GUS_tabl_21!$A$5:$B$4886),2,FALSE)))),TRIM(VLOOKUP(IF(AND(LEN($A2601)=4,VALUE(RIGHT($A2601,2))&gt;60),$A2601&amp;"01 1",$A2601),IF(AND(LEN($A2601)=4,VALUE(RIGHT($A2601,2))&lt;60),GUS_tabl_2!$A$8:$B$464,GUS_tabl_21!$A$5:$B$4886),2,FALSE)),LEFT(TRIM(VLOOKUP(IF(AND(LEN($A2601)=4,VALUE(RIGHT($A2601,2))&gt;60),$A2601&amp;"01 1",$A2601),IF(AND(LEN($A2601)=4,VALUE(RIGHT($A2601,2))&lt;60),GUS_tabl_2!$A$8:$B$464,GUS_tabl_21!$A$5:$B$4886),2,FALSE)),SUM(FIND("..",TRIM(VLOOKUP(IF(AND(LEN($A2601)=4,VALUE(RIGHT($A2601,2))&gt;60),$A2601&amp;"01 1",$A2601),IF(AND(LEN($A2601)=4,VALUE(RIGHT($A2601,2))&lt;60),GUS_tabl_2!$A$8:$B$464,GUS_tabl_21!$A$5:$B$4886),2,FALSE))),-1)))))</f>
        <v>gm. w. Koźminek</v>
      </c>
      <c r="D2601" s="141">
        <f>IF(OR($A2601="",ISERROR(VALUE(LEFT($A2601,6)))),"",IF(LEN($A2601)=2,SUMIF($A2602:$A$2965,$A2601&amp;"??",$D2602:$D$2965),IF(AND(LEN($A2601)=4,VALUE(RIGHT($A2601,2))&lt;=60),SUMIF($A2602:$A$2965,$A2601&amp;"????",$D2602:$D$2965),VLOOKUP(IF(LEN($A2601)=4,$A2601&amp;"01 1",$A2601),GUS_tabl_21!$A$5:$F$4886,6,FALSE))))</f>
        <v>7547</v>
      </c>
      <c r="E2601" s="29"/>
    </row>
    <row r="2602" spans="1:5" ht="12" customHeight="1">
      <c r="A2602" s="155" t="str">
        <f>"300706 2"</f>
        <v>300706 2</v>
      </c>
      <c r="B2602" s="153" t="s">
        <v>34</v>
      </c>
      <c r="C2602" s="156" t="str">
        <f>IF(OR($A2602="",ISERROR(VALUE(LEFT($A2602,6)))),"",IF(LEN($A2602)=2,"WOJ. ",IF(LEN($A2602)=4,IF(VALUE(RIGHT($A2602,2))&gt;60,"","Powiat "),IF(VALUE(RIGHT($A2602,1))=1,"m. ",IF(VALUE(RIGHT($A2602,1))=2,"gm. w. ",IF(VALUE(RIGHT($A2602,1))=8,"dz. ","gm. m.-w. ")))))&amp;IF(LEN($A2602)=2,TRIM(UPPER(VLOOKUP($A2602,GUS_tabl_1!$A$7:$B$22,2,FALSE))),IF(ISERROR(FIND("..",TRIM(VLOOKUP(IF(AND(LEN($A2602)=4,VALUE(RIGHT($A2602,2))&gt;60),$A2602&amp;"01 1",$A2602),IF(AND(LEN($A2602)=4,VALUE(RIGHT($A2602,2))&lt;60),GUS_tabl_2!$A$8:$B$464,GUS_tabl_21!$A$5:$B$4886),2,FALSE)))),TRIM(VLOOKUP(IF(AND(LEN($A2602)=4,VALUE(RIGHT($A2602,2))&gt;60),$A2602&amp;"01 1",$A2602),IF(AND(LEN($A2602)=4,VALUE(RIGHT($A2602,2))&lt;60),GUS_tabl_2!$A$8:$B$464,GUS_tabl_21!$A$5:$B$4886),2,FALSE)),LEFT(TRIM(VLOOKUP(IF(AND(LEN($A2602)=4,VALUE(RIGHT($A2602,2))&gt;60),$A2602&amp;"01 1",$A2602),IF(AND(LEN($A2602)=4,VALUE(RIGHT($A2602,2))&lt;60),GUS_tabl_2!$A$8:$B$464,GUS_tabl_21!$A$5:$B$4886),2,FALSE)),SUM(FIND("..",TRIM(VLOOKUP(IF(AND(LEN($A2602)=4,VALUE(RIGHT($A2602,2))&gt;60),$A2602&amp;"01 1",$A2602),IF(AND(LEN($A2602)=4,VALUE(RIGHT($A2602,2))&lt;60),GUS_tabl_2!$A$8:$B$464,GUS_tabl_21!$A$5:$B$4886),2,FALSE))),-1)))))</f>
        <v>gm. w. Lisków</v>
      </c>
      <c r="D2602" s="141">
        <f>IF(OR($A2602="",ISERROR(VALUE(LEFT($A2602,6)))),"",IF(LEN($A2602)=2,SUMIF($A2603:$A$2965,$A2602&amp;"??",$D2603:$D$2965),IF(AND(LEN($A2602)=4,VALUE(RIGHT($A2602,2))&lt;=60),SUMIF($A2603:$A$2965,$A2602&amp;"????",$D2603:$D$2965),VLOOKUP(IF(LEN($A2602)=4,$A2602&amp;"01 1",$A2602),GUS_tabl_21!$A$5:$F$4886,6,FALSE))))</f>
        <v>5213</v>
      </c>
      <c r="E2602" s="29"/>
    </row>
    <row r="2603" spans="1:5" ht="12" customHeight="1">
      <c r="A2603" s="155" t="str">
        <f>"300707 2"</f>
        <v>300707 2</v>
      </c>
      <c r="B2603" s="153" t="s">
        <v>34</v>
      </c>
      <c r="C2603" s="156" t="str">
        <f>IF(OR($A2603="",ISERROR(VALUE(LEFT($A2603,6)))),"",IF(LEN($A2603)=2,"WOJ. ",IF(LEN($A2603)=4,IF(VALUE(RIGHT($A2603,2))&gt;60,"","Powiat "),IF(VALUE(RIGHT($A2603,1))=1,"m. ",IF(VALUE(RIGHT($A2603,1))=2,"gm. w. ",IF(VALUE(RIGHT($A2603,1))=8,"dz. ","gm. m.-w. ")))))&amp;IF(LEN($A2603)=2,TRIM(UPPER(VLOOKUP($A2603,GUS_tabl_1!$A$7:$B$22,2,FALSE))),IF(ISERROR(FIND("..",TRIM(VLOOKUP(IF(AND(LEN($A2603)=4,VALUE(RIGHT($A2603,2))&gt;60),$A2603&amp;"01 1",$A2603),IF(AND(LEN($A2603)=4,VALUE(RIGHT($A2603,2))&lt;60),GUS_tabl_2!$A$8:$B$464,GUS_tabl_21!$A$5:$B$4886),2,FALSE)))),TRIM(VLOOKUP(IF(AND(LEN($A2603)=4,VALUE(RIGHT($A2603,2))&gt;60),$A2603&amp;"01 1",$A2603),IF(AND(LEN($A2603)=4,VALUE(RIGHT($A2603,2))&lt;60),GUS_tabl_2!$A$8:$B$464,GUS_tabl_21!$A$5:$B$4886),2,FALSE)),LEFT(TRIM(VLOOKUP(IF(AND(LEN($A2603)=4,VALUE(RIGHT($A2603,2))&gt;60),$A2603&amp;"01 1",$A2603),IF(AND(LEN($A2603)=4,VALUE(RIGHT($A2603,2))&lt;60),GUS_tabl_2!$A$8:$B$464,GUS_tabl_21!$A$5:$B$4886),2,FALSE)),SUM(FIND("..",TRIM(VLOOKUP(IF(AND(LEN($A2603)=4,VALUE(RIGHT($A2603,2))&gt;60),$A2603&amp;"01 1",$A2603),IF(AND(LEN($A2603)=4,VALUE(RIGHT($A2603,2))&lt;60),GUS_tabl_2!$A$8:$B$464,GUS_tabl_21!$A$5:$B$4886),2,FALSE))),-1)))))</f>
        <v>gm. w. Mycielin</v>
      </c>
      <c r="D2603" s="141">
        <f>IF(OR($A2603="",ISERROR(VALUE(LEFT($A2603,6)))),"",IF(LEN($A2603)=2,SUMIF($A2604:$A$2965,$A2603&amp;"??",$D2604:$D$2965),IF(AND(LEN($A2603)=4,VALUE(RIGHT($A2603,2))&lt;=60),SUMIF($A2604:$A$2965,$A2603&amp;"????",$D2604:$D$2965),VLOOKUP(IF(LEN($A2603)=4,$A2603&amp;"01 1",$A2603),GUS_tabl_21!$A$5:$F$4886,6,FALSE))))</f>
        <v>4873</v>
      </c>
      <c r="E2603" s="29"/>
    </row>
    <row r="2604" spans="1:5" ht="12" customHeight="1">
      <c r="A2604" s="155" t="str">
        <f>"300708 3"</f>
        <v>300708 3</v>
      </c>
      <c r="B2604" s="153" t="s">
        <v>34</v>
      </c>
      <c r="C2604" s="159" t="str">
        <f>IF(OR($A2604="",ISERROR(VALUE(LEFT($A2604,6)))),"",IF(LEN($A2604)=2,"WOJ. ",IF(LEN($A2604)=4,IF(VALUE(RIGHT($A2604,2))&gt;60,"","Powiat "),IF(VALUE(RIGHT($A2604,1))=1,"m. ",IF(VALUE(RIGHT($A2604,1))=2,"gm. w. ",IF(VALUE(RIGHT($A2604,1))=8,"dz. ","gm. m.-w. ")))))&amp;IF(LEN($A2604)=2,TRIM(UPPER(VLOOKUP($A2604,GUS_tabl_1!$A$7:$B$22,2,FALSE))),IF(ISERROR(FIND("..",TRIM(VLOOKUP(IF(AND(LEN($A2604)=4,VALUE(RIGHT($A2604,2))&gt;60),$A2604&amp;"01 1",$A2604),IF(AND(LEN($A2604)=4,VALUE(RIGHT($A2604,2))&lt;60),GUS_tabl_2!$A$8:$B$464,GUS_tabl_21!$A$5:$B$4886),2,FALSE)))),TRIM(VLOOKUP(IF(AND(LEN($A2604)=4,VALUE(RIGHT($A2604,2))&gt;60),$A2604&amp;"01 1",$A2604),IF(AND(LEN($A2604)=4,VALUE(RIGHT($A2604,2))&lt;60),GUS_tabl_2!$A$8:$B$464,GUS_tabl_21!$A$5:$B$4886),2,FALSE)),LEFT(TRIM(VLOOKUP(IF(AND(LEN($A2604)=4,VALUE(RIGHT($A2604,2))&gt;60),$A2604&amp;"01 1",$A2604),IF(AND(LEN($A2604)=4,VALUE(RIGHT($A2604,2))&lt;60),GUS_tabl_2!$A$8:$B$464,GUS_tabl_21!$A$5:$B$4886),2,FALSE)),SUM(FIND("..",TRIM(VLOOKUP(IF(AND(LEN($A2604)=4,VALUE(RIGHT($A2604,2))&gt;60),$A2604&amp;"01 1",$A2604),IF(AND(LEN($A2604)=4,VALUE(RIGHT($A2604,2))&lt;60),GUS_tabl_2!$A$8:$B$464,GUS_tabl_21!$A$5:$B$4886),2,FALSE))),-1)))))</f>
        <v>gm. m.-w. Opatówek</v>
      </c>
      <c r="D2604" s="141">
        <f>IF(OR($A2604="",ISERROR(VALUE(LEFT($A2604,6)))),"",IF(LEN($A2604)=2,SUMIF($A2605:$A$2965,$A2604&amp;"??",$D2605:$D$2965),IF(AND(LEN($A2604)=4,VALUE(RIGHT($A2604,2))&lt;=60),SUMIF($A2605:$A$2965,$A2604&amp;"????",$D2605:$D$2965),VLOOKUP(IF(LEN($A2604)=4,$A2604&amp;"01 1",$A2604),GUS_tabl_21!$A$5:$F$4886,6,FALSE))))</f>
        <v>10808</v>
      </c>
      <c r="E2604" s="29"/>
    </row>
    <row r="2605" spans="1:5" ht="12" customHeight="1">
      <c r="A2605" s="155" t="str">
        <f>"300709 3"</f>
        <v>300709 3</v>
      </c>
      <c r="B2605" s="153" t="s">
        <v>34</v>
      </c>
      <c r="C2605" s="156" t="str">
        <f>IF(OR($A2605="",ISERROR(VALUE(LEFT($A2605,6)))),"",IF(LEN($A2605)=2,"WOJ. ",IF(LEN($A2605)=4,IF(VALUE(RIGHT($A2605,2))&gt;60,"","Powiat "),IF(VALUE(RIGHT($A2605,1))=1,"m. ",IF(VALUE(RIGHT($A2605,1))=2,"gm. w. ",IF(VALUE(RIGHT($A2605,1))=8,"dz. ","gm. m.-w. ")))))&amp;IF(LEN($A2605)=2,TRIM(UPPER(VLOOKUP($A2605,GUS_tabl_1!$A$7:$B$22,2,FALSE))),IF(ISERROR(FIND("..",TRIM(VLOOKUP(IF(AND(LEN($A2605)=4,VALUE(RIGHT($A2605,2))&gt;60),$A2605&amp;"01 1",$A2605),IF(AND(LEN($A2605)=4,VALUE(RIGHT($A2605,2))&lt;60),GUS_tabl_2!$A$8:$B$464,GUS_tabl_21!$A$5:$B$4886),2,FALSE)))),TRIM(VLOOKUP(IF(AND(LEN($A2605)=4,VALUE(RIGHT($A2605,2))&gt;60),$A2605&amp;"01 1",$A2605),IF(AND(LEN($A2605)=4,VALUE(RIGHT($A2605,2))&lt;60),GUS_tabl_2!$A$8:$B$464,GUS_tabl_21!$A$5:$B$4886),2,FALSE)),LEFT(TRIM(VLOOKUP(IF(AND(LEN($A2605)=4,VALUE(RIGHT($A2605,2))&gt;60),$A2605&amp;"01 1",$A2605),IF(AND(LEN($A2605)=4,VALUE(RIGHT($A2605,2))&lt;60),GUS_tabl_2!$A$8:$B$464,GUS_tabl_21!$A$5:$B$4886),2,FALSE)),SUM(FIND("..",TRIM(VLOOKUP(IF(AND(LEN($A2605)=4,VALUE(RIGHT($A2605,2))&gt;60),$A2605&amp;"01 1",$A2605),IF(AND(LEN($A2605)=4,VALUE(RIGHT($A2605,2))&lt;60),GUS_tabl_2!$A$8:$B$464,GUS_tabl_21!$A$5:$B$4886),2,FALSE))),-1)))))</f>
        <v>gm. m.-w. Stawiszyn</v>
      </c>
      <c r="D2605" s="141">
        <f>IF(OR($A2605="",ISERROR(VALUE(LEFT($A2605,6)))),"",IF(LEN($A2605)=2,SUMIF($A2606:$A$2965,$A2605&amp;"??",$D2606:$D$2965),IF(AND(LEN($A2605)=4,VALUE(RIGHT($A2605,2))&lt;=60),SUMIF($A2606:$A$2965,$A2605&amp;"????",$D2606:$D$2965),VLOOKUP(IF(LEN($A2605)=4,$A2605&amp;"01 1",$A2605),GUS_tabl_21!$A$5:$F$4886,6,FALSE))))</f>
        <v>7133</v>
      </c>
      <c r="E2605" s="29"/>
    </row>
    <row r="2606" spans="1:5" ht="12" customHeight="1">
      <c r="A2606" s="155" t="str">
        <f>"300710 2"</f>
        <v>300710 2</v>
      </c>
      <c r="B2606" s="153" t="s">
        <v>34</v>
      </c>
      <c r="C2606" s="156" t="str">
        <f>IF(OR($A2606="",ISERROR(VALUE(LEFT($A2606,6)))),"",IF(LEN($A2606)=2,"WOJ. ",IF(LEN($A2606)=4,IF(VALUE(RIGHT($A2606,2))&gt;60,"","Powiat "),IF(VALUE(RIGHT($A2606,1))=1,"m. ",IF(VALUE(RIGHT($A2606,1))=2,"gm. w. ",IF(VALUE(RIGHT($A2606,1))=8,"dz. ","gm. m.-w. ")))))&amp;IF(LEN($A2606)=2,TRIM(UPPER(VLOOKUP($A2606,GUS_tabl_1!$A$7:$B$22,2,FALSE))),IF(ISERROR(FIND("..",TRIM(VLOOKUP(IF(AND(LEN($A2606)=4,VALUE(RIGHT($A2606,2))&gt;60),$A2606&amp;"01 1",$A2606),IF(AND(LEN($A2606)=4,VALUE(RIGHT($A2606,2))&lt;60),GUS_tabl_2!$A$8:$B$464,GUS_tabl_21!$A$5:$B$4886),2,FALSE)))),TRIM(VLOOKUP(IF(AND(LEN($A2606)=4,VALUE(RIGHT($A2606,2))&gt;60),$A2606&amp;"01 1",$A2606),IF(AND(LEN($A2606)=4,VALUE(RIGHT($A2606,2))&lt;60),GUS_tabl_2!$A$8:$B$464,GUS_tabl_21!$A$5:$B$4886),2,FALSE)),LEFT(TRIM(VLOOKUP(IF(AND(LEN($A2606)=4,VALUE(RIGHT($A2606,2))&gt;60),$A2606&amp;"01 1",$A2606),IF(AND(LEN($A2606)=4,VALUE(RIGHT($A2606,2))&lt;60),GUS_tabl_2!$A$8:$B$464,GUS_tabl_21!$A$5:$B$4886),2,FALSE)),SUM(FIND("..",TRIM(VLOOKUP(IF(AND(LEN($A2606)=4,VALUE(RIGHT($A2606,2))&gt;60),$A2606&amp;"01 1",$A2606),IF(AND(LEN($A2606)=4,VALUE(RIGHT($A2606,2))&lt;60),GUS_tabl_2!$A$8:$B$464,GUS_tabl_21!$A$5:$B$4886),2,FALSE))),-1)))))</f>
        <v>gm. w. Szczytniki</v>
      </c>
      <c r="D2606" s="141">
        <f>IF(OR($A2606="",ISERROR(VALUE(LEFT($A2606,6)))),"",IF(LEN($A2606)=2,SUMIF($A2607:$A$2965,$A2606&amp;"??",$D2607:$D$2965),IF(AND(LEN($A2606)=4,VALUE(RIGHT($A2606,2))&lt;=60),SUMIF($A2607:$A$2965,$A2606&amp;"????",$D2607:$D$2965),VLOOKUP(IF(LEN($A2606)=4,$A2606&amp;"01 1",$A2606),GUS_tabl_21!$A$5:$F$4886,6,FALSE))))</f>
        <v>7812</v>
      </c>
      <c r="E2606" s="29"/>
    </row>
    <row r="2607" spans="1:5" ht="12" customHeight="1">
      <c r="A2607" s="155" t="str">
        <f>"300711 2"</f>
        <v>300711 2</v>
      </c>
      <c r="B2607" s="153" t="s">
        <v>34</v>
      </c>
      <c r="C2607" s="156" t="str">
        <f>IF(OR($A2607="",ISERROR(VALUE(LEFT($A2607,6)))),"",IF(LEN($A2607)=2,"WOJ. ",IF(LEN($A2607)=4,IF(VALUE(RIGHT($A2607,2))&gt;60,"","Powiat "),IF(VALUE(RIGHT($A2607,1))=1,"m. ",IF(VALUE(RIGHT($A2607,1))=2,"gm. w. ",IF(VALUE(RIGHT($A2607,1))=8,"dz. ","gm. m.-w. ")))))&amp;IF(LEN($A2607)=2,TRIM(UPPER(VLOOKUP($A2607,GUS_tabl_1!$A$7:$B$22,2,FALSE))),IF(ISERROR(FIND("..",TRIM(VLOOKUP(IF(AND(LEN($A2607)=4,VALUE(RIGHT($A2607,2))&gt;60),$A2607&amp;"01 1",$A2607),IF(AND(LEN($A2607)=4,VALUE(RIGHT($A2607,2))&lt;60),GUS_tabl_2!$A$8:$B$464,GUS_tabl_21!$A$5:$B$4886),2,FALSE)))),TRIM(VLOOKUP(IF(AND(LEN($A2607)=4,VALUE(RIGHT($A2607,2))&gt;60),$A2607&amp;"01 1",$A2607),IF(AND(LEN($A2607)=4,VALUE(RIGHT($A2607,2))&lt;60),GUS_tabl_2!$A$8:$B$464,GUS_tabl_21!$A$5:$B$4886),2,FALSE)),LEFT(TRIM(VLOOKUP(IF(AND(LEN($A2607)=4,VALUE(RIGHT($A2607,2))&gt;60),$A2607&amp;"01 1",$A2607),IF(AND(LEN($A2607)=4,VALUE(RIGHT($A2607,2))&lt;60),GUS_tabl_2!$A$8:$B$464,GUS_tabl_21!$A$5:$B$4886),2,FALSE)),SUM(FIND("..",TRIM(VLOOKUP(IF(AND(LEN($A2607)=4,VALUE(RIGHT($A2607,2))&gt;60),$A2607&amp;"01 1",$A2607),IF(AND(LEN($A2607)=4,VALUE(RIGHT($A2607,2))&lt;60),GUS_tabl_2!$A$8:$B$464,GUS_tabl_21!$A$5:$B$4886),2,FALSE))),-1)))))</f>
        <v>gm. w. Żelazków</v>
      </c>
      <c r="D2607" s="141">
        <f>IF(OR($A2607="",ISERROR(VALUE(LEFT($A2607,6)))),"",IF(LEN($A2607)=2,SUMIF($A2608:$A$2965,$A2607&amp;"??",$D2608:$D$2965),IF(AND(LEN($A2607)=4,VALUE(RIGHT($A2607,2))&lt;=60),SUMIF($A2608:$A$2965,$A2607&amp;"????",$D2608:$D$2965),VLOOKUP(IF(LEN($A2607)=4,$A2607&amp;"01 1",$A2607),GUS_tabl_21!$A$5:$F$4886,6,FALSE))))</f>
        <v>9546</v>
      </c>
      <c r="E2607" s="29"/>
    </row>
    <row r="2608" spans="1:5" ht="12" customHeight="1">
      <c r="A2608" s="152" t="str">
        <f>"3008"</f>
        <v>3008</v>
      </c>
      <c r="B2608" s="153" t="s">
        <v>34</v>
      </c>
      <c r="C2608" s="154" t="str">
        <f>IF(OR($A2608="",ISERROR(VALUE(LEFT($A2608,6)))),"",IF(LEN($A2608)=2,"WOJ. ",IF(LEN($A2608)=4,IF(VALUE(RIGHT($A2608,2))&gt;60,"","Powiat "),IF(VALUE(RIGHT($A2608,1))=1,"m. ",IF(VALUE(RIGHT($A2608,1))=2,"gm. w. ",IF(VALUE(RIGHT($A2608,1))=8,"dz. ","gm. m.-w. ")))))&amp;IF(LEN($A2608)=2,TRIM(UPPER(VLOOKUP($A2608,GUS_tabl_1!$A$7:$B$22,2,FALSE))),IF(ISERROR(FIND("..",TRIM(VLOOKUP(IF(AND(LEN($A2608)=4,VALUE(RIGHT($A2608,2))&gt;60),$A2608&amp;"01 1",$A2608),IF(AND(LEN($A2608)=4,VALUE(RIGHT($A2608,2))&lt;60),GUS_tabl_2!$A$8:$B$464,GUS_tabl_21!$A$5:$B$4886),2,FALSE)))),TRIM(VLOOKUP(IF(AND(LEN($A2608)=4,VALUE(RIGHT($A2608,2))&gt;60),$A2608&amp;"01 1",$A2608),IF(AND(LEN($A2608)=4,VALUE(RIGHT($A2608,2))&lt;60),GUS_tabl_2!$A$8:$B$464,GUS_tabl_21!$A$5:$B$4886),2,FALSE)),LEFT(TRIM(VLOOKUP(IF(AND(LEN($A2608)=4,VALUE(RIGHT($A2608,2))&gt;60),$A2608&amp;"01 1",$A2608),IF(AND(LEN($A2608)=4,VALUE(RIGHT($A2608,2))&lt;60),GUS_tabl_2!$A$8:$B$464,GUS_tabl_21!$A$5:$B$4886),2,FALSE)),SUM(FIND("..",TRIM(VLOOKUP(IF(AND(LEN($A2608)=4,VALUE(RIGHT($A2608,2))&gt;60),$A2608&amp;"01 1",$A2608),IF(AND(LEN($A2608)=4,VALUE(RIGHT($A2608,2))&lt;60),GUS_tabl_2!$A$8:$B$464,GUS_tabl_21!$A$5:$B$4886),2,FALSE))),-1)))))</f>
        <v>Powiat kępiński</v>
      </c>
      <c r="D2608" s="140">
        <f>IF(OR($A2608="",ISERROR(VALUE(LEFT($A2608,6)))),"",IF(LEN($A2608)=2,SUMIF($A2609:$A$2965,$A2608&amp;"??",$D2609:$D$2965),IF(AND(LEN($A2608)=4,VALUE(RIGHT($A2608,2))&lt;=60),SUMIF($A2609:$A$2965,$A2608&amp;"????",$D2609:$D$2965),VLOOKUP(IF(LEN($A2608)=4,$A2608&amp;"01 1",$A2608),GUS_tabl_21!$A$5:$F$4886,6,FALSE))))</f>
        <v>56451</v>
      </c>
      <c r="E2608" s="29"/>
    </row>
    <row r="2609" spans="1:5" ht="12" customHeight="1">
      <c r="A2609" s="155" t="str">
        <f>"300801 2"</f>
        <v>300801 2</v>
      </c>
      <c r="B2609" s="153" t="s">
        <v>34</v>
      </c>
      <c r="C2609" s="156" t="str">
        <f>IF(OR($A2609="",ISERROR(VALUE(LEFT($A2609,6)))),"",IF(LEN($A2609)=2,"WOJ. ",IF(LEN($A2609)=4,IF(VALUE(RIGHT($A2609,2))&gt;60,"","Powiat "),IF(VALUE(RIGHT($A2609,1))=1,"m. ",IF(VALUE(RIGHT($A2609,1))=2,"gm. w. ",IF(VALUE(RIGHT($A2609,1))=8,"dz. ","gm. m.-w. ")))))&amp;IF(LEN($A2609)=2,TRIM(UPPER(VLOOKUP($A2609,GUS_tabl_1!$A$7:$B$22,2,FALSE))),IF(ISERROR(FIND("..",TRIM(VLOOKUP(IF(AND(LEN($A2609)=4,VALUE(RIGHT($A2609,2))&gt;60),$A2609&amp;"01 1",$A2609),IF(AND(LEN($A2609)=4,VALUE(RIGHT($A2609,2))&lt;60),GUS_tabl_2!$A$8:$B$464,GUS_tabl_21!$A$5:$B$4886),2,FALSE)))),TRIM(VLOOKUP(IF(AND(LEN($A2609)=4,VALUE(RIGHT($A2609,2))&gt;60),$A2609&amp;"01 1",$A2609),IF(AND(LEN($A2609)=4,VALUE(RIGHT($A2609,2))&lt;60),GUS_tabl_2!$A$8:$B$464,GUS_tabl_21!$A$5:$B$4886),2,FALSE)),LEFT(TRIM(VLOOKUP(IF(AND(LEN($A2609)=4,VALUE(RIGHT($A2609,2))&gt;60),$A2609&amp;"01 1",$A2609),IF(AND(LEN($A2609)=4,VALUE(RIGHT($A2609,2))&lt;60),GUS_tabl_2!$A$8:$B$464,GUS_tabl_21!$A$5:$B$4886),2,FALSE)),SUM(FIND("..",TRIM(VLOOKUP(IF(AND(LEN($A2609)=4,VALUE(RIGHT($A2609,2))&gt;60),$A2609&amp;"01 1",$A2609),IF(AND(LEN($A2609)=4,VALUE(RIGHT($A2609,2))&lt;60),GUS_tabl_2!$A$8:$B$464,GUS_tabl_21!$A$5:$B$4886),2,FALSE))),-1)))))</f>
        <v>gm. w. Baranów</v>
      </c>
      <c r="D2609" s="141">
        <f>IF(OR($A2609="",ISERROR(VALUE(LEFT($A2609,6)))),"",IF(LEN($A2609)=2,SUMIF($A2610:$A$2965,$A2609&amp;"??",$D2610:$D$2965),IF(AND(LEN($A2609)=4,VALUE(RIGHT($A2609,2))&lt;=60),SUMIF($A2610:$A$2965,$A2609&amp;"????",$D2610:$D$2965),VLOOKUP(IF(LEN($A2609)=4,$A2609&amp;"01 1",$A2609),GUS_tabl_21!$A$5:$F$4886,6,FALSE))))</f>
        <v>7987</v>
      </c>
      <c r="E2609" s="29"/>
    </row>
    <row r="2610" spans="1:5" ht="12" customHeight="1">
      <c r="A2610" s="155" t="str">
        <f>"300802 2"</f>
        <v>300802 2</v>
      </c>
      <c r="B2610" s="153" t="s">
        <v>34</v>
      </c>
      <c r="C2610" s="156" t="str">
        <f>IF(OR($A2610="",ISERROR(VALUE(LEFT($A2610,6)))),"",IF(LEN($A2610)=2,"WOJ. ",IF(LEN($A2610)=4,IF(VALUE(RIGHT($A2610,2))&gt;60,"","Powiat "),IF(VALUE(RIGHT($A2610,1))=1,"m. ",IF(VALUE(RIGHT($A2610,1))=2,"gm. w. ",IF(VALUE(RIGHT($A2610,1))=8,"dz. ","gm. m.-w. ")))))&amp;IF(LEN($A2610)=2,TRIM(UPPER(VLOOKUP($A2610,GUS_tabl_1!$A$7:$B$22,2,FALSE))),IF(ISERROR(FIND("..",TRIM(VLOOKUP(IF(AND(LEN($A2610)=4,VALUE(RIGHT($A2610,2))&gt;60),$A2610&amp;"01 1",$A2610),IF(AND(LEN($A2610)=4,VALUE(RIGHT($A2610,2))&lt;60),GUS_tabl_2!$A$8:$B$464,GUS_tabl_21!$A$5:$B$4886),2,FALSE)))),TRIM(VLOOKUP(IF(AND(LEN($A2610)=4,VALUE(RIGHT($A2610,2))&gt;60),$A2610&amp;"01 1",$A2610),IF(AND(LEN($A2610)=4,VALUE(RIGHT($A2610,2))&lt;60),GUS_tabl_2!$A$8:$B$464,GUS_tabl_21!$A$5:$B$4886),2,FALSE)),LEFT(TRIM(VLOOKUP(IF(AND(LEN($A2610)=4,VALUE(RIGHT($A2610,2))&gt;60),$A2610&amp;"01 1",$A2610),IF(AND(LEN($A2610)=4,VALUE(RIGHT($A2610,2))&lt;60),GUS_tabl_2!$A$8:$B$464,GUS_tabl_21!$A$5:$B$4886),2,FALSE)),SUM(FIND("..",TRIM(VLOOKUP(IF(AND(LEN($A2610)=4,VALUE(RIGHT($A2610,2))&gt;60),$A2610&amp;"01 1",$A2610),IF(AND(LEN($A2610)=4,VALUE(RIGHT($A2610,2))&lt;60),GUS_tabl_2!$A$8:$B$464,GUS_tabl_21!$A$5:$B$4886),2,FALSE))),-1)))))</f>
        <v>gm. w. Bralin</v>
      </c>
      <c r="D2610" s="141">
        <f>IF(OR($A2610="",ISERROR(VALUE(LEFT($A2610,6)))),"",IF(LEN($A2610)=2,SUMIF($A2611:$A$2965,$A2610&amp;"??",$D2611:$D$2965),IF(AND(LEN($A2610)=4,VALUE(RIGHT($A2610,2))&lt;=60),SUMIF($A2611:$A$2965,$A2610&amp;"????",$D2611:$D$2965),VLOOKUP(IF(LEN($A2610)=4,$A2610&amp;"01 1",$A2610),GUS_tabl_21!$A$5:$F$4886,6,FALSE))))</f>
        <v>6100</v>
      </c>
      <c r="E2610" s="29"/>
    </row>
    <row r="2611" spans="1:5" ht="12" customHeight="1">
      <c r="A2611" s="155" t="str">
        <f>"300803 3"</f>
        <v>300803 3</v>
      </c>
      <c r="B2611" s="153" t="s">
        <v>34</v>
      </c>
      <c r="C2611" s="156" t="str">
        <f>IF(OR($A2611="",ISERROR(VALUE(LEFT($A2611,6)))),"",IF(LEN($A2611)=2,"WOJ. ",IF(LEN($A2611)=4,IF(VALUE(RIGHT($A2611,2))&gt;60,"","Powiat "),IF(VALUE(RIGHT($A2611,1))=1,"m. ",IF(VALUE(RIGHT($A2611,1))=2,"gm. w. ",IF(VALUE(RIGHT($A2611,1))=8,"dz. ","gm. m.-w. ")))))&amp;IF(LEN($A2611)=2,TRIM(UPPER(VLOOKUP($A2611,GUS_tabl_1!$A$7:$B$22,2,FALSE))),IF(ISERROR(FIND("..",TRIM(VLOOKUP(IF(AND(LEN($A2611)=4,VALUE(RIGHT($A2611,2))&gt;60),$A2611&amp;"01 1",$A2611),IF(AND(LEN($A2611)=4,VALUE(RIGHT($A2611,2))&lt;60),GUS_tabl_2!$A$8:$B$464,GUS_tabl_21!$A$5:$B$4886),2,FALSE)))),TRIM(VLOOKUP(IF(AND(LEN($A2611)=4,VALUE(RIGHT($A2611,2))&gt;60),$A2611&amp;"01 1",$A2611),IF(AND(LEN($A2611)=4,VALUE(RIGHT($A2611,2))&lt;60),GUS_tabl_2!$A$8:$B$464,GUS_tabl_21!$A$5:$B$4886),2,FALSE)),LEFT(TRIM(VLOOKUP(IF(AND(LEN($A2611)=4,VALUE(RIGHT($A2611,2))&gt;60),$A2611&amp;"01 1",$A2611),IF(AND(LEN($A2611)=4,VALUE(RIGHT($A2611,2))&lt;60),GUS_tabl_2!$A$8:$B$464,GUS_tabl_21!$A$5:$B$4886),2,FALSE)),SUM(FIND("..",TRIM(VLOOKUP(IF(AND(LEN($A2611)=4,VALUE(RIGHT($A2611,2))&gt;60),$A2611&amp;"01 1",$A2611),IF(AND(LEN($A2611)=4,VALUE(RIGHT($A2611,2))&lt;60),GUS_tabl_2!$A$8:$B$464,GUS_tabl_21!$A$5:$B$4886),2,FALSE))),-1)))))</f>
        <v>gm. m.-w. Kępno</v>
      </c>
      <c r="D2611" s="141">
        <f>IF(OR($A2611="",ISERROR(VALUE(LEFT($A2611,6)))),"",IF(LEN($A2611)=2,SUMIF($A2612:$A$2965,$A2611&amp;"??",$D2612:$D$2965),IF(AND(LEN($A2611)=4,VALUE(RIGHT($A2611,2))&lt;=60),SUMIF($A2612:$A$2965,$A2611&amp;"????",$D2612:$D$2965),VLOOKUP(IF(LEN($A2611)=4,$A2611&amp;"01 1",$A2611),GUS_tabl_21!$A$5:$F$4886,6,FALSE))))</f>
        <v>24482</v>
      </c>
      <c r="E2611" s="29"/>
    </row>
    <row r="2612" spans="1:5" ht="12" customHeight="1">
      <c r="A2612" s="155" t="str">
        <f>"300804 2"</f>
        <v>300804 2</v>
      </c>
      <c r="B2612" s="153" t="s">
        <v>34</v>
      </c>
      <c r="C2612" s="156" t="str">
        <f>IF(OR($A2612="",ISERROR(VALUE(LEFT($A2612,6)))),"",IF(LEN($A2612)=2,"WOJ. ",IF(LEN($A2612)=4,IF(VALUE(RIGHT($A2612,2))&gt;60,"","Powiat "),IF(VALUE(RIGHT($A2612,1))=1,"m. ",IF(VALUE(RIGHT($A2612,1))=2,"gm. w. ",IF(VALUE(RIGHT($A2612,1))=8,"dz. ","gm. m.-w. ")))))&amp;IF(LEN($A2612)=2,TRIM(UPPER(VLOOKUP($A2612,GUS_tabl_1!$A$7:$B$22,2,FALSE))),IF(ISERROR(FIND("..",TRIM(VLOOKUP(IF(AND(LEN($A2612)=4,VALUE(RIGHT($A2612,2))&gt;60),$A2612&amp;"01 1",$A2612),IF(AND(LEN($A2612)=4,VALUE(RIGHT($A2612,2))&lt;60),GUS_tabl_2!$A$8:$B$464,GUS_tabl_21!$A$5:$B$4886),2,FALSE)))),TRIM(VLOOKUP(IF(AND(LEN($A2612)=4,VALUE(RIGHT($A2612,2))&gt;60),$A2612&amp;"01 1",$A2612),IF(AND(LEN($A2612)=4,VALUE(RIGHT($A2612,2))&lt;60),GUS_tabl_2!$A$8:$B$464,GUS_tabl_21!$A$5:$B$4886),2,FALSE)),LEFT(TRIM(VLOOKUP(IF(AND(LEN($A2612)=4,VALUE(RIGHT($A2612,2))&gt;60),$A2612&amp;"01 1",$A2612),IF(AND(LEN($A2612)=4,VALUE(RIGHT($A2612,2))&lt;60),GUS_tabl_2!$A$8:$B$464,GUS_tabl_21!$A$5:$B$4886),2,FALSE)),SUM(FIND("..",TRIM(VLOOKUP(IF(AND(LEN($A2612)=4,VALUE(RIGHT($A2612,2))&gt;60),$A2612&amp;"01 1",$A2612),IF(AND(LEN($A2612)=4,VALUE(RIGHT($A2612,2))&lt;60),GUS_tabl_2!$A$8:$B$464,GUS_tabl_21!$A$5:$B$4886),2,FALSE))),-1)))))</f>
        <v>gm. w. Łęka Opatowska</v>
      </c>
      <c r="D2612" s="141">
        <f>IF(OR($A2612="",ISERROR(VALUE(LEFT($A2612,6)))),"",IF(LEN($A2612)=2,SUMIF($A2613:$A$2965,$A2612&amp;"??",$D2613:$D$2965),IF(AND(LEN($A2612)=4,VALUE(RIGHT($A2612,2))&lt;=60),SUMIF($A2613:$A$2965,$A2612&amp;"????",$D2613:$D$2965),VLOOKUP(IF(LEN($A2612)=4,$A2612&amp;"01 1",$A2612),GUS_tabl_21!$A$5:$F$4886,6,FALSE))))</f>
        <v>5356</v>
      </c>
      <c r="E2612" s="29"/>
    </row>
    <row r="2613" spans="1:5" ht="12" customHeight="1">
      <c r="A2613" s="155" t="str">
        <f>"300805 2"</f>
        <v>300805 2</v>
      </c>
      <c r="B2613" s="153" t="s">
        <v>34</v>
      </c>
      <c r="C2613" s="156" t="str">
        <f>IF(OR($A2613="",ISERROR(VALUE(LEFT($A2613,6)))),"",IF(LEN($A2613)=2,"WOJ. ",IF(LEN($A2613)=4,IF(VALUE(RIGHT($A2613,2))&gt;60,"","Powiat "),IF(VALUE(RIGHT($A2613,1))=1,"m. ",IF(VALUE(RIGHT($A2613,1))=2,"gm. w. ",IF(VALUE(RIGHT($A2613,1))=8,"dz. ","gm. m.-w. ")))))&amp;IF(LEN($A2613)=2,TRIM(UPPER(VLOOKUP($A2613,GUS_tabl_1!$A$7:$B$22,2,FALSE))),IF(ISERROR(FIND("..",TRIM(VLOOKUP(IF(AND(LEN($A2613)=4,VALUE(RIGHT($A2613,2))&gt;60),$A2613&amp;"01 1",$A2613),IF(AND(LEN($A2613)=4,VALUE(RIGHT($A2613,2))&lt;60),GUS_tabl_2!$A$8:$B$464,GUS_tabl_21!$A$5:$B$4886),2,FALSE)))),TRIM(VLOOKUP(IF(AND(LEN($A2613)=4,VALUE(RIGHT($A2613,2))&gt;60),$A2613&amp;"01 1",$A2613),IF(AND(LEN($A2613)=4,VALUE(RIGHT($A2613,2))&lt;60),GUS_tabl_2!$A$8:$B$464,GUS_tabl_21!$A$5:$B$4886),2,FALSE)),LEFT(TRIM(VLOOKUP(IF(AND(LEN($A2613)=4,VALUE(RIGHT($A2613,2))&gt;60),$A2613&amp;"01 1",$A2613),IF(AND(LEN($A2613)=4,VALUE(RIGHT($A2613,2))&lt;60),GUS_tabl_2!$A$8:$B$464,GUS_tabl_21!$A$5:$B$4886),2,FALSE)),SUM(FIND("..",TRIM(VLOOKUP(IF(AND(LEN($A2613)=4,VALUE(RIGHT($A2613,2))&gt;60),$A2613&amp;"01 1",$A2613),IF(AND(LEN($A2613)=4,VALUE(RIGHT($A2613,2))&lt;60),GUS_tabl_2!$A$8:$B$464,GUS_tabl_21!$A$5:$B$4886),2,FALSE))),-1)))))</f>
        <v>gm. w. Perzów</v>
      </c>
      <c r="D2613" s="141">
        <f>IF(OR($A2613="",ISERROR(VALUE(LEFT($A2613,6)))),"",IF(LEN($A2613)=2,SUMIF($A2614:$A$2965,$A2613&amp;"??",$D2614:$D$2965),IF(AND(LEN($A2613)=4,VALUE(RIGHT($A2613,2))&lt;=60),SUMIF($A2614:$A$2965,$A2613&amp;"????",$D2614:$D$2965),VLOOKUP(IF(LEN($A2613)=4,$A2613&amp;"01 1",$A2613),GUS_tabl_21!$A$5:$F$4886,6,FALSE))))</f>
        <v>3777</v>
      </c>
      <c r="E2613" s="29"/>
    </row>
    <row r="2614" spans="1:5" ht="12" customHeight="1">
      <c r="A2614" s="155" t="str">
        <f>"300806 2"</f>
        <v>300806 2</v>
      </c>
      <c r="B2614" s="153" t="s">
        <v>34</v>
      </c>
      <c r="C2614" s="156" t="str">
        <f>IF(OR($A2614="",ISERROR(VALUE(LEFT($A2614,6)))),"",IF(LEN($A2614)=2,"WOJ. ",IF(LEN($A2614)=4,IF(VALUE(RIGHT($A2614,2))&gt;60,"","Powiat "),IF(VALUE(RIGHT($A2614,1))=1,"m. ",IF(VALUE(RIGHT($A2614,1))=2,"gm. w. ",IF(VALUE(RIGHT($A2614,1))=8,"dz. ","gm. m.-w. ")))))&amp;IF(LEN($A2614)=2,TRIM(UPPER(VLOOKUP($A2614,GUS_tabl_1!$A$7:$B$22,2,FALSE))),IF(ISERROR(FIND("..",TRIM(VLOOKUP(IF(AND(LEN($A2614)=4,VALUE(RIGHT($A2614,2))&gt;60),$A2614&amp;"01 1",$A2614),IF(AND(LEN($A2614)=4,VALUE(RIGHT($A2614,2))&lt;60),GUS_tabl_2!$A$8:$B$464,GUS_tabl_21!$A$5:$B$4886),2,FALSE)))),TRIM(VLOOKUP(IF(AND(LEN($A2614)=4,VALUE(RIGHT($A2614,2))&gt;60),$A2614&amp;"01 1",$A2614),IF(AND(LEN($A2614)=4,VALUE(RIGHT($A2614,2))&lt;60),GUS_tabl_2!$A$8:$B$464,GUS_tabl_21!$A$5:$B$4886),2,FALSE)),LEFT(TRIM(VLOOKUP(IF(AND(LEN($A2614)=4,VALUE(RIGHT($A2614,2))&gt;60),$A2614&amp;"01 1",$A2614),IF(AND(LEN($A2614)=4,VALUE(RIGHT($A2614,2))&lt;60),GUS_tabl_2!$A$8:$B$464,GUS_tabl_21!$A$5:$B$4886),2,FALSE)),SUM(FIND("..",TRIM(VLOOKUP(IF(AND(LEN($A2614)=4,VALUE(RIGHT($A2614,2))&gt;60),$A2614&amp;"01 1",$A2614),IF(AND(LEN($A2614)=4,VALUE(RIGHT($A2614,2))&lt;60),GUS_tabl_2!$A$8:$B$464,GUS_tabl_21!$A$5:$B$4886),2,FALSE))),-1)))))</f>
        <v>gm. w. Rychtal</v>
      </c>
      <c r="D2614" s="141">
        <f>IF(OR($A2614="",ISERROR(VALUE(LEFT($A2614,6)))),"",IF(LEN($A2614)=2,SUMIF($A2615:$A$2965,$A2614&amp;"??",$D2615:$D$2965),IF(AND(LEN($A2614)=4,VALUE(RIGHT($A2614,2))&lt;=60),SUMIF($A2615:$A$2965,$A2614&amp;"????",$D2615:$D$2965),VLOOKUP(IF(LEN($A2614)=4,$A2614&amp;"01 1",$A2614),GUS_tabl_21!$A$5:$F$4886,6,FALSE))))</f>
        <v>3804</v>
      </c>
      <c r="E2614" s="29"/>
    </row>
    <row r="2615" spans="1:5" ht="12" customHeight="1">
      <c r="A2615" s="155" t="str">
        <f>"300807 2"</f>
        <v>300807 2</v>
      </c>
      <c r="B2615" s="153" t="s">
        <v>34</v>
      </c>
      <c r="C2615" s="156" t="str">
        <f>IF(OR($A2615="",ISERROR(VALUE(LEFT($A2615,6)))),"",IF(LEN($A2615)=2,"WOJ. ",IF(LEN($A2615)=4,IF(VALUE(RIGHT($A2615,2))&gt;60,"","Powiat "),IF(VALUE(RIGHT($A2615,1))=1,"m. ",IF(VALUE(RIGHT($A2615,1))=2,"gm. w. ",IF(VALUE(RIGHT($A2615,1))=8,"dz. ","gm. m.-w. ")))))&amp;IF(LEN($A2615)=2,TRIM(UPPER(VLOOKUP($A2615,GUS_tabl_1!$A$7:$B$22,2,FALSE))),IF(ISERROR(FIND("..",TRIM(VLOOKUP(IF(AND(LEN($A2615)=4,VALUE(RIGHT($A2615,2))&gt;60),$A2615&amp;"01 1",$A2615),IF(AND(LEN($A2615)=4,VALUE(RIGHT($A2615,2))&lt;60),GUS_tabl_2!$A$8:$B$464,GUS_tabl_21!$A$5:$B$4886),2,FALSE)))),TRIM(VLOOKUP(IF(AND(LEN($A2615)=4,VALUE(RIGHT($A2615,2))&gt;60),$A2615&amp;"01 1",$A2615),IF(AND(LEN($A2615)=4,VALUE(RIGHT($A2615,2))&lt;60),GUS_tabl_2!$A$8:$B$464,GUS_tabl_21!$A$5:$B$4886),2,FALSE)),LEFT(TRIM(VLOOKUP(IF(AND(LEN($A2615)=4,VALUE(RIGHT($A2615,2))&gt;60),$A2615&amp;"01 1",$A2615),IF(AND(LEN($A2615)=4,VALUE(RIGHT($A2615,2))&lt;60),GUS_tabl_2!$A$8:$B$464,GUS_tabl_21!$A$5:$B$4886),2,FALSE)),SUM(FIND("..",TRIM(VLOOKUP(IF(AND(LEN($A2615)=4,VALUE(RIGHT($A2615,2))&gt;60),$A2615&amp;"01 1",$A2615),IF(AND(LEN($A2615)=4,VALUE(RIGHT($A2615,2))&lt;60),GUS_tabl_2!$A$8:$B$464,GUS_tabl_21!$A$5:$B$4886),2,FALSE))),-1)))))</f>
        <v>gm. w. Trzcinica</v>
      </c>
      <c r="D2615" s="141">
        <f>IF(OR($A2615="",ISERROR(VALUE(LEFT($A2615,6)))),"",IF(LEN($A2615)=2,SUMIF($A2616:$A$2965,$A2615&amp;"??",$D2616:$D$2965),IF(AND(LEN($A2615)=4,VALUE(RIGHT($A2615,2))&lt;=60),SUMIF($A2616:$A$2965,$A2615&amp;"????",$D2616:$D$2965),VLOOKUP(IF(LEN($A2615)=4,$A2615&amp;"01 1",$A2615),GUS_tabl_21!$A$5:$F$4886,6,FALSE))))</f>
        <v>4945</v>
      </c>
      <c r="E2615" s="29"/>
    </row>
    <row r="2616" spans="1:5" ht="12" customHeight="1">
      <c r="A2616" s="152" t="str">
        <f>"3009"</f>
        <v>3009</v>
      </c>
      <c r="B2616" s="153" t="s">
        <v>34</v>
      </c>
      <c r="C2616" s="154" t="str">
        <f>IF(OR($A2616="",ISERROR(VALUE(LEFT($A2616,6)))),"",IF(LEN($A2616)=2,"WOJ. ",IF(LEN($A2616)=4,IF(VALUE(RIGHT($A2616,2))&gt;60,"","Powiat "),IF(VALUE(RIGHT($A2616,1))=1,"m. ",IF(VALUE(RIGHT($A2616,1))=2,"gm. w. ",IF(VALUE(RIGHT($A2616,1))=8,"dz. ","gm. m.-w. ")))))&amp;IF(LEN($A2616)=2,TRIM(UPPER(VLOOKUP($A2616,GUS_tabl_1!$A$7:$B$22,2,FALSE))),IF(ISERROR(FIND("..",TRIM(VLOOKUP(IF(AND(LEN($A2616)=4,VALUE(RIGHT($A2616,2))&gt;60),$A2616&amp;"01 1",$A2616),IF(AND(LEN($A2616)=4,VALUE(RIGHT($A2616,2))&lt;60),GUS_tabl_2!$A$8:$B$464,GUS_tabl_21!$A$5:$B$4886),2,FALSE)))),TRIM(VLOOKUP(IF(AND(LEN($A2616)=4,VALUE(RIGHT($A2616,2))&gt;60),$A2616&amp;"01 1",$A2616),IF(AND(LEN($A2616)=4,VALUE(RIGHT($A2616,2))&lt;60),GUS_tabl_2!$A$8:$B$464,GUS_tabl_21!$A$5:$B$4886),2,FALSE)),LEFT(TRIM(VLOOKUP(IF(AND(LEN($A2616)=4,VALUE(RIGHT($A2616,2))&gt;60),$A2616&amp;"01 1",$A2616),IF(AND(LEN($A2616)=4,VALUE(RIGHT($A2616,2))&lt;60),GUS_tabl_2!$A$8:$B$464,GUS_tabl_21!$A$5:$B$4886),2,FALSE)),SUM(FIND("..",TRIM(VLOOKUP(IF(AND(LEN($A2616)=4,VALUE(RIGHT($A2616,2))&gt;60),$A2616&amp;"01 1",$A2616),IF(AND(LEN($A2616)=4,VALUE(RIGHT($A2616,2))&lt;60),GUS_tabl_2!$A$8:$B$464,GUS_tabl_21!$A$5:$B$4886),2,FALSE))),-1)))))</f>
        <v>Powiat kolski</v>
      </c>
      <c r="D2616" s="140">
        <f>IF(OR($A2616="",ISERROR(VALUE(LEFT($A2616,6)))),"",IF(LEN($A2616)=2,SUMIF($A2617:$A$2965,$A2616&amp;"??",$D2617:$D$2965),IF(AND(LEN($A2616)=4,VALUE(RIGHT($A2616,2))&lt;=60),SUMIF($A2617:$A$2965,$A2616&amp;"????",$D2617:$D$2965),VLOOKUP(IF(LEN($A2616)=4,$A2616&amp;"01 1",$A2616),GUS_tabl_21!$A$5:$F$4886,6,FALSE))))</f>
        <v>86727</v>
      </c>
      <c r="E2616" s="29"/>
    </row>
    <row r="2617" spans="1:5" ht="12" customHeight="1">
      <c r="A2617" s="155" t="str">
        <f>"300901 1"</f>
        <v>300901 1</v>
      </c>
      <c r="B2617" s="153" t="s">
        <v>34</v>
      </c>
      <c r="C2617" s="156" t="str">
        <f>IF(OR($A2617="",ISERROR(VALUE(LEFT($A2617,6)))),"",IF(LEN($A2617)=2,"WOJ. ",IF(LEN($A2617)=4,IF(VALUE(RIGHT($A2617,2))&gt;60,"","Powiat "),IF(VALUE(RIGHT($A2617,1))=1,"m. ",IF(VALUE(RIGHT($A2617,1))=2,"gm. w. ",IF(VALUE(RIGHT($A2617,1))=8,"dz. ","gm. m.-w. ")))))&amp;IF(LEN($A2617)=2,TRIM(UPPER(VLOOKUP($A2617,GUS_tabl_1!$A$7:$B$22,2,FALSE))),IF(ISERROR(FIND("..",TRIM(VLOOKUP(IF(AND(LEN($A2617)=4,VALUE(RIGHT($A2617,2))&gt;60),$A2617&amp;"01 1",$A2617),IF(AND(LEN($A2617)=4,VALUE(RIGHT($A2617,2))&lt;60),GUS_tabl_2!$A$8:$B$464,GUS_tabl_21!$A$5:$B$4886),2,FALSE)))),TRIM(VLOOKUP(IF(AND(LEN($A2617)=4,VALUE(RIGHT($A2617,2))&gt;60),$A2617&amp;"01 1",$A2617),IF(AND(LEN($A2617)=4,VALUE(RIGHT($A2617,2))&lt;60),GUS_tabl_2!$A$8:$B$464,GUS_tabl_21!$A$5:$B$4886),2,FALSE)),LEFT(TRIM(VLOOKUP(IF(AND(LEN($A2617)=4,VALUE(RIGHT($A2617,2))&gt;60),$A2617&amp;"01 1",$A2617),IF(AND(LEN($A2617)=4,VALUE(RIGHT($A2617,2))&lt;60),GUS_tabl_2!$A$8:$B$464,GUS_tabl_21!$A$5:$B$4886),2,FALSE)),SUM(FIND("..",TRIM(VLOOKUP(IF(AND(LEN($A2617)=4,VALUE(RIGHT($A2617,2))&gt;60),$A2617&amp;"01 1",$A2617),IF(AND(LEN($A2617)=4,VALUE(RIGHT($A2617,2))&lt;60),GUS_tabl_2!$A$8:$B$464,GUS_tabl_21!$A$5:$B$4886),2,FALSE))),-1)))))</f>
        <v>m. Koło</v>
      </c>
      <c r="D2617" s="141">
        <f>IF(OR($A2617="",ISERROR(VALUE(LEFT($A2617,6)))),"",IF(LEN($A2617)=2,SUMIF($A2618:$A$2965,$A2617&amp;"??",$D2618:$D$2965),IF(AND(LEN($A2617)=4,VALUE(RIGHT($A2617,2))&lt;=60),SUMIF($A2618:$A$2965,$A2617&amp;"????",$D2618:$D$2965),VLOOKUP(IF(LEN($A2617)=4,$A2617&amp;"01 1",$A2617),GUS_tabl_21!$A$5:$F$4886,6,FALSE))))</f>
        <v>21686</v>
      </c>
      <c r="E2617" s="29"/>
    </row>
    <row r="2618" spans="1:5" ht="12" customHeight="1">
      <c r="A2618" s="155" t="str">
        <f>"300902 2"</f>
        <v>300902 2</v>
      </c>
      <c r="B2618" s="153" t="s">
        <v>34</v>
      </c>
      <c r="C2618" s="156" t="str">
        <f>IF(OR($A2618="",ISERROR(VALUE(LEFT($A2618,6)))),"",IF(LEN($A2618)=2,"WOJ. ",IF(LEN($A2618)=4,IF(VALUE(RIGHT($A2618,2))&gt;60,"","Powiat "),IF(VALUE(RIGHT($A2618,1))=1,"m. ",IF(VALUE(RIGHT($A2618,1))=2,"gm. w. ",IF(VALUE(RIGHT($A2618,1))=8,"dz. ","gm. m.-w. ")))))&amp;IF(LEN($A2618)=2,TRIM(UPPER(VLOOKUP($A2618,GUS_tabl_1!$A$7:$B$22,2,FALSE))),IF(ISERROR(FIND("..",TRIM(VLOOKUP(IF(AND(LEN($A2618)=4,VALUE(RIGHT($A2618,2))&gt;60),$A2618&amp;"01 1",$A2618),IF(AND(LEN($A2618)=4,VALUE(RIGHT($A2618,2))&lt;60),GUS_tabl_2!$A$8:$B$464,GUS_tabl_21!$A$5:$B$4886),2,FALSE)))),TRIM(VLOOKUP(IF(AND(LEN($A2618)=4,VALUE(RIGHT($A2618,2))&gt;60),$A2618&amp;"01 1",$A2618),IF(AND(LEN($A2618)=4,VALUE(RIGHT($A2618,2))&lt;60),GUS_tabl_2!$A$8:$B$464,GUS_tabl_21!$A$5:$B$4886),2,FALSE)),LEFT(TRIM(VLOOKUP(IF(AND(LEN($A2618)=4,VALUE(RIGHT($A2618,2))&gt;60),$A2618&amp;"01 1",$A2618),IF(AND(LEN($A2618)=4,VALUE(RIGHT($A2618,2))&lt;60),GUS_tabl_2!$A$8:$B$464,GUS_tabl_21!$A$5:$B$4886),2,FALSE)),SUM(FIND("..",TRIM(VLOOKUP(IF(AND(LEN($A2618)=4,VALUE(RIGHT($A2618,2))&gt;60),$A2618&amp;"01 1",$A2618),IF(AND(LEN($A2618)=4,VALUE(RIGHT($A2618,2))&lt;60),GUS_tabl_2!$A$8:$B$464,GUS_tabl_21!$A$5:$B$4886),2,FALSE))),-1)))))</f>
        <v>gm. w. Babiak</v>
      </c>
      <c r="D2618" s="141">
        <f>IF(OR($A2618="",ISERROR(VALUE(LEFT($A2618,6)))),"",IF(LEN($A2618)=2,SUMIF($A2619:$A$2965,$A2618&amp;"??",$D2619:$D$2965),IF(AND(LEN($A2618)=4,VALUE(RIGHT($A2618,2))&lt;=60),SUMIF($A2619:$A$2965,$A2618&amp;"????",$D2619:$D$2965),VLOOKUP(IF(LEN($A2618)=4,$A2618&amp;"01 1",$A2618),GUS_tabl_21!$A$5:$F$4886,6,FALSE))))</f>
        <v>7831</v>
      </c>
      <c r="E2618" s="29"/>
    </row>
    <row r="2619" spans="1:5" ht="12" customHeight="1">
      <c r="A2619" s="155" t="str">
        <f>"300903 2"</f>
        <v>300903 2</v>
      </c>
      <c r="B2619" s="153" t="s">
        <v>34</v>
      </c>
      <c r="C2619" s="156" t="str">
        <f>IF(OR($A2619="",ISERROR(VALUE(LEFT($A2619,6)))),"",IF(LEN($A2619)=2,"WOJ. ",IF(LEN($A2619)=4,IF(VALUE(RIGHT($A2619,2))&gt;60,"","Powiat "),IF(VALUE(RIGHT($A2619,1))=1,"m. ",IF(VALUE(RIGHT($A2619,1))=2,"gm. w. ",IF(VALUE(RIGHT($A2619,1))=8,"dz. ","gm. m.-w. ")))))&amp;IF(LEN($A2619)=2,TRIM(UPPER(VLOOKUP($A2619,GUS_tabl_1!$A$7:$B$22,2,FALSE))),IF(ISERROR(FIND("..",TRIM(VLOOKUP(IF(AND(LEN($A2619)=4,VALUE(RIGHT($A2619,2))&gt;60),$A2619&amp;"01 1",$A2619),IF(AND(LEN($A2619)=4,VALUE(RIGHT($A2619,2))&lt;60),GUS_tabl_2!$A$8:$B$464,GUS_tabl_21!$A$5:$B$4886),2,FALSE)))),TRIM(VLOOKUP(IF(AND(LEN($A2619)=4,VALUE(RIGHT($A2619,2))&gt;60),$A2619&amp;"01 1",$A2619),IF(AND(LEN($A2619)=4,VALUE(RIGHT($A2619,2))&lt;60),GUS_tabl_2!$A$8:$B$464,GUS_tabl_21!$A$5:$B$4886),2,FALSE)),LEFT(TRIM(VLOOKUP(IF(AND(LEN($A2619)=4,VALUE(RIGHT($A2619,2))&gt;60),$A2619&amp;"01 1",$A2619),IF(AND(LEN($A2619)=4,VALUE(RIGHT($A2619,2))&lt;60),GUS_tabl_2!$A$8:$B$464,GUS_tabl_21!$A$5:$B$4886),2,FALSE)),SUM(FIND("..",TRIM(VLOOKUP(IF(AND(LEN($A2619)=4,VALUE(RIGHT($A2619,2))&gt;60),$A2619&amp;"01 1",$A2619),IF(AND(LEN($A2619)=4,VALUE(RIGHT($A2619,2))&lt;60),GUS_tabl_2!$A$8:$B$464,GUS_tabl_21!$A$5:$B$4886),2,FALSE))),-1)))))</f>
        <v>gm. w. Chodów</v>
      </c>
      <c r="D2619" s="141">
        <f>IF(OR($A2619="",ISERROR(VALUE(LEFT($A2619,6)))),"",IF(LEN($A2619)=2,SUMIF($A2620:$A$2965,$A2619&amp;"??",$D2620:$D$2965),IF(AND(LEN($A2619)=4,VALUE(RIGHT($A2619,2))&lt;=60),SUMIF($A2620:$A$2965,$A2619&amp;"????",$D2620:$D$2965),VLOOKUP(IF(LEN($A2619)=4,$A2619&amp;"01 1",$A2619),GUS_tabl_21!$A$5:$F$4886,6,FALSE))))</f>
        <v>3005</v>
      </c>
      <c r="E2619" s="29"/>
    </row>
    <row r="2620" spans="1:5" ht="12" customHeight="1">
      <c r="A2620" s="155" t="str">
        <f>"300904 3"</f>
        <v>300904 3</v>
      </c>
      <c r="B2620" s="153" t="s">
        <v>34</v>
      </c>
      <c r="C2620" s="156" t="str">
        <f>IF(OR($A2620="",ISERROR(VALUE(LEFT($A2620,6)))),"",IF(LEN($A2620)=2,"WOJ. ",IF(LEN($A2620)=4,IF(VALUE(RIGHT($A2620,2))&gt;60,"","Powiat "),IF(VALUE(RIGHT($A2620,1))=1,"m. ",IF(VALUE(RIGHT($A2620,1))=2,"gm. w. ",IF(VALUE(RIGHT($A2620,1))=8,"dz. ","gm. m.-w. ")))))&amp;IF(LEN($A2620)=2,TRIM(UPPER(VLOOKUP($A2620,GUS_tabl_1!$A$7:$B$22,2,FALSE))),IF(ISERROR(FIND("..",TRIM(VLOOKUP(IF(AND(LEN($A2620)=4,VALUE(RIGHT($A2620,2))&gt;60),$A2620&amp;"01 1",$A2620),IF(AND(LEN($A2620)=4,VALUE(RIGHT($A2620,2))&lt;60),GUS_tabl_2!$A$8:$B$464,GUS_tabl_21!$A$5:$B$4886),2,FALSE)))),TRIM(VLOOKUP(IF(AND(LEN($A2620)=4,VALUE(RIGHT($A2620,2))&gt;60),$A2620&amp;"01 1",$A2620),IF(AND(LEN($A2620)=4,VALUE(RIGHT($A2620,2))&lt;60),GUS_tabl_2!$A$8:$B$464,GUS_tabl_21!$A$5:$B$4886),2,FALSE)),LEFT(TRIM(VLOOKUP(IF(AND(LEN($A2620)=4,VALUE(RIGHT($A2620,2))&gt;60),$A2620&amp;"01 1",$A2620),IF(AND(LEN($A2620)=4,VALUE(RIGHT($A2620,2))&lt;60),GUS_tabl_2!$A$8:$B$464,GUS_tabl_21!$A$5:$B$4886),2,FALSE)),SUM(FIND("..",TRIM(VLOOKUP(IF(AND(LEN($A2620)=4,VALUE(RIGHT($A2620,2))&gt;60),$A2620&amp;"01 1",$A2620),IF(AND(LEN($A2620)=4,VALUE(RIGHT($A2620,2))&lt;60),GUS_tabl_2!$A$8:$B$464,GUS_tabl_21!$A$5:$B$4886),2,FALSE))),-1)))))</f>
        <v>gm. m.-w. Dąbie</v>
      </c>
      <c r="D2620" s="141">
        <f>IF(OR($A2620="",ISERROR(VALUE(LEFT($A2620,6)))),"",IF(LEN($A2620)=2,SUMIF($A2621:$A$2965,$A2620&amp;"??",$D2621:$D$2965),IF(AND(LEN($A2620)=4,VALUE(RIGHT($A2620,2))&lt;=60),SUMIF($A2621:$A$2965,$A2620&amp;"????",$D2621:$D$2965),VLOOKUP(IF(LEN($A2620)=4,$A2620&amp;"01 1",$A2620),GUS_tabl_21!$A$5:$F$4886,6,FALSE))))</f>
        <v>6284</v>
      </c>
      <c r="E2620" s="29"/>
    </row>
    <row r="2621" spans="1:5" ht="12" customHeight="1">
      <c r="A2621" s="155" t="str">
        <f>"300905 2"</f>
        <v>300905 2</v>
      </c>
      <c r="B2621" s="153" t="s">
        <v>34</v>
      </c>
      <c r="C2621" s="156" t="str">
        <f>IF(OR($A2621="",ISERROR(VALUE(LEFT($A2621,6)))),"",IF(LEN($A2621)=2,"WOJ. ",IF(LEN($A2621)=4,IF(VALUE(RIGHT($A2621,2))&gt;60,"","Powiat "),IF(VALUE(RIGHT($A2621,1))=1,"m. ",IF(VALUE(RIGHT($A2621,1))=2,"gm. w. ",IF(VALUE(RIGHT($A2621,1))=8,"dz. ","gm. m.-w. ")))))&amp;IF(LEN($A2621)=2,TRIM(UPPER(VLOOKUP($A2621,GUS_tabl_1!$A$7:$B$22,2,FALSE))),IF(ISERROR(FIND("..",TRIM(VLOOKUP(IF(AND(LEN($A2621)=4,VALUE(RIGHT($A2621,2))&gt;60),$A2621&amp;"01 1",$A2621),IF(AND(LEN($A2621)=4,VALUE(RIGHT($A2621,2))&lt;60),GUS_tabl_2!$A$8:$B$464,GUS_tabl_21!$A$5:$B$4886),2,FALSE)))),TRIM(VLOOKUP(IF(AND(LEN($A2621)=4,VALUE(RIGHT($A2621,2))&gt;60),$A2621&amp;"01 1",$A2621),IF(AND(LEN($A2621)=4,VALUE(RIGHT($A2621,2))&lt;60),GUS_tabl_2!$A$8:$B$464,GUS_tabl_21!$A$5:$B$4886),2,FALSE)),LEFT(TRIM(VLOOKUP(IF(AND(LEN($A2621)=4,VALUE(RIGHT($A2621,2))&gt;60),$A2621&amp;"01 1",$A2621),IF(AND(LEN($A2621)=4,VALUE(RIGHT($A2621,2))&lt;60),GUS_tabl_2!$A$8:$B$464,GUS_tabl_21!$A$5:$B$4886),2,FALSE)),SUM(FIND("..",TRIM(VLOOKUP(IF(AND(LEN($A2621)=4,VALUE(RIGHT($A2621,2))&gt;60),$A2621&amp;"01 1",$A2621),IF(AND(LEN($A2621)=4,VALUE(RIGHT($A2621,2))&lt;60),GUS_tabl_2!$A$8:$B$464,GUS_tabl_21!$A$5:$B$4886),2,FALSE))),-1)))))</f>
        <v>gm. w. Grzegorzew</v>
      </c>
      <c r="D2621" s="141">
        <f>IF(OR($A2621="",ISERROR(VALUE(LEFT($A2621,6)))),"",IF(LEN($A2621)=2,SUMIF($A2622:$A$2965,$A2621&amp;"??",$D2622:$D$2965),IF(AND(LEN($A2621)=4,VALUE(RIGHT($A2621,2))&lt;=60),SUMIF($A2622:$A$2965,$A2621&amp;"????",$D2622:$D$2965),VLOOKUP(IF(LEN($A2621)=4,$A2621&amp;"01 1",$A2621),GUS_tabl_21!$A$5:$F$4886,6,FALSE))))</f>
        <v>5693</v>
      </c>
      <c r="E2621" s="29"/>
    </row>
    <row r="2622" spans="1:5" ht="12" customHeight="1">
      <c r="A2622" s="155" t="str">
        <f>"300906 3"</f>
        <v>300906 3</v>
      </c>
      <c r="B2622" s="153" t="s">
        <v>34</v>
      </c>
      <c r="C2622" s="156" t="str">
        <f>IF(OR($A2622="",ISERROR(VALUE(LEFT($A2622,6)))),"",IF(LEN($A2622)=2,"WOJ. ",IF(LEN($A2622)=4,IF(VALUE(RIGHT($A2622,2))&gt;60,"","Powiat "),IF(VALUE(RIGHT($A2622,1))=1,"m. ",IF(VALUE(RIGHT($A2622,1))=2,"gm. w. ",IF(VALUE(RIGHT($A2622,1))=8,"dz. ","gm. m.-w. ")))))&amp;IF(LEN($A2622)=2,TRIM(UPPER(VLOOKUP($A2622,GUS_tabl_1!$A$7:$B$22,2,FALSE))),IF(ISERROR(FIND("..",TRIM(VLOOKUP(IF(AND(LEN($A2622)=4,VALUE(RIGHT($A2622,2))&gt;60),$A2622&amp;"01 1",$A2622),IF(AND(LEN($A2622)=4,VALUE(RIGHT($A2622,2))&lt;60),GUS_tabl_2!$A$8:$B$464,GUS_tabl_21!$A$5:$B$4886),2,FALSE)))),TRIM(VLOOKUP(IF(AND(LEN($A2622)=4,VALUE(RIGHT($A2622,2))&gt;60),$A2622&amp;"01 1",$A2622),IF(AND(LEN($A2622)=4,VALUE(RIGHT($A2622,2))&lt;60),GUS_tabl_2!$A$8:$B$464,GUS_tabl_21!$A$5:$B$4886),2,FALSE)),LEFT(TRIM(VLOOKUP(IF(AND(LEN($A2622)=4,VALUE(RIGHT($A2622,2))&gt;60),$A2622&amp;"01 1",$A2622),IF(AND(LEN($A2622)=4,VALUE(RIGHT($A2622,2))&lt;60),GUS_tabl_2!$A$8:$B$464,GUS_tabl_21!$A$5:$B$4886),2,FALSE)),SUM(FIND("..",TRIM(VLOOKUP(IF(AND(LEN($A2622)=4,VALUE(RIGHT($A2622,2))&gt;60),$A2622&amp;"01 1",$A2622),IF(AND(LEN($A2622)=4,VALUE(RIGHT($A2622,2))&lt;60),GUS_tabl_2!$A$8:$B$464,GUS_tabl_21!$A$5:$B$4886),2,FALSE))),-1)))))</f>
        <v>gm. m.-w. Kłodawa</v>
      </c>
      <c r="D2622" s="141">
        <f>IF(OR($A2622="",ISERROR(VALUE(LEFT($A2622,6)))),"",IF(LEN($A2622)=2,SUMIF($A2623:$A$2965,$A2622&amp;"??",$D2623:$D$2965),IF(AND(LEN($A2622)=4,VALUE(RIGHT($A2622,2))&lt;=60),SUMIF($A2623:$A$2965,$A2622&amp;"????",$D2623:$D$2965),VLOOKUP(IF(LEN($A2622)=4,$A2622&amp;"01 1",$A2622),GUS_tabl_21!$A$5:$F$4886,6,FALSE))))</f>
        <v>12801</v>
      </c>
      <c r="E2622" s="29"/>
    </row>
    <row r="2623" spans="1:5" ht="12" customHeight="1">
      <c r="A2623" s="155" t="str">
        <f>"300907 2"</f>
        <v>300907 2</v>
      </c>
      <c r="B2623" s="153" t="s">
        <v>34</v>
      </c>
      <c r="C2623" s="156" t="str">
        <f>IF(OR($A2623="",ISERROR(VALUE(LEFT($A2623,6)))),"",IF(LEN($A2623)=2,"WOJ. ",IF(LEN($A2623)=4,IF(VALUE(RIGHT($A2623,2))&gt;60,"","Powiat "),IF(VALUE(RIGHT($A2623,1))=1,"m. ",IF(VALUE(RIGHT($A2623,1))=2,"gm. w. ",IF(VALUE(RIGHT($A2623,1))=8,"dz. ","gm. m.-w. ")))))&amp;IF(LEN($A2623)=2,TRIM(UPPER(VLOOKUP($A2623,GUS_tabl_1!$A$7:$B$22,2,FALSE))),IF(ISERROR(FIND("..",TRIM(VLOOKUP(IF(AND(LEN($A2623)=4,VALUE(RIGHT($A2623,2))&gt;60),$A2623&amp;"01 1",$A2623),IF(AND(LEN($A2623)=4,VALUE(RIGHT($A2623,2))&lt;60),GUS_tabl_2!$A$8:$B$464,GUS_tabl_21!$A$5:$B$4886),2,FALSE)))),TRIM(VLOOKUP(IF(AND(LEN($A2623)=4,VALUE(RIGHT($A2623,2))&gt;60),$A2623&amp;"01 1",$A2623),IF(AND(LEN($A2623)=4,VALUE(RIGHT($A2623,2))&lt;60),GUS_tabl_2!$A$8:$B$464,GUS_tabl_21!$A$5:$B$4886),2,FALSE)),LEFT(TRIM(VLOOKUP(IF(AND(LEN($A2623)=4,VALUE(RIGHT($A2623,2))&gt;60),$A2623&amp;"01 1",$A2623),IF(AND(LEN($A2623)=4,VALUE(RIGHT($A2623,2))&lt;60),GUS_tabl_2!$A$8:$B$464,GUS_tabl_21!$A$5:$B$4886),2,FALSE)),SUM(FIND("..",TRIM(VLOOKUP(IF(AND(LEN($A2623)=4,VALUE(RIGHT($A2623,2))&gt;60),$A2623&amp;"01 1",$A2623),IF(AND(LEN($A2623)=4,VALUE(RIGHT($A2623,2))&lt;60),GUS_tabl_2!$A$8:$B$464,GUS_tabl_21!$A$5:$B$4886),2,FALSE))),-1)))))</f>
        <v>gm. w. Koło</v>
      </c>
      <c r="D2623" s="141">
        <f>IF(OR($A2623="",ISERROR(VALUE(LEFT($A2623,6)))),"",IF(LEN($A2623)=2,SUMIF($A2624:$A$2965,$A2623&amp;"??",$D2624:$D$2965),IF(AND(LEN($A2623)=4,VALUE(RIGHT($A2623,2))&lt;=60),SUMIF($A2624:$A$2965,$A2623&amp;"????",$D2624:$D$2965),VLOOKUP(IF(LEN($A2623)=4,$A2623&amp;"01 1",$A2623),GUS_tabl_21!$A$5:$F$4886,6,FALSE))))</f>
        <v>7795</v>
      </c>
      <c r="E2623" s="29"/>
    </row>
    <row r="2624" spans="1:5" ht="12" customHeight="1">
      <c r="A2624" s="155" t="str">
        <f>"300908 2"</f>
        <v>300908 2</v>
      </c>
      <c r="B2624" s="153" t="s">
        <v>34</v>
      </c>
      <c r="C2624" s="156" t="str">
        <f>IF(OR($A2624="",ISERROR(VALUE(LEFT($A2624,6)))),"",IF(LEN($A2624)=2,"WOJ. ",IF(LEN($A2624)=4,IF(VALUE(RIGHT($A2624,2))&gt;60,"","Powiat "),IF(VALUE(RIGHT($A2624,1))=1,"m. ",IF(VALUE(RIGHT($A2624,1))=2,"gm. w. ",IF(VALUE(RIGHT($A2624,1))=8,"dz. ","gm. m.-w. ")))))&amp;IF(LEN($A2624)=2,TRIM(UPPER(VLOOKUP($A2624,GUS_tabl_1!$A$7:$B$22,2,FALSE))),IF(ISERROR(FIND("..",TRIM(VLOOKUP(IF(AND(LEN($A2624)=4,VALUE(RIGHT($A2624,2))&gt;60),$A2624&amp;"01 1",$A2624),IF(AND(LEN($A2624)=4,VALUE(RIGHT($A2624,2))&lt;60),GUS_tabl_2!$A$8:$B$464,GUS_tabl_21!$A$5:$B$4886),2,FALSE)))),TRIM(VLOOKUP(IF(AND(LEN($A2624)=4,VALUE(RIGHT($A2624,2))&gt;60),$A2624&amp;"01 1",$A2624),IF(AND(LEN($A2624)=4,VALUE(RIGHT($A2624,2))&lt;60),GUS_tabl_2!$A$8:$B$464,GUS_tabl_21!$A$5:$B$4886),2,FALSE)),LEFT(TRIM(VLOOKUP(IF(AND(LEN($A2624)=4,VALUE(RIGHT($A2624,2))&gt;60),$A2624&amp;"01 1",$A2624),IF(AND(LEN($A2624)=4,VALUE(RIGHT($A2624,2))&lt;60),GUS_tabl_2!$A$8:$B$464,GUS_tabl_21!$A$5:$B$4886),2,FALSE)),SUM(FIND("..",TRIM(VLOOKUP(IF(AND(LEN($A2624)=4,VALUE(RIGHT($A2624,2))&gt;60),$A2624&amp;"01 1",$A2624),IF(AND(LEN($A2624)=4,VALUE(RIGHT($A2624,2))&lt;60),GUS_tabl_2!$A$8:$B$464,GUS_tabl_21!$A$5:$B$4886),2,FALSE))),-1)))))</f>
        <v>gm. w. Kościelec</v>
      </c>
      <c r="D2624" s="141">
        <f>IF(OR($A2624="",ISERROR(VALUE(LEFT($A2624,6)))),"",IF(LEN($A2624)=2,SUMIF($A2625:$A$2965,$A2624&amp;"??",$D2625:$D$2965),IF(AND(LEN($A2624)=4,VALUE(RIGHT($A2624,2))&lt;=60),SUMIF($A2625:$A$2965,$A2624&amp;"????",$D2625:$D$2965),VLOOKUP(IF(LEN($A2624)=4,$A2624&amp;"01 1",$A2624),GUS_tabl_21!$A$5:$F$4886,6,FALSE))))</f>
        <v>6855</v>
      </c>
      <c r="E2624" s="29"/>
    </row>
    <row r="2625" spans="1:5" ht="12" customHeight="1">
      <c r="A2625" s="155" t="str">
        <f>"300909 2"</f>
        <v>300909 2</v>
      </c>
      <c r="B2625" s="153" t="s">
        <v>34</v>
      </c>
      <c r="C2625" s="156" t="str">
        <f>IF(OR($A2625="",ISERROR(VALUE(LEFT($A2625,6)))),"",IF(LEN($A2625)=2,"WOJ. ",IF(LEN($A2625)=4,IF(VALUE(RIGHT($A2625,2))&gt;60,"","Powiat "),IF(VALUE(RIGHT($A2625,1))=1,"m. ",IF(VALUE(RIGHT($A2625,1))=2,"gm. w. ",IF(VALUE(RIGHT($A2625,1))=8,"dz. ","gm. m.-w. ")))))&amp;IF(LEN($A2625)=2,TRIM(UPPER(VLOOKUP($A2625,GUS_tabl_1!$A$7:$B$22,2,FALSE))),IF(ISERROR(FIND("..",TRIM(VLOOKUP(IF(AND(LEN($A2625)=4,VALUE(RIGHT($A2625,2))&gt;60),$A2625&amp;"01 1",$A2625),IF(AND(LEN($A2625)=4,VALUE(RIGHT($A2625,2))&lt;60),GUS_tabl_2!$A$8:$B$464,GUS_tabl_21!$A$5:$B$4886),2,FALSE)))),TRIM(VLOOKUP(IF(AND(LEN($A2625)=4,VALUE(RIGHT($A2625,2))&gt;60),$A2625&amp;"01 1",$A2625),IF(AND(LEN($A2625)=4,VALUE(RIGHT($A2625,2))&lt;60),GUS_tabl_2!$A$8:$B$464,GUS_tabl_21!$A$5:$B$4886),2,FALSE)),LEFT(TRIM(VLOOKUP(IF(AND(LEN($A2625)=4,VALUE(RIGHT($A2625,2))&gt;60),$A2625&amp;"01 1",$A2625),IF(AND(LEN($A2625)=4,VALUE(RIGHT($A2625,2))&lt;60),GUS_tabl_2!$A$8:$B$464,GUS_tabl_21!$A$5:$B$4886),2,FALSE)),SUM(FIND("..",TRIM(VLOOKUP(IF(AND(LEN($A2625)=4,VALUE(RIGHT($A2625,2))&gt;60),$A2625&amp;"01 1",$A2625),IF(AND(LEN($A2625)=4,VALUE(RIGHT($A2625,2))&lt;60),GUS_tabl_2!$A$8:$B$464,GUS_tabl_21!$A$5:$B$4886),2,FALSE))),-1)))))</f>
        <v>gm. w. Olszówka</v>
      </c>
      <c r="D2625" s="141">
        <f>IF(OR($A2625="",ISERROR(VALUE(LEFT($A2625,6)))),"",IF(LEN($A2625)=2,SUMIF($A2626:$A$2965,$A2625&amp;"??",$D2626:$D$2965),IF(AND(LEN($A2625)=4,VALUE(RIGHT($A2625,2))&lt;=60),SUMIF($A2626:$A$2965,$A2625&amp;"????",$D2626:$D$2965),VLOOKUP(IF(LEN($A2625)=4,$A2625&amp;"01 1",$A2625),GUS_tabl_21!$A$5:$F$4886,6,FALSE))))</f>
        <v>4502</v>
      </c>
      <c r="E2625" s="29"/>
    </row>
    <row r="2626" spans="1:5" ht="12" customHeight="1">
      <c r="A2626" s="155" t="str">
        <f>"300910 2"</f>
        <v>300910 2</v>
      </c>
      <c r="B2626" s="153" t="s">
        <v>34</v>
      </c>
      <c r="C2626" s="156" t="str">
        <f>IF(OR($A2626="",ISERROR(VALUE(LEFT($A2626,6)))),"",IF(LEN($A2626)=2,"WOJ. ",IF(LEN($A2626)=4,IF(VALUE(RIGHT($A2626,2))&gt;60,"","Powiat "),IF(VALUE(RIGHT($A2626,1))=1,"m. ",IF(VALUE(RIGHT($A2626,1))=2,"gm. w. ",IF(VALUE(RIGHT($A2626,1))=8,"dz. ","gm. m.-w. ")))))&amp;IF(LEN($A2626)=2,TRIM(UPPER(VLOOKUP($A2626,GUS_tabl_1!$A$7:$B$22,2,FALSE))),IF(ISERROR(FIND("..",TRIM(VLOOKUP(IF(AND(LEN($A2626)=4,VALUE(RIGHT($A2626,2))&gt;60),$A2626&amp;"01 1",$A2626),IF(AND(LEN($A2626)=4,VALUE(RIGHT($A2626,2))&lt;60),GUS_tabl_2!$A$8:$B$464,GUS_tabl_21!$A$5:$B$4886),2,FALSE)))),TRIM(VLOOKUP(IF(AND(LEN($A2626)=4,VALUE(RIGHT($A2626,2))&gt;60),$A2626&amp;"01 1",$A2626),IF(AND(LEN($A2626)=4,VALUE(RIGHT($A2626,2))&lt;60),GUS_tabl_2!$A$8:$B$464,GUS_tabl_21!$A$5:$B$4886),2,FALSE)),LEFT(TRIM(VLOOKUP(IF(AND(LEN($A2626)=4,VALUE(RIGHT($A2626,2))&gt;60),$A2626&amp;"01 1",$A2626),IF(AND(LEN($A2626)=4,VALUE(RIGHT($A2626,2))&lt;60),GUS_tabl_2!$A$8:$B$464,GUS_tabl_21!$A$5:$B$4886),2,FALSE)),SUM(FIND("..",TRIM(VLOOKUP(IF(AND(LEN($A2626)=4,VALUE(RIGHT($A2626,2))&gt;60),$A2626&amp;"01 1",$A2626),IF(AND(LEN($A2626)=4,VALUE(RIGHT($A2626,2))&lt;60),GUS_tabl_2!$A$8:$B$464,GUS_tabl_21!$A$5:$B$4886),2,FALSE))),-1)))))</f>
        <v>gm. w. Osiek Mały</v>
      </c>
      <c r="D2626" s="141">
        <f>IF(OR($A2626="",ISERROR(VALUE(LEFT($A2626,6)))),"",IF(LEN($A2626)=2,SUMIF($A2627:$A$2965,$A2626&amp;"??",$D2627:$D$2965),IF(AND(LEN($A2626)=4,VALUE(RIGHT($A2626,2))&lt;=60),SUMIF($A2627:$A$2965,$A2626&amp;"????",$D2627:$D$2965),VLOOKUP(IF(LEN($A2626)=4,$A2626&amp;"01 1",$A2626),GUS_tabl_21!$A$5:$F$4886,6,FALSE))))</f>
        <v>6155</v>
      </c>
      <c r="E2626" s="29"/>
    </row>
    <row r="2627" spans="1:5" ht="12" customHeight="1">
      <c r="A2627" s="155" t="str">
        <f>"300911 3"</f>
        <v>300911 3</v>
      </c>
      <c r="B2627" s="153" t="s">
        <v>34</v>
      </c>
      <c r="C2627" s="156" t="str">
        <f>IF(OR($A2627="",ISERROR(VALUE(LEFT($A2627,6)))),"",IF(LEN($A2627)=2,"WOJ. ",IF(LEN($A2627)=4,IF(VALUE(RIGHT($A2627,2))&gt;60,"","Powiat "),IF(VALUE(RIGHT($A2627,1))=1,"m. ",IF(VALUE(RIGHT($A2627,1))=2,"gm. w. ",IF(VALUE(RIGHT($A2627,1))=8,"dz. ","gm. m.-w. ")))))&amp;IF(LEN($A2627)=2,TRIM(UPPER(VLOOKUP($A2627,GUS_tabl_1!$A$7:$B$22,2,FALSE))),IF(ISERROR(FIND("..",TRIM(VLOOKUP(IF(AND(LEN($A2627)=4,VALUE(RIGHT($A2627,2))&gt;60),$A2627&amp;"01 1",$A2627),IF(AND(LEN($A2627)=4,VALUE(RIGHT($A2627,2))&lt;60),GUS_tabl_2!$A$8:$B$464,GUS_tabl_21!$A$5:$B$4886),2,FALSE)))),TRIM(VLOOKUP(IF(AND(LEN($A2627)=4,VALUE(RIGHT($A2627,2))&gt;60),$A2627&amp;"01 1",$A2627),IF(AND(LEN($A2627)=4,VALUE(RIGHT($A2627,2))&lt;60),GUS_tabl_2!$A$8:$B$464,GUS_tabl_21!$A$5:$B$4886),2,FALSE)),LEFT(TRIM(VLOOKUP(IF(AND(LEN($A2627)=4,VALUE(RIGHT($A2627,2))&gt;60),$A2627&amp;"01 1",$A2627),IF(AND(LEN($A2627)=4,VALUE(RIGHT($A2627,2))&lt;60),GUS_tabl_2!$A$8:$B$464,GUS_tabl_21!$A$5:$B$4886),2,FALSE)),SUM(FIND("..",TRIM(VLOOKUP(IF(AND(LEN($A2627)=4,VALUE(RIGHT($A2627,2))&gt;60),$A2627&amp;"01 1",$A2627),IF(AND(LEN($A2627)=4,VALUE(RIGHT($A2627,2))&lt;60),GUS_tabl_2!$A$8:$B$464,GUS_tabl_21!$A$5:$B$4886),2,FALSE))),-1)))))</f>
        <v>gm. m.-w. Przedecz</v>
      </c>
      <c r="D2627" s="141">
        <f>IF(OR($A2627="",ISERROR(VALUE(LEFT($A2627,6)))),"",IF(LEN($A2627)=2,SUMIF($A2628:$A$2965,$A2627&amp;"??",$D2628:$D$2965),IF(AND(LEN($A2627)=4,VALUE(RIGHT($A2627,2))&lt;=60),SUMIF($A2628:$A$2965,$A2627&amp;"????",$D2628:$D$2965),VLOOKUP(IF(LEN($A2627)=4,$A2627&amp;"01 1",$A2627),GUS_tabl_21!$A$5:$F$4886,6,FALSE))))</f>
        <v>4120</v>
      </c>
      <c r="E2627" s="29"/>
    </row>
    <row r="2628" spans="1:5" ht="12" customHeight="1">
      <c r="A2628" s="152" t="str">
        <f>"3010"</f>
        <v>3010</v>
      </c>
      <c r="B2628" s="153" t="s">
        <v>34</v>
      </c>
      <c r="C2628" s="154" t="str">
        <f>IF(OR($A2628="",ISERROR(VALUE(LEFT($A2628,6)))),"",IF(LEN($A2628)=2,"WOJ. ",IF(LEN($A2628)=4,IF(VALUE(RIGHT($A2628,2))&gt;60,"","Powiat "),IF(VALUE(RIGHT($A2628,1))=1,"m. ",IF(VALUE(RIGHT($A2628,1))=2,"gm. w. ",IF(VALUE(RIGHT($A2628,1))=8,"dz. ","gm. m.-w. ")))))&amp;IF(LEN($A2628)=2,TRIM(UPPER(VLOOKUP($A2628,GUS_tabl_1!$A$7:$B$22,2,FALSE))),IF(ISERROR(FIND("..",TRIM(VLOOKUP(IF(AND(LEN($A2628)=4,VALUE(RIGHT($A2628,2))&gt;60),$A2628&amp;"01 1",$A2628),IF(AND(LEN($A2628)=4,VALUE(RIGHT($A2628,2))&lt;60),GUS_tabl_2!$A$8:$B$464,GUS_tabl_21!$A$5:$B$4886),2,FALSE)))),TRIM(VLOOKUP(IF(AND(LEN($A2628)=4,VALUE(RIGHT($A2628,2))&gt;60),$A2628&amp;"01 1",$A2628),IF(AND(LEN($A2628)=4,VALUE(RIGHT($A2628,2))&lt;60),GUS_tabl_2!$A$8:$B$464,GUS_tabl_21!$A$5:$B$4886),2,FALSE)),LEFT(TRIM(VLOOKUP(IF(AND(LEN($A2628)=4,VALUE(RIGHT($A2628,2))&gt;60),$A2628&amp;"01 1",$A2628),IF(AND(LEN($A2628)=4,VALUE(RIGHT($A2628,2))&lt;60),GUS_tabl_2!$A$8:$B$464,GUS_tabl_21!$A$5:$B$4886),2,FALSE)),SUM(FIND("..",TRIM(VLOOKUP(IF(AND(LEN($A2628)=4,VALUE(RIGHT($A2628,2))&gt;60),$A2628&amp;"01 1",$A2628),IF(AND(LEN($A2628)=4,VALUE(RIGHT($A2628,2))&lt;60),GUS_tabl_2!$A$8:$B$464,GUS_tabl_21!$A$5:$B$4886),2,FALSE))),-1)))))</f>
        <v>Powiat koniński</v>
      </c>
      <c r="D2628" s="140">
        <f>IF(OR($A2628="",ISERROR(VALUE(LEFT($A2628,6)))),"",IF(LEN($A2628)=2,SUMIF($A2629:$A$2965,$A2628&amp;"??",$D2629:$D$2965),IF(AND(LEN($A2628)=4,VALUE(RIGHT($A2628,2))&lt;=60),SUMIF($A2629:$A$2965,$A2628&amp;"????",$D2629:$D$2965),VLOOKUP(IF(LEN($A2628)=4,$A2628&amp;"01 1",$A2628),GUS_tabl_21!$A$5:$F$4886,6,FALSE))))</f>
        <v>130053</v>
      </c>
      <c r="E2628" s="29"/>
    </row>
    <row r="2629" spans="1:5" ht="12" customHeight="1">
      <c r="A2629" s="155" t="str">
        <f>"301001 3"</f>
        <v>301001 3</v>
      </c>
      <c r="B2629" s="153" t="s">
        <v>34</v>
      </c>
      <c r="C2629" s="156" t="str">
        <f>IF(OR($A2629="",ISERROR(VALUE(LEFT($A2629,6)))),"",IF(LEN($A2629)=2,"WOJ. ",IF(LEN($A2629)=4,IF(VALUE(RIGHT($A2629,2))&gt;60,"","Powiat "),IF(VALUE(RIGHT($A2629,1))=1,"m. ",IF(VALUE(RIGHT($A2629,1))=2,"gm. w. ",IF(VALUE(RIGHT($A2629,1))=8,"dz. ","gm. m.-w. ")))))&amp;IF(LEN($A2629)=2,TRIM(UPPER(VLOOKUP($A2629,GUS_tabl_1!$A$7:$B$22,2,FALSE))),IF(ISERROR(FIND("..",TRIM(VLOOKUP(IF(AND(LEN($A2629)=4,VALUE(RIGHT($A2629,2))&gt;60),$A2629&amp;"01 1",$A2629),IF(AND(LEN($A2629)=4,VALUE(RIGHT($A2629,2))&lt;60),GUS_tabl_2!$A$8:$B$464,GUS_tabl_21!$A$5:$B$4886),2,FALSE)))),TRIM(VLOOKUP(IF(AND(LEN($A2629)=4,VALUE(RIGHT($A2629,2))&gt;60),$A2629&amp;"01 1",$A2629),IF(AND(LEN($A2629)=4,VALUE(RIGHT($A2629,2))&lt;60),GUS_tabl_2!$A$8:$B$464,GUS_tabl_21!$A$5:$B$4886),2,FALSE)),LEFT(TRIM(VLOOKUP(IF(AND(LEN($A2629)=4,VALUE(RIGHT($A2629,2))&gt;60),$A2629&amp;"01 1",$A2629),IF(AND(LEN($A2629)=4,VALUE(RIGHT($A2629,2))&lt;60),GUS_tabl_2!$A$8:$B$464,GUS_tabl_21!$A$5:$B$4886),2,FALSE)),SUM(FIND("..",TRIM(VLOOKUP(IF(AND(LEN($A2629)=4,VALUE(RIGHT($A2629,2))&gt;60),$A2629&amp;"01 1",$A2629),IF(AND(LEN($A2629)=4,VALUE(RIGHT($A2629,2))&lt;60),GUS_tabl_2!$A$8:$B$464,GUS_tabl_21!$A$5:$B$4886),2,FALSE))),-1)))))</f>
        <v>gm. m.-w. Golina</v>
      </c>
      <c r="D2629" s="141">
        <f>IF(OR($A2629="",ISERROR(VALUE(LEFT($A2629,6)))),"",IF(LEN($A2629)=2,SUMIF($A2630:$A$2965,$A2629&amp;"??",$D2630:$D$2965),IF(AND(LEN($A2629)=4,VALUE(RIGHT($A2629,2))&lt;=60),SUMIF($A2630:$A$2965,$A2629&amp;"????",$D2630:$D$2965),VLOOKUP(IF(LEN($A2629)=4,$A2629&amp;"01 1",$A2629),GUS_tabl_21!$A$5:$F$4886,6,FALSE))))</f>
        <v>12079</v>
      </c>
      <c r="E2629" s="29"/>
    </row>
    <row r="2630" spans="1:5" ht="12" customHeight="1">
      <c r="A2630" s="155" t="str">
        <f>"301002 2"</f>
        <v>301002 2</v>
      </c>
      <c r="B2630" s="153" t="s">
        <v>34</v>
      </c>
      <c r="C2630" s="156" t="str">
        <f>IF(OR($A2630="",ISERROR(VALUE(LEFT($A2630,6)))),"",IF(LEN($A2630)=2,"WOJ. ",IF(LEN($A2630)=4,IF(VALUE(RIGHT($A2630,2))&gt;60,"","Powiat "),IF(VALUE(RIGHT($A2630,1))=1,"m. ",IF(VALUE(RIGHT($A2630,1))=2,"gm. w. ",IF(VALUE(RIGHT($A2630,1))=8,"dz. ","gm. m.-w. ")))))&amp;IF(LEN($A2630)=2,TRIM(UPPER(VLOOKUP($A2630,GUS_tabl_1!$A$7:$B$22,2,FALSE))),IF(ISERROR(FIND("..",TRIM(VLOOKUP(IF(AND(LEN($A2630)=4,VALUE(RIGHT($A2630,2))&gt;60),$A2630&amp;"01 1",$A2630),IF(AND(LEN($A2630)=4,VALUE(RIGHT($A2630,2))&lt;60),GUS_tabl_2!$A$8:$B$464,GUS_tabl_21!$A$5:$B$4886),2,FALSE)))),TRIM(VLOOKUP(IF(AND(LEN($A2630)=4,VALUE(RIGHT($A2630,2))&gt;60),$A2630&amp;"01 1",$A2630),IF(AND(LEN($A2630)=4,VALUE(RIGHT($A2630,2))&lt;60),GUS_tabl_2!$A$8:$B$464,GUS_tabl_21!$A$5:$B$4886),2,FALSE)),LEFT(TRIM(VLOOKUP(IF(AND(LEN($A2630)=4,VALUE(RIGHT($A2630,2))&gt;60),$A2630&amp;"01 1",$A2630),IF(AND(LEN($A2630)=4,VALUE(RIGHT($A2630,2))&lt;60),GUS_tabl_2!$A$8:$B$464,GUS_tabl_21!$A$5:$B$4886),2,FALSE)),SUM(FIND("..",TRIM(VLOOKUP(IF(AND(LEN($A2630)=4,VALUE(RIGHT($A2630,2))&gt;60),$A2630&amp;"01 1",$A2630),IF(AND(LEN($A2630)=4,VALUE(RIGHT($A2630,2))&lt;60),GUS_tabl_2!$A$8:$B$464,GUS_tabl_21!$A$5:$B$4886),2,FALSE))),-1)))))</f>
        <v>gm. w. Grodziec</v>
      </c>
      <c r="D2630" s="141">
        <f>IF(OR($A2630="",ISERROR(VALUE(LEFT($A2630,6)))),"",IF(LEN($A2630)=2,SUMIF($A2631:$A$2965,$A2630&amp;"??",$D2631:$D$2965),IF(AND(LEN($A2630)=4,VALUE(RIGHT($A2630,2))&lt;=60),SUMIF($A2631:$A$2965,$A2630&amp;"????",$D2631:$D$2965),VLOOKUP(IF(LEN($A2630)=4,$A2630&amp;"01 1",$A2630),GUS_tabl_21!$A$5:$F$4886,6,FALSE))))</f>
        <v>5160</v>
      </c>
      <c r="E2630" s="29"/>
    </row>
    <row r="2631" spans="1:5" ht="12" customHeight="1">
      <c r="A2631" s="155" t="str">
        <f>"301003 2"</f>
        <v>301003 2</v>
      </c>
      <c r="B2631" s="153" t="s">
        <v>34</v>
      </c>
      <c r="C2631" s="156" t="str">
        <f>IF(OR($A2631="",ISERROR(VALUE(LEFT($A2631,6)))),"",IF(LEN($A2631)=2,"WOJ. ",IF(LEN($A2631)=4,IF(VALUE(RIGHT($A2631,2))&gt;60,"","Powiat "),IF(VALUE(RIGHT($A2631,1))=1,"m. ",IF(VALUE(RIGHT($A2631,1))=2,"gm. w. ",IF(VALUE(RIGHT($A2631,1))=8,"dz. ","gm. m.-w. ")))))&amp;IF(LEN($A2631)=2,TRIM(UPPER(VLOOKUP($A2631,GUS_tabl_1!$A$7:$B$22,2,FALSE))),IF(ISERROR(FIND("..",TRIM(VLOOKUP(IF(AND(LEN($A2631)=4,VALUE(RIGHT($A2631,2))&gt;60),$A2631&amp;"01 1",$A2631),IF(AND(LEN($A2631)=4,VALUE(RIGHT($A2631,2))&lt;60),GUS_tabl_2!$A$8:$B$464,GUS_tabl_21!$A$5:$B$4886),2,FALSE)))),TRIM(VLOOKUP(IF(AND(LEN($A2631)=4,VALUE(RIGHT($A2631,2))&gt;60),$A2631&amp;"01 1",$A2631),IF(AND(LEN($A2631)=4,VALUE(RIGHT($A2631,2))&lt;60),GUS_tabl_2!$A$8:$B$464,GUS_tabl_21!$A$5:$B$4886),2,FALSE)),LEFT(TRIM(VLOOKUP(IF(AND(LEN($A2631)=4,VALUE(RIGHT($A2631,2))&gt;60),$A2631&amp;"01 1",$A2631),IF(AND(LEN($A2631)=4,VALUE(RIGHT($A2631,2))&lt;60),GUS_tabl_2!$A$8:$B$464,GUS_tabl_21!$A$5:$B$4886),2,FALSE)),SUM(FIND("..",TRIM(VLOOKUP(IF(AND(LEN($A2631)=4,VALUE(RIGHT($A2631,2))&gt;60),$A2631&amp;"01 1",$A2631),IF(AND(LEN($A2631)=4,VALUE(RIGHT($A2631,2))&lt;60),GUS_tabl_2!$A$8:$B$464,GUS_tabl_21!$A$5:$B$4886),2,FALSE))),-1)))))</f>
        <v>gm. w. Kazimierz Biskupi</v>
      </c>
      <c r="D2631" s="141">
        <f>IF(OR($A2631="",ISERROR(VALUE(LEFT($A2631,6)))),"",IF(LEN($A2631)=2,SUMIF($A2632:$A$2965,$A2631&amp;"??",$D2632:$D$2965),IF(AND(LEN($A2631)=4,VALUE(RIGHT($A2631,2))&lt;=60),SUMIF($A2632:$A$2965,$A2631&amp;"????",$D2632:$D$2965),VLOOKUP(IF(LEN($A2631)=4,$A2631&amp;"01 1",$A2631),GUS_tabl_21!$A$5:$F$4886,6,FALSE))))</f>
        <v>11487</v>
      </c>
      <c r="E2631" s="29"/>
    </row>
    <row r="2632" spans="1:5" ht="12" customHeight="1">
      <c r="A2632" s="155" t="str">
        <f>"301004 3"</f>
        <v>301004 3</v>
      </c>
      <c r="B2632" s="153" t="s">
        <v>34</v>
      </c>
      <c r="C2632" s="156" t="str">
        <f>IF(OR($A2632="",ISERROR(VALUE(LEFT($A2632,6)))),"",IF(LEN($A2632)=2,"WOJ. ",IF(LEN($A2632)=4,IF(VALUE(RIGHT($A2632,2))&gt;60,"","Powiat "),IF(VALUE(RIGHT($A2632,1))=1,"m. ",IF(VALUE(RIGHT($A2632,1))=2,"gm. w. ",IF(VALUE(RIGHT($A2632,1))=8,"dz. ","gm. m.-w. ")))))&amp;IF(LEN($A2632)=2,TRIM(UPPER(VLOOKUP($A2632,GUS_tabl_1!$A$7:$B$22,2,FALSE))),IF(ISERROR(FIND("..",TRIM(VLOOKUP(IF(AND(LEN($A2632)=4,VALUE(RIGHT($A2632,2))&gt;60),$A2632&amp;"01 1",$A2632),IF(AND(LEN($A2632)=4,VALUE(RIGHT($A2632,2))&lt;60),GUS_tabl_2!$A$8:$B$464,GUS_tabl_21!$A$5:$B$4886),2,FALSE)))),TRIM(VLOOKUP(IF(AND(LEN($A2632)=4,VALUE(RIGHT($A2632,2))&gt;60),$A2632&amp;"01 1",$A2632),IF(AND(LEN($A2632)=4,VALUE(RIGHT($A2632,2))&lt;60),GUS_tabl_2!$A$8:$B$464,GUS_tabl_21!$A$5:$B$4886),2,FALSE)),LEFT(TRIM(VLOOKUP(IF(AND(LEN($A2632)=4,VALUE(RIGHT($A2632,2))&gt;60),$A2632&amp;"01 1",$A2632),IF(AND(LEN($A2632)=4,VALUE(RIGHT($A2632,2))&lt;60),GUS_tabl_2!$A$8:$B$464,GUS_tabl_21!$A$5:$B$4886),2,FALSE)),SUM(FIND("..",TRIM(VLOOKUP(IF(AND(LEN($A2632)=4,VALUE(RIGHT($A2632,2))&gt;60),$A2632&amp;"01 1",$A2632),IF(AND(LEN($A2632)=4,VALUE(RIGHT($A2632,2))&lt;60),GUS_tabl_2!$A$8:$B$464,GUS_tabl_21!$A$5:$B$4886),2,FALSE))),-1)))))</f>
        <v>gm. m.-w. Kleczew</v>
      </c>
      <c r="D2632" s="141">
        <f>IF(OR($A2632="",ISERROR(VALUE(LEFT($A2632,6)))),"",IF(LEN($A2632)=2,SUMIF($A2633:$A$2965,$A2632&amp;"??",$D2633:$D$2965),IF(AND(LEN($A2632)=4,VALUE(RIGHT($A2632,2))&lt;=60),SUMIF($A2633:$A$2965,$A2632&amp;"????",$D2633:$D$2965),VLOOKUP(IF(LEN($A2632)=4,$A2632&amp;"01 1",$A2632),GUS_tabl_21!$A$5:$F$4886,6,FALSE))))</f>
        <v>9947</v>
      </c>
      <c r="E2632" s="29"/>
    </row>
    <row r="2633" spans="1:5" ht="12" customHeight="1">
      <c r="A2633" s="155" t="str">
        <f>"301005 2"</f>
        <v>301005 2</v>
      </c>
      <c r="B2633" s="153" t="s">
        <v>34</v>
      </c>
      <c r="C2633" s="156" t="str">
        <f>IF(OR($A2633="",ISERROR(VALUE(LEFT($A2633,6)))),"",IF(LEN($A2633)=2,"WOJ. ",IF(LEN($A2633)=4,IF(VALUE(RIGHT($A2633,2))&gt;60,"","Powiat "),IF(VALUE(RIGHT($A2633,1))=1,"m. ",IF(VALUE(RIGHT($A2633,1))=2,"gm. w. ",IF(VALUE(RIGHT($A2633,1))=8,"dz. ","gm. m.-w. ")))))&amp;IF(LEN($A2633)=2,TRIM(UPPER(VLOOKUP($A2633,GUS_tabl_1!$A$7:$B$22,2,FALSE))),IF(ISERROR(FIND("..",TRIM(VLOOKUP(IF(AND(LEN($A2633)=4,VALUE(RIGHT($A2633,2))&gt;60),$A2633&amp;"01 1",$A2633),IF(AND(LEN($A2633)=4,VALUE(RIGHT($A2633,2))&lt;60),GUS_tabl_2!$A$8:$B$464,GUS_tabl_21!$A$5:$B$4886),2,FALSE)))),TRIM(VLOOKUP(IF(AND(LEN($A2633)=4,VALUE(RIGHT($A2633,2))&gt;60),$A2633&amp;"01 1",$A2633),IF(AND(LEN($A2633)=4,VALUE(RIGHT($A2633,2))&lt;60),GUS_tabl_2!$A$8:$B$464,GUS_tabl_21!$A$5:$B$4886),2,FALSE)),LEFT(TRIM(VLOOKUP(IF(AND(LEN($A2633)=4,VALUE(RIGHT($A2633,2))&gt;60),$A2633&amp;"01 1",$A2633),IF(AND(LEN($A2633)=4,VALUE(RIGHT($A2633,2))&lt;60),GUS_tabl_2!$A$8:$B$464,GUS_tabl_21!$A$5:$B$4886),2,FALSE)),SUM(FIND("..",TRIM(VLOOKUP(IF(AND(LEN($A2633)=4,VALUE(RIGHT($A2633,2))&gt;60),$A2633&amp;"01 1",$A2633),IF(AND(LEN($A2633)=4,VALUE(RIGHT($A2633,2))&lt;60),GUS_tabl_2!$A$8:$B$464,GUS_tabl_21!$A$5:$B$4886),2,FALSE))),-1)))))</f>
        <v>gm. w. Kramsk</v>
      </c>
      <c r="D2633" s="141">
        <f>IF(OR($A2633="",ISERROR(VALUE(LEFT($A2633,6)))),"",IF(LEN($A2633)=2,SUMIF($A2634:$A$2965,$A2633&amp;"??",$D2634:$D$2965),IF(AND(LEN($A2633)=4,VALUE(RIGHT($A2633,2))&lt;=60),SUMIF($A2634:$A$2965,$A2633&amp;"????",$D2634:$D$2965),VLOOKUP(IF(LEN($A2633)=4,$A2633&amp;"01 1",$A2633),GUS_tabl_21!$A$5:$F$4886,6,FALSE))))</f>
        <v>11250</v>
      </c>
      <c r="E2633" s="29"/>
    </row>
    <row r="2634" spans="1:5" ht="12" customHeight="1">
      <c r="A2634" s="155" t="str">
        <f>"301006 2"</f>
        <v>301006 2</v>
      </c>
      <c r="B2634" s="153" t="s">
        <v>34</v>
      </c>
      <c r="C2634" s="156" t="str">
        <f>IF(OR($A2634="",ISERROR(VALUE(LEFT($A2634,6)))),"",IF(LEN($A2634)=2,"WOJ. ",IF(LEN($A2634)=4,IF(VALUE(RIGHT($A2634,2))&gt;60,"","Powiat "),IF(VALUE(RIGHT($A2634,1))=1,"m. ",IF(VALUE(RIGHT($A2634,1))=2,"gm. w. ",IF(VALUE(RIGHT($A2634,1))=8,"dz. ","gm. m.-w. ")))))&amp;IF(LEN($A2634)=2,TRIM(UPPER(VLOOKUP($A2634,GUS_tabl_1!$A$7:$B$22,2,FALSE))),IF(ISERROR(FIND("..",TRIM(VLOOKUP(IF(AND(LEN($A2634)=4,VALUE(RIGHT($A2634,2))&gt;60),$A2634&amp;"01 1",$A2634),IF(AND(LEN($A2634)=4,VALUE(RIGHT($A2634,2))&lt;60),GUS_tabl_2!$A$8:$B$464,GUS_tabl_21!$A$5:$B$4886),2,FALSE)))),TRIM(VLOOKUP(IF(AND(LEN($A2634)=4,VALUE(RIGHT($A2634,2))&gt;60),$A2634&amp;"01 1",$A2634),IF(AND(LEN($A2634)=4,VALUE(RIGHT($A2634,2))&lt;60),GUS_tabl_2!$A$8:$B$464,GUS_tabl_21!$A$5:$B$4886),2,FALSE)),LEFT(TRIM(VLOOKUP(IF(AND(LEN($A2634)=4,VALUE(RIGHT($A2634,2))&gt;60),$A2634&amp;"01 1",$A2634),IF(AND(LEN($A2634)=4,VALUE(RIGHT($A2634,2))&lt;60),GUS_tabl_2!$A$8:$B$464,GUS_tabl_21!$A$5:$B$4886),2,FALSE)),SUM(FIND("..",TRIM(VLOOKUP(IF(AND(LEN($A2634)=4,VALUE(RIGHT($A2634,2))&gt;60),$A2634&amp;"01 1",$A2634),IF(AND(LEN($A2634)=4,VALUE(RIGHT($A2634,2))&lt;60),GUS_tabl_2!$A$8:$B$464,GUS_tabl_21!$A$5:$B$4886),2,FALSE))),-1)))))</f>
        <v>gm. w. Krzymów</v>
      </c>
      <c r="D2634" s="141">
        <f>IF(OR($A2634="",ISERROR(VALUE(LEFT($A2634,6)))),"",IF(LEN($A2634)=2,SUMIF($A2635:$A$2965,$A2634&amp;"??",$D2635:$D$2965),IF(AND(LEN($A2634)=4,VALUE(RIGHT($A2634,2))&lt;=60),SUMIF($A2635:$A$2965,$A2634&amp;"????",$D2635:$D$2965),VLOOKUP(IF(LEN($A2634)=4,$A2634&amp;"01 1",$A2634),GUS_tabl_21!$A$5:$F$4886,6,FALSE))))</f>
        <v>8112</v>
      </c>
      <c r="E2634" s="29"/>
    </row>
    <row r="2635" spans="1:5" ht="12" customHeight="1">
      <c r="A2635" s="155" t="str">
        <f>"301007 3"</f>
        <v>301007 3</v>
      </c>
      <c r="B2635" s="153" t="s">
        <v>34</v>
      </c>
      <c r="C2635" s="156" t="str">
        <f>IF(OR($A2635="",ISERROR(VALUE(LEFT($A2635,6)))),"",IF(LEN($A2635)=2,"WOJ. ",IF(LEN($A2635)=4,IF(VALUE(RIGHT($A2635,2))&gt;60,"","Powiat "),IF(VALUE(RIGHT($A2635,1))=1,"m. ",IF(VALUE(RIGHT($A2635,1))=2,"gm. w. ",IF(VALUE(RIGHT($A2635,1))=8,"dz. ","gm. m.-w. ")))))&amp;IF(LEN($A2635)=2,TRIM(UPPER(VLOOKUP($A2635,GUS_tabl_1!$A$7:$B$22,2,FALSE))),IF(ISERROR(FIND("..",TRIM(VLOOKUP(IF(AND(LEN($A2635)=4,VALUE(RIGHT($A2635,2))&gt;60),$A2635&amp;"01 1",$A2635),IF(AND(LEN($A2635)=4,VALUE(RIGHT($A2635,2))&lt;60),GUS_tabl_2!$A$8:$B$464,GUS_tabl_21!$A$5:$B$4886),2,FALSE)))),TRIM(VLOOKUP(IF(AND(LEN($A2635)=4,VALUE(RIGHT($A2635,2))&gt;60),$A2635&amp;"01 1",$A2635),IF(AND(LEN($A2635)=4,VALUE(RIGHT($A2635,2))&lt;60),GUS_tabl_2!$A$8:$B$464,GUS_tabl_21!$A$5:$B$4886),2,FALSE)),LEFT(TRIM(VLOOKUP(IF(AND(LEN($A2635)=4,VALUE(RIGHT($A2635,2))&gt;60),$A2635&amp;"01 1",$A2635),IF(AND(LEN($A2635)=4,VALUE(RIGHT($A2635,2))&lt;60),GUS_tabl_2!$A$8:$B$464,GUS_tabl_21!$A$5:$B$4886),2,FALSE)),SUM(FIND("..",TRIM(VLOOKUP(IF(AND(LEN($A2635)=4,VALUE(RIGHT($A2635,2))&gt;60),$A2635&amp;"01 1",$A2635),IF(AND(LEN($A2635)=4,VALUE(RIGHT($A2635,2))&lt;60),GUS_tabl_2!$A$8:$B$464,GUS_tabl_21!$A$5:$B$4886),2,FALSE))),-1)))))</f>
        <v>gm. m.-w. Rychwał</v>
      </c>
      <c r="D2635" s="141">
        <f>IF(OR($A2635="",ISERROR(VALUE(LEFT($A2635,6)))),"",IF(LEN($A2635)=2,SUMIF($A2636:$A$2965,$A2635&amp;"??",$D2636:$D$2965),IF(AND(LEN($A2635)=4,VALUE(RIGHT($A2635,2))&lt;=60),SUMIF($A2636:$A$2965,$A2635&amp;"????",$D2636:$D$2965),VLOOKUP(IF(LEN($A2635)=4,$A2635&amp;"01 1",$A2635),GUS_tabl_21!$A$5:$F$4886,6,FALSE))))</f>
        <v>8249</v>
      </c>
      <c r="E2635" s="29"/>
    </row>
    <row r="2636" spans="1:5" ht="12" customHeight="1">
      <c r="A2636" s="155" t="str">
        <f>"301008 2"</f>
        <v>301008 2</v>
      </c>
      <c r="B2636" s="153" t="s">
        <v>34</v>
      </c>
      <c r="C2636" s="156" t="str">
        <f>IF(OR($A2636="",ISERROR(VALUE(LEFT($A2636,6)))),"",IF(LEN($A2636)=2,"WOJ. ",IF(LEN($A2636)=4,IF(VALUE(RIGHT($A2636,2))&gt;60,"","Powiat "),IF(VALUE(RIGHT($A2636,1))=1,"m. ",IF(VALUE(RIGHT($A2636,1))=2,"gm. w. ",IF(VALUE(RIGHT($A2636,1))=8,"dz. ","gm. m.-w. ")))))&amp;IF(LEN($A2636)=2,TRIM(UPPER(VLOOKUP($A2636,GUS_tabl_1!$A$7:$B$22,2,FALSE))),IF(ISERROR(FIND("..",TRIM(VLOOKUP(IF(AND(LEN($A2636)=4,VALUE(RIGHT($A2636,2))&gt;60),$A2636&amp;"01 1",$A2636),IF(AND(LEN($A2636)=4,VALUE(RIGHT($A2636,2))&lt;60),GUS_tabl_2!$A$8:$B$464,GUS_tabl_21!$A$5:$B$4886),2,FALSE)))),TRIM(VLOOKUP(IF(AND(LEN($A2636)=4,VALUE(RIGHT($A2636,2))&gt;60),$A2636&amp;"01 1",$A2636),IF(AND(LEN($A2636)=4,VALUE(RIGHT($A2636,2))&lt;60),GUS_tabl_2!$A$8:$B$464,GUS_tabl_21!$A$5:$B$4886),2,FALSE)),LEFT(TRIM(VLOOKUP(IF(AND(LEN($A2636)=4,VALUE(RIGHT($A2636,2))&gt;60),$A2636&amp;"01 1",$A2636),IF(AND(LEN($A2636)=4,VALUE(RIGHT($A2636,2))&lt;60),GUS_tabl_2!$A$8:$B$464,GUS_tabl_21!$A$5:$B$4886),2,FALSE)),SUM(FIND("..",TRIM(VLOOKUP(IF(AND(LEN($A2636)=4,VALUE(RIGHT($A2636,2))&gt;60),$A2636&amp;"01 1",$A2636),IF(AND(LEN($A2636)=4,VALUE(RIGHT($A2636,2))&lt;60),GUS_tabl_2!$A$8:$B$464,GUS_tabl_21!$A$5:$B$4886),2,FALSE))),-1)))))</f>
        <v>gm. w. Rzgów</v>
      </c>
      <c r="D2636" s="141">
        <f>IF(OR($A2636="",ISERROR(VALUE(LEFT($A2636,6)))),"",IF(LEN($A2636)=2,SUMIF($A2637:$A$2965,$A2636&amp;"??",$D2637:$D$2965),IF(AND(LEN($A2636)=4,VALUE(RIGHT($A2636,2))&lt;=60),SUMIF($A2637:$A$2965,$A2636&amp;"????",$D2637:$D$2965),VLOOKUP(IF(LEN($A2636)=4,$A2636&amp;"01 1",$A2636),GUS_tabl_21!$A$5:$F$4886,6,FALSE))))</f>
        <v>7275</v>
      </c>
      <c r="E2636" s="29"/>
    </row>
    <row r="2637" spans="1:5" ht="12" customHeight="1">
      <c r="A2637" s="155" t="str">
        <f>"301009 2"</f>
        <v>301009 2</v>
      </c>
      <c r="B2637" s="153" t="s">
        <v>34</v>
      </c>
      <c r="C2637" s="156" t="str">
        <f>IF(OR($A2637="",ISERROR(VALUE(LEFT($A2637,6)))),"",IF(LEN($A2637)=2,"WOJ. ",IF(LEN($A2637)=4,IF(VALUE(RIGHT($A2637,2))&gt;60,"","Powiat "),IF(VALUE(RIGHT($A2637,1))=1,"m. ",IF(VALUE(RIGHT($A2637,1))=2,"gm. w. ",IF(VALUE(RIGHT($A2637,1))=8,"dz. ","gm. m.-w. ")))))&amp;IF(LEN($A2637)=2,TRIM(UPPER(VLOOKUP($A2637,GUS_tabl_1!$A$7:$B$22,2,FALSE))),IF(ISERROR(FIND("..",TRIM(VLOOKUP(IF(AND(LEN($A2637)=4,VALUE(RIGHT($A2637,2))&gt;60),$A2637&amp;"01 1",$A2637),IF(AND(LEN($A2637)=4,VALUE(RIGHT($A2637,2))&lt;60),GUS_tabl_2!$A$8:$B$464,GUS_tabl_21!$A$5:$B$4886),2,FALSE)))),TRIM(VLOOKUP(IF(AND(LEN($A2637)=4,VALUE(RIGHT($A2637,2))&gt;60),$A2637&amp;"01 1",$A2637),IF(AND(LEN($A2637)=4,VALUE(RIGHT($A2637,2))&lt;60),GUS_tabl_2!$A$8:$B$464,GUS_tabl_21!$A$5:$B$4886),2,FALSE)),LEFT(TRIM(VLOOKUP(IF(AND(LEN($A2637)=4,VALUE(RIGHT($A2637,2))&gt;60),$A2637&amp;"01 1",$A2637),IF(AND(LEN($A2637)=4,VALUE(RIGHT($A2637,2))&lt;60),GUS_tabl_2!$A$8:$B$464,GUS_tabl_21!$A$5:$B$4886),2,FALSE)),SUM(FIND("..",TRIM(VLOOKUP(IF(AND(LEN($A2637)=4,VALUE(RIGHT($A2637,2))&gt;60),$A2637&amp;"01 1",$A2637),IF(AND(LEN($A2637)=4,VALUE(RIGHT($A2637,2))&lt;60),GUS_tabl_2!$A$8:$B$464,GUS_tabl_21!$A$5:$B$4886),2,FALSE))),-1)))))</f>
        <v>gm. w. Skulsk</v>
      </c>
      <c r="D2637" s="141">
        <f>IF(OR($A2637="",ISERROR(VALUE(LEFT($A2637,6)))),"",IF(LEN($A2637)=2,SUMIF($A2638:$A$2965,$A2637&amp;"??",$D2638:$D$2965),IF(AND(LEN($A2637)=4,VALUE(RIGHT($A2637,2))&lt;=60),SUMIF($A2638:$A$2965,$A2637&amp;"????",$D2638:$D$2965),VLOOKUP(IF(LEN($A2637)=4,$A2637&amp;"01 1",$A2637),GUS_tabl_21!$A$5:$F$4886,6,FALSE))))</f>
        <v>6122</v>
      </c>
      <c r="E2637" s="29"/>
    </row>
    <row r="2638" spans="1:5" ht="12" customHeight="1">
      <c r="A2638" s="155" t="str">
        <f>"301010 3"</f>
        <v>301010 3</v>
      </c>
      <c r="B2638" s="153" t="s">
        <v>34</v>
      </c>
      <c r="C2638" s="156" t="str">
        <f>IF(OR($A2638="",ISERROR(VALUE(LEFT($A2638,6)))),"",IF(LEN($A2638)=2,"WOJ. ",IF(LEN($A2638)=4,IF(VALUE(RIGHT($A2638,2))&gt;60,"","Powiat "),IF(VALUE(RIGHT($A2638,1))=1,"m. ",IF(VALUE(RIGHT($A2638,1))=2,"gm. w. ",IF(VALUE(RIGHT($A2638,1))=8,"dz. ","gm. m.-w. ")))))&amp;IF(LEN($A2638)=2,TRIM(UPPER(VLOOKUP($A2638,GUS_tabl_1!$A$7:$B$22,2,FALSE))),IF(ISERROR(FIND("..",TRIM(VLOOKUP(IF(AND(LEN($A2638)=4,VALUE(RIGHT($A2638,2))&gt;60),$A2638&amp;"01 1",$A2638),IF(AND(LEN($A2638)=4,VALUE(RIGHT($A2638,2))&lt;60),GUS_tabl_2!$A$8:$B$464,GUS_tabl_21!$A$5:$B$4886),2,FALSE)))),TRIM(VLOOKUP(IF(AND(LEN($A2638)=4,VALUE(RIGHT($A2638,2))&gt;60),$A2638&amp;"01 1",$A2638),IF(AND(LEN($A2638)=4,VALUE(RIGHT($A2638,2))&lt;60),GUS_tabl_2!$A$8:$B$464,GUS_tabl_21!$A$5:$B$4886),2,FALSE)),LEFT(TRIM(VLOOKUP(IF(AND(LEN($A2638)=4,VALUE(RIGHT($A2638,2))&gt;60),$A2638&amp;"01 1",$A2638),IF(AND(LEN($A2638)=4,VALUE(RIGHT($A2638,2))&lt;60),GUS_tabl_2!$A$8:$B$464,GUS_tabl_21!$A$5:$B$4886),2,FALSE)),SUM(FIND("..",TRIM(VLOOKUP(IF(AND(LEN($A2638)=4,VALUE(RIGHT($A2638,2))&gt;60),$A2638&amp;"01 1",$A2638),IF(AND(LEN($A2638)=4,VALUE(RIGHT($A2638,2))&lt;60),GUS_tabl_2!$A$8:$B$464,GUS_tabl_21!$A$5:$B$4886),2,FALSE))),-1)))))</f>
        <v>gm. m.-w. Sompolno</v>
      </c>
      <c r="D2638" s="141">
        <f>IF(OR($A2638="",ISERROR(VALUE(LEFT($A2638,6)))),"",IF(LEN($A2638)=2,SUMIF($A2639:$A$2965,$A2638&amp;"??",$D2639:$D$2965),IF(AND(LEN($A2638)=4,VALUE(RIGHT($A2638,2))&lt;=60),SUMIF($A2639:$A$2965,$A2638&amp;"????",$D2639:$D$2965),VLOOKUP(IF(LEN($A2638)=4,$A2638&amp;"01 1",$A2638),GUS_tabl_21!$A$5:$F$4886,6,FALSE))))</f>
        <v>10380</v>
      </c>
      <c r="E2638" s="29"/>
    </row>
    <row r="2639" spans="1:5" ht="12" customHeight="1">
      <c r="A2639" s="155" t="str">
        <f>"301011 2"</f>
        <v>301011 2</v>
      </c>
      <c r="B2639" s="153" t="s">
        <v>34</v>
      </c>
      <c r="C2639" s="156" t="str">
        <f>IF(OR($A2639="",ISERROR(VALUE(LEFT($A2639,6)))),"",IF(LEN($A2639)=2,"WOJ. ",IF(LEN($A2639)=4,IF(VALUE(RIGHT($A2639,2))&gt;60,"","Powiat "),IF(VALUE(RIGHT($A2639,1))=1,"m. ",IF(VALUE(RIGHT($A2639,1))=2,"gm. w. ",IF(VALUE(RIGHT($A2639,1))=8,"dz. ","gm. m.-w. ")))))&amp;IF(LEN($A2639)=2,TRIM(UPPER(VLOOKUP($A2639,GUS_tabl_1!$A$7:$B$22,2,FALSE))),IF(ISERROR(FIND("..",TRIM(VLOOKUP(IF(AND(LEN($A2639)=4,VALUE(RIGHT($A2639,2))&gt;60),$A2639&amp;"01 1",$A2639),IF(AND(LEN($A2639)=4,VALUE(RIGHT($A2639,2))&lt;60),GUS_tabl_2!$A$8:$B$464,GUS_tabl_21!$A$5:$B$4886),2,FALSE)))),TRIM(VLOOKUP(IF(AND(LEN($A2639)=4,VALUE(RIGHT($A2639,2))&gt;60),$A2639&amp;"01 1",$A2639),IF(AND(LEN($A2639)=4,VALUE(RIGHT($A2639,2))&lt;60),GUS_tabl_2!$A$8:$B$464,GUS_tabl_21!$A$5:$B$4886),2,FALSE)),LEFT(TRIM(VLOOKUP(IF(AND(LEN($A2639)=4,VALUE(RIGHT($A2639,2))&gt;60),$A2639&amp;"01 1",$A2639),IF(AND(LEN($A2639)=4,VALUE(RIGHT($A2639,2))&lt;60),GUS_tabl_2!$A$8:$B$464,GUS_tabl_21!$A$5:$B$4886),2,FALSE)),SUM(FIND("..",TRIM(VLOOKUP(IF(AND(LEN($A2639)=4,VALUE(RIGHT($A2639,2))&gt;60),$A2639&amp;"01 1",$A2639),IF(AND(LEN($A2639)=4,VALUE(RIGHT($A2639,2))&lt;60),GUS_tabl_2!$A$8:$B$464,GUS_tabl_21!$A$5:$B$4886),2,FALSE))),-1)))))</f>
        <v>gm. w. Stare Miasto</v>
      </c>
      <c r="D2639" s="141">
        <f>IF(OR($A2639="",ISERROR(VALUE(LEFT($A2639,6)))),"",IF(LEN($A2639)=2,SUMIF($A2640:$A$2965,$A2639&amp;"??",$D2640:$D$2965),IF(AND(LEN($A2639)=4,VALUE(RIGHT($A2639,2))&lt;=60),SUMIF($A2640:$A$2965,$A2639&amp;"????",$D2640:$D$2965),VLOOKUP(IF(LEN($A2639)=4,$A2639&amp;"01 1",$A2639),GUS_tabl_21!$A$5:$F$4886,6,FALSE))))</f>
        <v>12436</v>
      </c>
      <c r="E2639" s="29"/>
    </row>
    <row r="2640" spans="1:5" ht="12" customHeight="1">
      <c r="A2640" s="155" t="str">
        <f>"301012 3"</f>
        <v>301012 3</v>
      </c>
      <c r="B2640" s="153" t="s">
        <v>34</v>
      </c>
      <c r="C2640" s="156" t="str">
        <f>IF(OR($A2640="",ISERROR(VALUE(LEFT($A2640,6)))),"",IF(LEN($A2640)=2,"WOJ. ",IF(LEN($A2640)=4,IF(VALUE(RIGHT($A2640,2))&gt;60,"","Powiat "),IF(VALUE(RIGHT($A2640,1))=1,"m. ",IF(VALUE(RIGHT($A2640,1))=2,"gm. w. ",IF(VALUE(RIGHT($A2640,1))=8,"dz. ","gm. m.-w. ")))))&amp;IF(LEN($A2640)=2,TRIM(UPPER(VLOOKUP($A2640,GUS_tabl_1!$A$7:$B$22,2,FALSE))),IF(ISERROR(FIND("..",TRIM(VLOOKUP(IF(AND(LEN($A2640)=4,VALUE(RIGHT($A2640,2))&gt;60),$A2640&amp;"01 1",$A2640),IF(AND(LEN($A2640)=4,VALUE(RIGHT($A2640,2))&lt;60),GUS_tabl_2!$A$8:$B$464,GUS_tabl_21!$A$5:$B$4886),2,FALSE)))),TRIM(VLOOKUP(IF(AND(LEN($A2640)=4,VALUE(RIGHT($A2640,2))&gt;60),$A2640&amp;"01 1",$A2640),IF(AND(LEN($A2640)=4,VALUE(RIGHT($A2640,2))&lt;60),GUS_tabl_2!$A$8:$B$464,GUS_tabl_21!$A$5:$B$4886),2,FALSE)),LEFT(TRIM(VLOOKUP(IF(AND(LEN($A2640)=4,VALUE(RIGHT($A2640,2))&gt;60),$A2640&amp;"01 1",$A2640),IF(AND(LEN($A2640)=4,VALUE(RIGHT($A2640,2))&lt;60),GUS_tabl_2!$A$8:$B$464,GUS_tabl_21!$A$5:$B$4886),2,FALSE)),SUM(FIND("..",TRIM(VLOOKUP(IF(AND(LEN($A2640)=4,VALUE(RIGHT($A2640,2))&gt;60),$A2640&amp;"01 1",$A2640),IF(AND(LEN($A2640)=4,VALUE(RIGHT($A2640,2))&lt;60),GUS_tabl_2!$A$8:$B$464,GUS_tabl_21!$A$5:$B$4886),2,FALSE))),-1)))))</f>
        <v>gm. m.-w. Ślesin</v>
      </c>
      <c r="D2640" s="141">
        <f>IF(OR($A2640="",ISERROR(VALUE(LEFT($A2640,6)))),"",IF(LEN($A2640)=2,SUMIF($A2641:$A$2965,$A2640&amp;"??",$D2641:$D$2965),IF(AND(LEN($A2640)=4,VALUE(RIGHT($A2640,2))&lt;=60),SUMIF($A2641:$A$2965,$A2640&amp;"????",$D2641:$D$2965),VLOOKUP(IF(LEN($A2640)=4,$A2640&amp;"01 1",$A2640),GUS_tabl_21!$A$5:$F$4886,6,FALSE))))</f>
        <v>14067</v>
      </c>
      <c r="E2640" s="29"/>
    </row>
    <row r="2641" spans="1:5" ht="12" customHeight="1">
      <c r="A2641" s="155" t="str">
        <f>"301013 2"</f>
        <v>301013 2</v>
      </c>
      <c r="B2641" s="153" t="s">
        <v>34</v>
      </c>
      <c r="C2641" s="156" t="str">
        <f>IF(OR($A2641="",ISERROR(VALUE(LEFT($A2641,6)))),"",IF(LEN($A2641)=2,"WOJ. ",IF(LEN($A2641)=4,IF(VALUE(RIGHT($A2641,2))&gt;60,"","Powiat "),IF(VALUE(RIGHT($A2641,1))=1,"m. ",IF(VALUE(RIGHT($A2641,1))=2,"gm. w. ",IF(VALUE(RIGHT($A2641,1))=8,"dz. ","gm. m.-w. ")))))&amp;IF(LEN($A2641)=2,TRIM(UPPER(VLOOKUP($A2641,GUS_tabl_1!$A$7:$B$22,2,FALSE))),IF(ISERROR(FIND("..",TRIM(VLOOKUP(IF(AND(LEN($A2641)=4,VALUE(RIGHT($A2641,2))&gt;60),$A2641&amp;"01 1",$A2641),IF(AND(LEN($A2641)=4,VALUE(RIGHT($A2641,2))&lt;60),GUS_tabl_2!$A$8:$B$464,GUS_tabl_21!$A$5:$B$4886),2,FALSE)))),TRIM(VLOOKUP(IF(AND(LEN($A2641)=4,VALUE(RIGHT($A2641,2))&gt;60),$A2641&amp;"01 1",$A2641),IF(AND(LEN($A2641)=4,VALUE(RIGHT($A2641,2))&lt;60),GUS_tabl_2!$A$8:$B$464,GUS_tabl_21!$A$5:$B$4886),2,FALSE)),LEFT(TRIM(VLOOKUP(IF(AND(LEN($A2641)=4,VALUE(RIGHT($A2641,2))&gt;60),$A2641&amp;"01 1",$A2641),IF(AND(LEN($A2641)=4,VALUE(RIGHT($A2641,2))&lt;60),GUS_tabl_2!$A$8:$B$464,GUS_tabl_21!$A$5:$B$4886),2,FALSE)),SUM(FIND("..",TRIM(VLOOKUP(IF(AND(LEN($A2641)=4,VALUE(RIGHT($A2641,2))&gt;60),$A2641&amp;"01 1",$A2641),IF(AND(LEN($A2641)=4,VALUE(RIGHT($A2641,2))&lt;60),GUS_tabl_2!$A$8:$B$464,GUS_tabl_21!$A$5:$B$4886),2,FALSE))),-1)))))</f>
        <v>gm. w. Wierzbinek</v>
      </c>
      <c r="D2641" s="141">
        <f>IF(OR($A2641="",ISERROR(VALUE(LEFT($A2641,6)))),"",IF(LEN($A2641)=2,SUMIF($A2642:$A$2965,$A2641&amp;"??",$D2642:$D$2965),IF(AND(LEN($A2641)=4,VALUE(RIGHT($A2641,2))&lt;=60),SUMIF($A2642:$A$2965,$A2641&amp;"????",$D2642:$D$2965),VLOOKUP(IF(LEN($A2641)=4,$A2641&amp;"01 1",$A2641),GUS_tabl_21!$A$5:$F$4886,6,FALSE))))</f>
        <v>7287</v>
      </c>
      <c r="E2641" s="29"/>
    </row>
    <row r="2642" spans="1:5" ht="12" customHeight="1">
      <c r="A2642" s="155" t="str">
        <f>"301014 2"</f>
        <v>301014 2</v>
      </c>
      <c r="B2642" s="153" t="s">
        <v>34</v>
      </c>
      <c r="C2642" s="156" t="str">
        <f>IF(OR($A2642="",ISERROR(VALUE(LEFT($A2642,6)))),"",IF(LEN($A2642)=2,"WOJ. ",IF(LEN($A2642)=4,IF(VALUE(RIGHT($A2642,2))&gt;60,"","Powiat "),IF(VALUE(RIGHT($A2642,1))=1,"m. ",IF(VALUE(RIGHT($A2642,1))=2,"gm. w. ",IF(VALUE(RIGHT($A2642,1))=8,"dz. ","gm. m.-w. ")))))&amp;IF(LEN($A2642)=2,TRIM(UPPER(VLOOKUP($A2642,GUS_tabl_1!$A$7:$B$22,2,FALSE))),IF(ISERROR(FIND("..",TRIM(VLOOKUP(IF(AND(LEN($A2642)=4,VALUE(RIGHT($A2642,2))&gt;60),$A2642&amp;"01 1",$A2642),IF(AND(LEN($A2642)=4,VALUE(RIGHT($A2642,2))&lt;60),GUS_tabl_2!$A$8:$B$464,GUS_tabl_21!$A$5:$B$4886),2,FALSE)))),TRIM(VLOOKUP(IF(AND(LEN($A2642)=4,VALUE(RIGHT($A2642,2))&gt;60),$A2642&amp;"01 1",$A2642),IF(AND(LEN($A2642)=4,VALUE(RIGHT($A2642,2))&lt;60),GUS_tabl_2!$A$8:$B$464,GUS_tabl_21!$A$5:$B$4886),2,FALSE)),LEFT(TRIM(VLOOKUP(IF(AND(LEN($A2642)=4,VALUE(RIGHT($A2642,2))&gt;60),$A2642&amp;"01 1",$A2642),IF(AND(LEN($A2642)=4,VALUE(RIGHT($A2642,2))&lt;60),GUS_tabl_2!$A$8:$B$464,GUS_tabl_21!$A$5:$B$4886),2,FALSE)),SUM(FIND("..",TRIM(VLOOKUP(IF(AND(LEN($A2642)=4,VALUE(RIGHT($A2642,2))&gt;60),$A2642&amp;"01 1",$A2642),IF(AND(LEN($A2642)=4,VALUE(RIGHT($A2642,2))&lt;60),GUS_tabl_2!$A$8:$B$464,GUS_tabl_21!$A$5:$B$4886),2,FALSE))),-1)))))</f>
        <v>gm. w. Wilczyn</v>
      </c>
      <c r="D2642" s="141">
        <f>IF(OR($A2642="",ISERROR(VALUE(LEFT($A2642,6)))),"",IF(LEN($A2642)=2,SUMIF($A2643:$A$2965,$A2642&amp;"??",$D2643:$D$2965),IF(AND(LEN($A2642)=4,VALUE(RIGHT($A2642,2))&lt;=60),SUMIF($A2643:$A$2965,$A2642&amp;"????",$D2643:$D$2965),VLOOKUP(IF(LEN($A2642)=4,$A2642&amp;"01 1",$A2642),GUS_tabl_21!$A$5:$F$4886,6,FALSE))))</f>
        <v>6202</v>
      </c>
      <c r="E2642" s="29"/>
    </row>
    <row r="2643" spans="1:5" ht="12" customHeight="1">
      <c r="A2643" s="152" t="str">
        <f>"3011"</f>
        <v>3011</v>
      </c>
      <c r="B2643" s="153" t="s">
        <v>34</v>
      </c>
      <c r="C2643" s="154" t="str">
        <f>IF(OR($A2643="",ISERROR(VALUE(LEFT($A2643,6)))),"",IF(LEN($A2643)=2,"WOJ. ",IF(LEN($A2643)=4,IF(VALUE(RIGHT($A2643,2))&gt;60,"","Powiat "),IF(VALUE(RIGHT($A2643,1))=1,"m. ",IF(VALUE(RIGHT($A2643,1))=2,"gm. w. ",IF(VALUE(RIGHT($A2643,1))=8,"dz. ","gm. m.-w. ")))))&amp;IF(LEN($A2643)=2,TRIM(UPPER(VLOOKUP($A2643,GUS_tabl_1!$A$7:$B$22,2,FALSE))),IF(ISERROR(FIND("..",TRIM(VLOOKUP(IF(AND(LEN($A2643)=4,VALUE(RIGHT($A2643,2))&gt;60),$A2643&amp;"01 1",$A2643),IF(AND(LEN($A2643)=4,VALUE(RIGHT($A2643,2))&lt;60),GUS_tabl_2!$A$8:$B$464,GUS_tabl_21!$A$5:$B$4886),2,FALSE)))),TRIM(VLOOKUP(IF(AND(LEN($A2643)=4,VALUE(RIGHT($A2643,2))&gt;60),$A2643&amp;"01 1",$A2643),IF(AND(LEN($A2643)=4,VALUE(RIGHT($A2643,2))&lt;60),GUS_tabl_2!$A$8:$B$464,GUS_tabl_21!$A$5:$B$4886),2,FALSE)),LEFT(TRIM(VLOOKUP(IF(AND(LEN($A2643)=4,VALUE(RIGHT($A2643,2))&gt;60),$A2643&amp;"01 1",$A2643),IF(AND(LEN($A2643)=4,VALUE(RIGHT($A2643,2))&lt;60),GUS_tabl_2!$A$8:$B$464,GUS_tabl_21!$A$5:$B$4886),2,FALSE)),SUM(FIND("..",TRIM(VLOOKUP(IF(AND(LEN($A2643)=4,VALUE(RIGHT($A2643,2))&gt;60),$A2643&amp;"01 1",$A2643),IF(AND(LEN($A2643)=4,VALUE(RIGHT($A2643,2))&lt;60),GUS_tabl_2!$A$8:$B$464,GUS_tabl_21!$A$5:$B$4886),2,FALSE))),-1)))))</f>
        <v>Powiat kościański</v>
      </c>
      <c r="D2643" s="140">
        <f>IF(OR($A2643="",ISERROR(VALUE(LEFT($A2643,6)))),"",IF(LEN($A2643)=2,SUMIF($A2644:$A$2965,$A2643&amp;"??",$D2644:$D$2965),IF(AND(LEN($A2643)=4,VALUE(RIGHT($A2643,2))&lt;=60),SUMIF($A2644:$A$2965,$A2643&amp;"????",$D2644:$D$2965),VLOOKUP(IF(LEN($A2643)=4,$A2643&amp;"01 1",$A2643),GUS_tabl_21!$A$5:$F$4886,6,FALSE))))</f>
        <v>79183</v>
      </c>
      <c r="E2643" s="29"/>
    </row>
    <row r="2644" spans="1:5" ht="12" customHeight="1">
      <c r="A2644" s="155" t="str">
        <f>"301101 1"</f>
        <v>301101 1</v>
      </c>
      <c r="B2644" s="153" t="s">
        <v>34</v>
      </c>
      <c r="C2644" s="156" t="str">
        <f>IF(OR($A2644="",ISERROR(VALUE(LEFT($A2644,6)))),"",IF(LEN($A2644)=2,"WOJ. ",IF(LEN($A2644)=4,IF(VALUE(RIGHT($A2644,2))&gt;60,"","Powiat "),IF(VALUE(RIGHT($A2644,1))=1,"m. ",IF(VALUE(RIGHT($A2644,1))=2,"gm. w. ",IF(VALUE(RIGHT($A2644,1))=8,"dz. ","gm. m.-w. ")))))&amp;IF(LEN($A2644)=2,TRIM(UPPER(VLOOKUP($A2644,GUS_tabl_1!$A$7:$B$22,2,FALSE))),IF(ISERROR(FIND("..",TRIM(VLOOKUP(IF(AND(LEN($A2644)=4,VALUE(RIGHT($A2644,2))&gt;60),$A2644&amp;"01 1",$A2644),IF(AND(LEN($A2644)=4,VALUE(RIGHT($A2644,2))&lt;60),GUS_tabl_2!$A$8:$B$464,GUS_tabl_21!$A$5:$B$4886),2,FALSE)))),TRIM(VLOOKUP(IF(AND(LEN($A2644)=4,VALUE(RIGHT($A2644,2))&gt;60),$A2644&amp;"01 1",$A2644),IF(AND(LEN($A2644)=4,VALUE(RIGHT($A2644,2))&lt;60),GUS_tabl_2!$A$8:$B$464,GUS_tabl_21!$A$5:$B$4886),2,FALSE)),LEFT(TRIM(VLOOKUP(IF(AND(LEN($A2644)=4,VALUE(RIGHT($A2644,2))&gt;60),$A2644&amp;"01 1",$A2644),IF(AND(LEN($A2644)=4,VALUE(RIGHT($A2644,2))&lt;60),GUS_tabl_2!$A$8:$B$464,GUS_tabl_21!$A$5:$B$4886),2,FALSE)),SUM(FIND("..",TRIM(VLOOKUP(IF(AND(LEN($A2644)=4,VALUE(RIGHT($A2644,2))&gt;60),$A2644&amp;"01 1",$A2644),IF(AND(LEN($A2644)=4,VALUE(RIGHT($A2644,2))&lt;60),GUS_tabl_2!$A$8:$B$464,GUS_tabl_21!$A$5:$B$4886),2,FALSE))),-1)))))</f>
        <v>m. Kościan</v>
      </c>
      <c r="D2644" s="141">
        <f>IF(OR($A2644="",ISERROR(VALUE(LEFT($A2644,6)))),"",IF(LEN($A2644)=2,SUMIF($A2645:$A$2965,$A2644&amp;"??",$D2645:$D$2965),IF(AND(LEN($A2644)=4,VALUE(RIGHT($A2644,2))&lt;=60),SUMIF($A2645:$A$2965,$A2644&amp;"????",$D2645:$D$2965),VLOOKUP(IF(LEN($A2644)=4,$A2644&amp;"01 1",$A2644),GUS_tabl_21!$A$5:$F$4886,6,FALSE))))</f>
        <v>23876</v>
      </c>
      <c r="E2644" s="29"/>
    </row>
    <row r="2645" spans="1:5" ht="12" customHeight="1">
      <c r="A2645" s="155" t="str">
        <f>"301102 3"</f>
        <v>301102 3</v>
      </c>
      <c r="B2645" s="153" t="s">
        <v>34</v>
      </c>
      <c r="C2645" s="156" t="str">
        <f>IF(OR($A2645="",ISERROR(VALUE(LEFT($A2645,6)))),"",IF(LEN($A2645)=2,"WOJ. ",IF(LEN($A2645)=4,IF(VALUE(RIGHT($A2645,2))&gt;60,"","Powiat "),IF(VALUE(RIGHT($A2645,1))=1,"m. ",IF(VALUE(RIGHT($A2645,1))=2,"gm. w. ",IF(VALUE(RIGHT($A2645,1))=8,"dz. ","gm. m.-w. ")))))&amp;IF(LEN($A2645)=2,TRIM(UPPER(VLOOKUP($A2645,GUS_tabl_1!$A$7:$B$22,2,FALSE))),IF(ISERROR(FIND("..",TRIM(VLOOKUP(IF(AND(LEN($A2645)=4,VALUE(RIGHT($A2645,2))&gt;60),$A2645&amp;"01 1",$A2645),IF(AND(LEN($A2645)=4,VALUE(RIGHT($A2645,2))&lt;60),GUS_tabl_2!$A$8:$B$464,GUS_tabl_21!$A$5:$B$4886),2,FALSE)))),TRIM(VLOOKUP(IF(AND(LEN($A2645)=4,VALUE(RIGHT($A2645,2))&gt;60),$A2645&amp;"01 1",$A2645),IF(AND(LEN($A2645)=4,VALUE(RIGHT($A2645,2))&lt;60),GUS_tabl_2!$A$8:$B$464,GUS_tabl_21!$A$5:$B$4886),2,FALSE)),LEFT(TRIM(VLOOKUP(IF(AND(LEN($A2645)=4,VALUE(RIGHT($A2645,2))&gt;60),$A2645&amp;"01 1",$A2645),IF(AND(LEN($A2645)=4,VALUE(RIGHT($A2645,2))&lt;60),GUS_tabl_2!$A$8:$B$464,GUS_tabl_21!$A$5:$B$4886),2,FALSE)),SUM(FIND("..",TRIM(VLOOKUP(IF(AND(LEN($A2645)=4,VALUE(RIGHT($A2645,2))&gt;60),$A2645&amp;"01 1",$A2645),IF(AND(LEN($A2645)=4,VALUE(RIGHT($A2645,2))&lt;60),GUS_tabl_2!$A$8:$B$464,GUS_tabl_21!$A$5:$B$4886),2,FALSE))),-1)))))</f>
        <v>gm. m.-w. Czempiń</v>
      </c>
      <c r="D2645" s="141">
        <f>IF(OR($A2645="",ISERROR(VALUE(LEFT($A2645,6)))),"",IF(LEN($A2645)=2,SUMIF($A2646:$A$2965,$A2645&amp;"??",$D2646:$D$2965),IF(AND(LEN($A2645)=4,VALUE(RIGHT($A2645,2))&lt;=60),SUMIF($A2646:$A$2965,$A2645&amp;"????",$D2646:$D$2965),VLOOKUP(IF(LEN($A2645)=4,$A2645&amp;"01 1",$A2645),GUS_tabl_21!$A$5:$F$4886,6,FALSE))))</f>
        <v>11513</v>
      </c>
      <c r="E2645" s="29"/>
    </row>
    <row r="2646" spans="1:5" ht="12" customHeight="1">
      <c r="A2646" s="155" t="str">
        <f>"301103 2"</f>
        <v>301103 2</v>
      </c>
      <c r="B2646" s="153" t="s">
        <v>34</v>
      </c>
      <c r="C2646" s="156" t="str">
        <f>IF(OR($A2646="",ISERROR(VALUE(LEFT($A2646,6)))),"",IF(LEN($A2646)=2,"WOJ. ",IF(LEN($A2646)=4,IF(VALUE(RIGHT($A2646,2))&gt;60,"","Powiat "),IF(VALUE(RIGHT($A2646,1))=1,"m. ",IF(VALUE(RIGHT($A2646,1))=2,"gm. w. ",IF(VALUE(RIGHT($A2646,1))=8,"dz. ","gm. m.-w. ")))))&amp;IF(LEN($A2646)=2,TRIM(UPPER(VLOOKUP($A2646,GUS_tabl_1!$A$7:$B$22,2,FALSE))),IF(ISERROR(FIND("..",TRIM(VLOOKUP(IF(AND(LEN($A2646)=4,VALUE(RIGHT($A2646,2))&gt;60),$A2646&amp;"01 1",$A2646),IF(AND(LEN($A2646)=4,VALUE(RIGHT($A2646,2))&lt;60),GUS_tabl_2!$A$8:$B$464,GUS_tabl_21!$A$5:$B$4886),2,FALSE)))),TRIM(VLOOKUP(IF(AND(LEN($A2646)=4,VALUE(RIGHT($A2646,2))&gt;60),$A2646&amp;"01 1",$A2646),IF(AND(LEN($A2646)=4,VALUE(RIGHT($A2646,2))&lt;60),GUS_tabl_2!$A$8:$B$464,GUS_tabl_21!$A$5:$B$4886),2,FALSE)),LEFT(TRIM(VLOOKUP(IF(AND(LEN($A2646)=4,VALUE(RIGHT($A2646,2))&gt;60),$A2646&amp;"01 1",$A2646),IF(AND(LEN($A2646)=4,VALUE(RIGHT($A2646,2))&lt;60),GUS_tabl_2!$A$8:$B$464,GUS_tabl_21!$A$5:$B$4886),2,FALSE)),SUM(FIND("..",TRIM(VLOOKUP(IF(AND(LEN($A2646)=4,VALUE(RIGHT($A2646,2))&gt;60),$A2646&amp;"01 1",$A2646),IF(AND(LEN($A2646)=4,VALUE(RIGHT($A2646,2))&lt;60),GUS_tabl_2!$A$8:$B$464,GUS_tabl_21!$A$5:$B$4886),2,FALSE))),-1)))))</f>
        <v>gm. w. Kościan</v>
      </c>
      <c r="D2646" s="141">
        <f>IF(OR($A2646="",ISERROR(VALUE(LEFT($A2646,6)))),"",IF(LEN($A2646)=2,SUMIF($A2647:$A$2965,$A2646&amp;"??",$D2647:$D$2965),IF(AND(LEN($A2646)=4,VALUE(RIGHT($A2646,2))&lt;=60),SUMIF($A2647:$A$2965,$A2646&amp;"????",$D2647:$D$2965),VLOOKUP(IF(LEN($A2646)=4,$A2646&amp;"01 1",$A2646),GUS_tabl_21!$A$5:$F$4886,6,FALSE))))</f>
        <v>16144</v>
      </c>
      <c r="E2646" s="29"/>
    </row>
    <row r="2647" spans="1:5" ht="12" customHeight="1">
      <c r="A2647" s="155" t="str">
        <f>"301104 3"</f>
        <v>301104 3</v>
      </c>
      <c r="B2647" s="153" t="s">
        <v>34</v>
      </c>
      <c r="C2647" s="156" t="str">
        <f>IF(OR($A2647="",ISERROR(VALUE(LEFT($A2647,6)))),"",IF(LEN($A2647)=2,"WOJ. ",IF(LEN($A2647)=4,IF(VALUE(RIGHT($A2647,2))&gt;60,"","Powiat "),IF(VALUE(RIGHT($A2647,1))=1,"m. ",IF(VALUE(RIGHT($A2647,1))=2,"gm. w. ",IF(VALUE(RIGHT($A2647,1))=8,"dz. ","gm. m.-w. ")))))&amp;IF(LEN($A2647)=2,TRIM(UPPER(VLOOKUP($A2647,GUS_tabl_1!$A$7:$B$22,2,FALSE))),IF(ISERROR(FIND("..",TRIM(VLOOKUP(IF(AND(LEN($A2647)=4,VALUE(RIGHT($A2647,2))&gt;60),$A2647&amp;"01 1",$A2647),IF(AND(LEN($A2647)=4,VALUE(RIGHT($A2647,2))&lt;60),GUS_tabl_2!$A$8:$B$464,GUS_tabl_21!$A$5:$B$4886),2,FALSE)))),TRIM(VLOOKUP(IF(AND(LEN($A2647)=4,VALUE(RIGHT($A2647,2))&gt;60),$A2647&amp;"01 1",$A2647),IF(AND(LEN($A2647)=4,VALUE(RIGHT($A2647,2))&lt;60),GUS_tabl_2!$A$8:$B$464,GUS_tabl_21!$A$5:$B$4886),2,FALSE)),LEFT(TRIM(VLOOKUP(IF(AND(LEN($A2647)=4,VALUE(RIGHT($A2647,2))&gt;60),$A2647&amp;"01 1",$A2647),IF(AND(LEN($A2647)=4,VALUE(RIGHT($A2647,2))&lt;60),GUS_tabl_2!$A$8:$B$464,GUS_tabl_21!$A$5:$B$4886),2,FALSE)),SUM(FIND("..",TRIM(VLOOKUP(IF(AND(LEN($A2647)=4,VALUE(RIGHT($A2647,2))&gt;60),$A2647&amp;"01 1",$A2647),IF(AND(LEN($A2647)=4,VALUE(RIGHT($A2647,2))&lt;60),GUS_tabl_2!$A$8:$B$464,GUS_tabl_21!$A$5:$B$4886),2,FALSE))),-1)))))</f>
        <v>gm. m.-w. Krzywiń</v>
      </c>
      <c r="D2647" s="141">
        <f>IF(OR($A2647="",ISERROR(VALUE(LEFT($A2647,6)))),"",IF(LEN($A2647)=2,SUMIF($A2648:$A$2965,$A2647&amp;"??",$D2648:$D$2965),IF(AND(LEN($A2647)=4,VALUE(RIGHT($A2647,2))&lt;=60),SUMIF($A2648:$A$2965,$A2647&amp;"????",$D2648:$D$2965),VLOOKUP(IF(LEN($A2647)=4,$A2647&amp;"01 1",$A2647),GUS_tabl_21!$A$5:$F$4886,6,FALSE))))</f>
        <v>10043</v>
      </c>
      <c r="E2647" s="29"/>
    </row>
    <row r="2648" spans="1:5" ht="12" customHeight="1">
      <c r="A2648" s="155" t="str">
        <f>"301105 3"</f>
        <v>301105 3</v>
      </c>
      <c r="B2648" s="153" t="s">
        <v>34</v>
      </c>
      <c r="C2648" s="156" t="str">
        <f>IF(OR($A2648="",ISERROR(VALUE(LEFT($A2648,6)))),"",IF(LEN($A2648)=2,"WOJ. ",IF(LEN($A2648)=4,IF(VALUE(RIGHT($A2648,2))&gt;60,"","Powiat "),IF(VALUE(RIGHT($A2648,1))=1,"m. ",IF(VALUE(RIGHT($A2648,1))=2,"gm. w. ",IF(VALUE(RIGHT($A2648,1))=8,"dz. ","gm. m.-w. ")))))&amp;IF(LEN($A2648)=2,TRIM(UPPER(VLOOKUP($A2648,GUS_tabl_1!$A$7:$B$22,2,FALSE))),IF(ISERROR(FIND("..",TRIM(VLOOKUP(IF(AND(LEN($A2648)=4,VALUE(RIGHT($A2648,2))&gt;60),$A2648&amp;"01 1",$A2648),IF(AND(LEN($A2648)=4,VALUE(RIGHT($A2648,2))&lt;60),GUS_tabl_2!$A$8:$B$464,GUS_tabl_21!$A$5:$B$4886),2,FALSE)))),TRIM(VLOOKUP(IF(AND(LEN($A2648)=4,VALUE(RIGHT($A2648,2))&gt;60),$A2648&amp;"01 1",$A2648),IF(AND(LEN($A2648)=4,VALUE(RIGHT($A2648,2))&lt;60),GUS_tabl_2!$A$8:$B$464,GUS_tabl_21!$A$5:$B$4886),2,FALSE)),LEFT(TRIM(VLOOKUP(IF(AND(LEN($A2648)=4,VALUE(RIGHT($A2648,2))&gt;60),$A2648&amp;"01 1",$A2648),IF(AND(LEN($A2648)=4,VALUE(RIGHT($A2648,2))&lt;60),GUS_tabl_2!$A$8:$B$464,GUS_tabl_21!$A$5:$B$4886),2,FALSE)),SUM(FIND("..",TRIM(VLOOKUP(IF(AND(LEN($A2648)=4,VALUE(RIGHT($A2648,2))&gt;60),$A2648&amp;"01 1",$A2648),IF(AND(LEN($A2648)=4,VALUE(RIGHT($A2648,2))&lt;60),GUS_tabl_2!$A$8:$B$464,GUS_tabl_21!$A$5:$B$4886),2,FALSE))),-1)))))</f>
        <v>gm. m.-w. Śmigiel</v>
      </c>
      <c r="D2648" s="141">
        <f>IF(OR($A2648="",ISERROR(VALUE(LEFT($A2648,6)))),"",IF(LEN($A2648)=2,SUMIF($A2649:$A$2965,$A2648&amp;"??",$D2649:$D$2965),IF(AND(LEN($A2648)=4,VALUE(RIGHT($A2648,2))&lt;=60),SUMIF($A2649:$A$2965,$A2648&amp;"????",$D2649:$D$2965),VLOOKUP(IF(LEN($A2648)=4,$A2648&amp;"01 1",$A2648),GUS_tabl_21!$A$5:$F$4886,6,FALSE))))</f>
        <v>17607</v>
      </c>
      <c r="E2648" s="29"/>
    </row>
    <row r="2649" spans="1:5" ht="12" customHeight="1">
      <c r="A2649" s="152" t="str">
        <f>"3012"</f>
        <v>3012</v>
      </c>
      <c r="B2649" s="153" t="s">
        <v>34</v>
      </c>
      <c r="C2649" s="154" t="str">
        <f>IF(OR($A2649="",ISERROR(VALUE(LEFT($A2649,6)))),"",IF(LEN($A2649)=2,"WOJ. ",IF(LEN($A2649)=4,IF(VALUE(RIGHT($A2649,2))&gt;60,"","Powiat "),IF(VALUE(RIGHT($A2649,1))=1,"m. ",IF(VALUE(RIGHT($A2649,1))=2,"gm. w. ",IF(VALUE(RIGHT($A2649,1))=8,"dz. ","gm. m.-w. ")))))&amp;IF(LEN($A2649)=2,TRIM(UPPER(VLOOKUP($A2649,GUS_tabl_1!$A$7:$B$22,2,FALSE))),IF(ISERROR(FIND("..",TRIM(VLOOKUP(IF(AND(LEN($A2649)=4,VALUE(RIGHT($A2649,2))&gt;60),$A2649&amp;"01 1",$A2649),IF(AND(LEN($A2649)=4,VALUE(RIGHT($A2649,2))&lt;60),GUS_tabl_2!$A$8:$B$464,GUS_tabl_21!$A$5:$B$4886),2,FALSE)))),TRIM(VLOOKUP(IF(AND(LEN($A2649)=4,VALUE(RIGHT($A2649,2))&gt;60),$A2649&amp;"01 1",$A2649),IF(AND(LEN($A2649)=4,VALUE(RIGHT($A2649,2))&lt;60),GUS_tabl_2!$A$8:$B$464,GUS_tabl_21!$A$5:$B$4886),2,FALSE)),LEFT(TRIM(VLOOKUP(IF(AND(LEN($A2649)=4,VALUE(RIGHT($A2649,2))&gt;60),$A2649&amp;"01 1",$A2649),IF(AND(LEN($A2649)=4,VALUE(RIGHT($A2649,2))&lt;60),GUS_tabl_2!$A$8:$B$464,GUS_tabl_21!$A$5:$B$4886),2,FALSE)),SUM(FIND("..",TRIM(VLOOKUP(IF(AND(LEN($A2649)=4,VALUE(RIGHT($A2649,2))&gt;60),$A2649&amp;"01 1",$A2649),IF(AND(LEN($A2649)=4,VALUE(RIGHT($A2649,2))&lt;60),GUS_tabl_2!$A$8:$B$464,GUS_tabl_21!$A$5:$B$4886),2,FALSE))),-1)))))</f>
        <v>Powiat krotoszyński</v>
      </c>
      <c r="D2649" s="140">
        <f>IF(OR($A2649="",ISERROR(VALUE(LEFT($A2649,6)))),"",IF(LEN($A2649)=2,SUMIF($A2650:$A$2965,$A2649&amp;"??",$D2650:$D$2965),IF(AND(LEN($A2649)=4,VALUE(RIGHT($A2649,2))&lt;=60),SUMIF($A2650:$A$2965,$A2649&amp;"????",$D2650:$D$2965),VLOOKUP(IF(LEN($A2649)=4,$A2649&amp;"01 1",$A2649),GUS_tabl_21!$A$5:$F$4886,6,FALSE))))</f>
        <v>77274</v>
      </c>
      <c r="E2649" s="29"/>
    </row>
    <row r="2650" spans="1:5" ht="12" customHeight="1">
      <c r="A2650" s="155" t="str">
        <f>"301201 1"</f>
        <v>301201 1</v>
      </c>
      <c r="B2650" s="153" t="s">
        <v>34</v>
      </c>
      <c r="C2650" s="156" t="str">
        <f>IF(OR($A2650="",ISERROR(VALUE(LEFT($A2650,6)))),"",IF(LEN($A2650)=2,"WOJ. ",IF(LEN($A2650)=4,IF(VALUE(RIGHT($A2650,2))&gt;60,"","Powiat "),IF(VALUE(RIGHT($A2650,1))=1,"m. ",IF(VALUE(RIGHT($A2650,1))=2,"gm. w. ",IF(VALUE(RIGHT($A2650,1))=8,"dz. ","gm. m.-w. ")))))&amp;IF(LEN($A2650)=2,TRIM(UPPER(VLOOKUP($A2650,GUS_tabl_1!$A$7:$B$22,2,FALSE))),IF(ISERROR(FIND("..",TRIM(VLOOKUP(IF(AND(LEN($A2650)=4,VALUE(RIGHT($A2650,2))&gt;60),$A2650&amp;"01 1",$A2650),IF(AND(LEN($A2650)=4,VALUE(RIGHT($A2650,2))&lt;60),GUS_tabl_2!$A$8:$B$464,GUS_tabl_21!$A$5:$B$4886),2,FALSE)))),TRIM(VLOOKUP(IF(AND(LEN($A2650)=4,VALUE(RIGHT($A2650,2))&gt;60),$A2650&amp;"01 1",$A2650),IF(AND(LEN($A2650)=4,VALUE(RIGHT($A2650,2))&lt;60),GUS_tabl_2!$A$8:$B$464,GUS_tabl_21!$A$5:$B$4886),2,FALSE)),LEFT(TRIM(VLOOKUP(IF(AND(LEN($A2650)=4,VALUE(RIGHT($A2650,2))&gt;60),$A2650&amp;"01 1",$A2650),IF(AND(LEN($A2650)=4,VALUE(RIGHT($A2650,2))&lt;60),GUS_tabl_2!$A$8:$B$464,GUS_tabl_21!$A$5:$B$4886),2,FALSE)),SUM(FIND("..",TRIM(VLOOKUP(IF(AND(LEN($A2650)=4,VALUE(RIGHT($A2650,2))&gt;60),$A2650&amp;"01 1",$A2650),IF(AND(LEN($A2650)=4,VALUE(RIGHT($A2650,2))&lt;60),GUS_tabl_2!$A$8:$B$464,GUS_tabl_21!$A$5:$B$4886),2,FALSE))),-1)))))</f>
        <v>m. Sulmierzyce</v>
      </c>
      <c r="D2650" s="141">
        <f>IF(OR($A2650="",ISERROR(VALUE(LEFT($A2650,6)))),"",IF(LEN($A2650)=2,SUMIF($A2651:$A$2965,$A2650&amp;"??",$D2651:$D$2965),IF(AND(LEN($A2650)=4,VALUE(RIGHT($A2650,2))&lt;=60),SUMIF($A2651:$A$2965,$A2650&amp;"????",$D2651:$D$2965),VLOOKUP(IF(LEN($A2650)=4,$A2650&amp;"01 1",$A2650),GUS_tabl_21!$A$5:$F$4886,6,FALSE))))</f>
        <v>2851</v>
      </c>
      <c r="E2650" s="29"/>
    </row>
    <row r="2651" spans="1:5" ht="12" customHeight="1">
      <c r="A2651" s="155" t="str">
        <f>"301202 3"</f>
        <v>301202 3</v>
      </c>
      <c r="B2651" s="153" t="s">
        <v>34</v>
      </c>
      <c r="C2651" s="156" t="str">
        <f>IF(OR($A2651="",ISERROR(VALUE(LEFT($A2651,6)))),"",IF(LEN($A2651)=2,"WOJ. ",IF(LEN($A2651)=4,IF(VALUE(RIGHT($A2651,2))&gt;60,"","Powiat "),IF(VALUE(RIGHT($A2651,1))=1,"m. ",IF(VALUE(RIGHT($A2651,1))=2,"gm. w. ",IF(VALUE(RIGHT($A2651,1))=8,"dz. ","gm. m.-w. ")))))&amp;IF(LEN($A2651)=2,TRIM(UPPER(VLOOKUP($A2651,GUS_tabl_1!$A$7:$B$22,2,FALSE))),IF(ISERROR(FIND("..",TRIM(VLOOKUP(IF(AND(LEN($A2651)=4,VALUE(RIGHT($A2651,2))&gt;60),$A2651&amp;"01 1",$A2651),IF(AND(LEN($A2651)=4,VALUE(RIGHT($A2651,2))&lt;60),GUS_tabl_2!$A$8:$B$464,GUS_tabl_21!$A$5:$B$4886),2,FALSE)))),TRIM(VLOOKUP(IF(AND(LEN($A2651)=4,VALUE(RIGHT($A2651,2))&gt;60),$A2651&amp;"01 1",$A2651),IF(AND(LEN($A2651)=4,VALUE(RIGHT($A2651,2))&lt;60),GUS_tabl_2!$A$8:$B$464,GUS_tabl_21!$A$5:$B$4886),2,FALSE)),LEFT(TRIM(VLOOKUP(IF(AND(LEN($A2651)=4,VALUE(RIGHT($A2651,2))&gt;60),$A2651&amp;"01 1",$A2651),IF(AND(LEN($A2651)=4,VALUE(RIGHT($A2651,2))&lt;60),GUS_tabl_2!$A$8:$B$464,GUS_tabl_21!$A$5:$B$4886),2,FALSE)),SUM(FIND("..",TRIM(VLOOKUP(IF(AND(LEN($A2651)=4,VALUE(RIGHT($A2651,2))&gt;60),$A2651&amp;"01 1",$A2651),IF(AND(LEN($A2651)=4,VALUE(RIGHT($A2651,2))&lt;60),GUS_tabl_2!$A$8:$B$464,GUS_tabl_21!$A$5:$B$4886),2,FALSE))),-1)))))</f>
        <v>gm. m.-w. Kobylin</v>
      </c>
      <c r="D2651" s="141">
        <f>IF(OR($A2651="",ISERROR(VALUE(LEFT($A2651,6)))),"",IF(LEN($A2651)=2,SUMIF($A2652:$A$2965,$A2651&amp;"??",$D2652:$D$2965),IF(AND(LEN($A2651)=4,VALUE(RIGHT($A2651,2))&lt;=60),SUMIF($A2652:$A$2965,$A2651&amp;"????",$D2652:$D$2965),VLOOKUP(IF(LEN($A2651)=4,$A2651&amp;"01 1",$A2651),GUS_tabl_21!$A$5:$F$4886,6,FALSE))))</f>
        <v>8090</v>
      </c>
      <c r="E2651" s="29"/>
    </row>
    <row r="2652" spans="1:5" ht="12" customHeight="1">
      <c r="A2652" s="155" t="str">
        <f>"301203 3"</f>
        <v>301203 3</v>
      </c>
      <c r="B2652" s="153" t="s">
        <v>34</v>
      </c>
      <c r="C2652" s="156" t="str">
        <f>IF(OR($A2652="",ISERROR(VALUE(LEFT($A2652,6)))),"",IF(LEN($A2652)=2,"WOJ. ",IF(LEN($A2652)=4,IF(VALUE(RIGHT($A2652,2))&gt;60,"","Powiat "),IF(VALUE(RIGHT($A2652,1))=1,"m. ",IF(VALUE(RIGHT($A2652,1))=2,"gm. w. ",IF(VALUE(RIGHT($A2652,1))=8,"dz. ","gm. m.-w. ")))))&amp;IF(LEN($A2652)=2,TRIM(UPPER(VLOOKUP($A2652,GUS_tabl_1!$A$7:$B$22,2,FALSE))),IF(ISERROR(FIND("..",TRIM(VLOOKUP(IF(AND(LEN($A2652)=4,VALUE(RIGHT($A2652,2))&gt;60),$A2652&amp;"01 1",$A2652),IF(AND(LEN($A2652)=4,VALUE(RIGHT($A2652,2))&lt;60),GUS_tabl_2!$A$8:$B$464,GUS_tabl_21!$A$5:$B$4886),2,FALSE)))),TRIM(VLOOKUP(IF(AND(LEN($A2652)=4,VALUE(RIGHT($A2652,2))&gt;60),$A2652&amp;"01 1",$A2652),IF(AND(LEN($A2652)=4,VALUE(RIGHT($A2652,2))&lt;60),GUS_tabl_2!$A$8:$B$464,GUS_tabl_21!$A$5:$B$4886),2,FALSE)),LEFT(TRIM(VLOOKUP(IF(AND(LEN($A2652)=4,VALUE(RIGHT($A2652,2))&gt;60),$A2652&amp;"01 1",$A2652),IF(AND(LEN($A2652)=4,VALUE(RIGHT($A2652,2))&lt;60),GUS_tabl_2!$A$8:$B$464,GUS_tabl_21!$A$5:$B$4886),2,FALSE)),SUM(FIND("..",TRIM(VLOOKUP(IF(AND(LEN($A2652)=4,VALUE(RIGHT($A2652,2))&gt;60),$A2652&amp;"01 1",$A2652),IF(AND(LEN($A2652)=4,VALUE(RIGHT($A2652,2))&lt;60),GUS_tabl_2!$A$8:$B$464,GUS_tabl_21!$A$5:$B$4886),2,FALSE))),-1)))))</f>
        <v>gm. m.-w. Koźmin Wielkopolski</v>
      </c>
      <c r="D2652" s="141">
        <f>IF(OR($A2652="",ISERROR(VALUE(LEFT($A2652,6)))),"",IF(LEN($A2652)=2,SUMIF($A2653:$A$2965,$A2652&amp;"??",$D2653:$D$2965),IF(AND(LEN($A2652)=4,VALUE(RIGHT($A2652,2))&lt;=60),SUMIF($A2653:$A$2965,$A2652&amp;"????",$D2653:$D$2965),VLOOKUP(IF(LEN($A2652)=4,$A2652&amp;"01 1",$A2652),GUS_tabl_21!$A$5:$F$4886,6,FALSE))))</f>
        <v>13211</v>
      </c>
      <c r="E2652" s="29"/>
    </row>
    <row r="2653" spans="1:5" ht="12" customHeight="1">
      <c r="A2653" s="155" t="str">
        <f>"301204 3"</f>
        <v>301204 3</v>
      </c>
      <c r="B2653" s="153" t="s">
        <v>34</v>
      </c>
      <c r="C2653" s="156" t="str">
        <f>IF(OR($A2653="",ISERROR(VALUE(LEFT($A2653,6)))),"",IF(LEN($A2653)=2,"WOJ. ",IF(LEN($A2653)=4,IF(VALUE(RIGHT($A2653,2))&gt;60,"","Powiat "),IF(VALUE(RIGHT($A2653,1))=1,"m. ",IF(VALUE(RIGHT($A2653,1))=2,"gm. w. ",IF(VALUE(RIGHT($A2653,1))=8,"dz. ","gm. m.-w. ")))))&amp;IF(LEN($A2653)=2,TRIM(UPPER(VLOOKUP($A2653,GUS_tabl_1!$A$7:$B$22,2,FALSE))),IF(ISERROR(FIND("..",TRIM(VLOOKUP(IF(AND(LEN($A2653)=4,VALUE(RIGHT($A2653,2))&gt;60),$A2653&amp;"01 1",$A2653),IF(AND(LEN($A2653)=4,VALUE(RIGHT($A2653,2))&lt;60),GUS_tabl_2!$A$8:$B$464,GUS_tabl_21!$A$5:$B$4886),2,FALSE)))),TRIM(VLOOKUP(IF(AND(LEN($A2653)=4,VALUE(RIGHT($A2653,2))&gt;60),$A2653&amp;"01 1",$A2653),IF(AND(LEN($A2653)=4,VALUE(RIGHT($A2653,2))&lt;60),GUS_tabl_2!$A$8:$B$464,GUS_tabl_21!$A$5:$B$4886),2,FALSE)),LEFT(TRIM(VLOOKUP(IF(AND(LEN($A2653)=4,VALUE(RIGHT($A2653,2))&gt;60),$A2653&amp;"01 1",$A2653),IF(AND(LEN($A2653)=4,VALUE(RIGHT($A2653,2))&lt;60),GUS_tabl_2!$A$8:$B$464,GUS_tabl_21!$A$5:$B$4886),2,FALSE)),SUM(FIND("..",TRIM(VLOOKUP(IF(AND(LEN($A2653)=4,VALUE(RIGHT($A2653,2))&gt;60),$A2653&amp;"01 1",$A2653),IF(AND(LEN($A2653)=4,VALUE(RIGHT($A2653,2))&lt;60),GUS_tabl_2!$A$8:$B$464,GUS_tabl_21!$A$5:$B$4886),2,FALSE))),-1)))))</f>
        <v>gm. m.-w. Krotoszyn</v>
      </c>
      <c r="D2653" s="141">
        <f>IF(OR($A2653="",ISERROR(VALUE(LEFT($A2653,6)))),"",IF(LEN($A2653)=2,SUMIF($A2654:$A$2965,$A2653&amp;"??",$D2654:$D$2965),IF(AND(LEN($A2653)=4,VALUE(RIGHT($A2653,2))&lt;=60),SUMIF($A2654:$A$2965,$A2653&amp;"????",$D2654:$D$2965),VLOOKUP(IF(LEN($A2653)=4,$A2653&amp;"01 1",$A2653),GUS_tabl_21!$A$5:$F$4886,6,FALSE))))</f>
        <v>40341</v>
      </c>
      <c r="E2653" s="29"/>
    </row>
    <row r="2654" spans="1:5" ht="12" customHeight="1">
      <c r="A2654" s="155" t="str">
        <f>"301205 2"</f>
        <v>301205 2</v>
      </c>
      <c r="B2654" s="153" t="s">
        <v>34</v>
      </c>
      <c r="C2654" s="156" t="str">
        <f>IF(OR($A2654="",ISERROR(VALUE(LEFT($A2654,6)))),"",IF(LEN($A2654)=2,"WOJ. ",IF(LEN($A2654)=4,IF(VALUE(RIGHT($A2654,2))&gt;60,"","Powiat "),IF(VALUE(RIGHT($A2654,1))=1,"m. ",IF(VALUE(RIGHT($A2654,1))=2,"gm. w. ",IF(VALUE(RIGHT($A2654,1))=8,"dz. ","gm. m.-w. ")))))&amp;IF(LEN($A2654)=2,TRIM(UPPER(VLOOKUP($A2654,GUS_tabl_1!$A$7:$B$22,2,FALSE))),IF(ISERROR(FIND("..",TRIM(VLOOKUP(IF(AND(LEN($A2654)=4,VALUE(RIGHT($A2654,2))&gt;60),$A2654&amp;"01 1",$A2654),IF(AND(LEN($A2654)=4,VALUE(RIGHT($A2654,2))&lt;60),GUS_tabl_2!$A$8:$B$464,GUS_tabl_21!$A$5:$B$4886),2,FALSE)))),TRIM(VLOOKUP(IF(AND(LEN($A2654)=4,VALUE(RIGHT($A2654,2))&gt;60),$A2654&amp;"01 1",$A2654),IF(AND(LEN($A2654)=4,VALUE(RIGHT($A2654,2))&lt;60),GUS_tabl_2!$A$8:$B$464,GUS_tabl_21!$A$5:$B$4886),2,FALSE)),LEFT(TRIM(VLOOKUP(IF(AND(LEN($A2654)=4,VALUE(RIGHT($A2654,2))&gt;60),$A2654&amp;"01 1",$A2654),IF(AND(LEN($A2654)=4,VALUE(RIGHT($A2654,2))&lt;60),GUS_tabl_2!$A$8:$B$464,GUS_tabl_21!$A$5:$B$4886),2,FALSE)),SUM(FIND("..",TRIM(VLOOKUP(IF(AND(LEN($A2654)=4,VALUE(RIGHT($A2654,2))&gt;60),$A2654&amp;"01 1",$A2654),IF(AND(LEN($A2654)=4,VALUE(RIGHT($A2654,2))&lt;60),GUS_tabl_2!$A$8:$B$464,GUS_tabl_21!$A$5:$B$4886),2,FALSE))),-1)))))</f>
        <v>gm. w. Rozdrażew</v>
      </c>
      <c r="D2654" s="141">
        <f>IF(OR($A2654="",ISERROR(VALUE(LEFT($A2654,6)))),"",IF(LEN($A2654)=2,SUMIF($A2655:$A$2965,$A2654&amp;"??",$D2655:$D$2965),IF(AND(LEN($A2654)=4,VALUE(RIGHT($A2654,2))&lt;=60),SUMIF($A2655:$A$2965,$A2654&amp;"????",$D2655:$D$2965),VLOOKUP(IF(LEN($A2654)=4,$A2654&amp;"01 1",$A2654),GUS_tabl_21!$A$5:$F$4886,6,FALSE))))</f>
        <v>5204</v>
      </c>
      <c r="E2654" s="29"/>
    </row>
    <row r="2655" spans="1:5" ht="12" customHeight="1">
      <c r="A2655" s="155" t="str">
        <f>"301206 3"</f>
        <v>301206 3</v>
      </c>
      <c r="B2655" s="153" t="s">
        <v>34</v>
      </c>
      <c r="C2655" s="156" t="str">
        <f>IF(OR($A2655="",ISERROR(VALUE(LEFT($A2655,6)))),"",IF(LEN($A2655)=2,"WOJ. ",IF(LEN($A2655)=4,IF(VALUE(RIGHT($A2655,2))&gt;60,"","Powiat "),IF(VALUE(RIGHT($A2655,1))=1,"m. ",IF(VALUE(RIGHT($A2655,1))=2,"gm. w. ",IF(VALUE(RIGHT($A2655,1))=8,"dz. ","gm. m.-w. ")))))&amp;IF(LEN($A2655)=2,TRIM(UPPER(VLOOKUP($A2655,GUS_tabl_1!$A$7:$B$22,2,FALSE))),IF(ISERROR(FIND("..",TRIM(VLOOKUP(IF(AND(LEN($A2655)=4,VALUE(RIGHT($A2655,2))&gt;60),$A2655&amp;"01 1",$A2655),IF(AND(LEN($A2655)=4,VALUE(RIGHT($A2655,2))&lt;60),GUS_tabl_2!$A$8:$B$464,GUS_tabl_21!$A$5:$B$4886),2,FALSE)))),TRIM(VLOOKUP(IF(AND(LEN($A2655)=4,VALUE(RIGHT($A2655,2))&gt;60),$A2655&amp;"01 1",$A2655),IF(AND(LEN($A2655)=4,VALUE(RIGHT($A2655,2))&lt;60),GUS_tabl_2!$A$8:$B$464,GUS_tabl_21!$A$5:$B$4886),2,FALSE)),LEFT(TRIM(VLOOKUP(IF(AND(LEN($A2655)=4,VALUE(RIGHT($A2655,2))&gt;60),$A2655&amp;"01 1",$A2655),IF(AND(LEN($A2655)=4,VALUE(RIGHT($A2655,2))&lt;60),GUS_tabl_2!$A$8:$B$464,GUS_tabl_21!$A$5:$B$4886),2,FALSE)),SUM(FIND("..",TRIM(VLOOKUP(IF(AND(LEN($A2655)=4,VALUE(RIGHT($A2655,2))&gt;60),$A2655&amp;"01 1",$A2655),IF(AND(LEN($A2655)=4,VALUE(RIGHT($A2655,2))&lt;60),GUS_tabl_2!$A$8:$B$464,GUS_tabl_21!$A$5:$B$4886),2,FALSE))),-1)))))</f>
        <v>gm. m.-w. Zduny</v>
      </c>
      <c r="D2655" s="141">
        <f>IF(OR($A2655="",ISERROR(VALUE(LEFT($A2655,6)))),"",IF(LEN($A2655)=2,SUMIF($A2656:$A$2965,$A2655&amp;"??",$D2656:$D$2965),IF(AND(LEN($A2655)=4,VALUE(RIGHT($A2655,2))&lt;=60),SUMIF($A2656:$A$2965,$A2655&amp;"????",$D2656:$D$2965),VLOOKUP(IF(LEN($A2655)=4,$A2655&amp;"01 1",$A2655),GUS_tabl_21!$A$5:$F$4886,6,FALSE))))</f>
        <v>7577</v>
      </c>
      <c r="E2655" s="29"/>
    </row>
    <row r="2656" spans="1:5" ht="12" customHeight="1">
      <c r="A2656" s="152" t="str">
        <f>"3013"</f>
        <v>3013</v>
      </c>
      <c r="B2656" s="153" t="s">
        <v>34</v>
      </c>
      <c r="C2656" s="154" t="str">
        <f>IF(OR($A2656="",ISERROR(VALUE(LEFT($A2656,6)))),"",IF(LEN($A2656)=2,"WOJ. ",IF(LEN($A2656)=4,IF(VALUE(RIGHT($A2656,2))&gt;60,"","Powiat "),IF(VALUE(RIGHT($A2656,1))=1,"m. ",IF(VALUE(RIGHT($A2656,1))=2,"gm. w. ",IF(VALUE(RIGHT($A2656,1))=8,"dz. ","gm. m.-w. ")))))&amp;IF(LEN($A2656)=2,TRIM(UPPER(VLOOKUP($A2656,GUS_tabl_1!$A$7:$B$22,2,FALSE))),IF(ISERROR(FIND("..",TRIM(VLOOKUP(IF(AND(LEN($A2656)=4,VALUE(RIGHT($A2656,2))&gt;60),$A2656&amp;"01 1",$A2656),IF(AND(LEN($A2656)=4,VALUE(RIGHT($A2656,2))&lt;60),GUS_tabl_2!$A$8:$B$464,GUS_tabl_21!$A$5:$B$4886),2,FALSE)))),TRIM(VLOOKUP(IF(AND(LEN($A2656)=4,VALUE(RIGHT($A2656,2))&gt;60),$A2656&amp;"01 1",$A2656),IF(AND(LEN($A2656)=4,VALUE(RIGHT($A2656,2))&lt;60),GUS_tabl_2!$A$8:$B$464,GUS_tabl_21!$A$5:$B$4886),2,FALSE)),LEFT(TRIM(VLOOKUP(IF(AND(LEN($A2656)=4,VALUE(RIGHT($A2656,2))&gt;60),$A2656&amp;"01 1",$A2656),IF(AND(LEN($A2656)=4,VALUE(RIGHT($A2656,2))&lt;60),GUS_tabl_2!$A$8:$B$464,GUS_tabl_21!$A$5:$B$4886),2,FALSE)),SUM(FIND("..",TRIM(VLOOKUP(IF(AND(LEN($A2656)=4,VALUE(RIGHT($A2656,2))&gt;60),$A2656&amp;"01 1",$A2656),IF(AND(LEN($A2656)=4,VALUE(RIGHT($A2656,2))&lt;60),GUS_tabl_2!$A$8:$B$464,GUS_tabl_21!$A$5:$B$4886),2,FALSE))),-1)))))</f>
        <v>Powiat leszczyński</v>
      </c>
      <c r="D2656" s="140">
        <f>IF(OR($A2656="",ISERROR(VALUE(LEFT($A2656,6)))),"",IF(LEN($A2656)=2,SUMIF($A2657:$A$2965,$A2656&amp;"??",$D2657:$D$2965),IF(AND(LEN($A2656)=4,VALUE(RIGHT($A2656,2))&lt;=60),SUMIF($A2657:$A$2965,$A2656&amp;"????",$D2657:$D$2965),VLOOKUP(IF(LEN($A2656)=4,$A2656&amp;"01 1",$A2656),GUS_tabl_21!$A$5:$F$4886,6,FALSE))))</f>
        <v>57201</v>
      </c>
      <c r="E2656" s="29"/>
    </row>
    <row r="2657" spans="1:5" ht="12" customHeight="1">
      <c r="A2657" s="155" t="str">
        <f>"301301 2"</f>
        <v>301301 2</v>
      </c>
      <c r="B2657" s="153" t="s">
        <v>34</v>
      </c>
      <c r="C2657" s="156" t="str">
        <f>IF(OR($A2657="",ISERROR(VALUE(LEFT($A2657,6)))),"",IF(LEN($A2657)=2,"WOJ. ",IF(LEN($A2657)=4,IF(VALUE(RIGHT($A2657,2))&gt;60,"","Powiat "),IF(VALUE(RIGHT($A2657,1))=1,"m. ",IF(VALUE(RIGHT($A2657,1))=2,"gm. w. ",IF(VALUE(RIGHT($A2657,1))=8,"dz. ","gm. m.-w. ")))))&amp;IF(LEN($A2657)=2,TRIM(UPPER(VLOOKUP($A2657,GUS_tabl_1!$A$7:$B$22,2,FALSE))),IF(ISERROR(FIND("..",TRIM(VLOOKUP(IF(AND(LEN($A2657)=4,VALUE(RIGHT($A2657,2))&gt;60),$A2657&amp;"01 1",$A2657),IF(AND(LEN($A2657)=4,VALUE(RIGHT($A2657,2))&lt;60),GUS_tabl_2!$A$8:$B$464,GUS_tabl_21!$A$5:$B$4886),2,FALSE)))),TRIM(VLOOKUP(IF(AND(LEN($A2657)=4,VALUE(RIGHT($A2657,2))&gt;60),$A2657&amp;"01 1",$A2657),IF(AND(LEN($A2657)=4,VALUE(RIGHT($A2657,2))&lt;60),GUS_tabl_2!$A$8:$B$464,GUS_tabl_21!$A$5:$B$4886),2,FALSE)),LEFT(TRIM(VLOOKUP(IF(AND(LEN($A2657)=4,VALUE(RIGHT($A2657,2))&gt;60),$A2657&amp;"01 1",$A2657),IF(AND(LEN($A2657)=4,VALUE(RIGHT($A2657,2))&lt;60),GUS_tabl_2!$A$8:$B$464,GUS_tabl_21!$A$5:$B$4886),2,FALSE)),SUM(FIND("..",TRIM(VLOOKUP(IF(AND(LEN($A2657)=4,VALUE(RIGHT($A2657,2))&gt;60),$A2657&amp;"01 1",$A2657),IF(AND(LEN($A2657)=4,VALUE(RIGHT($A2657,2))&lt;60),GUS_tabl_2!$A$8:$B$464,GUS_tabl_21!$A$5:$B$4886),2,FALSE))),-1)))))</f>
        <v>gm. w. Krzemieniewo</v>
      </c>
      <c r="D2657" s="141">
        <f>IF(OR($A2657="",ISERROR(VALUE(LEFT($A2657,6)))),"",IF(LEN($A2657)=2,SUMIF($A2658:$A$2965,$A2657&amp;"??",$D2658:$D$2965),IF(AND(LEN($A2657)=4,VALUE(RIGHT($A2657,2))&lt;=60),SUMIF($A2658:$A$2965,$A2657&amp;"????",$D2658:$D$2965),VLOOKUP(IF(LEN($A2657)=4,$A2657&amp;"01 1",$A2657),GUS_tabl_21!$A$5:$F$4886,6,FALSE))))</f>
        <v>8301</v>
      </c>
      <c r="E2657" s="29"/>
    </row>
    <row r="2658" spans="1:5" ht="12" customHeight="1">
      <c r="A2658" s="155" t="str">
        <f>"301302 2"</f>
        <v>301302 2</v>
      </c>
      <c r="B2658" s="153" t="s">
        <v>34</v>
      </c>
      <c r="C2658" s="156" t="str">
        <f>IF(OR($A2658="",ISERROR(VALUE(LEFT($A2658,6)))),"",IF(LEN($A2658)=2,"WOJ. ",IF(LEN($A2658)=4,IF(VALUE(RIGHT($A2658,2))&gt;60,"","Powiat "),IF(VALUE(RIGHT($A2658,1))=1,"m. ",IF(VALUE(RIGHT($A2658,1))=2,"gm. w. ",IF(VALUE(RIGHT($A2658,1))=8,"dz. ","gm. m.-w. ")))))&amp;IF(LEN($A2658)=2,TRIM(UPPER(VLOOKUP($A2658,GUS_tabl_1!$A$7:$B$22,2,FALSE))),IF(ISERROR(FIND("..",TRIM(VLOOKUP(IF(AND(LEN($A2658)=4,VALUE(RIGHT($A2658,2))&gt;60),$A2658&amp;"01 1",$A2658),IF(AND(LEN($A2658)=4,VALUE(RIGHT($A2658,2))&lt;60),GUS_tabl_2!$A$8:$B$464,GUS_tabl_21!$A$5:$B$4886),2,FALSE)))),TRIM(VLOOKUP(IF(AND(LEN($A2658)=4,VALUE(RIGHT($A2658,2))&gt;60),$A2658&amp;"01 1",$A2658),IF(AND(LEN($A2658)=4,VALUE(RIGHT($A2658,2))&lt;60),GUS_tabl_2!$A$8:$B$464,GUS_tabl_21!$A$5:$B$4886),2,FALSE)),LEFT(TRIM(VLOOKUP(IF(AND(LEN($A2658)=4,VALUE(RIGHT($A2658,2))&gt;60),$A2658&amp;"01 1",$A2658),IF(AND(LEN($A2658)=4,VALUE(RIGHT($A2658,2))&lt;60),GUS_tabl_2!$A$8:$B$464,GUS_tabl_21!$A$5:$B$4886),2,FALSE)),SUM(FIND("..",TRIM(VLOOKUP(IF(AND(LEN($A2658)=4,VALUE(RIGHT($A2658,2))&gt;60),$A2658&amp;"01 1",$A2658),IF(AND(LEN($A2658)=4,VALUE(RIGHT($A2658,2))&lt;60),GUS_tabl_2!$A$8:$B$464,GUS_tabl_21!$A$5:$B$4886),2,FALSE))),-1)))))</f>
        <v>gm. w. Lipno</v>
      </c>
      <c r="D2658" s="141">
        <f>IF(OR($A2658="",ISERROR(VALUE(LEFT($A2658,6)))),"",IF(LEN($A2658)=2,SUMIF($A2659:$A$2965,$A2658&amp;"??",$D2659:$D$2965),IF(AND(LEN($A2658)=4,VALUE(RIGHT($A2658,2))&lt;=60),SUMIF($A2659:$A$2965,$A2658&amp;"????",$D2659:$D$2965),VLOOKUP(IF(LEN($A2658)=4,$A2658&amp;"01 1",$A2658),GUS_tabl_21!$A$5:$F$4886,6,FALSE))))</f>
        <v>8382</v>
      </c>
      <c r="E2658" s="29"/>
    </row>
    <row r="2659" spans="1:5" ht="12" customHeight="1">
      <c r="A2659" s="155" t="str">
        <f>"301303 3"</f>
        <v>301303 3</v>
      </c>
      <c r="B2659" s="153" t="s">
        <v>34</v>
      </c>
      <c r="C2659" s="156" t="str">
        <f>IF(OR($A2659="",ISERROR(VALUE(LEFT($A2659,6)))),"",IF(LEN($A2659)=2,"WOJ. ",IF(LEN($A2659)=4,IF(VALUE(RIGHT($A2659,2))&gt;60,"","Powiat "),IF(VALUE(RIGHT($A2659,1))=1,"m. ",IF(VALUE(RIGHT($A2659,1))=2,"gm. w. ",IF(VALUE(RIGHT($A2659,1))=8,"dz. ","gm. m.-w. ")))))&amp;IF(LEN($A2659)=2,TRIM(UPPER(VLOOKUP($A2659,GUS_tabl_1!$A$7:$B$22,2,FALSE))),IF(ISERROR(FIND("..",TRIM(VLOOKUP(IF(AND(LEN($A2659)=4,VALUE(RIGHT($A2659,2))&gt;60),$A2659&amp;"01 1",$A2659),IF(AND(LEN($A2659)=4,VALUE(RIGHT($A2659,2))&lt;60),GUS_tabl_2!$A$8:$B$464,GUS_tabl_21!$A$5:$B$4886),2,FALSE)))),TRIM(VLOOKUP(IF(AND(LEN($A2659)=4,VALUE(RIGHT($A2659,2))&gt;60),$A2659&amp;"01 1",$A2659),IF(AND(LEN($A2659)=4,VALUE(RIGHT($A2659,2))&lt;60),GUS_tabl_2!$A$8:$B$464,GUS_tabl_21!$A$5:$B$4886),2,FALSE)),LEFT(TRIM(VLOOKUP(IF(AND(LEN($A2659)=4,VALUE(RIGHT($A2659,2))&gt;60),$A2659&amp;"01 1",$A2659),IF(AND(LEN($A2659)=4,VALUE(RIGHT($A2659,2))&lt;60),GUS_tabl_2!$A$8:$B$464,GUS_tabl_21!$A$5:$B$4886),2,FALSE)),SUM(FIND("..",TRIM(VLOOKUP(IF(AND(LEN($A2659)=4,VALUE(RIGHT($A2659,2))&gt;60),$A2659&amp;"01 1",$A2659),IF(AND(LEN($A2659)=4,VALUE(RIGHT($A2659,2))&lt;60),GUS_tabl_2!$A$8:$B$464,GUS_tabl_21!$A$5:$B$4886),2,FALSE))),-1)))))</f>
        <v>gm. m.-w. Osieczna</v>
      </c>
      <c r="D2659" s="141">
        <f>IF(OR($A2659="",ISERROR(VALUE(LEFT($A2659,6)))),"",IF(LEN($A2659)=2,SUMIF($A2660:$A$2965,$A2659&amp;"??",$D2660:$D$2965),IF(AND(LEN($A2659)=4,VALUE(RIGHT($A2659,2))&lt;=60),SUMIF($A2660:$A$2965,$A2659&amp;"????",$D2660:$D$2965),VLOOKUP(IF(LEN($A2659)=4,$A2659&amp;"01 1",$A2659),GUS_tabl_21!$A$5:$F$4886,6,FALSE))))</f>
        <v>9269</v>
      </c>
      <c r="E2659" s="29"/>
    </row>
    <row r="2660" spans="1:5" ht="12" customHeight="1">
      <c r="A2660" s="155" t="str">
        <f>"301304 3"</f>
        <v>301304 3</v>
      </c>
      <c r="B2660" s="153" t="s">
        <v>34</v>
      </c>
      <c r="C2660" s="156" t="str">
        <f>IF(OR($A2660="",ISERROR(VALUE(LEFT($A2660,6)))),"",IF(LEN($A2660)=2,"WOJ. ",IF(LEN($A2660)=4,IF(VALUE(RIGHT($A2660,2))&gt;60,"","Powiat "),IF(VALUE(RIGHT($A2660,1))=1,"m. ",IF(VALUE(RIGHT($A2660,1))=2,"gm. w. ",IF(VALUE(RIGHT($A2660,1))=8,"dz. ","gm. m.-w. ")))))&amp;IF(LEN($A2660)=2,TRIM(UPPER(VLOOKUP($A2660,GUS_tabl_1!$A$7:$B$22,2,FALSE))),IF(ISERROR(FIND("..",TRIM(VLOOKUP(IF(AND(LEN($A2660)=4,VALUE(RIGHT($A2660,2))&gt;60),$A2660&amp;"01 1",$A2660),IF(AND(LEN($A2660)=4,VALUE(RIGHT($A2660,2))&lt;60),GUS_tabl_2!$A$8:$B$464,GUS_tabl_21!$A$5:$B$4886),2,FALSE)))),TRIM(VLOOKUP(IF(AND(LEN($A2660)=4,VALUE(RIGHT($A2660,2))&gt;60),$A2660&amp;"01 1",$A2660),IF(AND(LEN($A2660)=4,VALUE(RIGHT($A2660,2))&lt;60),GUS_tabl_2!$A$8:$B$464,GUS_tabl_21!$A$5:$B$4886),2,FALSE)),LEFT(TRIM(VLOOKUP(IF(AND(LEN($A2660)=4,VALUE(RIGHT($A2660,2))&gt;60),$A2660&amp;"01 1",$A2660),IF(AND(LEN($A2660)=4,VALUE(RIGHT($A2660,2))&lt;60),GUS_tabl_2!$A$8:$B$464,GUS_tabl_21!$A$5:$B$4886),2,FALSE)),SUM(FIND("..",TRIM(VLOOKUP(IF(AND(LEN($A2660)=4,VALUE(RIGHT($A2660,2))&gt;60),$A2660&amp;"01 1",$A2660),IF(AND(LEN($A2660)=4,VALUE(RIGHT($A2660,2))&lt;60),GUS_tabl_2!$A$8:$B$464,GUS_tabl_21!$A$5:$B$4886),2,FALSE))),-1)))))</f>
        <v>gm. m.-w. Rydzyna</v>
      </c>
      <c r="D2660" s="141">
        <f>IF(OR($A2660="",ISERROR(VALUE(LEFT($A2660,6)))),"",IF(LEN($A2660)=2,SUMIF($A2661:$A$2965,$A2660&amp;"??",$D2661:$D$2965),IF(AND(LEN($A2660)=4,VALUE(RIGHT($A2660,2))&lt;=60),SUMIF($A2661:$A$2965,$A2660&amp;"????",$D2661:$D$2965),VLOOKUP(IF(LEN($A2660)=4,$A2660&amp;"01 1",$A2660),GUS_tabl_21!$A$5:$F$4886,6,FALSE))))</f>
        <v>9636</v>
      </c>
      <c r="E2660" s="29"/>
    </row>
    <row r="2661" spans="1:5" ht="12" customHeight="1">
      <c r="A2661" s="155" t="str">
        <f>"301305 2"</f>
        <v>301305 2</v>
      </c>
      <c r="B2661" s="153" t="s">
        <v>34</v>
      </c>
      <c r="C2661" s="156" t="str">
        <f>IF(OR($A2661="",ISERROR(VALUE(LEFT($A2661,6)))),"",IF(LEN($A2661)=2,"WOJ. ",IF(LEN($A2661)=4,IF(VALUE(RIGHT($A2661,2))&gt;60,"","Powiat "),IF(VALUE(RIGHT($A2661,1))=1,"m. ",IF(VALUE(RIGHT($A2661,1))=2,"gm. w. ",IF(VALUE(RIGHT($A2661,1))=8,"dz. ","gm. m.-w. ")))))&amp;IF(LEN($A2661)=2,TRIM(UPPER(VLOOKUP($A2661,GUS_tabl_1!$A$7:$B$22,2,FALSE))),IF(ISERROR(FIND("..",TRIM(VLOOKUP(IF(AND(LEN($A2661)=4,VALUE(RIGHT($A2661,2))&gt;60),$A2661&amp;"01 1",$A2661),IF(AND(LEN($A2661)=4,VALUE(RIGHT($A2661,2))&lt;60),GUS_tabl_2!$A$8:$B$464,GUS_tabl_21!$A$5:$B$4886),2,FALSE)))),TRIM(VLOOKUP(IF(AND(LEN($A2661)=4,VALUE(RIGHT($A2661,2))&gt;60),$A2661&amp;"01 1",$A2661),IF(AND(LEN($A2661)=4,VALUE(RIGHT($A2661,2))&lt;60),GUS_tabl_2!$A$8:$B$464,GUS_tabl_21!$A$5:$B$4886),2,FALSE)),LEFT(TRIM(VLOOKUP(IF(AND(LEN($A2661)=4,VALUE(RIGHT($A2661,2))&gt;60),$A2661&amp;"01 1",$A2661),IF(AND(LEN($A2661)=4,VALUE(RIGHT($A2661,2))&lt;60),GUS_tabl_2!$A$8:$B$464,GUS_tabl_21!$A$5:$B$4886),2,FALSE)),SUM(FIND("..",TRIM(VLOOKUP(IF(AND(LEN($A2661)=4,VALUE(RIGHT($A2661,2))&gt;60),$A2661&amp;"01 1",$A2661),IF(AND(LEN($A2661)=4,VALUE(RIGHT($A2661,2))&lt;60),GUS_tabl_2!$A$8:$B$464,GUS_tabl_21!$A$5:$B$4886),2,FALSE))),-1)))))</f>
        <v>gm. w. Święciechowa</v>
      </c>
      <c r="D2661" s="141">
        <f>IF(OR($A2661="",ISERROR(VALUE(LEFT($A2661,6)))),"",IF(LEN($A2661)=2,SUMIF($A2662:$A$2965,$A2661&amp;"??",$D2662:$D$2965),IF(AND(LEN($A2661)=4,VALUE(RIGHT($A2661,2))&lt;=60),SUMIF($A2662:$A$2965,$A2661&amp;"????",$D2662:$D$2965),VLOOKUP(IF(LEN($A2661)=4,$A2661&amp;"01 1",$A2661),GUS_tabl_21!$A$5:$F$4886,6,FALSE))))</f>
        <v>8108</v>
      </c>
      <c r="E2661" s="29"/>
    </row>
    <row r="2662" spans="1:5" ht="12" customHeight="1">
      <c r="A2662" s="155" t="str">
        <f>"301306 2"</f>
        <v>301306 2</v>
      </c>
      <c r="B2662" s="153" t="s">
        <v>34</v>
      </c>
      <c r="C2662" s="156" t="str">
        <f>IF(OR($A2662="",ISERROR(VALUE(LEFT($A2662,6)))),"",IF(LEN($A2662)=2,"WOJ. ",IF(LEN($A2662)=4,IF(VALUE(RIGHT($A2662,2))&gt;60,"","Powiat "),IF(VALUE(RIGHT($A2662,1))=1,"m. ",IF(VALUE(RIGHT($A2662,1))=2,"gm. w. ",IF(VALUE(RIGHT($A2662,1))=8,"dz. ","gm. m.-w. ")))))&amp;IF(LEN($A2662)=2,TRIM(UPPER(VLOOKUP($A2662,GUS_tabl_1!$A$7:$B$22,2,FALSE))),IF(ISERROR(FIND("..",TRIM(VLOOKUP(IF(AND(LEN($A2662)=4,VALUE(RIGHT($A2662,2))&gt;60),$A2662&amp;"01 1",$A2662),IF(AND(LEN($A2662)=4,VALUE(RIGHT($A2662,2))&lt;60),GUS_tabl_2!$A$8:$B$464,GUS_tabl_21!$A$5:$B$4886),2,FALSE)))),TRIM(VLOOKUP(IF(AND(LEN($A2662)=4,VALUE(RIGHT($A2662,2))&gt;60),$A2662&amp;"01 1",$A2662),IF(AND(LEN($A2662)=4,VALUE(RIGHT($A2662,2))&lt;60),GUS_tabl_2!$A$8:$B$464,GUS_tabl_21!$A$5:$B$4886),2,FALSE)),LEFT(TRIM(VLOOKUP(IF(AND(LEN($A2662)=4,VALUE(RIGHT($A2662,2))&gt;60),$A2662&amp;"01 1",$A2662),IF(AND(LEN($A2662)=4,VALUE(RIGHT($A2662,2))&lt;60),GUS_tabl_2!$A$8:$B$464,GUS_tabl_21!$A$5:$B$4886),2,FALSE)),SUM(FIND("..",TRIM(VLOOKUP(IF(AND(LEN($A2662)=4,VALUE(RIGHT($A2662,2))&gt;60),$A2662&amp;"01 1",$A2662),IF(AND(LEN($A2662)=4,VALUE(RIGHT($A2662,2))&lt;60),GUS_tabl_2!$A$8:$B$464,GUS_tabl_21!$A$5:$B$4886),2,FALSE))),-1)))))</f>
        <v>gm. w. Wijewo</v>
      </c>
      <c r="D2662" s="141">
        <f>IF(OR($A2662="",ISERROR(VALUE(LEFT($A2662,6)))),"",IF(LEN($A2662)=2,SUMIF($A2663:$A$2965,$A2662&amp;"??",$D2663:$D$2965),IF(AND(LEN($A2662)=4,VALUE(RIGHT($A2662,2))&lt;=60),SUMIF($A2663:$A$2965,$A2662&amp;"????",$D2663:$D$2965),VLOOKUP(IF(LEN($A2662)=4,$A2662&amp;"01 1",$A2662),GUS_tabl_21!$A$5:$F$4886,6,FALSE))))</f>
        <v>3836</v>
      </c>
      <c r="E2662" s="29"/>
    </row>
    <row r="2663" spans="1:5" ht="12" customHeight="1">
      <c r="A2663" s="155" t="str">
        <f>"301307 2"</f>
        <v>301307 2</v>
      </c>
      <c r="B2663" s="153" t="s">
        <v>34</v>
      </c>
      <c r="C2663" s="156" t="str">
        <f>IF(OR($A2663="",ISERROR(VALUE(LEFT($A2663,6)))),"",IF(LEN($A2663)=2,"WOJ. ",IF(LEN($A2663)=4,IF(VALUE(RIGHT($A2663,2))&gt;60,"","Powiat "),IF(VALUE(RIGHT($A2663,1))=1,"m. ",IF(VALUE(RIGHT($A2663,1))=2,"gm. w. ",IF(VALUE(RIGHT($A2663,1))=8,"dz. ","gm. m.-w. ")))))&amp;IF(LEN($A2663)=2,TRIM(UPPER(VLOOKUP($A2663,GUS_tabl_1!$A$7:$B$22,2,FALSE))),IF(ISERROR(FIND("..",TRIM(VLOOKUP(IF(AND(LEN($A2663)=4,VALUE(RIGHT($A2663,2))&gt;60),$A2663&amp;"01 1",$A2663),IF(AND(LEN($A2663)=4,VALUE(RIGHT($A2663,2))&lt;60),GUS_tabl_2!$A$8:$B$464,GUS_tabl_21!$A$5:$B$4886),2,FALSE)))),TRIM(VLOOKUP(IF(AND(LEN($A2663)=4,VALUE(RIGHT($A2663,2))&gt;60),$A2663&amp;"01 1",$A2663),IF(AND(LEN($A2663)=4,VALUE(RIGHT($A2663,2))&lt;60),GUS_tabl_2!$A$8:$B$464,GUS_tabl_21!$A$5:$B$4886),2,FALSE)),LEFT(TRIM(VLOOKUP(IF(AND(LEN($A2663)=4,VALUE(RIGHT($A2663,2))&gt;60),$A2663&amp;"01 1",$A2663),IF(AND(LEN($A2663)=4,VALUE(RIGHT($A2663,2))&lt;60),GUS_tabl_2!$A$8:$B$464,GUS_tabl_21!$A$5:$B$4886),2,FALSE)),SUM(FIND("..",TRIM(VLOOKUP(IF(AND(LEN($A2663)=4,VALUE(RIGHT($A2663,2))&gt;60),$A2663&amp;"01 1",$A2663),IF(AND(LEN($A2663)=4,VALUE(RIGHT($A2663,2))&lt;60),GUS_tabl_2!$A$8:$B$464,GUS_tabl_21!$A$5:$B$4886),2,FALSE))),-1)))))</f>
        <v>gm. w. Włoszakowice</v>
      </c>
      <c r="D2663" s="141">
        <f>IF(OR($A2663="",ISERROR(VALUE(LEFT($A2663,6)))),"",IF(LEN($A2663)=2,SUMIF($A2664:$A$2965,$A2663&amp;"??",$D2664:$D$2965),IF(AND(LEN($A2663)=4,VALUE(RIGHT($A2663,2))&lt;=60),SUMIF($A2664:$A$2965,$A2663&amp;"????",$D2664:$D$2965),VLOOKUP(IF(LEN($A2663)=4,$A2663&amp;"01 1",$A2663),GUS_tabl_21!$A$5:$F$4886,6,FALSE))))</f>
        <v>9669</v>
      </c>
      <c r="E2663" s="29"/>
    </row>
    <row r="2664" spans="1:5" ht="12" customHeight="1">
      <c r="A2664" s="152" t="str">
        <f>"3014"</f>
        <v>3014</v>
      </c>
      <c r="B2664" s="153" t="s">
        <v>34</v>
      </c>
      <c r="C2664" s="154" t="str">
        <f>IF(OR($A2664="",ISERROR(VALUE(LEFT($A2664,6)))),"",IF(LEN($A2664)=2,"WOJ. ",IF(LEN($A2664)=4,IF(VALUE(RIGHT($A2664,2))&gt;60,"","Powiat "),IF(VALUE(RIGHT($A2664,1))=1,"m. ",IF(VALUE(RIGHT($A2664,1))=2,"gm. w. ",IF(VALUE(RIGHT($A2664,1))=8,"dz. ","gm. m.-w. ")))))&amp;IF(LEN($A2664)=2,TRIM(UPPER(VLOOKUP($A2664,GUS_tabl_1!$A$7:$B$22,2,FALSE))),IF(ISERROR(FIND("..",TRIM(VLOOKUP(IF(AND(LEN($A2664)=4,VALUE(RIGHT($A2664,2))&gt;60),$A2664&amp;"01 1",$A2664),IF(AND(LEN($A2664)=4,VALUE(RIGHT($A2664,2))&lt;60),GUS_tabl_2!$A$8:$B$464,GUS_tabl_21!$A$5:$B$4886),2,FALSE)))),TRIM(VLOOKUP(IF(AND(LEN($A2664)=4,VALUE(RIGHT($A2664,2))&gt;60),$A2664&amp;"01 1",$A2664),IF(AND(LEN($A2664)=4,VALUE(RIGHT($A2664,2))&lt;60),GUS_tabl_2!$A$8:$B$464,GUS_tabl_21!$A$5:$B$4886),2,FALSE)),LEFT(TRIM(VLOOKUP(IF(AND(LEN($A2664)=4,VALUE(RIGHT($A2664,2))&gt;60),$A2664&amp;"01 1",$A2664),IF(AND(LEN($A2664)=4,VALUE(RIGHT($A2664,2))&lt;60),GUS_tabl_2!$A$8:$B$464,GUS_tabl_21!$A$5:$B$4886),2,FALSE)),SUM(FIND("..",TRIM(VLOOKUP(IF(AND(LEN($A2664)=4,VALUE(RIGHT($A2664,2))&gt;60),$A2664&amp;"01 1",$A2664),IF(AND(LEN($A2664)=4,VALUE(RIGHT($A2664,2))&lt;60),GUS_tabl_2!$A$8:$B$464,GUS_tabl_21!$A$5:$B$4886),2,FALSE))),-1)))))</f>
        <v>Powiat międzychodzki</v>
      </c>
      <c r="D2664" s="140">
        <f>IF(OR($A2664="",ISERROR(VALUE(LEFT($A2664,6)))),"",IF(LEN($A2664)=2,SUMIF($A2665:$A$2965,$A2664&amp;"??",$D2665:$D$2965),IF(AND(LEN($A2664)=4,VALUE(RIGHT($A2664,2))&lt;=60),SUMIF($A2665:$A$2965,$A2664&amp;"????",$D2665:$D$2965),VLOOKUP(IF(LEN($A2664)=4,$A2664&amp;"01 1",$A2664),GUS_tabl_21!$A$5:$F$4886,6,FALSE))))</f>
        <v>36751</v>
      </c>
      <c r="E2664" s="29"/>
    </row>
    <row r="2665" spans="1:5" ht="12" customHeight="1">
      <c r="A2665" s="155" t="str">
        <f>"301401 2"</f>
        <v>301401 2</v>
      </c>
      <c r="B2665" s="153" t="s">
        <v>34</v>
      </c>
      <c r="C2665" s="156" t="str">
        <f>IF(OR($A2665="",ISERROR(VALUE(LEFT($A2665,6)))),"",IF(LEN($A2665)=2,"WOJ. ",IF(LEN($A2665)=4,IF(VALUE(RIGHT($A2665,2))&gt;60,"","Powiat "),IF(VALUE(RIGHT($A2665,1))=1,"m. ",IF(VALUE(RIGHT($A2665,1))=2,"gm. w. ",IF(VALUE(RIGHT($A2665,1))=8,"dz. ","gm. m.-w. ")))))&amp;IF(LEN($A2665)=2,TRIM(UPPER(VLOOKUP($A2665,GUS_tabl_1!$A$7:$B$22,2,FALSE))),IF(ISERROR(FIND("..",TRIM(VLOOKUP(IF(AND(LEN($A2665)=4,VALUE(RIGHT($A2665,2))&gt;60),$A2665&amp;"01 1",$A2665),IF(AND(LEN($A2665)=4,VALUE(RIGHT($A2665,2))&lt;60),GUS_tabl_2!$A$8:$B$464,GUS_tabl_21!$A$5:$B$4886),2,FALSE)))),TRIM(VLOOKUP(IF(AND(LEN($A2665)=4,VALUE(RIGHT($A2665,2))&gt;60),$A2665&amp;"01 1",$A2665),IF(AND(LEN($A2665)=4,VALUE(RIGHT($A2665,2))&lt;60),GUS_tabl_2!$A$8:$B$464,GUS_tabl_21!$A$5:$B$4886),2,FALSE)),LEFT(TRIM(VLOOKUP(IF(AND(LEN($A2665)=4,VALUE(RIGHT($A2665,2))&gt;60),$A2665&amp;"01 1",$A2665),IF(AND(LEN($A2665)=4,VALUE(RIGHT($A2665,2))&lt;60),GUS_tabl_2!$A$8:$B$464,GUS_tabl_21!$A$5:$B$4886),2,FALSE)),SUM(FIND("..",TRIM(VLOOKUP(IF(AND(LEN($A2665)=4,VALUE(RIGHT($A2665,2))&gt;60),$A2665&amp;"01 1",$A2665),IF(AND(LEN($A2665)=4,VALUE(RIGHT($A2665,2))&lt;60),GUS_tabl_2!$A$8:$B$464,GUS_tabl_21!$A$5:$B$4886),2,FALSE))),-1)))))</f>
        <v>gm. w. Chrzypsko Wielkie</v>
      </c>
      <c r="D2665" s="141">
        <f>IF(OR($A2665="",ISERROR(VALUE(LEFT($A2665,6)))),"",IF(LEN($A2665)=2,SUMIF($A2666:$A$2965,$A2665&amp;"??",$D2666:$D$2965),IF(AND(LEN($A2665)=4,VALUE(RIGHT($A2665,2))&lt;=60),SUMIF($A2666:$A$2965,$A2665&amp;"????",$D2666:$D$2965),VLOOKUP(IF(LEN($A2665)=4,$A2665&amp;"01 1",$A2665),GUS_tabl_21!$A$5:$F$4886,6,FALSE))))</f>
        <v>3306</v>
      </c>
      <c r="E2665" s="29"/>
    </row>
    <row r="2666" spans="1:5" ht="12" customHeight="1">
      <c r="A2666" s="155" t="str">
        <f>"301402 2"</f>
        <v>301402 2</v>
      </c>
      <c r="B2666" s="153" t="s">
        <v>34</v>
      </c>
      <c r="C2666" s="156" t="str">
        <f>IF(OR($A2666="",ISERROR(VALUE(LEFT($A2666,6)))),"",IF(LEN($A2666)=2,"WOJ. ",IF(LEN($A2666)=4,IF(VALUE(RIGHT($A2666,2))&gt;60,"","Powiat "),IF(VALUE(RIGHT($A2666,1))=1,"m. ",IF(VALUE(RIGHT($A2666,1))=2,"gm. w. ",IF(VALUE(RIGHT($A2666,1))=8,"dz. ","gm. m.-w. ")))))&amp;IF(LEN($A2666)=2,TRIM(UPPER(VLOOKUP($A2666,GUS_tabl_1!$A$7:$B$22,2,FALSE))),IF(ISERROR(FIND("..",TRIM(VLOOKUP(IF(AND(LEN($A2666)=4,VALUE(RIGHT($A2666,2))&gt;60),$A2666&amp;"01 1",$A2666),IF(AND(LEN($A2666)=4,VALUE(RIGHT($A2666,2))&lt;60),GUS_tabl_2!$A$8:$B$464,GUS_tabl_21!$A$5:$B$4886),2,FALSE)))),TRIM(VLOOKUP(IF(AND(LEN($A2666)=4,VALUE(RIGHT($A2666,2))&gt;60),$A2666&amp;"01 1",$A2666),IF(AND(LEN($A2666)=4,VALUE(RIGHT($A2666,2))&lt;60),GUS_tabl_2!$A$8:$B$464,GUS_tabl_21!$A$5:$B$4886),2,FALSE)),LEFT(TRIM(VLOOKUP(IF(AND(LEN($A2666)=4,VALUE(RIGHT($A2666,2))&gt;60),$A2666&amp;"01 1",$A2666),IF(AND(LEN($A2666)=4,VALUE(RIGHT($A2666,2))&lt;60),GUS_tabl_2!$A$8:$B$464,GUS_tabl_21!$A$5:$B$4886),2,FALSE)),SUM(FIND("..",TRIM(VLOOKUP(IF(AND(LEN($A2666)=4,VALUE(RIGHT($A2666,2))&gt;60),$A2666&amp;"01 1",$A2666),IF(AND(LEN($A2666)=4,VALUE(RIGHT($A2666,2))&lt;60),GUS_tabl_2!$A$8:$B$464,GUS_tabl_21!$A$5:$B$4886),2,FALSE))),-1)))))</f>
        <v>gm. w. Kwilcz</v>
      </c>
      <c r="D2666" s="141">
        <f>IF(OR($A2666="",ISERROR(VALUE(LEFT($A2666,6)))),"",IF(LEN($A2666)=2,SUMIF($A2667:$A$2965,$A2666&amp;"??",$D2667:$D$2965),IF(AND(LEN($A2666)=4,VALUE(RIGHT($A2666,2))&lt;=60),SUMIF($A2667:$A$2965,$A2666&amp;"????",$D2667:$D$2965),VLOOKUP(IF(LEN($A2666)=4,$A2666&amp;"01 1",$A2666),GUS_tabl_21!$A$5:$F$4886,6,FALSE))))</f>
        <v>6341</v>
      </c>
      <c r="E2666" s="29"/>
    </row>
    <row r="2667" spans="1:5" ht="12" customHeight="1">
      <c r="A2667" s="155" t="str">
        <f>"301403 3"</f>
        <v>301403 3</v>
      </c>
      <c r="B2667" s="153" t="s">
        <v>34</v>
      </c>
      <c r="C2667" s="156" t="str">
        <f>IF(OR($A2667="",ISERROR(VALUE(LEFT($A2667,6)))),"",IF(LEN($A2667)=2,"WOJ. ",IF(LEN($A2667)=4,IF(VALUE(RIGHT($A2667,2))&gt;60,"","Powiat "),IF(VALUE(RIGHT($A2667,1))=1,"m. ",IF(VALUE(RIGHT($A2667,1))=2,"gm. w. ",IF(VALUE(RIGHT($A2667,1))=8,"dz. ","gm. m.-w. ")))))&amp;IF(LEN($A2667)=2,TRIM(UPPER(VLOOKUP($A2667,GUS_tabl_1!$A$7:$B$22,2,FALSE))),IF(ISERROR(FIND("..",TRIM(VLOOKUP(IF(AND(LEN($A2667)=4,VALUE(RIGHT($A2667,2))&gt;60),$A2667&amp;"01 1",$A2667),IF(AND(LEN($A2667)=4,VALUE(RIGHT($A2667,2))&lt;60),GUS_tabl_2!$A$8:$B$464,GUS_tabl_21!$A$5:$B$4886),2,FALSE)))),TRIM(VLOOKUP(IF(AND(LEN($A2667)=4,VALUE(RIGHT($A2667,2))&gt;60),$A2667&amp;"01 1",$A2667),IF(AND(LEN($A2667)=4,VALUE(RIGHT($A2667,2))&lt;60),GUS_tabl_2!$A$8:$B$464,GUS_tabl_21!$A$5:$B$4886),2,FALSE)),LEFT(TRIM(VLOOKUP(IF(AND(LEN($A2667)=4,VALUE(RIGHT($A2667,2))&gt;60),$A2667&amp;"01 1",$A2667),IF(AND(LEN($A2667)=4,VALUE(RIGHT($A2667,2))&lt;60),GUS_tabl_2!$A$8:$B$464,GUS_tabl_21!$A$5:$B$4886),2,FALSE)),SUM(FIND("..",TRIM(VLOOKUP(IF(AND(LEN($A2667)=4,VALUE(RIGHT($A2667,2))&gt;60),$A2667&amp;"01 1",$A2667),IF(AND(LEN($A2667)=4,VALUE(RIGHT($A2667,2))&lt;60),GUS_tabl_2!$A$8:$B$464,GUS_tabl_21!$A$5:$B$4886),2,FALSE))),-1)))))</f>
        <v>gm. m.-w. Międzychód</v>
      </c>
      <c r="D2667" s="141">
        <f>IF(OR($A2667="",ISERROR(VALUE(LEFT($A2667,6)))),"",IF(LEN($A2667)=2,SUMIF($A2668:$A$2965,$A2667&amp;"??",$D2668:$D$2965),IF(AND(LEN($A2667)=4,VALUE(RIGHT($A2667,2))&lt;=60),SUMIF($A2668:$A$2965,$A2667&amp;"????",$D2668:$D$2965),VLOOKUP(IF(LEN($A2667)=4,$A2667&amp;"01 1",$A2667),GUS_tabl_21!$A$5:$F$4886,6,FALSE))))</f>
        <v>18391</v>
      </c>
      <c r="E2667" s="29"/>
    </row>
    <row r="2668" spans="1:5" ht="12" customHeight="1">
      <c r="A2668" s="155" t="str">
        <f>"301404 3"</f>
        <v>301404 3</v>
      </c>
      <c r="B2668" s="153" t="s">
        <v>34</v>
      </c>
      <c r="C2668" s="156" t="str">
        <f>IF(OR($A2668="",ISERROR(VALUE(LEFT($A2668,6)))),"",IF(LEN($A2668)=2,"WOJ. ",IF(LEN($A2668)=4,IF(VALUE(RIGHT($A2668,2))&gt;60,"","Powiat "),IF(VALUE(RIGHT($A2668,1))=1,"m. ",IF(VALUE(RIGHT($A2668,1))=2,"gm. w. ",IF(VALUE(RIGHT($A2668,1))=8,"dz. ","gm. m.-w. ")))))&amp;IF(LEN($A2668)=2,TRIM(UPPER(VLOOKUP($A2668,GUS_tabl_1!$A$7:$B$22,2,FALSE))),IF(ISERROR(FIND("..",TRIM(VLOOKUP(IF(AND(LEN($A2668)=4,VALUE(RIGHT($A2668,2))&gt;60),$A2668&amp;"01 1",$A2668),IF(AND(LEN($A2668)=4,VALUE(RIGHT($A2668,2))&lt;60),GUS_tabl_2!$A$8:$B$464,GUS_tabl_21!$A$5:$B$4886),2,FALSE)))),TRIM(VLOOKUP(IF(AND(LEN($A2668)=4,VALUE(RIGHT($A2668,2))&gt;60),$A2668&amp;"01 1",$A2668),IF(AND(LEN($A2668)=4,VALUE(RIGHT($A2668,2))&lt;60),GUS_tabl_2!$A$8:$B$464,GUS_tabl_21!$A$5:$B$4886),2,FALSE)),LEFT(TRIM(VLOOKUP(IF(AND(LEN($A2668)=4,VALUE(RIGHT($A2668,2))&gt;60),$A2668&amp;"01 1",$A2668),IF(AND(LEN($A2668)=4,VALUE(RIGHT($A2668,2))&lt;60),GUS_tabl_2!$A$8:$B$464,GUS_tabl_21!$A$5:$B$4886),2,FALSE)),SUM(FIND("..",TRIM(VLOOKUP(IF(AND(LEN($A2668)=4,VALUE(RIGHT($A2668,2))&gt;60),$A2668&amp;"01 1",$A2668),IF(AND(LEN($A2668)=4,VALUE(RIGHT($A2668,2))&lt;60),GUS_tabl_2!$A$8:$B$464,GUS_tabl_21!$A$5:$B$4886),2,FALSE))),-1)))))</f>
        <v>gm. m.-w. Sieraków</v>
      </c>
      <c r="D2668" s="141">
        <f>IF(OR($A2668="",ISERROR(VALUE(LEFT($A2668,6)))),"",IF(LEN($A2668)=2,SUMIF($A2669:$A$2965,$A2668&amp;"??",$D2669:$D$2965),IF(AND(LEN($A2668)=4,VALUE(RIGHT($A2668,2))&lt;=60),SUMIF($A2669:$A$2965,$A2668&amp;"????",$D2669:$D$2965),VLOOKUP(IF(LEN($A2668)=4,$A2668&amp;"01 1",$A2668),GUS_tabl_21!$A$5:$F$4886,6,FALSE))))</f>
        <v>8713</v>
      </c>
      <c r="E2668" s="29"/>
    </row>
    <row r="2669" spans="1:5" ht="12" customHeight="1">
      <c r="A2669" s="152" t="str">
        <f>"3015"</f>
        <v>3015</v>
      </c>
      <c r="B2669" s="153" t="s">
        <v>34</v>
      </c>
      <c r="C2669" s="154" t="str">
        <f>IF(OR($A2669="",ISERROR(VALUE(LEFT($A2669,6)))),"",IF(LEN($A2669)=2,"WOJ. ",IF(LEN($A2669)=4,IF(VALUE(RIGHT($A2669,2))&gt;60,"","Powiat "),IF(VALUE(RIGHT($A2669,1))=1,"m. ",IF(VALUE(RIGHT($A2669,1))=2,"gm. w. ",IF(VALUE(RIGHT($A2669,1))=8,"dz. ","gm. m.-w. ")))))&amp;IF(LEN($A2669)=2,TRIM(UPPER(VLOOKUP($A2669,GUS_tabl_1!$A$7:$B$22,2,FALSE))),IF(ISERROR(FIND("..",TRIM(VLOOKUP(IF(AND(LEN($A2669)=4,VALUE(RIGHT($A2669,2))&gt;60),$A2669&amp;"01 1",$A2669),IF(AND(LEN($A2669)=4,VALUE(RIGHT($A2669,2))&lt;60),GUS_tabl_2!$A$8:$B$464,GUS_tabl_21!$A$5:$B$4886),2,FALSE)))),TRIM(VLOOKUP(IF(AND(LEN($A2669)=4,VALUE(RIGHT($A2669,2))&gt;60),$A2669&amp;"01 1",$A2669),IF(AND(LEN($A2669)=4,VALUE(RIGHT($A2669,2))&lt;60),GUS_tabl_2!$A$8:$B$464,GUS_tabl_21!$A$5:$B$4886),2,FALSE)),LEFT(TRIM(VLOOKUP(IF(AND(LEN($A2669)=4,VALUE(RIGHT($A2669,2))&gt;60),$A2669&amp;"01 1",$A2669),IF(AND(LEN($A2669)=4,VALUE(RIGHT($A2669,2))&lt;60),GUS_tabl_2!$A$8:$B$464,GUS_tabl_21!$A$5:$B$4886),2,FALSE)),SUM(FIND("..",TRIM(VLOOKUP(IF(AND(LEN($A2669)=4,VALUE(RIGHT($A2669,2))&gt;60),$A2669&amp;"01 1",$A2669),IF(AND(LEN($A2669)=4,VALUE(RIGHT($A2669,2))&lt;60),GUS_tabl_2!$A$8:$B$464,GUS_tabl_21!$A$5:$B$4886),2,FALSE))),-1)))))</f>
        <v>Powiat nowotomyski</v>
      </c>
      <c r="D2669" s="140">
        <f>IF(OR($A2669="",ISERROR(VALUE(LEFT($A2669,6)))),"",IF(LEN($A2669)=2,SUMIF($A2670:$A$2965,$A2669&amp;"??",$D2670:$D$2965),IF(AND(LEN($A2669)=4,VALUE(RIGHT($A2669,2))&lt;=60),SUMIF($A2670:$A$2965,$A2669&amp;"????",$D2670:$D$2965),VLOOKUP(IF(LEN($A2669)=4,$A2669&amp;"01 1",$A2669),GUS_tabl_21!$A$5:$F$4886,6,FALSE))))</f>
        <v>75543</v>
      </c>
      <c r="E2669" s="29"/>
    </row>
    <row r="2670" spans="1:5" ht="12" customHeight="1">
      <c r="A2670" s="155" t="str">
        <f>"301501 2"</f>
        <v>301501 2</v>
      </c>
      <c r="B2670" s="153" t="s">
        <v>34</v>
      </c>
      <c r="C2670" s="156" t="str">
        <f>IF(OR($A2670="",ISERROR(VALUE(LEFT($A2670,6)))),"",IF(LEN($A2670)=2,"WOJ. ",IF(LEN($A2670)=4,IF(VALUE(RIGHT($A2670,2))&gt;60,"","Powiat "),IF(VALUE(RIGHT($A2670,1))=1,"m. ",IF(VALUE(RIGHT($A2670,1))=2,"gm. w. ",IF(VALUE(RIGHT($A2670,1))=8,"dz. ","gm. m.-w. ")))))&amp;IF(LEN($A2670)=2,TRIM(UPPER(VLOOKUP($A2670,GUS_tabl_1!$A$7:$B$22,2,FALSE))),IF(ISERROR(FIND("..",TRIM(VLOOKUP(IF(AND(LEN($A2670)=4,VALUE(RIGHT($A2670,2))&gt;60),$A2670&amp;"01 1",$A2670),IF(AND(LEN($A2670)=4,VALUE(RIGHT($A2670,2))&lt;60),GUS_tabl_2!$A$8:$B$464,GUS_tabl_21!$A$5:$B$4886),2,FALSE)))),TRIM(VLOOKUP(IF(AND(LEN($A2670)=4,VALUE(RIGHT($A2670,2))&gt;60),$A2670&amp;"01 1",$A2670),IF(AND(LEN($A2670)=4,VALUE(RIGHT($A2670,2))&lt;60),GUS_tabl_2!$A$8:$B$464,GUS_tabl_21!$A$5:$B$4886),2,FALSE)),LEFT(TRIM(VLOOKUP(IF(AND(LEN($A2670)=4,VALUE(RIGHT($A2670,2))&gt;60),$A2670&amp;"01 1",$A2670),IF(AND(LEN($A2670)=4,VALUE(RIGHT($A2670,2))&lt;60),GUS_tabl_2!$A$8:$B$464,GUS_tabl_21!$A$5:$B$4886),2,FALSE)),SUM(FIND("..",TRIM(VLOOKUP(IF(AND(LEN($A2670)=4,VALUE(RIGHT($A2670,2))&gt;60),$A2670&amp;"01 1",$A2670),IF(AND(LEN($A2670)=4,VALUE(RIGHT($A2670,2))&lt;60),GUS_tabl_2!$A$8:$B$464,GUS_tabl_21!$A$5:$B$4886),2,FALSE))),-1)))))</f>
        <v>gm. w. Kuślin</v>
      </c>
      <c r="D2670" s="141">
        <f>IF(OR($A2670="",ISERROR(VALUE(LEFT($A2670,6)))),"",IF(LEN($A2670)=2,SUMIF($A2671:$A$2965,$A2670&amp;"??",$D2671:$D$2965),IF(AND(LEN($A2670)=4,VALUE(RIGHT($A2670,2))&lt;=60),SUMIF($A2671:$A$2965,$A2670&amp;"????",$D2671:$D$2965),VLOOKUP(IF(LEN($A2670)=4,$A2670&amp;"01 1",$A2670),GUS_tabl_21!$A$5:$F$4886,6,FALSE))))</f>
        <v>5523</v>
      </c>
      <c r="E2670" s="29"/>
    </row>
    <row r="2671" spans="1:5" ht="12" customHeight="1">
      <c r="A2671" s="155" t="str">
        <f>"301502 3"</f>
        <v>301502 3</v>
      </c>
      <c r="B2671" s="153" t="s">
        <v>34</v>
      </c>
      <c r="C2671" s="156" t="str">
        <f>IF(OR($A2671="",ISERROR(VALUE(LEFT($A2671,6)))),"",IF(LEN($A2671)=2,"WOJ. ",IF(LEN($A2671)=4,IF(VALUE(RIGHT($A2671,2))&gt;60,"","Powiat "),IF(VALUE(RIGHT($A2671,1))=1,"m. ",IF(VALUE(RIGHT($A2671,1))=2,"gm. w. ",IF(VALUE(RIGHT($A2671,1))=8,"dz. ","gm. m.-w. ")))))&amp;IF(LEN($A2671)=2,TRIM(UPPER(VLOOKUP($A2671,GUS_tabl_1!$A$7:$B$22,2,FALSE))),IF(ISERROR(FIND("..",TRIM(VLOOKUP(IF(AND(LEN($A2671)=4,VALUE(RIGHT($A2671,2))&gt;60),$A2671&amp;"01 1",$A2671),IF(AND(LEN($A2671)=4,VALUE(RIGHT($A2671,2))&lt;60),GUS_tabl_2!$A$8:$B$464,GUS_tabl_21!$A$5:$B$4886),2,FALSE)))),TRIM(VLOOKUP(IF(AND(LEN($A2671)=4,VALUE(RIGHT($A2671,2))&gt;60),$A2671&amp;"01 1",$A2671),IF(AND(LEN($A2671)=4,VALUE(RIGHT($A2671,2))&lt;60),GUS_tabl_2!$A$8:$B$464,GUS_tabl_21!$A$5:$B$4886),2,FALSE)),LEFT(TRIM(VLOOKUP(IF(AND(LEN($A2671)=4,VALUE(RIGHT($A2671,2))&gt;60),$A2671&amp;"01 1",$A2671),IF(AND(LEN($A2671)=4,VALUE(RIGHT($A2671,2))&lt;60),GUS_tabl_2!$A$8:$B$464,GUS_tabl_21!$A$5:$B$4886),2,FALSE)),SUM(FIND("..",TRIM(VLOOKUP(IF(AND(LEN($A2671)=4,VALUE(RIGHT($A2671,2))&gt;60),$A2671&amp;"01 1",$A2671),IF(AND(LEN($A2671)=4,VALUE(RIGHT($A2671,2))&lt;60),GUS_tabl_2!$A$8:$B$464,GUS_tabl_21!$A$5:$B$4886),2,FALSE))),-1)))))</f>
        <v>gm. m.-w. Lwówek</v>
      </c>
      <c r="D2671" s="141">
        <f>IF(OR($A2671="",ISERROR(VALUE(LEFT($A2671,6)))),"",IF(LEN($A2671)=2,SUMIF($A2672:$A$2965,$A2671&amp;"??",$D2672:$D$2965),IF(AND(LEN($A2671)=4,VALUE(RIGHT($A2671,2))&lt;=60),SUMIF($A2672:$A$2965,$A2671&amp;"????",$D2672:$D$2965),VLOOKUP(IF(LEN($A2671)=4,$A2671&amp;"01 1",$A2671),GUS_tabl_21!$A$5:$F$4886,6,FALSE))))</f>
        <v>9089</v>
      </c>
      <c r="E2671" s="29"/>
    </row>
    <row r="2672" spans="1:5" ht="12" customHeight="1">
      <c r="A2672" s="155" t="str">
        <f>"301503 2"</f>
        <v>301503 2</v>
      </c>
      <c r="B2672" s="153" t="s">
        <v>34</v>
      </c>
      <c r="C2672" s="156" t="str">
        <f>IF(OR($A2672="",ISERROR(VALUE(LEFT($A2672,6)))),"",IF(LEN($A2672)=2,"WOJ. ",IF(LEN($A2672)=4,IF(VALUE(RIGHT($A2672,2))&gt;60,"","Powiat "),IF(VALUE(RIGHT($A2672,1))=1,"m. ",IF(VALUE(RIGHT($A2672,1))=2,"gm. w. ",IF(VALUE(RIGHT($A2672,1))=8,"dz. ","gm. m.-w. ")))))&amp;IF(LEN($A2672)=2,TRIM(UPPER(VLOOKUP($A2672,GUS_tabl_1!$A$7:$B$22,2,FALSE))),IF(ISERROR(FIND("..",TRIM(VLOOKUP(IF(AND(LEN($A2672)=4,VALUE(RIGHT($A2672,2))&gt;60),$A2672&amp;"01 1",$A2672),IF(AND(LEN($A2672)=4,VALUE(RIGHT($A2672,2))&lt;60),GUS_tabl_2!$A$8:$B$464,GUS_tabl_21!$A$5:$B$4886),2,FALSE)))),TRIM(VLOOKUP(IF(AND(LEN($A2672)=4,VALUE(RIGHT($A2672,2))&gt;60),$A2672&amp;"01 1",$A2672),IF(AND(LEN($A2672)=4,VALUE(RIGHT($A2672,2))&lt;60),GUS_tabl_2!$A$8:$B$464,GUS_tabl_21!$A$5:$B$4886),2,FALSE)),LEFT(TRIM(VLOOKUP(IF(AND(LEN($A2672)=4,VALUE(RIGHT($A2672,2))&gt;60),$A2672&amp;"01 1",$A2672),IF(AND(LEN($A2672)=4,VALUE(RIGHT($A2672,2))&lt;60),GUS_tabl_2!$A$8:$B$464,GUS_tabl_21!$A$5:$B$4886),2,FALSE)),SUM(FIND("..",TRIM(VLOOKUP(IF(AND(LEN($A2672)=4,VALUE(RIGHT($A2672,2))&gt;60),$A2672&amp;"01 1",$A2672),IF(AND(LEN($A2672)=4,VALUE(RIGHT($A2672,2))&lt;60),GUS_tabl_2!$A$8:$B$464,GUS_tabl_21!$A$5:$B$4886),2,FALSE))),-1)))))</f>
        <v>gm. w. Miedzichowo</v>
      </c>
      <c r="D2672" s="141">
        <f>IF(OR($A2672="",ISERROR(VALUE(LEFT($A2672,6)))),"",IF(LEN($A2672)=2,SUMIF($A2673:$A$2965,$A2672&amp;"??",$D2673:$D$2965),IF(AND(LEN($A2672)=4,VALUE(RIGHT($A2672,2))&lt;=60),SUMIF($A2673:$A$2965,$A2672&amp;"????",$D2673:$D$2965),VLOOKUP(IF(LEN($A2672)=4,$A2672&amp;"01 1",$A2672),GUS_tabl_21!$A$5:$F$4886,6,FALSE))))</f>
        <v>3695</v>
      </c>
      <c r="E2672" s="29"/>
    </row>
    <row r="2673" spans="1:5" ht="12" customHeight="1">
      <c r="A2673" s="155" t="str">
        <f>"301504 3"</f>
        <v>301504 3</v>
      </c>
      <c r="B2673" s="153" t="s">
        <v>34</v>
      </c>
      <c r="C2673" s="156" t="str">
        <f>IF(OR($A2673="",ISERROR(VALUE(LEFT($A2673,6)))),"",IF(LEN($A2673)=2,"WOJ. ",IF(LEN($A2673)=4,IF(VALUE(RIGHT($A2673,2))&gt;60,"","Powiat "),IF(VALUE(RIGHT($A2673,1))=1,"m. ",IF(VALUE(RIGHT($A2673,1))=2,"gm. w. ",IF(VALUE(RIGHT($A2673,1))=8,"dz. ","gm. m.-w. ")))))&amp;IF(LEN($A2673)=2,TRIM(UPPER(VLOOKUP($A2673,GUS_tabl_1!$A$7:$B$22,2,FALSE))),IF(ISERROR(FIND("..",TRIM(VLOOKUP(IF(AND(LEN($A2673)=4,VALUE(RIGHT($A2673,2))&gt;60),$A2673&amp;"01 1",$A2673),IF(AND(LEN($A2673)=4,VALUE(RIGHT($A2673,2))&lt;60),GUS_tabl_2!$A$8:$B$464,GUS_tabl_21!$A$5:$B$4886),2,FALSE)))),TRIM(VLOOKUP(IF(AND(LEN($A2673)=4,VALUE(RIGHT($A2673,2))&gt;60),$A2673&amp;"01 1",$A2673),IF(AND(LEN($A2673)=4,VALUE(RIGHT($A2673,2))&lt;60),GUS_tabl_2!$A$8:$B$464,GUS_tabl_21!$A$5:$B$4886),2,FALSE)),LEFT(TRIM(VLOOKUP(IF(AND(LEN($A2673)=4,VALUE(RIGHT($A2673,2))&gt;60),$A2673&amp;"01 1",$A2673),IF(AND(LEN($A2673)=4,VALUE(RIGHT($A2673,2))&lt;60),GUS_tabl_2!$A$8:$B$464,GUS_tabl_21!$A$5:$B$4886),2,FALSE)),SUM(FIND("..",TRIM(VLOOKUP(IF(AND(LEN($A2673)=4,VALUE(RIGHT($A2673,2))&gt;60),$A2673&amp;"01 1",$A2673),IF(AND(LEN($A2673)=4,VALUE(RIGHT($A2673,2))&lt;60),GUS_tabl_2!$A$8:$B$464,GUS_tabl_21!$A$5:$B$4886),2,FALSE))),-1)))))</f>
        <v>gm. m.-w. Nowy Tomyśl</v>
      </c>
      <c r="D2673" s="141">
        <f>IF(OR($A2673="",ISERROR(VALUE(LEFT($A2673,6)))),"",IF(LEN($A2673)=2,SUMIF($A2674:$A$2965,$A2673&amp;"??",$D2674:$D$2965),IF(AND(LEN($A2673)=4,VALUE(RIGHT($A2673,2))&lt;=60),SUMIF($A2674:$A$2965,$A2673&amp;"????",$D2674:$D$2965),VLOOKUP(IF(LEN($A2673)=4,$A2673&amp;"01 1",$A2673),GUS_tabl_21!$A$5:$F$4886,6,FALSE))))</f>
        <v>27045</v>
      </c>
      <c r="E2673" s="29"/>
    </row>
    <row r="2674" spans="1:5" ht="12" customHeight="1">
      <c r="A2674" s="155" t="str">
        <f>"301505 3"</f>
        <v>301505 3</v>
      </c>
      <c r="B2674" s="153" t="s">
        <v>34</v>
      </c>
      <c r="C2674" s="156" t="str">
        <f>IF(OR($A2674="",ISERROR(VALUE(LEFT($A2674,6)))),"",IF(LEN($A2674)=2,"WOJ. ",IF(LEN($A2674)=4,IF(VALUE(RIGHT($A2674,2))&gt;60,"","Powiat "),IF(VALUE(RIGHT($A2674,1))=1,"m. ",IF(VALUE(RIGHT($A2674,1))=2,"gm. w. ",IF(VALUE(RIGHT($A2674,1))=8,"dz. ","gm. m.-w. ")))))&amp;IF(LEN($A2674)=2,TRIM(UPPER(VLOOKUP($A2674,GUS_tabl_1!$A$7:$B$22,2,FALSE))),IF(ISERROR(FIND("..",TRIM(VLOOKUP(IF(AND(LEN($A2674)=4,VALUE(RIGHT($A2674,2))&gt;60),$A2674&amp;"01 1",$A2674),IF(AND(LEN($A2674)=4,VALUE(RIGHT($A2674,2))&lt;60),GUS_tabl_2!$A$8:$B$464,GUS_tabl_21!$A$5:$B$4886),2,FALSE)))),TRIM(VLOOKUP(IF(AND(LEN($A2674)=4,VALUE(RIGHT($A2674,2))&gt;60),$A2674&amp;"01 1",$A2674),IF(AND(LEN($A2674)=4,VALUE(RIGHT($A2674,2))&lt;60),GUS_tabl_2!$A$8:$B$464,GUS_tabl_21!$A$5:$B$4886),2,FALSE)),LEFT(TRIM(VLOOKUP(IF(AND(LEN($A2674)=4,VALUE(RIGHT($A2674,2))&gt;60),$A2674&amp;"01 1",$A2674),IF(AND(LEN($A2674)=4,VALUE(RIGHT($A2674,2))&lt;60),GUS_tabl_2!$A$8:$B$464,GUS_tabl_21!$A$5:$B$4886),2,FALSE)),SUM(FIND("..",TRIM(VLOOKUP(IF(AND(LEN($A2674)=4,VALUE(RIGHT($A2674,2))&gt;60),$A2674&amp;"01 1",$A2674),IF(AND(LEN($A2674)=4,VALUE(RIGHT($A2674,2))&lt;60),GUS_tabl_2!$A$8:$B$464,GUS_tabl_21!$A$5:$B$4886),2,FALSE))),-1)))))</f>
        <v>gm. m.-w. Opalenica</v>
      </c>
      <c r="D2674" s="141">
        <f>IF(OR($A2674="",ISERROR(VALUE(LEFT($A2674,6)))),"",IF(LEN($A2674)=2,SUMIF($A2675:$A$2965,$A2674&amp;"??",$D2675:$D$2965),IF(AND(LEN($A2674)=4,VALUE(RIGHT($A2674,2))&lt;=60),SUMIF($A2675:$A$2965,$A2674&amp;"????",$D2675:$D$2965),VLOOKUP(IF(LEN($A2674)=4,$A2674&amp;"01 1",$A2674),GUS_tabl_21!$A$5:$F$4886,6,FALSE))))</f>
        <v>16397</v>
      </c>
      <c r="E2674" s="29"/>
    </row>
    <row r="2675" spans="1:5" ht="12" customHeight="1">
      <c r="A2675" s="155" t="str">
        <f>"301506 3"</f>
        <v>301506 3</v>
      </c>
      <c r="B2675" s="153" t="s">
        <v>34</v>
      </c>
      <c r="C2675" s="156" t="str">
        <f>IF(OR($A2675="",ISERROR(VALUE(LEFT($A2675,6)))),"",IF(LEN($A2675)=2,"WOJ. ",IF(LEN($A2675)=4,IF(VALUE(RIGHT($A2675,2))&gt;60,"","Powiat "),IF(VALUE(RIGHT($A2675,1))=1,"m. ",IF(VALUE(RIGHT($A2675,1))=2,"gm. w. ",IF(VALUE(RIGHT($A2675,1))=8,"dz. ","gm. m.-w. ")))))&amp;IF(LEN($A2675)=2,TRIM(UPPER(VLOOKUP($A2675,GUS_tabl_1!$A$7:$B$22,2,FALSE))),IF(ISERROR(FIND("..",TRIM(VLOOKUP(IF(AND(LEN($A2675)=4,VALUE(RIGHT($A2675,2))&gt;60),$A2675&amp;"01 1",$A2675),IF(AND(LEN($A2675)=4,VALUE(RIGHT($A2675,2))&lt;60),GUS_tabl_2!$A$8:$B$464,GUS_tabl_21!$A$5:$B$4886),2,FALSE)))),TRIM(VLOOKUP(IF(AND(LEN($A2675)=4,VALUE(RIGHT($A2675,2))&gt;60),$A2675&amp;"01 1",$A2675),IF(AND(LEN($A2675)=4,VALUE(RIGHT($A2675,2))&lt;60),GUS_tabl_2!$A$8:$B$464,GUS_tabl_21!$A$5:$B$4886),2,FALSE)),LEFT(TRIM(VLOOKUP(IF(AND(LEN($A2675)=4,VALUE(RIGHT($A2675,2))&gt;60),$A2675&amp;"01 1",$A2675),IF(AND(LEN($A2675)=4,VALUE(RIGHT($A2675,2))&lt;60),GUS_tabl_2!$A$8:$B$464,GUS_tabl_21!$A$5:$B$4886),2,FALSE)),SUM(FIND("..",TRIM(VLOOKUP(IF(AND(LEN($A2675)=4,VALUE(RIGHT($A2675,2))&gt;60),$A2675&amp;"01 1",$A2675),IF(AND(LEN($A2675)=4,VALUE(RIGHT($A2675,2))&lt;60),GUS_tabl_2!$A$8:$B$464,GUS_tabl_21!$A$5:$B$4886),2,FALSE))),-1)))))</f>
        <v>gm. m.-w. Zbąszyń</v>
      </c>
      <c r="D2675" s="141">
        <f>IF(OR($A2675="",ISERROR(VALUE(LEFT($A2675,6)))),"",IF(LEN($A2675)=2,SUMIF($A2676:$A$2965,$A2675&amp;"??",$D2676:$D$2965),IF(AND(LEN($A2675)=4,VALUE(RIGHT($A2675,2))&lt;=60),SUMIF($A2676:$A$2965,$A2675&amp;"????",$D2676:$D$2965),VLOOKUP(IF(LEN($A2675)=4,$A2675&amp;"01 1",$A2675),GUS_tabl_21!$A$5:$F$4886,6,FALSE))))</f>
        <v>13794</v>
      </c>
      <c r="E2675" s="29"/>
    </row>
    <row r="2676" spans="1:5" ht="12" customHeight="1">
      <c r="A2676" s="152" t="str">
        <f>"3016"</f>
        <v>3016</v>
      </c>
      <c r="B2676" s="153" t="s">
        <v>34</v>
      </c>
      <c r="C2676" s="154" t="str">
        <f>IF(OR($A2676="",ISERROR(VALUE(LEFT($A2676,6)))),"",IF(LEN($A2676)=2,"WOJ. ",IF(LEN($A2676)=4,IF(VALUE(RIGHT($A2676,2))&gt;60,"","Powiat "),IF(VALUE(RIGHT($A2676,1))=1,"m. ",IF(VALUE(RIGHT($A2676,1))=2,"gm. w. ",IF(VALUE(RIGHT($A2676,1))=8,"dz. ","gm. m.-w. ")))))&amp;IF(LEN($A2676)=2,TRIM(UPPER(VLOOKUP($A2676,GUS_tabl_1!$A$7:$B$22,2,FALSE))),IF(ISERROR(FIND("..",TRIM(VLOOKUP(IF(AND(LEN($A2676)=4,VALUE(RIGHT($A2676,2))&gt;60),$A2676&amp;"01 1",$A2676),IF(AND(LEN($A2676)=4,VALUE(RIGHT($A2676,2))&lt;60),GUS_tabl_2!$A$8:$B$464,GUS_tabl_21!$A$5:$B$4886),2,FALSE)))),TRIM(VLOOKUP(IF(AND(LEN($A2676)=4,VALUE(RIGHT($A2676,2))&gt;60),$A2676&amp;"01 1",$A2676),IF(AND(LEN($A2676)=4,VALUE(RIGHT($A2676,2))&lt;60),GUS_tabl_2!$A$8:$B$464,GUS_tabl_21!$A$5:$B$4886),2,FALSE)),LEFT(TRIM(VLOOKUP(IF(AND(LEN($A2676)=4,VALUE(RIGHT($A2676,2))&gt;60),$A2676&amp;"01 1",$A2676),IF(AND(LEN($A2676)=4,VALUE(RIGHT($A2676,2))&lt;60),GUS_tabl_2!$A$8:$B$464,GUS_tabl_21!$A$5:$B$4886),2,FALSE)),SUM(FIND("..",TRIM(VLOOKUP(IF(AND(LEN($A2676)=4,VALUE(RIGHT($A2676,2))&gt;60),$A2676&amp;"01 1",$A2676),IF(AND(LEN($A2676)=4,VALUE(RIGHT($A2676,2))&lt;60),GUS_tabl_2!$A$8:$B$464,GUS_tabl_21!$A$5:$B$4886),2,FALSE))),-1)))))</f>
        <v>Powiat obornicki</v>
      </c>
      <c r="D2676" s="140">
        <f>IF(OR($A2676="",ISERROR(VALUE(LEFT($A2676,6)))),"",IF(LEN($A2676)=2,SUMIF($A2677:$A$2965,$A2676&amp;"??",$D2677:$D$2965),IF(AND(LEN($A2676)=4,VALUE(RIGHT($A2676,2))&lt;=60),SUMIF($A2677:$A$2965,$A2676&amp;"????",$D2677:$D$2965),VLOOKUP(IF(LEN($A2676)=4,$A2676&amp;"01 1",$A2676),GUS_tabl_21!$A$5:$F$4886,6,FALSE))))</f>
        <v>59825</v>
      </c>
      <c r="E2676" s="29"/>
    </row>
    <row r="2677" spans="1:5" ht="12" customHeight="1">
      <c r="A2677" s="155" t="str">
        <f>"301601 3"</f>
        <v>301601 3</v>
      </c>
      <c r="B2677" s="153" t="s">
        <v>34</v>
      </c>
      <c r="C2677" s="156" t="str">
        <f>IF(OR($A2677="",ISERROR(VALUE(LEFT($A2677,6)))),"",IF(LEN($A2677)=2,"WOJ. ",IF(LEN($A2677)=4,IF(VALUE(RIGHT($A2677,2))&gt;60,"","Powiat "),IF(VALUE(RIGHT($A2677,1))=1,"m. ",IF(VALUE(RIGHT($A2677,1))=2,"gm. w. ",IF(VALUE(RIGHT($A2677,1))=8,"dz. ","gm. m.-w. ")))))&amp;IF(LEN($A2677)=2,TRIM(UPPER(VLOOKUP($A2677,GUS_tabl_1!$A$7:$B$22,2,FALSE))),IF(ISERROR(FIND("..",TRIM(VLOOKUP(IF(AND(LEN($A2677)=4,VALUE(RIGHT($A2677,2))&gt;60),$A2677&amp;"01 1",$A2677),IF(AND(LEN($A2677)=4,VALUE(RIGHT($A2677,2))&lt;60),GUS_tabl_2!$A$8:$B$464,GUS_tabl_21!$A$5:$B$4886),2,FALSE)))),TRIM(VLOOKUP(IF(AND(LEN($A2677)=4,VALUE(RIGHT($A2677,2))&gt;60),$A2677&amp;"01 1",$A2677),IF(AND(LEN($A2677)=4,VALUE(RIGHT($A2677,2))&lt;60),GUS_tabl_2!$A$8:$B$464,GUS_tabl_21!$A$5:$B$4886),2,FALSE)),LEFT(TRIM(VLOOKUP(IF(AND(LEN($A2677)=4,VALUE(RIGHT($A2677,2))&gt;60),$A2677&amp;"01 1",$A2677),IF(AND(LEN($A2677)=4,VALUE(RIGHT($A2677,2))&lt;60),GUS_tabl_2!$A$8:$B$464,GUS_tabl_21!$A$5:$B$4886),2,FALSE)),SUM(FIND("..",TRIM(VLOOKUP(IF(AND(LEN($A2677)=4,VALUE(RIGHT($A2677,2))&gt;60),$A2677&amp;"01 1",$A2677),IF(AND(LEN($A2677)=4,VALUE(RIGHT($A2677,2))&lt;60),GUS_tabl_2!$A$8:$B$464,GUS_tabl_21!$A$5:$B$4886),2,FALSE))),-1)))))</f>
        <v>gm. m.-w. Oborniki</v>
      </c>
      <c r="D2677" s="141">
        <f>IF(OR($A2677="",ISERROR(VALUE(LEFT($A2677,6)))),"",IF(LEN($A2677)=2,SUMIF($A2678:$A$2965,$A2677&amp;"??",$D2678:$D$2965),IF(AND(LEN($A2677)=4,VALUE(RIGHT($A2677,2))&lt;=60),SUMIF($A2678:$A$2965,$A2677&amp;"????",$D2678:$D$2965),VLOOKUP(IF(LEN($A2677)=4,$A2677&amp;"01 1",$A2677),GUS_tabl_21!$A$5:$F$4886,6,FALSE))))</f>
        <v>34179</v>
      </c>
      <c r="E2677" s="29"/>
    </row>
    <row r="2678" spans="1:5" ht="12" customHeight="1">
      <c r="A2678" s="155" t="str">
        <f>"301602 3"</f>
        <v>301602 3</v>
      </c>
      <c r="B2678" s="153" t="s">
        <v>34</v>
      </c>
      <c r="C2678" s="156" t="str">
        <f>IF(OR($A2678="",ISERROR(VALUE(LEFT($A2678,6)))),"",IF(LEN($A2678)=2,"WOJ. ",IF(LEN($A2678)=4,IF(VALUE(RIGHT($A2678,2))&gt;60,"","Powiat "),IF(VALUE(RIGHT($A2678,1))=1,"m. ",IF(VALUE(RIGHT($A2678,1))=2,"gm. w. ",IF(VALUE(RIGHT($A2678,1))=8,"dz. ","gm. m.-w. ")))))&amp;IF(LEN($A2678)=2,TRIM(UPPER(VLOOKUP($A2678,GUS_tabl_1!$A$7:$B$22,2,FALSE))),IF(ISERROR(FIND("..",TRIM(VLOOKUP(IF(AND(LEN($A2678)=4,VALUE(RIGHT($A2678,2))&gt;60),$A2678&amp;"01 1",$A2678),IF(AND(LEN($A2678)=4,VALUE(RIGHT($A2678,2))&lt;60),GUS_tabl_2!$A$8:$B$464,GUS_tabl_21!$A$5:$B$4886),2,FALSE)))),TRIM(VLOOKUP(IF(AND(LEN($A2678)=4,VALUE(RIGHT($A2678,2))&gt;60),$A2678&amp;"01 1",$A2678),IF(AND(LEN($A2678)=4,VALUE(RIGHT($A2678,2))&lt;60),GUS_tabl_2!$A$8:$B$464,GUS_tabl_21!$A$5:$B$4886),2,FALSE)),LEFT(TRIM(VLOOKUP(IF(AND(LEN($A2678)=4,VALUE(RIGHT($A2678,2))&gt;60),$A2678&amp;"01 1",$A2678),IF(AND(LEN($A2678)=4,VALUE(RIGHT($A2678,2))&lt;60),GUS_tabl_2!$A$8:$B$464,GUS_tabl_21!$A$5:$B$4886),2,FALSE)),SUM(FIND("..",TRIM(VLOOKUP(IF(AND(LEN($A2678)=4,VALUE(RIGHT($A2678,2))&gt;60),$A2678&amp;"01 1",$A2678),IF(AND(LEN($A2678)=4,VALUE(RIGHT($A2678,2))&lt;60),GUS_tabl_2!$A$8:$B$464,GUS_tabl_21!$A$5:$B$4886),2,FALSE))),-1)))))</f>
        <v>gm. m.-w. Rogoźno</v>
      </c>
      <c r="D2678" s="141">
        <f>IF(OR($A2678="",ISERROR(VALUE(LEFT($A2678,6)))),"",IF(LEN($A2678)=2,SUMIF($A2679:$A$2965,$A2678&amp;"??",$D2679:$D$2965),IF(AND(LEN($A2678)=4,VALUE(RIGHT($A2678,2))&lt;=60),SUMIF($A2679:$A$2965,$A2678&amp;"????",$D2679:$D$2965),VLOOKUP(IF(LEN($A2678)=4,$A2678&amp;"01 1",$A2678),GUS_tabl_21!$A$5:$F$4886,6,FALSE))))</f>
        <v>18353</v>
      </c>
      <c r="E2678" s="29"/>
    </row>
    <row r="2679" spans="1:5" ht="12" customHeight="1">
      <c r="A2679" s="155" t="str">
        <f>"301603 2"</f>
        <v>301603 2</v>
      </c>
      <c r="B2679" s="153" t="s">
        <v>34</v>
      </c>
      <c r="C2679" s="156" t="str">
        <f>IF(OR($A2679="",ISERROR(VALUE(LEFT($A2679,6)))),"",IF(LEN($A2679)=2,"WOJ. ",IF(LEN($A2679)=4,IF(VALUE(RIGHT($A2679,2))&gt;60,"","Powiat "),IF(VALUE(RIGHT($A2679,1))=1,"m. ",IF(VALUE(RIGHT($A2679,1))=2,"gm. w. ",IF(VALUE(RIGHT($A2679,1))=8,"dz. ","gm. m.-w. ")))))&amp;IF(LEN($A2679)=2,TRIM(UPPER(VLOOKUP($A2679,GUS_tabl_1!$A$7:$B$22,2,FALSE))),IF(ISERROR(FIND("..",TRIM(VLOOKUP(IF(AND(LEN($A2679)=4,VALUE(RIGHT($A2679,2))&gt;60),$A2679&amp;"01 1",$A2679),IF(AND(LEN($A2679)=4,VALUE(RIGHT($A2679,2))&lt;60),GUS_tabl_2!$A$8:$B$464,GUS_tabl_21!$A$5:$B$4886),2,FALSE)))),TRIM(VLOOKUP(IF(AND(LEN($A2679)=4,VALUE(RIGHT($A2679,2))&gt;60),$A2679&amp;"01 1",$A2679),IF(AND(LEN($A2679)=4,VALUE(RIGHT($A2679,2))&lt;60),GUS_tabl_2!$A$8:$B$464,GUS_tabl_21!$A$5:$B$4886),2,FALSE)),LEFT(TRIM(VLOOKUP(IF(AND(LEN($A2679)=4,VALUE(RIGHT($A2679,2))&gt;60),$A2679&amp;"01 1",$A2679),IF(AND(LEN($A2679)=4,VALUE(RIGHT($A2679,2))&lt;60),GUS_tabl_2!$A$8:$B$464,GUS_tabl_21!$A$5:$B$4886),2,FALSE)),SUM(FIND("..",TRIM(VLOOKUP(IF(AND(LEN($A2679)=4,VALUE(RIGHT($A2679,2))&gt;60),$A2679&amp;"01 1",$A2679),IF(AND(LEN($A2679)=4,VALUE(RIGHT($A2679,2))&lt;60),GUS_tabl_2!$A$8:$B$464,GUS_tabl_21!$A$5:$B$4886),2,FALSE))),-1)))))</f>
        <v>gm. w. Ryczywół</v>
      </c>
      <c r="D2679" s="141">
        <f>IF(OR($A2679="",ISERROR(VALUE(LEFT($A2679,6)))),"",IF(LEN($A2679)=2,SUMIF($A2680:$A$2965,$A2679&amp;"??",$D2680:$D$2965),IF(AND(LEN($A2679)=4,VALUE(RIGHT($A2679,2))&lt;=60),SUMIF($A2680:$A$2965,$A2679&amp;"????",$D2680:$D$2965),VLOOKUP(IF(LEN($A2679)=4,$A2679&amp;"01 1",$A2679),GUS_tabl_21!$A$5:$F$4886,6,FALSE))))</f>
        <v>7293</v>
      </c>
      <c r="E2679" s="29"/>
    </row>
    <row r="2680" spans="1:5" ht="12" customHeight="1">
      <c r="A2680" s="152" t="str">
        <f>"3017"</f>
        <v>3017</v>
      </c>
      <c r="B2680" s="153" t="s">
        <v>34</v>
      </c>
      <c r="C2680" s="154" t="str">
        <f>IF(OR($A2680="",ISERROR(VALUE(LEFT($A2680,6)))),"",IF(LEN($A2680)=2,"WOJ. ",IF(LEN($A2680)=4,IF(VALUE(RIGHT($A2680,2))&gt;60,"","Powiat "),IF(VALUE(RIGHT($A2680,1))=1,"m. ",IF(VALUE(RIGHT($A2680,1))=2,"gm. w. ",IF(VALUE(RIGHT($A2680,1))=8,"dz. ","gm. m.-w. ")))))&amp;IF(LEN($A2680)=2,TRIM(UPPER(VLOOKUP($A2680,GUS_tabl_1!$A$7:$B$22,2,FALSE))),IF(ISERROR(FIND("..",TRIM(VLOOKUP(IF(AND(LEN($A2680)=4,VALUE(RIGHT($A2680,2))&gt;60),$A2680&amp;"01 1",$A2680),IF(AND(LEN($A2680)=4,VALUE(RIGHT($A2680,2))&lt;60),GUS_tabl_2!$A$8:$B$464,GUS_tabl_21!$A$5:$B$4886),2,FALSE)))),TRIM(VLOOKUP(IF(AND(LEN($A2680)=4,VALUE(RIGHT($A2680,2))&gt;60),$A2680&amp;"01 1",$A2680),IF(AND(LEN($A2680)=4,VALUE(RIGHT($A2680,2))&lt;60),GUS_tabl_2!$A$8:$B$464,GUS_tabl_21!$A$5:$B$4886),2,FALSE)),LEFT(TRIM(VLOOKUP(IF(AND(LEN($A2680)=4,VALUE(RIGHT($A2680,2))&gt;60),$A2680&amp;"01 1",$A2680),IF(AND(LEN($A2680)=4,VALUE(RIGHT($A2680,2))&lt;60),GUS_tabl_2!$A$8:$B$464,GUS_tabl_21!$A$5:$B$4886),2,FALSE)),SUM(FIND("..",TRIM(VLOOKUP(IF(AND(LEN($A2680)=4,VALUE(RIGHT($A2680,2))&gt;60),$A2680&amp;"01 1",$A2680),IF(AND(LEN($A2680)=4,VALUE(RIGHT($A2680,2))&lt;60),GUS_tabl_2!$A$8:$B$464,GUS_tabl_21!$A$5:$B$4886),2,FALSE))),-1)))))</f>
        <v>Powiat ostrowski</v>
      </c>
      <c r="D2680" s="140">
        <f>IF(OR($A2680="",ISERROR(VALUE(LEFT($A2680,6)))),"",IF(LEN($A2680)=2,SUMIF($A2681:$A$2965,$A2680&amp;"??",$D2681:$D$2965),IF(AND(LEN($A2680)=4,VALUE(RIGHT($A2680,2))&lt;=60),SUMIF($A2681:$A$2965,$A2680&amp;"????",$D2681:$D$2965),VLOOKUP(IF(LEN($A2680)=4,$A2680&amp;"01 1",$A2680),GUS_tabl_21!$A$5:$F$4886,6,FALSE))))</f>
        <v>161581</v>
      </c>
      <c r="E2680" s="29"/>
    </row>
    <row r="2681" spans="1:5" ht="12" customHeight="1">
      <c r="A2681" s="155" t="str">
        <f>"301701 1"</f>
        <v>301701 1</v>
      </c>
      <c r="B2681" s="153" t="s">
        <v>34</v>
      </c>
      <c r="C2681" s="156" t="str">
        <f>IF(OR($A2681="",ISERROR(VALUE(LEFT($A2681,6)))),"",IF(LEN($A2681)=2,"WOJ. ",IF(LEN($A2681)=4,IF(VALUE(RIGHT($A2681,2))&gt;60,"","Powiat "),IF(VALUE(RIGHT($A2681,1))=1,"m. ",IF(VALUE(RIGHT($A2681,1))=2,"gm. w. ",IF(VALUE(RIGHT($A2681,1))=8,"dz. ","gm. m.-w. ")))))&amp;IF(LEN($A2681)=2,TRIM(UPPER(VLOOKUP($A2681,GUS_tabl_1!$A$7:$B$22,2,FALSE))),IF(ISERROR(FIND("..",TRIM(VLOOKUP(IF(AND(LEN($A2681)=4,VALUE(RIGHT($A2681,2))&gt;60),$A2681&amp;"01 1",$A2681),IF(AND(LEN($A2681)=4,VALUE(RIGHT($A2681,2))&lt;60),GUS_tabl_2!$A$8:$B$464,GUS_tabl_21!$A$5:$B$4886),2,FALSE)))),TRIM(VLOOKUP(IF(AND(LEN($A2681)=4,VALUE(RIGHT($A2681,2))&gt;60),$A2681&amp;"01 1",$A2681),IF(AND(LEN($A2681)=4,VALUE(RIGHT($A2681,2))&lt;60),GUS_tabl_2!$A$8:$B$464,GUS_tabl_21!$A$5:$B$4886),2,FALSE)),LEFT(TRIM(VLOOKUP(IF(AND(LEN($A2681)=4,VALUE(RIGHT($A2681,2))&gt;60),$A2681&amp;"01 1",$A2681),IF(AND(LEN($A2681)=4,VALUE(RIGHT($A2681,2))&lt;60),GUS_tabl_2!$A$8:$B$464,GUS_tabl_21!$A$5:$B$4886),2,FALSE)),SUM(FIND("..",TRIM(VLOOKUP(IF(AND(LEN($A2681)=4,VALUE(RIGHT($A2681,2))&gt;60),$A2681&amp;"01 1",$A2681),IF(AND(LEN($A2681)=4,VALUE(RIGHT($A2681,2))&lt;60),GUS_tabl_2!$A$8:$B$464,GUS_tabl_21!$A$5:$B$4886),2,FALSE))),-1)))))</f>
        <v>m. Ostrów Wielkopolski</v>
      </c>
      <c r="D2681" s="141">
        <f>IF(OR($A2681="",ISERROR(VALUE(LEFT($A2681,6)))),"",IF(LEN($A2681)=2,SUMIF($A2682:$A$2965,$A2681&amp;"??",$D2682:$D$2965),IF(AND(LEN($A2681)=4,VALUE(RIGHT($A2681,2))&lt;=60),SUMIF($A2682:$A$2965,$A2681&amp;"????",$D2682:$D$2965),VLOOKUP(IF(LEN($A2681)=4,$A2681&amp;"01 1",$A2681),GUS_tabl_21!$A$5:$F$4886,6,FALSE))))</f>
        <v>71931</v>
      </c>
      <c r="E2681" s="29"/>
    </row>
    <row r="2682" spans="1:5" ht="12" customHeight="1">
      <c r="A2682" s="155" t="str">
        <f>"301702 3"</f>
        <v>301702 3</v>
      </c>
      <c r="B2682" s="153" t="s">
        <v>34</v>
      </c>
      <c r="C2682" s="156" t="str">
        <f>IF(OR($A2682="",ISERROR(VALUE(LEFT($A2682,6)))),"",IF(LEN($A2682)=2,"WOJ. ",IF(LEN($A2682)=4,IF(VALUE(RIGHT($A2682,2))&gt;60,"","Powiat "),IF(VALUE(RIGHT($A2682,1))=1,"m. ",IF(VALUE(RIGHT($A2682,1))=2,"gm. w. ",IF(VALUE(RIGHT($A2682,1))=8,"dz. ","gm. m.-w. ")))))&amp;IF(LEN($A2682)=2,TRIM(UPPER(VLOOKUP($A2682,GUS_tabl_1!$A$7:$B$22,2,FALSE))),IF(ISERROR(FIND("..",TRIM(VLOOKUP(IF(AND(LEN($A2682)=4,VALUE(RIGHT($A2682,2))&gt;60),$A2682&amp;"01 1",$A2682),IF(AND(LEN($A2682)=4,VALUE(RIGHT($A2682,2))&lt;60),GUS_tabl_2!$A$8:$B$464,GUS_tabl_21!$A$5:$B$4886),2,FALSE)))),TRIM(VLOOKUP(IF(AND(LEN($A2682)=4,VALUE(RIGHT($A2682,2))&gt;60),$A2682&amp;"01 1",$A2682),IF(AND(LEN($A2682)=4,VALUE(RIGHT($A2682,2))&lt;60),GUS_tabl_2!$A$8:$B$464,GUS_tabl_21!$A$5:$B$4886),2,FALSE)),LEFT(TRIM(VLOOKUP(IF(AND(LEN($A2682)=4,VALUE(RIGHT($A2682,2))&gt;60),$A2682&amp;"01 1",$A2682),IF(AND(LEN($A2682)=4,VALUE(RIGHT($A2682,2))&lt;60),GUS_tabl_2!$A$8:$B$464,GUS_tabl_21!$A$5:$B$4886),2,FALSE)),SUM(FIND("..",TRIM(VLOOKUP(IF(AND(LEN($A2682)=4,VALUE(RIGHT($A2682,2))&gt;60),$A2682&amp;"01 1",$A2682),IF(AND(LEN($A2682)=4,VALUE(RIGHT($A2682,2))&lt;60),GUS_tabl_2!$A$8:$B$464,GUS_tabl_21!$A$5:$B$4886),2,FALSE))),-1)))))</f>
        <v>gm. m.-w. Nowe Skalmierzyce</v>
      </c>
      <c r="D2682" s="141">
        <f>IF(OR($A2682="",ISERROR(VALUE(LEFT($A2682,6)))),"",IF(LEN($A2682)=2,SUMIF($A2683:$A$2965,$A2682&amp;"??",$D2683:$D$2965),IF(AND(LEN($A2682)=4,VALUE(RIGHT($A2682,2))&lt;=60),SUMIF($A2683:$A$2965,$A2682&amp;"????",$D2683:$D$2965),VLOOKUP(IF(LEN($A2682)=4,$A2682&amp;"01 1",$A2682),GUS_tabl_21!$A$5:$F$4886,6,FALSE))))</f>
        <v>15563</v>
      </c>
      <c r="E2682" s="29"/>
    </row>
    <row r="2683" spans="1:5" ht="12" customHeight="1">
      <c r="A2683" s="155" t="str">
        <f>"301703 3"</f>
        <v>301703 3</v>
      </c>
      <c r="B2683" s="153" t="s">
        <v>34</v>
      </c>
      <c r="C2683" s="156" t="str">
        <f>IF(OR($A2683="",ISERROR(VALUE(LEFT($A2683,6)))),"",IF(LEN($A2683)=2,"WOJ. ",IF(LEN($A2683)=4,IF(VALUE(RIGHT($A2683,2))&gt;60,"","Powiat "),IF(VALUE(RIGHT($A2683,1))=1,"m. ",IF(VALUE(RIGHT($A2683,1))=2,"gm. w. ",IF(VALUE(RIGHT($A2683,1))=8,"dz. ","gm. m.-w. ")))))&amp;IF(LEN($A2683)=2,TRIM(UPPER(VLOOKUP($A2683,GUS_tabl_1!$A$7:$B$22,2,FALSE))),IF(ISERROR(FIND("..",TRIM(VLOOKUP(IF(AND(LEN($A2683)=4,VALUE(RIGHT($A2683,2))&gt;60),$A2683&amp;"01 1",$A2683),IF(AND(LEN($A2683)=4,VALUE(RIGHT($A2683,2))&lt;60),GUS_tabl_2!$A$8:$B$464,GUS_tabl_21!$A$5:$B$4886),2,FALSE)))),TRIM(VLOOKUP(IF(AND(LEN($A2683)=4,VALUE(RIGHT($A2683,2))&gt;60),$A2683&amp;"01 1",$A2683),IF(AND(LEN($A2683)=4,VALUE(RIGHT($A2683,2))&lt;60),GUS_tabl_2!$A$8:$B$464,GUS_tabl_21!$A$5:$B$4886),2,FALSE)),LEFT(TRIM(VLOOKUP(IF(AND(LEN($A2683)=4,VALUE(RIGHT($A2683,2))&gt;60),$A2683&amp;"01 1",$A2683),IF(AND(LEN($A2683)=4,VALUE(RIGHT($A2683,2))&lt;60),GUS_tabl_2!$A$8:$B$464,GUS_tabl_21!$A$5:$B$4886),2,FALSE)),SUM(FIND("..",TRIM(VLOOKUP(IF(AND(LEN($A2683)=4,VALUE(RIGHT($A2683,2))&gt;60),$A2683&amp;"01 1",$A2683),IF(AND(LEN($A2683)=4,VALUE(RIGHT($A2683,2))&lt;60),GUS_tabl_2!$A$8:$B$464,GUS_tabl_21!$A$5:$B$4886),2,FALSE))),-1)))))</f>
        <v>gm. m.-w. Odolanów</v>
      </c>
      <c r="D2683" s="141">
        <f>IF(OR($A2683="",ISERROR(VALUE(LEFT($A2683,6)))),"",IF(LEN($A2683)=2,SUMIF($A2684:$A$2965,$A2683&amp;"??",$D2684:$D$2965),IF(AND(LEN($A2683)=4,VALUE(RIGHT($A2683,2))&lt;=60),SUMIF($A2684:$A$2965,$A2683&amp;"????",$D2684:$D$2965),VLOOKUP(IF(LEN($A2683)=4,$A2683&amp;"01 1",$A2683),GUS_tabl_21!$A$5:$F$4886,6,FALSE))))</f>
        <v>14655</v>
      </c>
      <c r="E2683" s="29"/>
    </row>
    <row r="2684" spans="1:5" ht="12" customHeight="1">
      <c r="A2684" s="155" t="str">
        <f>"301704 2"</f>
        <v>301704 2</v>
      </c>
      <c r="B2684" s="153" t="s">
        <v>34</v>
      </c>
      <c r="C2684" s="156" t="str">
        <f>IF(OR($A2684="",ISERROR(VALUE(LEFT($A2684,6)))),"",IF(LEN($A2684)=2,"WOJ. ",IF(LEN($A2684)=4,IF(VALUE(RIGHT($A2684,2))&gt;60,"","Powiat "),IF(VALUE(RIGHT($A2684,1))=1,"m. ",IF(VALUE(RIGHT($A2684,1))=2,"gm. w. ",IF(VALUE(RIGHT($A2684,1))=8,"dz. ","gm. m.-w. ")))))&amp;IF(LEN($A2684)=2,TRIM(UPPER(VLOOKUP($A2684,GUS_tabl_1!$A$7:$B$22,2,FALSE))),IF(ISERROR(FIND("..",TRIM(VLOOKUP(IF(AND(LEN($A2684)=4,VALUE(RIGHT($A2684,2))&gt;60),$A2684&amp;"01 1",$A2684),IF(AND(LEN($A2684)=4,VALUE(RIGHT($A2684,2))&lt;60),GUS_tabl_2!$A$8:$B$464,GUS_tabl_21!$A$5:$B$4886),2,FALSE)))),TRIM(VLOOKUP(IF(AND(LEN($A2684)=4,VALUE(RIGHT($A2684,2))&gt;60),$A2684&amp;"01 1",$A2684),IF(AND(LEN($A2684)=4,VALUE(RIGHT($A2684,2))&lt;60),GUS_tabl_2!$A$8:$B$464,GUS_tabl_21!$A$5:$B$4886),2,FALSE)),LEFT(TRIM(VLOOKUP(IF(AND(LEN($A2684)=4,VALUE(RIGHT($A2684,2))&gt;60),$A2684&amp;"01 1",$A2684),IF(AND(LEN($A2684)=4,VALUE(RIGHT($A2684,2))&lt;60),GUS_tabl_2!$A$8:$B$464,GUS_tabl_21!$A$5:$B$4886),2,FALSE)),SUM(FIND("..",TRIM(VLOOKUP(IF(AND(LEN($A2684)=4,VALUE(RIGHT($A2684,2))&gt;60),$A2684&amp;"01 1",$A2684),IF(AND(LEN($A2684)=4,VALUE(RIGHT($A2684,2))&lt;60),GUS_tabl_2!$A$8:$B$464,GUS_tabl_21!$A$5:$B$4886),2,FALSE))),-1)))))</f>
        <v>gm. w. Ostrów Wielkopolski</v>
      </c>
      <c r="D2684" s="141">
        <f>IF(OR($A2684="",ISERROR(VALUE(LEFT($A2684,6)))),"",IF(LEN($A2684)=2,SUMIF($A2685:$A$2965,$A2684&amp;"??",$D2685:$D$2965),IF(AND(LEN($A2684)=4,VALUE(RIGHT($A2684,2))&lt;=60),SUMIF($A2685:$A$2965,$A2684&amp;"????",$D2685:$D$2965),VLOOKUP(IF(LEN($A2684)=4,$A2684&amp;"01 1",$A2684),GUS_tabl_21!$A$5:$F$4886,6,FALSE))))</f>
        <v>19147</v>
      </c>
      <c r="E2684" s="29"/>
    </row>
    <row r="2685" spans="1:5" ht="12" customHeight="1">
      <c r="A2685" s="155" t="str">
        <f>"301705 2"</f>
        <v>301705 2</v>
      </c>
      <c r="B2685" s="153" t="s">
        <v>34</v>
      </c>
      <c r="C2685" s="156" t="str">
        <f>IF(OR($A2685="",ISERROR(VALUE(LEFT($A2685,6)))),"",IF(LEN($A2685)=2,"WOJ. ",IF(LEN($A2685)=4,IF(VALUE(RIGHT($A2685,2))&gt;60,"","Powiat "),IF(VALUE(RIGHT($A2685,1))=1,"m. ",IF(VALUE(RIGHT($A2685,1))=2,"gm. w. ",IF(VALUE(RIGHT($A2685,1))=8,"dz. ","gm. m.-w. ")))))&amp;IF(LEN($A2685)=2,TRIM(UPPER(VLOOKUP($A2685,GUS_tabl_1!$A$7:$B$22,2,FALSE))),IF(ISERROR(FIND("..",TRIM(VLOOKUP(IF(AND(LEN($A2685)=4,VALUE(RIGHT($A2685,2))&gt;60),$A2685&amp;"01 1",$A2685),IF(AND(LEN($A2685)=4,VALUE(RIGHT($A2685,2))&lt;60),GUS_tabl_2!$A$8:$B$464,GUS_tabl_21!$A$5:$B$4886),2,FALSE)))),TRIM(VLOOKUP(IF(AND(LEN($A2685)=4,VALUE(RIGHT($A2685,2))&gt;60),$A2685&amp;"01 1",$A2685),IF(AND(LEN($A2685)=4,VALUE(RIGHT($A2685,2))&lt;60),GUS_tabl_2!$A$8:$B$464,GUS_tabl_21!$A$5:$B$4886),2,FALSE)),LEFT(TRIM(VLOOKUP(IF(AND(LEN($A2685)=4,VALUE(RIGHT($A2685,2))&gt;60),$A2685&amp;"01 1",$A2685),IF(AND(LEN($A2685)=4,VALUE(RIGHT($A2685,2))&lt;60),GUS_tabl_2!$A$8:$B$464,GUS_tabl_21!$A$5:$B$4886),2,FALSE)),SUM(FIND("..",TRIM(VLOOKUP(IF(AND(LEN($A2685)=4,VALUE(RIGHT($A2685,2))&gt;60),$A2685&amp;"01 1",$A2685),IF(AND(LEN($A2685)=4,VALUE(RIGHT($A2685,2))&lt;60),GUS_tabl_2!$A$8:$B$464,GUS_tabl_21!$A$5:$B$4886),2,FALSE))),-1)))))</f>
        <v>gm. w. Przygodzice</v>
      </c>
      <c r="D2685" s="141">
        <f>IF(OR($A2685="",ISERROR(VALUE(LEFT($A2685,6)))),"",IF(LEN($A2685)=2,SUMIF($A2686:$A$2965,$A2685&amp;"??",$D2686:$D$2965),IF(AND(LEN($A2685)=4,VALUE(RIGHT($A2685,2))&lt;=60),SUMIF($A2686:$A$2965,$A2685&amp;"????",$D2686:$D$2965),VLOOKUP(IF(LEN($A2685)=4,$A2685&amp;"01 1",$A2685),GUS_tabl_21!$A$5:$F$4886,6,FALSE))))</f>
        <v>12179</v>
      </c>
      <c r="E2685" s="29"/>
    </row>
    <row r="2686" spans="1:5" ht="12" customHeight="1">
      <c r="A2686" s="155" t="str">
        <f>"301706 3"</f>
        <v>301706 3</v>
      </c>
      <c r="B2686" s="153" t="s">
        <v>34</v>
      </c>
      <c r="C2686" s="156" t="str">
        <f>IF(OR($A2686="",ISERROR(VALUE(LEFT($A2686,6)))),"",IF(LEN($A2686)=2,"WOJ. ",IF(LEN($A2686)=4,IF(VALUE(RIGHT($A2686,2))&gt;60,"","Powiat "),IF(VALUE(RIGHT($A2686,1))=1,"m. ",IF(VALUE(RIGHT($A2686,1))=2,"gm. w. ",IF(VALUE(RIGHT($A2686,1))=8,"dz. ","gm. m.-w. ")))))&amp;IF(LEN($A2686)=2,TRIM(UPPER(VLOOKUP($A2686,GUS_tabl_1!$A$7:$B$22,2,FALSE))),IF(ISERROR(FIND("..",TRIM(VLOOKUP(IF(AND(LEN($A2686)=4,VALUE(RIGHT($A2686,2))&gt;60),$A2686&amp;"01 1",$A2686),IF(AND(LEN($A2686)=4,VALUE(RIGHT($A2686,2))&lt;60),GUS_tabl_2!$A$8:$B$464,GUS_tabl_21!$A$5:$B$4886),2,FALSE)))),TRIM(VLOOKUP(IF(AND(LEN($A2686)=4,VALUE(RIGHT($A2686,2))&gt;60),$A2686&amp;"01 1",$A2686),IF(AND(LEN($A2686)=4,VALUE(RIGHT($A2686,2))&lt;60),GUS_tabl_2!$A$8:$B$464,GUS_tabl_21!$A$5:$B$4886),2,FALSE)),LEFT(TRIM(VLOOKUP(IF(AND(LEN($A2686)=4,VALUE(RIGHT($A2686,2))&gt;60),$A2686&amp;"01 1",$A2686),IF(AND(LEN($A2686)=4,VALUE(RIGHT($A2686,2))&lt;60),GUS_tabl_2!$A$8:$B$464,GUS_tabl_21!$A$5:$B$4886),2,FALSE)),SUM(FIND("..",TRIM(VLOOKUP(IF(AND(LEN($A2686)=4,VALUE(RIGHT($A2686,2))&gt;60),$A2686&amp;"01 1",$A2686),IF(AND(LEN($A2686)=4,VALUE(RIGHT($A2686,2))&lt;60),GUS_tabl_2!$A$8:$B$464,GUS_tabl_21!$A$5:$B$4886),2,FALSE))),-1)))))</f>
        <v>gm. m.-w. Raszków</v>
      </c>
      <c r="D2686" s="141">
        <f>IF(OR($A2686="",ISERROR(VALUE(LEFT($A2686,6)))),"",IF(LEN($A2686)=2,SUMIF($A2687:$A$2965,$A2686&amp;"??",$D2687:$D$2965),IF(AND(LEN($A2686)=4,VALUE(RIGHT($A2686,2))&lt;=60),SUMIF($A2687:$A$2965,$A2686&amp;"????",$D2687:$D$2965),VLOOKUP(IF(LEN($A2686)=4,$A2686&amp;"01 1",$A2686),GUS_tabl_21!$A$5:$F$4886,6,FALSE))))</f>
        <v>11849</v>
      </c>
      <c r="E2686" s="29"/>
    </row>
    <row r="2687" spans="1:5" ht="12" customHeight="1">
      <c r="A2687" s="155" t="str">
        <f>"301707 2"</f>
        <v>301707 2</v>
      </c>
      <c r="B2687" s="153" t="s">
        <v>34</v>
      </c>
      <c r="C2687" s="156" t="str">
        <f>IF(OR($A2687="",ISERROR(VALUE(LEFT($A2687,6)))),"",IF(LEN($A2687)=2,"WOJ. ",IF(LEN($A2687)=4,IF(VALUE(RIGHT($A2687,2))&gt;60,"","Powiat "),IF(VALUE(RIGHT($A2687,1))=1,"m. ",IF(VALUE(RIGHT($A2687,1))=2,"gm. w. ",IF(VALUE(RIGHT($A2687,1))=8,"dz. ","gm. m.-w. ")))))&amp;IF(LEN($A2687)=2,TRIM(UPPER(VLOOKUP($A2687,GUS_tabl_1!$A$7:$B$22,2,FALSE))),IF(ISERROR(FIND("..",TRIM(VLOOKUP(IF(AND(LEN($A2687)=4,VALUE(RIGHT($A2687,2))&gt;60),$A2687&amp;"01 1",$A2687),IF(AND(LEN($A2687)=4,VALUE(RIGHT($A2687,2))&lt;60),GUS_tabl_2!$A$8:$B$464,GUS_tabl_21!$A$5:$B$4886),2,FALSE)))),TRIM(VLOOKUP(IF(AND(LEN($A2687)=4,VALUE(RIGHT($A2687,2))&gt;60),$A2687&amp;"01 1",$A2687),IF(AND(LEN($A2687)=4,VALUE(RIGHT($A2687,2))&lt;60),GUS_tabl_2!$A$8:$B$464,GUS_tabl_21!$A$5:$B$4886),2,FALSE)),LEFT(TRIM(VLOOKUP(IF(AND(LEN($A2687)=4,VALUE(RIGHT($A2687,2))&gt;60),$A2687&amp;"01 1",$A2687),IF(AND(LEN($A2687)=4,VALUE(RIGHT($A2687,2))&lt;60),GUS_tabl_2!$A$8:$B$464,GUS_tabl_21!$A$5:$B$4886),2,FALSE)),SUM(FIND("..",TRIM(VLOOKUP(IF(AND(LEN($A2687)=4,VALUE(RIGHT($A2687,2))&gt;60),$A2687&amp;"01 1",$A2687),IF(AND(LEN($A2687)=4,VALUE(RIGHT($A2687,2))&lt;60),GUS_tabl_2!$A$8:$B$464,GUS_tabl_21!$A$5:$B$4886),2,FALSE))),-1)))))</f>
        <v>gm. w. Sieroszewice</v>
      </c>
      <c r="D2687" s="141">
        <f>IF(OR($A2687="",ISERROR(VALUE(LEFT($A2687,6)))),"",IF(LEN($A2687)=2,SUMIF($A2688:$A$2965,$A2687&amp;"??",$D2688:$D$2965),IF(AND(LEN($A2687)=4,VALUE(RIGHT($A2687,2))&lt;=60),SUMIF($A2688:$A$2965,$A2687&amp;"????",$D2688:$D$2965),VLOOKUP(IF(LEN($A2687)=4,$A2687&amp;"01 1",$A2687),GUS_tabl_21!$A$5:$F$4886,6,FALSE))))</f>
        <v>9684</v>
      </c>
      <c r="E2687" s="29"/>
    </row>
    <row r="2688" spans="1:5" ht="12" customHeight="1">
      <c r="A2688" s="155" t="str">
        <f>"301708 2"</f>
        <v>301708 2</v>
      </c>
      <c r="B2688" s="153" t="s">
        <v>34</v>
      </c>
      <c r="C2688" s="156" t="str">
        <f>IF(OR($A2688="",ISERROR(VALUE(LEFT($A2688,6)))),"",IF(LEN($A2688)=2,"WOJ. ",IF(LEN($A2688)=4,IF(VALUE(RIGHT($A2688,2))&gt;60,"","Powiat "),IF(VALUE(RIGHT($A2688,1))=1,"m. ",IF(VALUE(RIGHT($A2688,1))=2,"gm. w. ",IF(VALUE(RIGHT($A2688,1))=8,"dz. ","gm. m.-w. ")))))&amp;IF(LEN($A2688)=2,TRIM(UPPER(VLOOKUP($A2688,GUS_tabl_1!$A$7:$B$22,2,FALSE))),IF(ISERROR(FIND("..",TRIM(VLOOKUP(IF(AND(LEN($A2688)=4,VALUE(RIGHT($A2688,2))&gt;60),$A2688&amp;"01 1",$A2688),IF(AND(LEN($A2688)=4,VALUE(RIGHT($A2688,2))&lt;60),GUS_tabl_2!$A$8:$B$464,GUS_tabl_21!$A$5:$B$4886),2,FALSE)))),TRIM(VLOOKUP(IF(AND(LEN($A2688)=4,VALUE(RIGHT($A2688,2))&gt;60),$A2688&amp;"01 1",$A2688),IF(AND(LEN($A2688)=4,VALUE(RIGHT($A2688,2))&lt;60),GUS_tabl_2!$A$8:$B$464,GUS_tabl_21!$A$5:$B$4886),2,FALSE)),LEFT(TRIM(VLOOKUP(IF(AND(LEN($A2688)=4,VALUE(RIGHT($A2688,2))&gt;60),$A2688&amp;"01 1",$A2688),IF(AND(LEN($A2688)=4,VALUE(RIGHT($A2688,2))&lt;60),GUS_tabl_2!$A$8:$B$464,GUS_tabl_21!$A$5:$B$4886),2,FALSE)),SUM(FIND("..",TRIM(VLOOKUP(IF(AND(LEN($A2688)=4,VALUE(RIGHT($A2688,2))&gt;60),$A2688&amp;"01 1",$A2688),IF(AND(LEN($A2688)=4,VALUE(RIGHT($A2688,2))&lt;60),GUS_tabl_2!$A$8:$B$464,GUS_tabl_21!$A$5:$B$4886),2,FALSE))),-1)))))</f>
        <v>gm. w. Sośnie</v>
      </c>
      <c r="D2688" s="141">
        <f>IF(OR($A2688="",ISERROR(VALUE(LEFT($A2688,6)))),"",IF(LEN($A2688)=2,SUMIF($A2689:$A$2965,$A2688&amp;"??",$D2689:$D$2965),IF(AND(LEN($A2688)=4,VALUE(RIGHT($A2688,2))&lt;=60),SUMIF($A2689:$A$2965,$A2688&amp;"????",$D2689:$D$2965),VLOOKUP(IF(LEN($A2688)=4,$A2688&amp;"01 1",$A2688),GUS_tabl_21!$A$5:$F$4886,6,FALSE))))</f>
        <v>6573</v>
      </c>
      <c r="E2688" s="29"/>
    </row>
    <row r="2689" spans="1:5" ht="12" customHeight="1">
      <c r="A2689" s="152" t="str">
        <f>"3018"</f>
        <v>3018</v>
      </c>
      <c r="B2689" s="153" t="s">
        <v>34</v>
      </c>
      <c r="C2689" s="154" t="str">
        <f>IF(OR($A2689="",ISERROR(VALUE(LEFT($A2689,6)))),"",IF(LEN($A2689)=2,"WOJ. ",IF(LEN($A2689)=4,IF(VALUE(RIGHT($A2689,2))&gt;60,"","Powiat "),IF(VALUE(RIGHT($A2689,1))=1,"m. ",IF(VALUE(RIGHT($A2689,1))=2,"gm. w. ",IF(VALUE(RIGHT($A2689,1))=8,"dz. ","gm. m.-w. ")))))&amp;IF(LEN($A2689)=2,TRIM(UPPER(VLOOKUP($A2689,GUS_tabl_1!$A$7:$B$22,2,FALSE))),IF(ISERROR(FIND("..",TRIM(VLOOKUP(IF(AND(LEN($A2689)=4,VALUE(RIGHT($A2689,2))&gt;60),$A2689&amp;"01 1",$A2689),IF(AND(LEN($A2689)=4,VALUE(RIGHT($A2689,2))&lt;60),GUS_tabl_2!$A$8:$B$464,GUS_tabl_21!$A$5:$B$4886),2,FALSE)))),TRIM(VLOOKUP(IF(AND(LEN($A2689)=4,VALUE(RIGHT($A2689,2))&gt;60),$A2689&amp;"01 1",$A2689),IF(AND(LEN($A2689)=4,VALUE(RIGHT($A2689,2))&lt;60),GUS_tabl_2!$A$8:$B$464,GUS_tabl_21!$A$5:$B$4886),2,FALSE)),LEFT(TRIM(VLOOKUP(IF(AND(LEN($A2689)=4,VALUE(RIGHT($A2689,2))&gt;60),$A2689&amp;"01 1",$A2689),IF(AND(LEN($A2689)=4,VALUE(RIGHT($A2689,2))&lt;60),GUS_tabl_2!$A$8:$B$464,GUS_tabl_21!$A$5:$B$4886),2,FALSE)),SUM(FIND("..",TRIM(VLOOKUP(IF(AND(LEN($A2689)=4,VALUE(RIGHT($A2689,2))&gt;60),$A2689&amp;"01 1",$A2689),IF(AND(LEN($A2689)=4,VALUE(RIGHT($A2689,2))&lt;60),GUS_tabl_2!$A$8:$B$464,GUS_tabl_21!$A$5:$B$4886),2,FALSE))),-1)))))</f>
        <v>Powiat ostrzeszowski</v>
      </c>
      <c r="D2689" s="140">
        <f>IF(OR($A2689="",ISERROR(VALUE(LEFT($A2689,6)))),"",IF(LEN($A2689)=2,SUMIF($A2690:$A$2965,$A2689&amp;"??",$D2690:$D$2965),IF(AND(LEN($A2689)=4,VALUE(RIGHT($A2689,2))&lt;=60),SUMIF($A2690:$A$2965,$A2689&amp;"????",$D2690:$D$2965),VLOOKUP(IF(LEN($A2689)=4,$A2689&amp;"01 1",$A2689),GUS_tabl_21!$A$5:$F$4886,6,FALSE))))</f>
        <v>55500</v>
      </c>
      <c r="E2689" s="29"/>
    </row>
    <row r="2690" spans="1:5" ht="12" customHeight="1">
      <c r="A2690" s="155" t="str">
        <f>"301801 2"</f>
        <v>301801 2</v>
      </c>
      <c r="B2690" s="153" t="s">
        <v>34</v>
      </c>
      <c r="C2690" s="156" t="str">
        <f>IF(OR($A2690="",ISERROR(VALUE(LEFT($A2690,6)))),"",IF(LEN($A2690)=2,"WOJ. ",IF(LEN($A2690)=4,IF(VALUE(RIGHT($A2690,2))&gt;60,"","Powiat "),IF(VALUE(RIGHT($A2690,1))=1,"m. ",IF(VALUE(RIGHT($A2690,1))=2,"gm. w. ",IF(VALUE(RIGHT($A2690,1))=8,"dz. ","gm. m.-w. ")))))&amp;IF(LEN($A2690)=2,TRIM(UPPER(VLOOKUP($A2690,GUS_tabl_1!$A$7:$B$22,2,FALSE))),IF(ISERROR(FIND("..",TRIM(VLOOKUP(IF(AND(LEN($A2690)=4,VALUE(RIGHT($A2690,2))&gt;60),$A2690&amp;"01 1",$A2690),IF(AND(LEN($A2690)=4,VALUE(RIGHT($A2690,2))&lt;60),GUS_tabl_2!$A$8:$B$464,GUS_tabl_21!$A$5:$B$4886),2,FALSE)))),TRIM(VLOOKUP(IF(AND(LEN($A2690)=4,VALUE(RIGHT($A2690,2))&gt;60),$A2690&amp;"01 1",$A2690),IF(AND(LEN($A2690)=4,VALUE(RIGHT($A2690,2))&lt;60),GUS_tabl_2!$A$8:$B$464,GUS_tabl_21!$A$5:$B$4886),2,FALSE)),LEFT(TRIM(VLOOKUP(IF(AND(LEN($A2690)=4,VALUE(RIGHT($A2690,2))&gt;60),$A2690&amp;"01 1",$A2690),IF(AND(LEN($A2690)=4,VALUE(RIGHT($A2690,2))&lt;60),GUS_tabl_2!$A$8:$B$464,GUS_tabl_21!$A$5:$B$4886),2,FALSE)),SUM(FIND("..",TRIM(VLOOKUP(IF(AND(LEN($A2690)=4,VALUE(RIGHT($A2690,2))&gt;60),$A2690&amp;"01 1",$A2690),IF(AND(LEN($A2690)=4,VALUE(RIGHT($A2690,2))&lt;60),GUS_tabl_2!$A$8:$B$464,GUS_tabl_21!$A$5:$B$4886),2,FALSE))),-1)))))</f>
        <v>gm. w. Czajków</v>
      </c>
      <c r="D2690" s="141">
        <f>IF(OR($A2690="",ISERROR(VALUE(LEFT($A2690,6)))),"",IF(LEN($A2690)=2,SUMIF($A2691:$A$2965,$A2690&amp;"??",$D2691:$D$2965),IF(AND(LEN($A2690)=4,VALUE(RIGHT($A2690,2))&lt;=60),SUMIF($A2691:$A$2965,$A2690&amp;"????",$D2691:$D$2965),VLOOKUP(IF(LEN($A2690)=4,$A2690&amp;"01 1",$A2690),GUS_tabl_21!$A$5:$F$4886,6,FALSE))))</f>
        <v>2490</v>
      </c>
      <c r="E2690" s="29"/>
    </row>
    <row r="2691" spans="1:5" ht="12" customHeight="1">
      <c r="A2691" s="155" t="str">
        <f>"301802 2"</f>
        <v>301802 2</v>
      </c>
      <c r="B2691" s="153" t="s">
        <v>34</v>
      </c>
      <c r="C2691" s="156" t="str">
        <f>IF(OR($A2691="",ISERROR(VALUE(LEFT($A2691,6)))),"",IF(LEN($A2691)=2,"WOJ. ",IF(LEN($A2691)=4,IF(VALUE(RIGHT($A2691,2))&gt;60,"","Powiat "),IF(VALUE(RIGHT($A2691,1))=1,"m. ",IF(VALUE(RIGHT($A2691,1))=2,"gm. w. ",IF(VALUE(RIGHT($A2691,1))=8,"dz. ","gm. m.-w. ")))))&amp;IF(LEN($A2691)=2,TRIM(UPPER(VLOOKUP($A2691,GUS_tabl_1!$A$7:$B$22,2,FALSE))),IF(ISERROR(FIND("..",TRIM(VLOOKUP(IF(AND(LEN($A2691)=4,VALUE(RIGHT($A2691,2))&gt;60),$A2691&amp;"01 1",$A2691),IF(AND(LEN($A2691)=4,VALUE(RIGHT($A2691,2))&lt;60),GUS_tabl_2!$A$8:$B$464,GUS_tabl_21!$A$5:$B$4886),2,FALSE)))),TRIM(VLOOKUP(IF(AND(LEN($A2691)=4,VALUE(RIGHT($A2691,2))&gt;60),$A2691&amp;"01 1",$A2691),IF(AND(LEN($A2691)=4,VALUE(RIGHT($A2691,2))&lt;60),GUS_tabl_2!$A$8:$B$464,GUS_tabl_21!$A$5:$B$4886),2,FALSE)),LEFT(TRIM(VLOOKUP(IF(AND(LEN($A2691)=4,VALUE(RIGHT($A2691,2))&gt;60),$A2691&amp;"01 1",$A2691),IF(AND(LEN($A2691)=4,VALUE(RIGHT($A2691,2))&lt;60),GUS_tabl_2!$A$8:$B$464,GUS_tabl_21!$A$5:$B$4886),2,FALSE)),SUM(FIND("..",TRIM(VLOOKUP(IF(AND(LEN($A2691)=4,VALUE(RIGHT($A2691,2))&gt;60),$A2691&amp;"01 1",$A2691),IF(AND(LEN($A2691)=4,VALUE(RIGHT($A2691,2))&lt;60),GUS_tabl_2!$A$8:$B$464,GUS_tabl_21!$A$5:$B$4886),2,FALSE))),-1)))))</f>
        <v>gm. w. Doruchów</v>
      </c>
      <c r="D2691" s="141">
        <f>IF(OR($A2691="",ISERROR(VALUE(LEFT($A2691,6)))),"",IF(LEN($A2691)=2,SUMIF($A2692:$A$2965,$A2691&amp;"??",$D2692:$D$2965),IF(AND(LEN($A2691)=4,VALUE(RIGHT($A2691,2))&lt;=60),SUMIF($A2692:$A$2965,$A2691&amp;"????",$D2692:$D$2965),VLOOKUP(IF(LEN($A2691)=4,$A2691&amp;"01 1",$A2691),GUS_tabl_21!$A$5:$F$4886,6,FALSE))))</f>
        <v>5383</v>
      </c>
      <c r="E2691" s="29"/>
    </row>
    <row r="2692" spans="1:5" ht="12" customHeight="1">
      <c r="A2692" s="155" t="str">
        <f>"301803 3"</f>
        <v>301803 3</v>
      </c>
      <c r="B2692" s="153" t="s">
        <v>34</v>
      </c>
      <c r="C2692" s="156" t="str">
        <f>IF(OR($A2692="",ISERROR(VALUE(LEFT($A2692,6)))),"",IF(LEN($A2692)=2,"WOJ. ",IF(LEN($A2692)=4,IF(VALUE(RIGHT($A2692,2))&gt;60,"","Powiat "),IF(VALUE(RIGHT($A2692,1))=1,"m. ",IF(VALUE(RIGHT($A2692,1))=2,"gm. w. ",IF(VALUE(RIGHT($A2692,1))=8,"dz. ","gm. m.-w. ")))))&amp;IF(LEN($A2692)=2,TRIM(UPPER(VLOOKUP($A2692,GUS_tabl_1!$A$7:$B$22,2,FALSE))),IF(ISERROR(FIND("..",TRIM(VLOOKUP(IF(AND(LEN($A2692)=4,VALUE(RIGHT($A2692,2))&gt;60),$A2692&amp;"01 1",$A2692),IF(AND(LEN($A2692)=4,VALUE(RIGHT($A2692,2))&lt;60),GUS_tabl_2!$A$8:$B$464,GUS_tabl_21!$A$5:$B$4886),2,FALSE)))),TRIM(VLOOKUP(IF(AND(LEN($A2692)=4,VALUE(RIGHT($A2692,2))&gt;60),$A2692&amp;"01 1",$A2692),IF(AND(LEN($A2692)=4,VALUE(RIGHT($A2692,2))&lt;60),GUS_tabl_2!$A$8:$B$464,GUS_tabl_21!$A$5:$B$4886),2,FALSE)),LEFT(TRIM(VLOOKUP(IF(AND(LEN($A2692)=4,VALUE(RIGHT($A2692,2))&gt;60),$A2692&amp;"01 1",$A2692),IF(AND(LEN($A2692)=4,VALUE(RIGHT($A2692,2))&lt;60),GUS_tabl_2!$A$8:$B$464,GUS_tabl_21!$A$5:$B$4886),2,FALSE)),SUM(FIND("..",TRIM(VLOOKUP(IF(AND(LEN($A2692)=4,VALUE(RIGHT($A2692,2))&gt;60),$A2692&amp;"01 1",$A2692),IF(AND(LEN($A2692)=4,VALUE(RIGHT($A2692,2))&lt;60),GUS_tabl_2!$A$8:$B$464,GUS_tabl_21!$A$5:$B$4886),2,FALSE))),-1)))))</f>
        <v>gm. m.-w. Grabów nad Prosną</v>
      </c>
      <c r="D2692" s="141">
        <f>IF(OR($A2692="",ISERROR(VALUE(LEFT($A2692,6)))),"",IF(LEN($A2692)=2,SUMIF($A2693:$A$2965,$A2692&amp;"??",$D2693:$D$2965),IF(AND(LEN($A2692)=4,VALUE(RIGHT($A2692,2))&lt;=60),SUMIF($A2693:$A$2965,$A2692&amp;"????",$D2693:$D$2965),VLOOKUP(IF(LEN($A2692)=4,$A2692&amp;"01 1",$A2692),GUS_tabl_21!$A$5:$F$4886,6,FALSE))))</f>
        <v>7817</v>
      </c>
      <c r="E2692" s="29"/>
    </row>
    <row r="2693" spans="1:5" ht="12" customHeight="1">
      <c r="A2693" s="155" t="str">
        <f>"301804 2"</f>
        <v>301804 2</v>
      </c>
      <c r="B2693" s="153" t="s">
        <v>34</v>
      </c>
      <c r="C2693" s="156" t="str">
        <f>IF(OR($A2693="",ISERROR(VALUE(LEFT($A2693,6)))),"",IF(LEN($A2693)=2,"WOJ. ",IF(LEN($A2693)=4,IF(VALUE(RIGHT($A2693,2))&gt;60,"","Powiat "),IF(VALUE(RIGHT($A2693,1))=1,"m. ",IF(VALUE(RIGHT($A2693,1))=2,"gm. w. ",IF(VALUE(RIGHT($A2693,1))=8,"dz. ","gm. m.-w. ")))))&amp;IF(LEN($A2693)=2,TRIM(UPPER(VLOOKUP($A2693,GUS_tabl_1!$A$7:$B$22,2,FALSE))),IF(ISERROR(FIND("..",TRIM(VLOOKUP(IF(AND(LEN($A2693)=4,VALUE(RIGHT($A2693,2))&gt;60),$A2693&amp;"01 1",$A2693),IF(AND(LEN($A2693)=4,VALUE(RIGHT($A2693,2))&lt;60),GUS_tabl_2!$A$8:$B$464,GUS_tabl_21!$A$5:$B$4886),2,FALSE)))),TRIM(VLOOKUP(IF(AND(LEN($A2693)=4,VALUE(RIGHT($A2693,2))&gt;60),$A2693&amp;"01 1",$A2693),IF(AND(LEN($A2693)=4,VALUE(RIGHT($A2693,2))&lt;60),GUS_tabl_2!$A$8:$B$464,GUS_tabl_21!$A$5:$B$4886),2,FALSE)),LEFT(TRIM(VLOOKUP(IF(AND(LEN($A2693)=4,VALUE(RIGHT($A2693,2))&gt;60),$A2693&amp;"01 1",$A2693),IF(AND(LEN($A2693)=4,VALUE(RIGHT($A2693,2))&lt;60),GUS_tabl_2!$A$8:$B$464,GUS_tabl_21!$A$5:$B$4886),2,FALSE)),SUM(FIND("..",TRIM(VLOOKUP(IF(AND(LEN($A2693)=4,VALUE(RIGHT($A2693,2))&gt;60),$A2693&amp;"01 1",$A2693),IF(AND(LEN($A2693)=4,VALUE(RIGHT($A2693,2))&lt;60),GUS_tabl_2!$A$8:$B$464,GUS_tabl_21!$A$5:$B$4886),2,FALSE))),-1)))))</f>
        <v>gm. w. Kobyla Góra</v>
      </c>
      <c r="D2693" s="141">
        <f>IF(OR($A2693="",ISERROR(VALUE(LEFT($A2693,6)))),"",IF(LEN($A2693)=2,SUMIF($A2694:$A$2965,$A2693&amp;"??",$D2694:$D$2965),IF(AND(LEN($A2693)=4,VALUE(RIGHT($A2693,2))&lt;=60),SUMIF($A2694:$A$2965,$A2693&amp;"????",$D2694:$D$2965),VLOOKUP(IF(LEN($A2693)=4,$A2693&amp;"01 1",$A2693),GUS_tabl_21!$A$5:$F$4886,6,FALSE))))</f>
        <v>6139</v>
      </c>
      <c r="E2693" s="29"/>
    </row>
    <row r="2694" spans="1:5" ht="12" customHeight="1">
      <c r="A2694" s="155" t="str">
        <f>"301805 2"</f>
        <v>301805 2</v>
      </c>
      <c r="B2694" s="153" t="s">
        <v>34</v>
      </c>
      <c r="C2694" s="156" t="str">
        <f>IF(OR($A2694="",ISERROR(VALUE(LEFT($A2694,6)))),"",IF(LEN($A2694)=2,"WOJ. ",IF(LEN($A2694)=4,IF(VALUE(RIGHT($A2694,2))&gt;60,"","Powiat "),IF(VALUE(RIGHT($A2694,1))=1,"m. ",IF(VALUE(RIGHT($A2694,1))=2,"gm. w. ",IF(VALUE(RIGHT($A2694,1))=8,"dz. ","gm. m.-w. ")))))&amp;IF(LEN($A2694)=2,TRIM(UPPER(VLOOKUP($A2694,GUS_tabl_1!$A$7:$B$22,2,FALSE))),IF(ISERROR(FIND("..",TRIM(VLOOKUP(IF(AND(LEN($A2694)=4,VALUE(RIGHT($A2694,2))&gt;60),$A2694&amp;"01 1",$A2694),IF(AND(LEN($A2694)=4,VALUE(RIGHT($A2694,2))&lt;60),GUS_tabl_2!$A$8:$B$464,GUS_tabl_21!$A$5:$B$4886),2,FALSE)))),TRIM(VLOOKUP(IF(AND(LEN($A2694)=4,VALUE(RIGHT($A2694,2))&gt;60),$A2694&amp;"01 1",$A2694),IF(AND(LEN($A2694)=4,VALUE(RIGHT($A2694,2))&lt;60),GUS_tabl_2!$A$8:$B$464,GUS_tabl_21!$A$5:$B$4886),2,FALSE)),LEFT(TRIM(VLOOKUP(IF(AND(LEN($A2694)=4,VALUE(RIGHT($A2694,2))&gt;60),$A2694&amp;"01 1",$A2694),IF(AND(LEN($A2694)=4,VALUE(RIGHT($A2694,2))&lt;60),GUS_tabl_2!$A$8:$B$464,GUS_tabl_21!$A$5:$B$4886),2,FALSE)),SUM(FIND("..",TRIM(VLOOKUP(IF(AND(LEN($A2694)=4,VALUE(RIGHT($A2694,2))&gt;60),$A2694&amp;"01 1",$A2694),IF(AND(LEN($A2694)=4,VALUE(RIGHT($A2694,2))&lt;60),GUS_tabl_2!$A$8:$B$464,GUS_tabl_21!$A$5:$B$4886),2,FALSE))),-1)))))</f>
        <v>gm. w. Kraszewice</v>
      </c>
      <c r="D2694" s="141">
        <f>IF(OR($A2694="",ISERROR(VALUE(LEFT($A2694,6)))),"",IF(LEN($A2694)=2,SUMIF($A2695:$A$2965,$A2694&amp;"??",$D2695:$D$2965),IF(AND(LEN($A2694)=4,VALUE(RIGHT($A2694,2))&lt;=60),SUMIF($A2695:$A$2965,$A2694&amp;"????",$D2695:$D$2965),VLOOKUP(IF(LEN($A2694)=4,$A2694&amp;"01 1",$A2694),GUS_tabl_21!$A$5:$F$4886,6,FALSE))))</f>
        <v>3621</v>
      </c>
      <c r="E2694" s="29"/>
    </row>
    <row r="2695" spans="1:5" ht="12" customHeight="1">
      <c r="A2695" s="155" t="str">
        <f>"301806 3"</f>
        <v>301806 3</v>
      </c>
      <c r="B2695" s="153" t="s">
        <v>34</v>
      </c>
      <c r="C2695" s="156" t="str">
        <f>IF(OR($A2695="",ISERROR(VALUE(LEFT($A2695,6)))),"",IF(LEN($A2695)=2,"WOJ. ",IF(LEN($A2695)=4,IF(VALUE(RIGHT($A2695,2))&gt;60,"","Powiat "),IF(VALUE(RIGHT($A2695,1))=1,"m. ",IF(VALUE(RIGHT($A2695,1))=2,"gm. w. ",IF(VALUE(RIGHT($A2695,1))=8,"dz. ","gm. m.-w. ")))))&amp;IF(LEN($A2695)=2,TRIM(UPPER(VLOOKUP($A2695,GUS_tabl_1!$A$7:$B$22,2,FALSE))),IF(ISERROR(FIND("..",TRIM(VLOOKUP(IF(AND(LEN($A2695)=4,VALUE(RIGHT($A2695,2))&gt;60),$A2695&amp;"01 1",$A2695),IF(AND(LEN($A2695)=4,VALUE(RIGHT($A2695,2))&lt;60),GUS_tabl_2!$A$8:$B$464,GUS_tabl_21!$A$5:$B$4886),2,FALSE)))),TRIM(VLOOKUP(IF(AND(LEN($A2695)=4,VALUE(RIGHT($A2695,2))&gt;60),$A2695&amp;"01 1",$A2695),IF(AND(LEN($A2695)=4,VALUE(RIGHT($A2695,2))&lt;60),GUS_tabl_2!$A$8:$B$464,GUS_tabl_21!$A$5:$B$4886),2,FALSE)),LEFT(TRIM(VLOOKUP(IF(AND(LEN($A2695)=4,VALUE(RIGHT($A2695,2))&gt;60),$A2695&amp;"01 1",$A2695),IF(AND(LEN($A2695)=4,VALUE(RIGHT($A2695,2))&lt;60),GUS_tabl_2!$A$8:$B$464,GUS_tabl_21!$A$5:$B$4886),2,FALSE)),SUM(FIND("..",TRIM(VLOOKUP(IF(AND(LEN($A2695)=4,VALUE(RIGHT($A2695,2))&gt;60),$A2695&amp;"01 1",$A2695),IF(AND(LEN($A2695)=4,VALUE(RIGHT($A2695,2))&lt;60),GUS_tabl_2!$A$8:$B$464,GUS_tabl_21!$A$5:$B$4886),2,FALSE))),-1)))))</f>
        <v>gm. m.-w. Mikstat</v>
      </c>
      <c r="D2695" s="141">
        <f>IF(OR($A2695="",ISERROR(VALUE(LEFT($A2695,6)))),"",IF(LEN($A2695)=2,SUMIF($A2696:$A$2965,$A2695&amp;"??",$D2696:$D$2965),IF(AND(LEN($A2695)=4,VALUE(RIGHT($A2695,2))&lt;=60),SUMIF($A2696:$A$2965,$A2695&amp;"????",$D2696:$D$2965),VLOOKUP(IF(LEN($A2695)=4,$A2695&amp;"01 1",$A2695),GUS_tabl_21!$A$5:$F$4886,6,FALSE))))</f>
        <v>6046</v>
      </c>
      <c r="E2695" s="29"/>
    </row>
    <row r="2696" spans="1:5" ht="12" customHeight="1">
      <c r="A2696" s="155" t="str">
        <f>"301807 3"</f>
        <v>301807 3</v>
      </c>
      <c r="B2696" s="153" t="s">
        <v>34</v>
      </c>
      <c r="C2696" s="156" t="str">
        <f>IF(OR($A2696="",ISERROR(VALUE(LEFT($A2696,6)))),"",IF(LEN($A2696)=2,"WOJ. ",IF(LEN($A2696)=4,IF(VALUE(RIGHT($A2696,2))&gt;60,"","Powiat "),IF(VALUE(RIGHT($A2696,1))=1,"m. ",IF(VALUE(RIGHT($A2696,1))=2,"gm. w. ",IF(VALUE(RIGHT($A2696,1))=8,"dz. ","gm. m.-w. ")))))&amp;IF(LEN($A2696)=2,TRIM(UPPER(VLOOKUP($A2696,GUS_tabl_1!$A$7:$B$22,2,FALSE))),IF(ISERROR(FIND("..",TRIM(VLOOKUP(IF(AND(LEN($A2696)=4,VALUE(RIGHT($A2696,2))&gt;60),$A2696&amp;"01 1",$A2696),IF(AND(LEN($A2696)=4,VALUE(RIGHT($A2696,2))&lt;60),GUS_tabl_2!$A$8:$B$464,GUS_tabl_21!$A$5:$B$4886),2,FALSE)))),TRIM(VLOOKUP(IF(AND(LEN($A2696)=4,VALUE(RIGHT($A2696,2))&gt;60),$A2696&amp;"01 1",$A2696),IF(AND(LEN($A2696)=4,VALUE(RIGHT($A2696,2))&lt;60),GUS_tabl_2!$A$8:$B$464,GUS_tabl_21!$A$5:$B$4886),2,FALSE)),LEFT(TRIM(VLOOKUP(IF(AND(LEN($A2696)=4,VALUE(RIGHT($A2696,2))&gt;60),$A2696&amp;"01 1",$A2696),IF(AND(LEN($A2696)=4,VALUE(RIGHT($A2696,2))&lt;60),GUS_tabl_2!$A$8:$B$464,GUS_tabl_21!$A$5:$B$4886),2,FALSE)),SUM(FIND("..",TRIM(VLOOKUP(IF(AND(LEN($A2696)=4,VALUE(RIGHT($A2696,2))&gt;60),$A2696&amp;"01 1",$A2696),IF(AND(LEN($A2696)=4,VALUE(RIGHT($A2696,2))&lt;60),GUS_tabl_2!$A$8:$B$464,GUS_tabl_21!$A$5:$B$4886),2,FALSE))),-1)))))</f>
        <v>gm. m.-w. Ostrzeszów</v>
      </c>
      <c r="D2696" s="141">
        <f>IF(OR($A2696="",ISERROR(VALUE(LEFT($A2696,6)))),"",IF(LEN($A2696)=2,SUMIF($A2697:$A$2965,$A2696&amp;"??",$D2697:$D$2965),IF(AND(LEN($A2696)=4,VALUE(RIGHT($A2696,2))&lt;=60),SUMIF($A2697:$A$2965,$A2696&amp;"????",$D2697:$D$2965),VLOOKUP(IF(LEN($A2696)=4,$A2696&amp;"01 1",$A2696),GUS_tabl_21!$A$5:$F$4886,6,FALSE))))</f>
        <v>24004</v>
      </c>
      <c r="E2696" s="29"/>
    </row>
    <row r="2697" spans="1:5" ht="12" customHeight="1">
      <c r="A2697" s="152" t="str">
        <f>"3019"</f>
        <v>3019</v>
      </c>
      <c r="B2697" s="153" t="s">
        <v>34</v>
      </c>
      <c r="C2697" s="154" t="str">
        <f>IF(OR($A2697="",ISERROR(VALUE(LEFT($A2697,6)))),"",IF(LEN($A2697)=2,"WOJ. ",IF(LEN($A2697)=4,IF(VALUE(RIGHT($A2697,2))&gt;60,"","Powiat "),IF(VALUE(RIGHT($A2697,1))=1,"m. ",IF(VALUE(RIGHT($A2697,1))=2,"gm. w. ",IF(VALUE(RIGHT($A2697,1))=8,"dz. ","gm. m.-w. ")))))&amp;IF(LEN($A2697)=2,TRIM(UPPER(VLOOKUP($A2697,GUS_tabl_1!$A$7:$B$22,2,FALSE))),IF(ISERROR(FIND("..",TRIM(VLOOKUP(IF(AND(LEN($A2697)=4,VALUE(RIGHT($A2697,2))&gt;60),$A2697&amp;"01 1",$A2697),IF(AND(LEN($A2697)=4,VALUE(RIGHT($A2697,2))&lt;60),GUS_tabl_2!$A$8:$B$464,GUS_tabl_21!$A$5:$B$4886),2,FALSE)))),TRIM(VLOOKUP(IF(AND(LEN($A2697)=4,VALUE(RIGHT($A2697,2))&gt;60),$A2697&amp;"01 1",$A2697),IF(AND(LEN($A2697)=4,VALUE(RIGHT($A2697,2))&lt;60),GUS_tabl_2!$A$8:$B$464,GUS_tabl_21!$A$5:$B$4886),2,FALSE)),LEFT(TRIM(VLOOKUP(IF(AND(LEN($A2697)=4,VALUE(RIGHT($A2697,2))&gt;60),$A2697&amp;"01 1",$A2697),IF(AND(LEN($A2697)=4,VALUE(RIGHT($A2697,2))&lt;60),GUS_tabl_2!$A$8:$B$464,GUS_tabl_21!$A$5:$B$4886),2,FALSE)),SUM(FIND("..",TRIM(VLOOKUP(IF(AND(LEN($A2697)=4,VALUE(RIGHT($A2697,2))&gt;60),$A2697&amp;"01 1",$A2697),IF(AND(LEN($A2697)=4,VALUE(RIGHT($A2697,2))&lt;60),GUS_tabl_2!$A$8:$B$464,GUS_tabl_21!$A$5:$B$4886),2,FALSE))),-1)))))</f>
        <v>Powiat pilski</v>
      </c>
      <c r="D2697" s="140">
        <f>IF(OR($A2697="",ISERROR(VALUE(LEFT($A2697,6)))),"",IF(LEN($A2697)=2,SUMIF($A2698:$A$2965,$A2697&amp;"??",$D2698:$D$2965),IF(AND(LEN($A2697)=4,VALUE(RIGHT($A2697,2))&lt;=60),SUMIF($A2698:$A$2965,$A2697&amp;"????",$D2698:$D$2965),VLOOKUP(IF(LEN($A2697)=4,$A2697&amp;"01 1",$A2697),GUS_tabl_21!$A$5:$F$4886,6,FALSE))))</f>
        <v>136112</v>
      </c>
      <c r="E2697" s="29"/>
    </row>
    <row r="2698" spans="1:5" ht="12" customHeight="1">
      <c r="A2698" s="155" t="str">
        <f>"301901 1"</f>
        <v>301901 1</v>
      </c>
      <c r="B2698" s="153" t="s">
        <v>34</v>
      </c>
      <c r="C2698" s="156" t="str">
        <f>IF(OR($A2698="",ISERROR(VALUE(LEFT($A2698,6)))),"",IF(LEN($A2698)=2,"WOJ. ",IF(LEN($A2698)=4,IF(VALUE(RIGHT($A2698,2))&gt;60,"","Powiat "),IF(VALUE(RIGHT($A2698,1))=1,"m. ",IF(VALUE(RIGHT($A2698,1))=2,"gm. w. ",IF(VALUE(RIGHT($A2698,1))=8,"dz. ","gm. m.-w. ")))))&amp;IF(LEN($A2698)=2,TRIM(UPPER(VLOOKUP($A2698,GUS_tabl_1!$A$7:$B$22,2,FALSE))),IF(ISERROR(FIND("..",TRIM(VLOOKUP(IF(AND(LEN($A2698)=4,VALUE(RIGHT($A2698,2))&gt;60),$A2698&amp;"01 1",$A2698),IF(AND(LEN($A2698)=4,VALUE(RIGHT($A2698,2))&lt;60),GUS_tabl_2!$A$8:$B$464,GUS_tabl_21!$A$5:$B$4886),2,FALSE)))),TRIM(VLOOKUP(IF(AND(LEN($A2698)=4,VALUE(RIGHT($A2698,2))&gt;60),$A2698&amp;"01 1",$A2698),IF(AND(LEN($A2698)=4,VALUE(RIGHT($A2698,2))&lt;60),GUS_tabl_2!$A$8:$B$464,GUS_tabl_21!$A$5:$B$4886),2,FALSE)),LEFT(TRIM(VLOOKUP(IF(AND(LEN($A2698)=4,VALUE(RIGHT($A2698,2))&gt;60),$A2698&amp;"01 1",$A2698),IF(AND(LEN($A2698)=4,VALUE(RIGHT($A2698,2))&lt;60),GUS_tabl_2!$A$8:$B$464,GUS_tabl_21!$A$5:$B$4886),2,FALSE)),SUM(FIND("..",TRIM(VLOOKUP(IF(AND(LEN($A2698)=4,VALUE(RIGHT($A2698,2))&gt;60),$A2698&amp;"01 1",$A2698),IF(AND(LEN($A2698)=4,VALUE(RIGHT($A2698,2))&lt;60),GUS_tabl_2!$A$8:$B$464,GUS_tabl_21!$A$5:$B$4886),2,FALSE))),-1)))))</f>
        <v>m. Piła</v>
      </c>
      <c r="D2698" s="141">
        <f>IF(OR($A2698="",ISERROR(VALUE(LEFT($A2698,6)))),"",IF(LEN($A2698)=2,SUMIF($A2699:$A$2965,$A2698&amp;"??",$D2699:$D$2965),IF(AND(LEN($A2698)=4,VALUE(RIGHT($A2698,2))&lt;=60),SUMIF($A2699:$A$2965,$A2698&amp;"????",$D2699:$D$2965),VLOOKUP(IF(LEN($A2698)=4,$A2698&amp;"01 1",$A2698),GUS_tabl_21!$A$5:$F$4886,6,FALSE))))</f>
        <v>73139</v>
      </c>
      <c r="E2698" s="29"/>
    </row>
    <row r="2699" spans="1:5" ht="12" customHeight="1">
      <c r="A2699" s="155" t="str">
        <f>"301902 2"</f>
        <v>301902 2</v>
      </c>
      <c r="B2699" s="153" t="s">
        <v>34</v>
      </c>
      <c r="C2699" s="156" t="str">
        <f>IF(OR($A2699="",ISERROR(VALUE(LEFT($A2699,6)))),"",IF(LEN($A2699)=2,"WOJ. ",IF(LEN($A2699)=4,IF(VALUE(RIGHT($A2699,2))&gt;60,"","Powiat "),IF(VALUE(RIGHT($A2699,1))=1,"m. ",IF(VALUE(RIGHT($A2699,1))=2,"gm. w. ",IF(VALUE(RIGHT($A2699,1))=8,"dz. ","gm. m.-w. ")))))&amp;IF(LEN($A2699)=2,TRIM(UPPER(VLOOKUP($A2699,GUS_tabl_1!$A$7:$B$22,2,FALSE))),IF(ISERROR(FIND("..",TRIM(VLOOKUP(IF(AND(LEN($A2699)=4,VALUE(RIGHT($A2699,2))&gt;60),$A2699&amp;"01 1",$A2699),IF(AND(LEN($A2699)=4,VALUE(RIGHT($A2699,2))&lt;60),GUS_tabl_2!$A$8:$B$464,GUS_tabl_21!$A$5:$B$4886),2,FALSE)))),TRIM(VLOOKUP(IF(AND(LEN($A2699)=4,VALUE(RIGHT($A2699,2))&gt;60),$A2699&amp;"01 1",$A2699),IF(AND(LEN($A2699)=4,VALUE(RIGHT($A2699,2))&lt;60),GUS_tabl_2!$A$8:$B$464,GUS_tabl_21!$A$5:$B$4886),2,FALSE)),LEFT(TRIM(VLOOKUP(IF(AND(LEN($A2699)=4,VALUE(RIGHT($A2699,2))&gt;60),$A2699&amp;"01 1",$A2699),IF(AND(LEN($A2699)=4,VALUE(RIGHT($A2699,2))&lt;60),GUS_tabl_2!$A$8:$B$464,GUS_tabl_21!$A$5:$B$4886),2,FALSE)),SUM(FIND("..",TRIM(VLOOKUP(IF(AND(LEN($A2699)=4,VALUE(RIGHT($A2699,2))&gt;60),$A2699&amp;"01 1",$A2699),IF(AND(LEN($A2699)=4,VALUE(RIGHT($A2699,2))&lt;60),GUS_tabl_2!$A$8:$B$464,GUS_tabl_21!$A$5:$B$4886),2,FALSE))),-1)))))</f>
        <v>gm. w. Białośliwie</v>
      </c>
      <c r="D2699" s="141">
        <f>IF(OR($A2699="",ISERROR(VALUE(LEFT($A2699,6)))),"",IF(LEN($A2699)=2,SUMIF($A2700:$A$2965,$A2699&amp;"??",$D2700:$D$2965),IF(AND(LEN($A2699)=4,VALUE(RIGHT($A2699,2))&lt;=60),SUMIF($A2700:$A$2965,$A2699&amp;"????",$D2700:$D$2965),VLOOKUP(IF(LEN($A2699)=4,$A2699&amp;"01 1",$A2699),GUS_tabl_21!$A$5:$F$4886,6,FALSE))))</f>
        <v>4852</v>
      </c>
      <c r="E2699" s="29"/>
    </row>
    <row r="2700" spans="1:5" ht="12" customHeight="1">
      <c r="A2700" s="155" t="str">
        <f>"301903 2"</f>
        <v>301903 2</v>
      </c>
      <c r="B2700" s="153" t="s">
        <v>34</v>
      </c>
      <c r="C2700" s="156" t="str">
        <f>IF(OR($A2700="",ISERROR(VALUE(LEFT($A2700,6)))),"",IF(LEN($A2700)=2,"WOJ. ",IF(LEN($A2700)=4,IF(VALUE(RIGHT($A2700,2))&gt;60,"","Powiat "),IF(VALUE(RIGHT($A2700,1))=1,"m. ",IF(VALUE(RIGHT($A2700,1))=2,"gm. w. ",IF(VALUE(RIGHT($A2700,1))=8,"dz. ","gm. m.-w. ")))))&amp;IF(LEN($A2700)=2,TRIM(UPPER(VLOOKUP($A2700,GUS_tabl_1!$A$7:$B$22,2,FALSE))),IF(ISERROR(FIND("..",TRIM(VLOOKUP(IF(AND(LEN($A2700)=4,VALUE(RIGHT($A2700,2))&gt;60),$A2700&amp;"01 1",$A2700),IF(AND(LEN($A2700)=4,VALUE(RIGHT($A2700,2))&lt;60),GUS_tabl_2!$A$8:$B$464,GUS_tabl_21!$A$5:$B$4886),2,FALSE)))),TRIM(VLOOKUP(IF(AND(LEN($A2700)=4,VALUE(RIGHT($A2700,2))&gt;60),$A2700&amp;"01 1",$A2700),IF(AND(LEN($A2700)=4,VALUE(RIGHT($A2700,2))&lt;60),GUS_tabl_2!$A$8:$B$464,GUS_tabl_21!$A$5:$B$4886),2,FALSE)),LEFT(TRIM(VLOOKUP(IF(AND(LEN($A2700)=4,VALUE(RIGHT($A2700,2))&gt;60),$A2700&amp;"01 1",$A2700),IF(AND(LEN($A2700)=4,VALUE(RIGHT($A2700,2))&lt;60),GUS_tabl_2!$A$8:$B$464,GUS_tabl_21!$A$5:$B$4886),2,FALSE)),SUM(FIND("..",TRIM(VLOOKUP(IF(AND(LEN($A2700)=4,VALUE(RIGHT($A2700,2))&gt;60),$A2700&amp;"01 1",$A2700),IF(AND(LEN($A2700)=4,VALUE(RIGHT($A2700,2))&lt;60),GUS_tabl_2!$A$8:$B$464,GUS_tabl_21!$A$5:$B$4886),2,FALSE))),-1)))))</f>
        <v>gm. w. Kaczory</v>
      </c>
      <c r="D2700" s="141">
        <f>IF(OR($A2700="",ISERROR(VALUE(LEFT($A2700,6)))),"",IF(LEN($A2700)=2,SUMIF($A2701:$A$2965,$A2700&amp;"??",$D2701:$D$2965),IF(AND(LEN($A2700)=4,VALUE(RIGHT($A2700,2))&lt;=60),SUMIF($A2701:$A$2965,$A2700&amp;"????",$D2701:$D$2965),VLOOKUP(IF(LEN($A2700)=4,$A2700&amp;"01 1",$A2700),GUS_tabl_21!$A$5:$F$4886,6,FALSE))))</f>
        <v>7860</v>
      </c>
      <c r="E2700" s="29"/>
    </row>
    <row r="2701" spans="1:5" ht="12" customHeight="1">
      <c r="A2701" s="155" t="str">
        <f>"301904 3"</f>
        <v>301904 3</v>
      </c>
      <c r="B2701" s="153" t="s">
        <v>34</v>
      </c>
      <c r="C2701" s="156" t="str">
        <f>IF(OR($A2701="",ISERROR(VALUE(LEFT($A2701,6)))),"",IF(LEN($A2701)=2,"WOJ. ",IF(LEN($A2701)=4,IF(VALUE(RIGHT($A2701,2))&gt;60,"","Powiat "),IF(VALUE(RIGHT($A2701,1))=1,"m. ",IF(VALUE(RIGHT($A2701,1))=2,"gm. w. ",IF(VALUE(RIGHT($A2701,1))=8,"dz. ","gm. m.-w. ")))))&amp;IF(LEN($A2701)=2,TRIM(UPPER(VLOOKUP($A2701,GUS_tabl_1!$A$7:$B$22,2,FALSE))),IF(ISERROR(FIND("..",TRIM(VLOOKUP(IF(AND(LEN($A2701)=4,VALUE(RIGHT($A2701,2))&gt;60),$A2701&amp;"01 1",$A2701),IF(AND(LEN($A2701)=4,VALUE(RIGHT($A2701,2))&lt;60),GUS_tabl_2!$A$8:$B$464,GUS_tabl_21!$A$5:$B$4886),2,FALSE)))),TRIM(VLOOKUP(IF(AND(LEN($A2701)=4,VALUE(RIGHT($A2701,2))&gt;60),$A2701&amp;"01 1",$A2701),IF(AND(LEN($A2701)=4,VALUE(RIGHT($A2701,2))&lt;60),GUS_tabl_2!$A$8:$B$464,GUS_tabl_21!$A$5:$B$4886),2,FALSE)),LEFT(TRIM(VLOOKUP(IF(AND(LEN($A2701)=4,VALUE(RIGHT($A2701,2))&gt;60),$A2701&amp;"01 1",$A2701),IF(AND(LEN($A2701)=4,VALUE(RIGHT($A2701,2))&lt;60),GUS_tabl_2!$A$8:$B$464,GUS_tabl_21!$A$5:$B$4886),2,FALSE)),SUM(FIND("..",TRIM(VLOOKUP(IF(AND(LEN($A2701)=4,VALUE(RIGHT($A2701,2))&gt;60),$A2701&amp;"01 1",$A2701),IF(AND(LEN($A2701)=4,VALUE(RIGHT($A2701,2))&lt;60),GUS_tabl_2!$A$8:$B$464,GUS_tabl_21!$A$5:$B$4886),2,FALSE))),-1)))))</f>
        <v>gm. m.-w. Łobżenica</v>
      </c>
      <c r="D2701" s="141">
        <f>IF(OR($A2701="",ISERROR(VALUE(LEFT($A2701,6)))),"",IF(LEN($A2701)=2,SUMIF($A2702:$A$2965,$A2701&amp;"??",$D2702:$D$2965),IF(AND(LEN($A2701)=4,VALUE(RIGHT($A2701,2))&lt;=60),SUMIF($A2702:$A$2965,$A2701&amp;"????",$D2702:$D$2965),VLOOKUP(IF(LEN($A2701)=4,$A2701&amp;"01 1",$A2701),GUS_tabl_21!$A$5:$F$4886,6,FALSE))))</f>
        <v>9495</v>
      </c>
      <c r="E2701" s="29"/>
    </row>
    <row r="2702" spans="1:5" ht="12" customHeight="1">
      <c r="A2702" s="155" t="str">
        <f>"301905 2"</f>
        <v>301905 2</v>
      </c>
      <c r="B2702" s="153" t="s">
        <v>34</v>
      </c>
      <c r="C2702" s="156" t="str">
        <f>IF(OR($A2702="",ISERROR(VALUE(LEFT($A2702,6)))),"",IF(LEN($A2702)=2,"WOJ. ",IF(LEN($A2702)=4,IF(VALUE(RIGHT($A2702,2))&gt;60,"","Powiat "),IF(VALUE(RIGHT($A2702,1))=1,"m. ",IF(VALUE(RIGHT($A2702,1))=2,"gm. w. ",IF(VALUE(RIGHT($A2702,1))=8,"dz. ","gm. m.-w. ")))))&amp;IF(LEN($A2702)=2,TRIM(UPPER(VLOOKUP($A2702,GUS_tabl_1!$A$7:$B$22,2,FALSE))),IF(ISERROR(FIND("..",TRIM(VLOOKUP(IF(AND(LEN($A2702)=4,VALUE(RIGHT($A2702,2))&gt;60),$A2702&amp;"01 1",$A2702),IF(AND(LEN($A2702)=4,VALUE(RIGHT($A2702,2))&lt;60),GUS_tabl_2!$A$8:$B$464,GUS_tabl_21!$A$5:$B$4886),2,FALSE)))),TRIM(VLOOKUP(IF(AND(LEN($A2702)=4,VALUE(RIGHT($A2702,2))&gt;60),$A2702&amp;"01 1",$A2702),IF(AND(LEN($A2702)=4,VALUE(RIGHT($A2702,2))&lt;60),GUS_tabl_2!$A$8:$B$464,GUS_tabl_21!$A$5:$B$4886),2,FALSE)),LEFT(TRIM(VLOOKUP(IF(AND(LEN($A2702)=4,VALUE(RIGHT($A2702,2))&gt;60),$A2702&amp;"01 1",$A2702),IF(AND(LEN($A2702)=4,VALUE(RIGHT($A2702,2))&lt;60),GUS_tabl_2!$A$8:$B$464,GUS_tabl_21!$A$5:$B$4886),2,FALSE)),SUM(FIND("..",TRIM(VLOOKUP(IF(AND(LEN($A2702)=4,VALUE(RIGHT($A2702,2))&gt;60),$A2702&amp;"01 1",$A2702),IF(AND(LEN($A2702)=4,VALUE(RIGHT($A2702,2))&lt;60),GUS_tabl_2!$A$8:$B$464,GUS_tabl_21!$A$5:$B$4886),2,FALSE))),-1)))))</f>
        <v>gm. w. Miasteczko Krajeńskie</v>
      </c>
      <c r="D2702" s="141">
        <f>IF(OR($A2702="",ISERROR(VALUE(LEFT($A2702,6)))),"",IF(LEN($A2702)=2,SUMIF($A2703:$A$2965,$A2702&amp;"??",$D2703:$D$2965),IF(AND(LEN($A2702)=4,VALUE(RIGHT($A2702,2))&lt;=60),SUMIF($A2703:$A$2965,$A2702&amp;"????",$D2703:$D$2965),VLOOKUP(IF(LEN($A2702)=4,$A2702&amp;"01 1",$A2702),GUS_tabl_21!$A$5:$F$4886,6,FALSE))))</f>
        <v>3171</v>
      </c>
      <c r="E2702" s="29"/>
    </row>
    <row r="2703" spans="1:5" ht="12" customHeight="1">
      <c r="A2703" s="155" t="str">
        <f>"301906 2"</f>
        <v>301906 2</v>
      </c>
      <c r="B2703" s="153" t="s">
        <v>34</v>
      </c>
      <c r="C2703" s="156" t="str">
        <f>IF(OR($A2703="",ISERROR(VALUE(LEFT($A2703,6)))),"",IF(LEN($A2703)=2,"WOJ. ",IF(LEN($A2703)=4,IF(VALUE(RIGHT($A2703,2))&gt;60,"","Powiat "),IF(VALUE(RIGHT($A2703,1))=1,"m. ",IF(VALUE(RIGHT($A2703,1))=2,"gm. w. ",IF(VALUE(RIGHT($A2703,1))=8,"dz. ","gm. m.-w. ")))))&amp;IF(LEN($A2703)=2,TRIM(UPPER(VLOOKUP($A2703,GUS_tabl_1!$A$7:$B$22,2,FALSE))),IF(ISERROR(FIND("..",TRIM(VLOOKUP(IF(AND(LEN($A2703)=4,VALUE(RIGHT($A2703,2))&gt;60),$A2703&amp;"01 1",$A2703),IF(AND(LEN($A2703)=4,VALUE(RIGHT($A2703,2))&lt;60),GUS_tabl_2!$A$8:$B$464,GUS_tabl_21!$A$5:$B$4886),2,FALSE)))),TRIM(VLOOKUP(IF(AND(LEN($A2703)=4,VALUE(RIGHT($A2703,2))&gt;60),$A2703&amp;"01 1",$A2703),IF(AND(LEN($A2703)=4,VALUE(RIGHT($A2703,2))&lt;60),GUS_tabl_2!$A$8:$B$464,GUS_tabl_21!$A$5:$B$4886),2,FALSE)),LEFT(TRIM(VLOOKUP(IF(AND(LEN($A2703)=4,VALUE(RIGHT($A2703,2))&gt;60),$A2703&amp;"01 1",$A2703),IF(AND(LEN($A2703)=4,VALUE(RIGHT($A2703,2))&lt;60),GUS_tabl_2!$A$8:$B$464,GUS_tabl_21!$A$5:$B$4886),2,FALSE)),SUM(FIND("..",TRIM(VLOOKUP(IF(AND(LEN($A2703)=4,VALUE(RIGHT($A2703,2))&gt;60),$A2703&amp;"01 1",$A2703),IF(AND(LEN($A2703)=4,VALUE(RIGHT($A2703,2))&lt;60),GUS_tabl_2!$A$8:$B$464,GUS_tabl_21!$A$5:$B$4886),2,FALSE))),-1)))))</f>
        <v>gm. w. Szydłowo</v>
      </c>
      <c r="D2703" s="141">
        <f>IF(OR($A2703="",ISERROR(VALUE(LEFT($A2703,6)))),"",IF(LEN($A2703)=2,SUMIF($A2704:$A$2965,$A2703&amp;"??",$D2704:$D$2965),IF(AND(LEN($A2703)=4,VALUE(RIGHT($A2703,2))&lt;=60),SUMIF($A2704:$A$2965,$A2703&amp;"????",$D2704:$D$2965),VLOOKUP(IF(LEN($A2703)=4,$A2703&amp;"01 1",$A2703),GUS_tabl_21!$A$5:$F$4886,6,FALSE))))</f>
        <v>9196</v>
      </c>
      <c r="E2703" s="29"/>
    </row>
    <row r="2704" spans="1:5" ht="12" customHeight="1">
      <c r="A2704" s="155" t="str">
        <f>"301907 3"</f>
        <v>301907 3</v>
      </c>
      <c r="B2704" s="153" t="s">
        <v>34</v>
      </c>
      <c r="C2704" s="156" t="str">
        <f>IF(OR($A2704="",ISERROR(VALUE(LEFT($A2704,6)))),"",IF(LEN($A2704)=2,"WOJ. ",IF(LEN($A2704)=4,IF(VALUE(RIGHT($A2704,2))&gt;60,"","Powiat "),IF(VALUE(RIGHT($A2704,1))=1,"m. ",IF(VALUE(RIGHT($A2704,1))=2,"gm. w. ",IF(VALUE(RIGHT($A2704,1))=8,"dz. ","gm. m.-w. ")))))&amp;IF(LEN($A2704)=2,TRIM(UPPER(VLOOKUP($A2704,GUS_tabl_1!$A$7:$B$22,2,FALSE))),IF(ISERROR(FIND("..",TRIM(VLOOKUP(IF(AND(LEN($A2704)=4,VALUE(RIGHT($A2704,2))&gt;60),$A2704&amp;"01 1",$A2704),IF(AND(LEN($A2704)=4,VALUE(RIGHT($A2704,2))&lt;60),GUS_tabl_2!$A$8:$B$464,GUS_tabl_21!$A$5:$B$4886),2,FALSE)))),TRIM(VLOOKUP(IF(AND(LEN($A2704)=4,VALUE(RIGHT($A2704,2))&gt;60),$A2704&amp;"01 1",$A2704),IF(AND(LEN($A2704)=4,VALUE(RIGHT($A2704,2))&lt;60),GUS_tabl_2!$A$8:$B$464,GUS_tabl_21!$A$5:$B$4886),2,FALSE)),LEFT(TRIM(VLOOKUP(IF(AND(LEN($A2704)=4,VALUE(RIGHT($A2704,2))&gt;60),$A2704&amp;"01 1",$A2704),IF(AND(LEN($A2704)=4,VALUE(RIGHT($A2704,2))&lt;60),GUS_tabl_2!$A$8:$B$464,GUS_tabl_21!$A$5:$B$4886),2,FALSE)),SUM(FIND("..",TRIM(VLOOKUP(IF(AND(LEN($A2704)=4,VALUE(RIGHT($A2704,2))&gt;60),$A2704&amp;"01 1",$A2704),IF(AND(LEN($A2704)=4,VALUE(RIGHT($A2704,2))&lt;60),GUS_tabl_2!$A$8:$B$464,GUS_tabl_21!$A$5:$B$4886),2,FALSE))),-1)))))</f>
        <v>gm. m.-w. Ujście</v>
      </c>
      <c r="D2704" s="141">
        <f>IF(OR($A2704="",ISERROR(VALUE(LEFT($A2704,6)))),"",IF(LEN($A2704)=2,SUMIF($A2705:$A$2965,$A2704&amp;"??",$D2705:$D$2965),IF(AND(LEN($A2704)=4,VALUE(RIGHT($A2704,2))&lt;=60),SUMIF($A2705:$A$2965,$A2704&amp;"????",$D2705:$D$2965),VLOOKUP(IF(LEN($A2704)=4,$A2704&amp;"01 1",$A2704),GUS_tabl_21!$A$5:$F$4886,6,FALSE))))</f>
        <v>7957</v>
      </c>
      <c r="E2704" s="29"/>
    </row>
    <row r="2705" spans="1:5" ht="12" customHeight="1">
      <c r="A2705" s="155" t="str">
        <f>"301908 3"</f>
        <v>301908 3</v>
      </c>
      <c r="B2705" s="153" t="s">
        <v>34</v>
      </c>
      <c r="C2705" s="156" t="str">
        <f>IF(OR($A2705="",ISERROR(VALUE(LEFT($A2705,6)))),"",IF(LEN($A2705)=2,"WOJ. ",IF(LEN($A2705)=4,IF(VALUE(RIGHT($A2705,2))&gt;60,"","Powiat "),IF(VALUE(RIGHT($A2705,1))=1,"m. ",IF(VALUE(RIGHT($A2705,1))=2,"gm. w. ",IF(VALUE(RIGHT($A2705,1))=8,"dz. ","gm. m.-w. ")))))&amp;IF(LEN($A2705)=2,TRIM(UPPER(VLOOKUP($A2705,GUS_tabl_1!$A$7:$B$22,2,FALSE))),IF(ISERROR(FIND("..",TRIM(VLOOKUP(IF(AND(LEN($A2705)=4,VALUE(RIGHT($A2705,2))&gt;60),$A2705&amp;"01 1",$A2705),IF(AND(LEN($A2705)=4,VALUE(RIGHT($A2705,2))&lt;60),GUS_tabl_2!$A$8:$B$464,GUS_tabl_21!$A$5:$B$4886),2,FALSE)))),TRIM(VLOOKUP(IF(AND(LEN($A2705)=4,VALUE(RIGHT($A2705,2))&gt;60),$A2705&amp;"01 1",$A2705),IF(AND(LEN($A2705)=4,VALUE(RIGHT($A2705,2))&lt;60),GUS_tabl_2!$A$8:$B$464,GUS_tabl_21!$A$5:$B$4886),2,FALSE)),LEFT(TRIM(VLOOKUP(IF(AND(LEN($A2705)=4,VALUE(RIGHT($A2705,2))&gt;60),$A2705&amp;"01 1",$A2705),IF(AND(LEN($A2705)=4,VALUE(RIGHT($A2705,2))&lt;60),GUS_tabl_2!$A$8:$B$464,GUS_tabl_21!$A$5:$B$4886),2,FALSE)),SUM(FIND("..",TRIM(VLOOKUP(IF(AND(LEN($A2705)=4,VALUE(RIGHT($A2705,2))&gt;60),$A2705&amp;"01 1",$A2705),IF(AND(LEN($A2705)=4,VALUE(RIGHT($A2705,2))&lt;60),GUS_tabl_2!$A$8:$B$464,GUS_tabl_21!$A$5:$B$4886),2,FALSE))),-1)))))</f>
        <v>gm. m.-w. Wyrzysk</v>
      </c>
      <c r="D2705" s="141">
        <f>IF(OR($A2705="",ISERROR(VALUE(LEFT($A2705,6)))),"",IF(LEN($A2705)=2,SUMIF($A2706:$A$2965,$A2705&amp;"??",$D2706:$D$2965),IF(AND(LEN($A2705)=4,VALUE(RIGHT($A2705,2))&lt;=60),SUMIF($A2706:$A$2965,$A2705&amp;"????",$D2706:$D$2965),VLOOKUP(IF(LEN($A2705)=4,$A2705&amp;"01 1",$A2705),GUS_tabl_21!$A$5:$F$4886,6,FALSE))))</f>
        <v>13926</v>
      </c>
      <c r="E2705" s="29"/>
    </row>
    <row r="2706" spans="1:5" ht="12" customHeight="1">
      <c r="A2706" s="155" t="str">
        <f>"301909 3"</f>
        <v>301909 3</v>
      </c>
      <c r="B2706" s="153" t="s">
        <v>34</v>
      </c>
      <c r="C2706" s="156" t="str">
        <f>IF(OR($A2706="",ISERROR(VALUE(LEFT($A2706,6)))),"",IF(LEN($A2706)=2,"WOJ. ",IF(LEN($A2706)=4,IF(VALUE(RIGHT($A2706,2))&gt;60,"","Powiat "),IF(VALUE(RIGHT($A2706,1))=1,"m. ",IF(VALUE(RIGHT($A2706,1))=2,"gm. w. ",IF(VALUE(RIGHT($A2706,1))=8,"dz. ","gm. m.-w. ")))))&amp;IF(LEN($A2706)=2,TRIM(UPPER(VLOOKUP($A2706,GUS_tabl_1!$A$7:$B$22,2,FALSE))),IF(ISERROR(FIND("..",TRIM(VLOOKUP(IF(AND(LEN($A2706)=4,VALUE(RIGHT($A2706,2))&gt;60),$A2706&amp;"01 1",$A2706),IF(AND(LEN($A2706)=4,VALUE(RIGHT($A2706,2))&lt;60),GUS_tabl_2!$A$8:$B$464,GUS_tabl_21!$A$5:$B$4886),2,FALSE)))),TRIM(VLOOKUP(IF(AND(LEN($A2706)=4,VALUE(RIGHT($A2706,2))&gt;60),$A2706&amp;"01 1",$A2706),IF(AND(LEN($A2706)=4,VALUE(RIGHT($A2706,2))&lt;60),GUS_tabl_2!$A$8:$B$464,GUS_tabl_21!$A$5:$B$4886),2,FALSE)),LEFT(TRIM(VLOOKUP(IF(AND(LEN($A2706)=4,VALUE(RIGHT($A2706,2))&gt;60),$A2706&amp;"01 1",$A2706),IF(AND(LEN($A2706)=4,VALUE(RIGHT($A2706,2))&lt;60),GUS_tabl_2!$A$8:$B$464,GUS_tabl_21!$A$5:$B$4886),2,FALSE)),SUM(FIND("..",TRIM(VLOOKUP(IF(AND(LEN($A2706)=4,VALUE(RIGHT($A2706,2))&gt;60),$A2706&amp;"01 1",$A2706),IF(AND(LEN($A2706)=4,VALUE(RIGHT($A2706,2))&lt;60),GUS_tabl_2!$A$8:$B$464,GUS_tabl_21!$A$5:$B$4886),2,FALSE))),-1)))))</f>
        <v>gm. m.-w. Wysoka</v>
      </c>
      <c r="D2706" s="141">
        <f>IF(OR($A2706="",ISERROR(VALUE(LEFT($A2706,6)))),"",IF(LEN($A2706)=2,SUMIF($A2707:$A$2965,$A2706&amp;"??",$D2707:$D$2965),IF(AND(LEN($A2706)=4,VALUE(RIGHT($A2706,2))&lt;=60),SUMIF($A2707:$A$2965,$A2706&amp;"????",$D2707:$D$2965),VLOOKUP(IF(LEN($A2706)=4,$A2706&amp;"01 1",$A2706),GUS_tabl_21!$A$5:$F$4886,6,FALSE))))</f>
        <v>6516</v>
      </c>
      <c r="E2706" s="29"/>
    </row>
    <row r="2707" spans="1:5" ht="12" customHeight="1">
      <c r="A2707" s="152" t="str">
        <f>"3020"</f>
        <v>3020</v>
      </c>
      <c r="B2707" s="153" t="s">
        <v>34</v>
      </c>
      <c r="C2707" s="154" t="str">
        <f>IF(OR($A2707="",ISERROR(VALUE(LEFT($A2707,6)))),"",IF(LEN($A2707)=2,"WOJ. ",IF(LEN($A2707)=4,IF(VALUE(RIGHT($A2707,2))&gt;60,"","Powiat "),IF(VALUE(RIGHT($A2707,1))=1,"m. ",IF(VALUE(RIGHT($A2707,1))=2,"gm. w. ",IF(VALUE(RIGHT($A2707,1))=8,"dz. ","gm. m.-w. ")))))&amp;IF(LEN($A2707)=2,TRIM(UPPER(VLOOKUP($A2707,GUS_tabl_1!$A$7:$B$22,2,FALSE))),IF(ISERROR(FIND("..",TRIM(VLOOKUP(IF(AND(LEN($A2707)=4,VALUE(RIGHT($A2707,2))&gt;60),$A2707&amp;"01 1",$A2707),IF(AND(LEN($A2707)=4,VALUE(RIGHT($A2707,2))&lt;60),GUS_tabl_2!$A$8:$B$464,GUS_tabl_21!$A$5:$B$4886),2,FALSE)))),TRIM(VLOOKUP(IF(AND(LEN($A2707)=4,VALUE(RIGHT($A2707,2))&gt;60),$A2707&amp;"01 1",$A2707),IF(AND(LEN($A2707)=4,VALUE(RIGHT($A2707,2))&lt;60),GUS_tabl_2!$A$8:$B$464,GUS_tabl_21!$A$5:$B$4886),2,FALSE)),LEFT(TRIM(VLOOKUP(IF(AND(LEN($A2707)=4,VALUE(RIGHT($A2707,2))&gt;60),$A2707&amp;"01 1",$A2707),IF(AND(LEN($A2707)=4,VALUE(RIGHT($A2707,2))&lt;60),GUS_tabl_2!$A$8:$B$464,GUS_tabl_21!$A$5:$B$4886),2,FALSE)),SUM(FIND("..",TRIM(VLOOKUP(IF(AND(LEN($A2707)=4,VALUE(RIGHT($A2707,2))&gt;60),$A2707&amp;"01 1",$A2707),IF(AND(LEN($A2707)=4,VALUE(RIGHT($A2707,2))&lt;60),GUS_tabl_2!$A$8:$B$464,GUS_tabl_21!$A$5:$B$4886),2,FALSE))),-1)))))</f>
        <v>Powiat pleszewski</v>
      </c>
      <c r="D2707" s="140">
        <f>IF(OR($A2707="",ISERROR(VALUE(LEFT($A2707,6)))),"",IF(LEN($A2707)=2,SUMIF($A2708:$A$2965,$A2707&amp;"??",$D2708:$D$2965),IF(AND(LEN($A2707)=4,VALUE(RIGHT($A2707,2))&lt;=60),SUMIF($A2708:$A$2965,$A2707&amp;"????",$D2708:$D$2965),VLOOKUP(IF(LEN($A2707)=4,$A2707&amp;"01 1",$A2707),GUS_tabl_21!$A$5:$F$4886,6,FALSE))))</f>
        <v>63014</v>
      </c>
      <c r="E2707" s="29"/>
    </row>
    <row r="2708" spans="1:5" ht="12" customHeight="1">
      <c r="A2708" s="155" t="str">
        <f>"302001 3"</f>
        <v>302001 3</v>
      </c>
      <c r="B2708" s="153" t="s">
        <v>34</v>
      </c>
      <c r="C2708" s="159" t="str">
        <f>IF(OR($A2708="",ISERROR(VALUE(LEFT($A2708,6)))),"",IF(LEN($A2708)=2,"WOJ. ",IF(LEN($A2708)=4,IF(VALUE(RIGHT($A2708,2))&gt;60,"","Powiat "),IF(VALUE(RIGHT($A2708,1))=1,"m. ",IF(VALUE(RIGHT($A2708,1))=2,"gm. w. ",IF(VALUE(RIGHT($A2708,1))=8,"dz. ","gm. m.-w. ")))))&amp;IF(LEN($A2708)=2,TRIM(UPPER(VLOOKUP($A2708,GUS_tabl_1!$A$7:$B$22,2,FALSE))),IF(ISERROR(FIND("..",TRIM(VLOOKUP(IF(AND(LEN($A2708)=4,VALUE(RIGHT($A2708,2))&gt;60),$A2708&amp;"01 1",$A2708),IF(AND(LEN($A2708)=4,VALUE(RIGHT($A2708,2))&lt;60),GUS_tabl_2!$A$8:$B$464,GUS_tabl_21!$A$5:$B$4886),2,FALSE)))),TRIM(VLOOKUP(IF(AND(LEN($A2708)=4,VALUE(RIGHT($A2708,2))&gt;60),$A2708&amp;"01 1",$A2708),IF(AND(LEN($A2708)=4,VALUE(RIGHT($A2708,2))&lt;60),GUS_tabl_2!$A$8:$B$464,GUS_tabl_21!$A$5:$B$4886),2,FALSE)),LEFT(TRIM(VLOOKUP(IF(AND(LEN($A2708)=4,VALUE(RIGHT($A2708,2))&gt;60),$A2708&amp;"01 1",$A2708),IF(AND(LEN($A2708)=4,VALUE(RIGHT($A2708,2))&lt;60),GUS_tabl_2!$A$8:$B$464,GUS_tabl_21!$A$5:$B$4886),2,FALSE)),SUM(FIND("..",TRIM(VLOOKUP(IF(AND(LEN($A2708)=4,VALUE(RIGHT($A2708,2))&gt;60),$A2708&amp;"01 1",$A2708),IF(AND(LEN($A2708)=4,VALUE(RIGHT($A2708,2))&lt;60),GUS_tabl_2!$A$8:$B$464,GUS_tabl_21!$A$5:$B$4886),2,FALSE))),-1)))))</f>
        <v>gm. m.-w. Chocz</v>
      </c>
      <c r="D2708" s="141">
        <f>IF(OR($A2708="",ISERROR(VALUE(LEFT($A2708,6)))),"",IF(LEN($A2708)=2,SUMIF($A2709:$A$2965,$A2708&amp;"??",$D2709:$D$2965),IF(AND(LEN($A2708)=4,VALUE(RIGHT($A2708,2))&lt;=60),SUMIF($A2709:$A$2965,$A2708&amp;"????",$D2709:$D$2965),VLOOKUP(IF(LEN($A2708)=4,$A2708&amp;"01 1",$A2708),GUS_tabl_21!$A$5:$F$4886,6,FALSE))))</f>
        <v>4753</v>
      </c>
      <c r="E2708" s="29"/>
    </row>
    <row r="2709" spans="1:5" ht="12" customHeight="1">
      <c r="A2709" s="155" t="str">
        <f>"302002 2"</f>
        <v>302002 2</v>
      </c>
      <c r="B2709" s="153" t="s">
        <v>34</v>
      </c>
      <c r="C2709" s="156" t="str">
        <f>IF(OR($A2709="",ISERROR(VALUE(LEFT($A2709,6)))),"",IF(LEN($A2709)=2,"WOJ. ",IF(LEN($A2709)=4,IF(VALUE(RIGHT($A2709,2))&gt;60,"","Powiat "),IF(VALUE(RIGHT($A2709,1))=1,"m. ",IF(VALUE(RIGHT($A2709,1))=2,"gm. w. ",IF(VALUE(RIGHT($A2709,1))=8,"dz. ","gm. m.-w. ")))))&amp;IF(LEN($A2709)=2,TRIM(UPPER(VLOOKUP($A2709,GUS_tabl_1!$A$7:$B$22,2,FALSE))),IF(ISERROR(FIND("..",TRIM(VLOOKUP(IF(AND(LEN($A2709)=4,VALUE(RIGHT($A2709,2))&gt;60),$A2709&amp;"01 1",$A2709),IF(AND(LEN($A2709)=4,VALUE(RIGHT($A2709,2))&lt;60),GUS_tabl_2!$A$8:$B$464,GUS_tabl_21!$A$5:$B$4886),2,FALSE)))),TRIM(VLOOKUP(IF(AND(LEN($A2709)=4,VALUE(RIGHT($A2709,2))&gt;60),$A2709&amp;"01 1",$A2709),IF(AND(LEN($A2709)=4,VALUE(RIGHT($A2709,2))&lt;60),GUS_tabl_2!$A$8:$B$464,GUS_tabl_21!$A$5:$B$4886),2,FALSE)),LEFT(TRIM(VLOOKUP(IF(AND(LEN($A2709)=4,VALUE(RIGHT($A2709,2))&gt;60),$A2709&amp;"01 1",$A2709),IF(AND(LEN($A2709)=4,VALUE(RIGHT($A2709,2))&lt;60),GUS_tabl_2!$A$8:$B$464,GUS_tabl_21!$A$5:$B$4886),2,FALSE)),SUM(FIND("..",TRIM(VLOOKUP(IF(AND(LEN($A2709)=4,VALUE(RIGHT($A2709,2))&gt;60),$A2709&amp;"01 1",$A2709),IF(AND(LEN($A2709)=4,VALUE(RIGHT($A2709,2))&lt;60),GUS_tabl_2!$A$8:$B$464,GUS_tabl_21!$A$5:$B$4886),2,FALSE))),-1)))))</f>
        <v>gm. w. Czermin</v>
      </c>
      <c r="D2709" s="141">
        <f>IF(OR($A2709="",ISERROR(VALUE(LEFT($A2709,6)))),"",IF(LEN($A2709)=2,SUMIF($A2710:$A$2965,$A2709&amp;"??",$D2710:$D$2965),IF(AND(LEN($A2709)=4,VALUE(RIGHT($A2709,2))&lt;=60),SUMIF($A2710:$A$2965,$A2709&amp;"????",$D2710:$D$2965),VLOOKUP(IF(LEN($A2709)=4,$A2709&amp;"01 1",$A2709),GUS_tabl_21!$A$5:$F$4886,6,FALSE))))</f>
        <v>4947</v>
      </c>
      <c r="E2709" s="29"/>
    </row>
    <row r="2710" spans="1:5" ht="12" customHeight="1">
      <c r="A2710" s="155" t="str">
        <f>"302003 3"</f>
        <v>302003 3</v>
      </c>
      <c r="B2710" s="153" t="s">
        <v>34</v>
      </c>
      <c r="C2710" s="159" t="str">
        <f>IF(OR($A2710="",ISERROR(VALUE(LEFT($A2710,6)))),"",IF(LEN($A2710)=2,"WOJ. ",IF(LEN($A2710)=4,IF(VALUE(RIGHT($A2710,2))&gt;60,"","Powiat "),IF(VALUE(RIGHT($A2710,1))=1,"m. ",IF(VALUE(RIGHT($A2710,1))=2,"gm. w. ",IF(VALUE(RIGHT($A2710,1))=8,"dz. ","gm. m.-w. ")))))&amp;IF(LEN($A2710)=2,TRIM(UPPER(VLOOKUP($A2710,GUS_tabl_1!$A$7:$B$22,2,FALSE))),IF(ISERROR(FIND("..",TRIM(VLOOKUP(IF(AND(LEN($A2710)=4,VALUE(RIGHT($A2710,2))&gt;60),$A2710&amp;"01 1",$A2710),IF(AND(LEN($A2710)=4,VALUE(RIGHT($A2710,2))&lt;60),GUS_tabl_2!$A$8:$B$464,GUS_tabl_21!$A$5:$B$4886),2,FALSE)))),TRIM(VLOOKUP(IF(AND(LEN($A2710)=4,VALUE(RIGHT($A2710,2))&gt;60),$A2710&amp;"01 1",$A2710),IF(AND(LEN($A2710)=4,VALUE(RIGHT($A2710,2))&lt;60),GUS_tabl_2!$A$8:$B$464,GUS_tabl_21!$A$5:$B$4886),2,FALSE)),LEFT(TRIM(VLOOKUP(IF(AND(LEN($A2710)=4,VALUE(RIGHT($A2710,2))&gt;60),$A2710&amp;"01 1",$A2710),IF(AND(LEN($A2710)=4,VALUE(RIGHT($A2710,2))&lt;60),GUS_tabl_2!$A$8:$B$464,GUS_tabl_21!$A$5:$B$4886),2,FALSE)),SUM(FIND("..",TRIM(VLOOKUP(IF(AND(LEN($A2710)=4,VALUE(RIGHT($A2710,2))&gt;60),$A2710&amp;"01 1",$A2710),IF(AND(LEN($A2710)=4,VALUE(RIGHT($A2710,2))&lt;60),GUS_tabl_2!$A$8:$B$464,GUS_tabl_21!$A$5:$B$4886),2,FALSE))),-1)))))</f>
        <v>gm. m.-w. Dobrzyca</v>
      </c>
      <c r="D2710" s="141">
        <f>IF(OR($A2710="",ISERROR(VALUE(LEFT($A2710,6)))),"",IF(LEN($A2710)=2,SUMIF($A2711:$A$2965,$A2710&amp;"??",$D2711:$D$2965),IF(AND(LEN($A2710)=4,VALUE(RIGHT($A2710,2))&lt;=60),SUMIF($A2711:$A$2965,$A2710&amp;"????",$D2711:$D$2965),VLOOKUP(IF(LEN($A2710)=4,$A2710&amp;"01 1",$A2710),GUS_tabl_21!$A$5:$F$4886,6,FALSE))))</f>
        <v>8128</v>
      </c>
      <c r="E2710" s="29"/>
    </row>
    <row r="2711" spans="1:5" ht="12" customHeight="1">
      <c r="A2711" s="155" t="str">
        <f>"302004 2"</f>
        <v>302004 2</v>
      </c>
      <c r="B2711" s="153" t="s">
        <v>34</v>
      </c>
      <c r="C2711" s="156" t="str">
        <f>IF(OR($A2711="",ISERROR(VALUE(LEFT($A2711,6)))),"",IF(LEN($A2711)=2,"WOJ. ",IF(LEN($A2711)=4,IF(VALUE(RIGHT($A2711,2))&gt;60,"","Powiat "),IF(VALUE(RIGHT($A2711,1))=1,"m. ",IF(VALUE(RIGHT($A2711,1))=2,"gm. w. ",IF(VALUE(RIGHT($A2711,1))=8,"dz. ","gm. m.-w. ")))))&amp;IF(LEN($A2711)=2,TRIM(UPPER(VLOOKUP($A2711,GUS_tabl_1!$A$7:$B$22,2,FALSE))),IF(ISERROR(FIND("..",TRIM(VLOOKUP(IF(AND(LEN($A2711)=4,VALUE(RIGHT($A2711,2))&gt;60),$A2711&amp;"01 1",$A2711),IF(AND(LEN($A2711)=4,VALUE(RIGHT($A2711,2))&lt;60),GUS_tabl_2!$A$8:$B$464,GUS_tabl_21!$A$5:$B$4886),2,FALSE)))),TRIM(VLOOKUP(IF(AND(LEN($A2711)=4,VALUE(RIGHT($A2711,2))&gt;60),$A2711&amp;"01 1",$A2711),IF(AND(LEN($A2711)=4,VALUE(RIGHT($A2711,2))&lt;60),GUS_tabl_2!$A$8:$B$464,GUS_tabl_21!$A$5:$B$4886),2,FALSE)),LEFT(TRIM(VLOOKUP(IF(AND(LEN($A2711)=4,VALUE(RIGHT($A2711,2))&gt;60),$A2711&amp;"01 1",$A2711),IF(AND(LEN($A2711)=4,VALUE(RIGHT($A2711,2))&lt;60),GUS_tabl_2!$A$8:$B$464,GUS_tabl_21!$A$5:$B$4886),2,FALSE)),SUM(FIND("..",TRIM(VLOOKUP(IF(AND(LEN($A2711)=4,VALUE(RIGHT($A2711,2))&gt;60),$A2711&amp;"01 1",$A2711),IF(AND(LEN($A2711)=4,VALUE(RIGHT($A2711,2))&lt;60),GUS_tabl_2!$A$8:$B$464,GUS_tabl_21!$A$5:$B$4886),2,FALSE))),-1)))))</f>
        <v>gm. w. Gizałki</v>
      </c>
      <c r="D2711" s="141">
        <f>IF(OR($A2711="",ISERROR(VALUE(LEFT($A2711,6)))),"",IF(LEN($A2711)=2,SUMIF($A2712:$A$2965,$A2711&amp;"??",$D2712:$D$2965),IF(AND(LEN($A2711)=4,VALUE(RIGHT($A2711,2))&lt;=60),SUMIF($A2712:$A$2965,$A2711&amp;"????",$D2712:$D$2965),VLOOKUP(IF(LEN($A2711)=4,$A2711&amp;"01 1",$A2711),GUS_tabl_21!$A$5:$F$4886,6,FALSE))))</f>
        <v>4602</v>
      </c>
      <c r="E2711" s="29"/>
    </row>
    <row r="2712" spans="1:5" ht="12" customHeight="1">
      <c r="A2712" s="155" t="str">
        <f>"302005 2"</f>
        <v>302005 2</v>
      </c>
      <c r="B2712" s="153" t="s">
        <v>34</v>
      </c>
      <c r="C2712" s="156" t="str">
        <f>IF(OR($A2712="",ISERROR(VALUE(LEFT($A2712,6)))),"",IF(LEN($A2712)=2,"WOJ. ",IF(LEN($A2712)=4,IF(VALUE(RIGHT($A2712,2))&gt;60,"","Powiat "),IF(VALUE(RIGHT($A2712,1))=1,"m. ",IF(VALUE(RIGHT($A2712,1))=2,"gm. w. ",IF(VALUE(RIGHT($A2712,1))=8,"dz. ","gm. m.-w. ")))))&amp;IF(LEN($A2712)=2,TRIM(UPPER(VLOOKUP($A2712,GUS_tabl_1!$A$7:$B$22,2,FALSE))),IF(ISERROR(FIND("..",TRIM(VLOOKUP(IF(AND(LEN($A2712)=4,VALUE(RIGHT($A2712,2))&gt;60),$A2712&amp;"01 1",$A2712),IF(AND(LEN($A2712)=4,VALUE(RIGHT($A2712,2))&lt;60),GUS_tabl_2!$A$8:$B$464,GUS_tabl_21!$A$5:$B$4886),2,FALSE)))),TRIM(VLOOKUP(IF(AND(LEN($A2712)=4,VALUE(RIGHT($A2712,2))&gt;60),$A2712&amp;"01 1",$A2712),IF(AND(LEN($A2712)=4,VALUE(RIGHT($A2712,2))&lt;60),GUS_tabl_2!$A$8:$B$464,GUS_tabl_21!$A$5:$B$4886),2,FALSE)),LEFT(TRIM(VLOOKUP(IF(AND(LEN($A2712)=4,VALUE(RIGHT($A2712,2))&gt;60),$A2712&amp;"01 1",$A2712),IF(AND(LEN($A2712)=4,VALUE(RIGHT($A2712,2))&lt;60),GUS_tabl_2!$A$8:$B$464,GUS_tabl_21!$A$5:$B$4886),2,FALSE)),SUM(FIND("..",TRIM(VLOOKUP(IF(AND(LEN($A2712)=4,VALUE(RIGHT($A2712,2))&gt;60),$A2712&amp;"01 1",$A2712),IF(AND(LEN($A2712)=4,VALUE(RIGHT($A2712,2))&lt;60),GUS_tabl_2!$A$8:$B$464,GUS_tabl_21!$A$5:$B$4886),2,FALSE))),-1)))))</f>
        <v>gm. w. Gołuchów</v>
      </c>
      <c r="D2712" s="141">
        <f>IF(OR($A2712="",ISERROR(VALUE(LEFT($A2712,6)))),"",IF(LEN($A2712)=2,SUMIF($A2713:$A$2965,$A2712&amp;"??",$D2713:$D$2965),IF(AND(LEN($A2712)=4,VALUE(RIGHT($A2712,2))&lt;=60),SUMIF($A2713:$A$2965,$A2712&amp;"????",$D2713:$D$2965),VLOOKUP(IF(LEN($A2712)=4,$A2712&amp;"01 1",$A2712),GUS_tabl_21!$A$5:$F$4886,6,FALSE))))</f>
        <v>10777</v>
      </c>
      <c r="E2712" s="29"/>
    </row>
    <row r="2713" spans="1:5" ht="12" customHeight="1">
      <c r="A2713" s="155" t="str">
        <f>"302006 3"</f>
        <v>302006 3</v>
      </c>
      <c r="B2713" s="153" t="s">
        <v>34</v>
      </c>
      <c r="C2713" s="156" t="str">
        <f>IF(OR($A2713="",ISERROR(VALUE(LEFT($A2713,6)))),"",IF(LEN($A2713)=2,"WOJ. ",IF(LEN($A2713)=4,IF(VALUE(RIGHT($A2713,2))&gt;60,"","Powiat "),IF(VALUE(RIGHT($A2713,1))=1,"m. ",IF(VALUE(RIGHT($A2713,1))=2,"gm. w. ",IF(VALUE(RIGHT($A2713,1))=8,"dz. ","gm. m.-w. ")))))&amp;IF(LEN($A2713)=2,TRIM(UPPER(VLOOKUP($A2713,GUS_tabl_1!$A$7:$B$22,2,FALSE))),IF(ISERROR(FIND("..",TRIM(VLOOKUP(IF(AND(LEN($A2713)=4,VALUE(RIGHT($A2713,2))&gt;60),$A2713&amp;"01 1",$A2713),IF(AND(LEN($A2713)=4,VALUE(RIGHT($A2713,2))&lt;60),GUS_tabl_2!$A$8:$B$464,GUS_tabl_21!$A$5:$B$4886),2,FALSE)))),TRIM(VLOOKUP(IF(AND(LEN($A2713)=4,VALUE(RIGHT($A2713,2))&gt;60),$A2713&amp;"01 1",$A2713),IF(AND(LEN($A2713)=4,VALUE(RIGHT($A2713,2))&lt;60),GUS_tabl_2!$A$8:$B$464,GUS_tabl_21!$A$5:$B$4886),2,FALSE)),LEFT(TRIM(VLOOKUP(IF(AND(LEN($A2713)=4,VALUE(RIGHT($A2713,2))&gt;60),$A2713&amp;"01 1",$A2713),IF(AND(LEN($A2713)=4,VALUE(RIGHT($A2713,2))&lt;60),GUS_tabl_2!$A$8:$B$464,GUS_tabl_21!$A$5:$B$4886),2,FALSE)),SUM(FIND("..",TRIM(VLOOKUP(IF(AND(LEN($A2713)=4,VALUE(RIGHT($A2713,2))&gt;60),$A2713&amp;"01 1",$A2713),IF(AND(LEN($A2713)=4,VALUE(RIGHT($A2713,2))&lt;60),GUS_tabl_2!$A$8:$B$464,GUS_tabl_21!$A$5:$B$4886),2,FALSE))),-1)))))</f>
        <v>gm. m.-w. Pleszew</v>
      </c>
      <c r="D2713" s="141">
        <f>IF(OR($A2713="",ISERROR(VALUE(LEFT($A2713,6)))),"",IF(LEN($A2713)=2,SUMIF($A2714:$A$2965,$A2713&amp;"??",$D2714:$D$2965),IF(AND(LEN($A2713)=4,VALUE(RIGHT($A2713,2))&lt;=60),SUMIF($A2714:$A$2965,$A2713&amp;"????",$D2714:$D$2965),VLOOKUP(IF(LEN($A2713)=4,$A2713&amp;"01 1",$A2713),GUS_tabl_21!$A$5:$F$4886,6,FALSE))))</f>
        <v>29807</v>
      </c>
      <c r="E2713" s="29"/>
    </row>
    <row r="2714" spans="1:5" ht="12" customHeight="1">
      <c r="A2714" s="152" t="str">
        <f>"3021"</f>
        <v>3021</v>
      </c>
      <c r="B2714" s="153" t="s">
        <v>34</v>
      </c>
      <c r="C2714" s="154" t="str">
        <f>IF(OR($A2714="",ISERROR(VALUE(LEFT($A2714,6)))),"",IF(LEN($A2714)=2,"WOJ. ",IF(LEN($A2714)=4,IF(VALUE(RIGHT($A2714,2))&gt;60,"","Powiat "),IF(VALUE(RIGHT($A2714,1))=1,"m. ",IF(VALUE(RIGHT($A2714,1))=2,"gm. w. ",IF(VALUE(RIGHT($A2714,1))=8,"dz. ","gm. m.-w. ")))))&amp;IF(LEN($A2714)=2,TRIM(UPPER(VLOOKUP($A2714,GUS_tabl_1!$A$7:$B$22,2,FALSE))),IF(ISERROR(FIND("..",TRIM(VLOOKUP(IF(AND(LEN($A2714)=4,VALUE(RIGHT($A2714,2))&gt;60),$A2714&amp;"01 1",$A2714),IF(AND(LEN($A2714)=4,VALUE(RIGHT($A2714,2))&lt;60),GUS_tabl_2!$A$8:$B$464,GUS_tabl_21!$A$5:$B$4886),2,FALSE)))),TRIM(VLOOKUP(IF(AND(LEN($A2714)=4,VALUE(RIGHT($A2714,2))&gt;60),$A2714&amp;"01 1",$A2714),IF(AND(LEN($A2714)=4,VALUE(RIGHT($A2714,2))&lt;60),GUS_tabl_2!$A$8:$B$464,GUS_tabl_21!$A$5:$B$4886),2,FALSE)),LEFT(TRIM(VLOOKUP(IF(AND(LEN($A2714)=4,VALUE(RIGHT($A2714,2))&gt;60),$A2714&amp;"01 1",$A2714),IF(AND(LEN($A2714)=4,VALUE(RIGHT($A2714,2))&lt;60),GUS_tabl_2!$A$8:$B$464,GUS_tabl_21!$A$5:$B$4886),2,FALSE)),SUM(FIND("..",TRIM(VLOOKUP(IF(AND(LEN($A2714)=4,VALUE(RIGHT($A2714,2))&gt;60),$A2714&amp;"01 1",$A2714),IF(AND(LEN($A2714)=4,VALUE(RIGHT($A2714,2))&lt;60),GUS_tabl_2!$A$8:$B$464,GUS_tabl_21!$A$5:$B$4886),2,FALSE))),-1)))))</f>
        <v>Powiat poznański</v>
      </c>
      <c r="D2714" s="140">
        <f>IF(OR($A2714="",ISERROR(VALUE(LEFT($A2714,6)))),"",IF(LEN($A2714)=2,SUMIF($A2715:$A$2965,$A2714&amp;"??",$D2715:$D$2965),IF(AND(LEN($A2714)=4,VALUE(RIGHT($A2714,2))&lt;=60),SUMIF($A2715:$A$2965,$A2714&amp;"????",$D2715:$D$2965),VLOOKUP(IF(LEN($A2714)=4,$A2714&amp;"01 1",$A2714),GUS_tabl_21!$A$5:$F$4886,6,FALSE))))</f>
        <v>399272</v>
      </c>
      <c r="E2714" s="29"/>
    </row>
    <row r="2715" spans="1:5" ht="12" customHeight="1">
      <c r="A2715" s="155" t="str">
        <f>"302101 1"</f>
        <v>302101 1</v>
      </c>
      <c r="B2715" s="153" t="s">
        <v>34</v>
      </c>
      <c r="C2715" s="156" t="str">
        <f>IF(OR($A2715="",ISERROR(VALUE(LEFT($A2715,6)))),"",IF(LEN($A2715)=2,"WOJ. ",IF(LEN($A2715)=4,IF(VALUE(RIGHT($A2715,2))&gt;60,"","Powiat "),IF(VALUE(RIGHT($A2715,1))=1,"m. ",IF(VALUE(RIGHT($A2715,1))=2,"gm. w. ",IF(VALUE(RIGHT($A2715,1))=8,"dz. ","gm. m.-w. ")))))&amp;IF(LEN($A2715)=2,TRIM(UPPER(VLOOKUP($A2715,GUS_tabl_1!$A$7:$B$22,2,FALSE))),IF(ISERROR(FIND("..",TRIM(VLOOKUP(IF(AND(LEN($A2715)=4,VALUE(RIGHT($A2715,2))&gt;60),$A2715&amp;"01 1",$A2715),IF(AND(LEN($A2715)=4,VALUE(RIGHT($A2715,2))&lt;60),GUS_tabl_2!$A$8:$B$464,GUS_tabl_21!$A$5:$B$4886),2,FALSE)))),TRIM(VLOOKUP(IF(AND(LEN($A2715)=4,VALUE(RIGHT($A2715,2))&gt;60),$A2715&amp;"01 1",$A2715),IF(AND(LEN($A2715)=4,VALUE(RIGHT($A2715,2))&lt;60),GUS_tabl_2!$A$8:$B$464,GUS_tabl_21!$A$5:$B$4886),2,FALSE)),LEFT(TRIM(VLOOKUP(IF(AND(LEN($A2715)=4,VALUE(RIGHT($A2715,2))&gt;60),$A2715&amp;"01 1",$A2715),IF(AND(LEN($A2715)=4,VALUE(RIGHT($A2715,2))&lt;60),GUS_tabl_2!$A$8:$B$464,GUS_tabl_21!$A$5:$B$4886),2,FALSE)),SUM(FIND("..",TRIM(VLOOKUP(IF(AND(LEN($A2715)=4,VALUE(RIGHT($A2715,2))&gt;60),$A2715&amp;"01 1",$A2715),IF(AND(LEN($A2715)=4,VALUE(RIGHT($A2715,2))&lt;60),GUS_tabl_2!$A$8:$B$464,GUS_tabl_21!$A$5:$B$4886),2,FALSE))),-1)))))</f>
        <v>m. Luboń</v>
      </c>
      <c r="D2715" s="141">
        <f>IF(OR($A2715="",ISERROR(VALUE(LEFT($A2715,6)))),"",IF(LEN($A2715)=2,SUMIF($A2716:$A$2965,$A2715&amp;"??",$D2716:$D$2965),IF(AND(LEN($A2715)=4,VALUE(RIGHT($A2715,2))&lt;=60),SUMIF($A2716:$A$2965,$A2715&amp;"????",$D2716:$D$2965),VLOOKUP(IF(LEN($A2715)=4,$A2715&amp;"01 1",$A2715),GUS_tabl_21!$A$5:$F$4886,6,FALSE))))</f>
        <v>31941</v>
      </c>
      <c r="E2715" s="29"/>
    </row>
    <row r="2716" spans="1:5" ht="12" customHeight="1">
      <c r="A2716" s="155" t="str">
        <f>"302102 1"</f>
        <v>302102 1</v>
      </c>
      <c r="B2716" s="153" t="s">
        <v>34</v>
      </c>
      <c r="C2716" s="156" t="str">
        <f>IF(OR($A2716="",ISERROR(VALUE(LEFT($A2716,6)))),"",IF(LEN($A2716)=2,"WOJ. ",IF(LEN($A2716)=4,IF(VALUE(RIGHT($A2716,2))&gt;60,"","Powiat "),IF(VALUE(RIGHT($A2716,1))=1,"m. ",IF(VALUE(RIGHT($A2716,1))=2,"gm. w. ",IF(VALUE(RIGHT($A2716,1))=8,"dz. ","gm. m.-w. ")))))&amp;IF(LEN($A2716)=2,TRIM(UPPER(VLOOKUP($A2716,GUS_tabl_1!$A$7:$B$22,2,FALSE))),IF(ISERROR(FIND("..",TRIM(VLOOKUP(IF(AND(LEN($A2716)=4,VALUE(RIGHT($A2716,2))&gt;60),$A2716&amp;"01 1",$A2716),IF(AND(LEN($A2716)=4,VALUE(RIGHT($A2716,2))&lt;60),GUS_tabl_2!$A$8:$B$464,GUS_tabl_21!$A$5:$B$4886),2,FALSE)))),TRIM(VLOOKUP(IF(AND(LEN($A2716)=4,VALUE(RIGHT($A2716,2))&gt;60),$A2716&amp;"01 1",$A2716),IF(AND(LEN($A2716)=4,VALUE(RIGHT($A2716,2))&lt;60),GUS_tabl_2!$A$8:$B$464,GUS_tabl_21!$A$5:$B$4886),2,FALSE)),LEFT(TRIM(VLOOKUP(IF(AND(LEN($A2716)=4,VALUE(RIGHT($A2716,2))&gt;60),$A2716&amp;"01 1",$A2716),IF(AND(LEN($A2716)=4,VALUE(RIGHT($A2716,2))&lt;60),GUS_tabl_2!$A$8:$B$464,GUS_tabl_21!$A$5:$B$4886),2,FALSE)),SUM(FIND("..",TRIM(VLOOKUP(IF(AND(LEN($A2716)=4,VALUE(RIGHT($A2716,2))&gt;60),$A2716&amp;"01 1",$A2716),IF(AND(LEN($A2716)=4,VALUE(RIGHT($A2716,2))&lt;60),GUS_tabl_2!$A$8:$B$464,GUS_tabl_21!$A$5:$B$4886),2,FALSE))),-1)))))</f>
        <v>m. Puszczykowo</v>
      </c>
      <c r="D2716" s="141">
        <f>IF(OR($A2716="",ISERROR(VALUE(LEFT($A2716,6)))),"",IF(LEN($A2716)=2,SUMIF($A2717:$A$2965,$A2716&amp;"??",$D2717:$D$2965),IF(AND(LEN($A2716)=4,VALUE(RIGHT($A2716,2))&lt;=60),SUMIF($A2717:$A$2965,$A2716&amp;"????",$D2717:$D$2965),VLOOKUP(IF(LEN($A2716)=4,$A2716&amp;"01 1",$A2716),GUS_tabl_21!$A$5:$F$4886,6,FALSE))))</f>
        <v>9657</v>
      </c>
      <c r="E2716" s="29"/>
    </row>
    <row r="2717" spans="1:5" ht="12" customHeight="1">
      <c r="A2717" s="155" t="str">
        <f>"302103 3"</f>
        <v>302103 3</v>
      </c>
      <c r="B2717" s="153" t="s">
        <v>34</v>
      </c>
      <c r="C2717" s="156" t="str">
        <f>IF(OR($A2717="",ISERROR(VALUE(LEFT($A2717,6)))),"",IF(LEN($A2717)=2,"WOJ. ",IF(LEN($A2717)=4,IF(VALUE(RIGHT($A2717,2))&gt;60,"","Powiat "),IF(VALUE(RIGHT($A2717,1))=1,"m. ",IF(VALUE(RIGHT($A2717,1))=2,"gm. w. ",IF(VALUE(RIGHT($A2717,1))=8,"dz. ","gm. m.-w. ")))))&amp;IF(LEN($A2717)=2,TRIM(UPPER(VLOOKUP($A2717,GUS_tabl_1!$A$7:$B$22,2,FALSE))),IF(ISERROR(FIND("..",TRIM(VLOOKUP(IF(AND(LEN($A2717)=4,VALUE(RIGHT($A2717,2))&gt;60),$A2717&amp;"01 1",$A2717),IF(AND(LEN($A2717)=4,VALUE(RIGHT($A2717,2))&lt;60),GUS_tabl_2!$A$8:$B$464,GUS_tabl_21!$A$5:$B$4886),2,FALSE)))),TRIM(VLOOKUP(IF(AND(LEN($A2717)=4,VALUE(RIGHT($A2717,2))&gt;60),$A2717&amp;"01 1",$A2717),IF(AND(LEN($A2717)=4,VALUE(RIGHT($A2717,2))&lt;60),GUS_tabl_2!$A$8:$B$464,GUS_tabl_21!$A$5:$B$4886),2,FALSE)),LEFT(TRIM(VLOOKUP(IF(AND(LEN($A2717)=4,VALUE(RIGHT($A2717,2))&gt;60),$A2717&amp;"01 1",$A2717),IF(AND(LEN($A2717)=4,VALUE(RIGHT($A2717,2))&lt;60),GUS_tabl_2!$A$8:$B$464,GUS_tabl_21!$A$5:$B$4886),2,FALSE)),SUM(FIND("..",TRIM(VLOOKUP(IF(AND(LEN($A2717)=4,VALUE(RIGHT($A2717,2))&gt;60),$A2717&amp;"01 1",$A2717),IF(AND(LEN($A2717)=4,VALUE(RIGHT($A2717,2))&lt;60),GUS_tabl_2!$A$8:$B$464,GUS_tabl_21!$A$5:$B$4886),2,FALSE))),-1)))))</f>
        <v>gm. m.-w. Buk</v>
      </c>
      <c r="D2717" s="141">
        <f>IF(OR($A2717="",ISERROR(VALUE(LEFT($A2717,6)))),"",IF(LEN($A2717)=2,SUMIF($A2718:$A$2965,$A2717&amp;"??",$D2718:$D$2965),IF(AND(LEN($A2717)=4,VALUE(RIGHT($A2717,2))&lt;=60),SUMIF($A2718:$A$2965,$A2717&amp;"????",$D2718:$D$2965),VLOOKUP(IF(LEN($A2717)=4,$A2717&amp;"01 1",$A2717),GUS_tabl_21!$A$5:$F$4886,6,FALSE))))</f>
        <v>12610</v>
      </c>
      <c r="E2717" s="29"/>
    </row>
    <row r="2718" spans="1:5" ht="12" customHeight="1">
      <c r="A2718" s="155" t="str">
        <f>"302104 2"</f>
        <v>302104 2</v>
      </c>
      <c r="B2718" s="153" t="s">
        <v>34</v>
      </c>
      <c r="C2718" s="156" t="str">
        <f>IF(OR($A2718="",ISERROR(VALUE(LEFT($A2718,6)))),"",IF(LEN($A2718)=2,"WOJ. ",IF(LEN($A2718)=4,IF(VALUE(RIGHT($A2718,2))&gt;60,"","Powiat "),IF(VALUE(RIGHT($A2718,1))=1,"m. ",IF(VALUE(RIGHT($A2718,1))=2,"gm. w. ",IF(VALUE(RIGHT($A2718,1))=8,"dz. ","gm. m.-w. ")))))&amp;IF(LEN($A2718)=2,TRIM(UPPER(VLOOKUP($A2718,GUS_tabl_1!$A$7:$B$22,2,FALSE))),IF(ISERROR(FIND("..",TRIM(VLOOKUP(IF(AND(LEN($A2718)=4,VALUE(RIGHT($A2718,2))&gt;60),$A2718&amp;"01 1",$A2718),IF(AND(LEN($A2718)=4,VALUE(RIGHT($A2718,2))&lt;60),GUS_tabl_2!$A$8:$B$464,GUS_tabl_21!$A$5:$B$4886),2,FALSE)))),TRIM(VLOOKUP(IF(AND(LEN($A2718)=4,VALUE(RIGHT($A2718,2))&gt;60),$A2718&amp;"01 1",$A2718),IF(AND(LEN($A2718)=4,VALUE(RIGHT($A2718,2))&lt;60),GUS_tabl_2!$A$8:$B$464,GUS_tabl_21!$A$5:$B$4886),2,FALSE)),LEFT(TRIM(VLOOKUP(IF(AND(LEN($A2718)=4,VALUE(RIGHT($A2718,2))&gt;60),$A2718&amp;"01 1",$A2718),IF(AND(LEN($A2718)=4,VALUE(RIGHT($A2718,2))&lt;60),GUS_tabl_2!$A$8:$B$464,GUS_tabl_21!$A$5:$B$4886),2,FALSE)),SUM(FIND("..",TRIM(VLOOKUP(IF(AND(LEN($A2718)=4,VALUE(RIGHT($A2718,2))&gt;60),$A2718&amp;"01 1",$A2718),IF(AND(LEN($A2718)=4,VALUE(RIGHT($A2718,2))&lt;60),GUS_tabl_2!$A$8:$B$464,GUS_tabl_21!$A$5:$B$4886),2,FALSE))),-1)))))</f>
        <v>gm. w. Czerwonak</v>
      </c>
      <c r="D2718" s="141">
        <f>IF(OR($A2718="",ISERROR(VALUE(LEFT($A2718,6)))),"",IF(LEN($A2718)=2,SUMIF($A2719:$A$2965,$A2718&amp;"??",$D2719:$D$2965),IF(AND(LEN($A2718)=4,VALUE(RIGHT($A2718,2))&lt;=60),SUMIF($A2719:$A$2965,$A2718&amp;"????",$D2719:$D$2965),VLOOKUP(IF(LEN($A2718)=4,$A2718&amp;"01 1",$A2718),GUS_tabl_21!$A$5:$F$4886,6,FALSE))))</f>
        <v>27617</v>
      </c>
      <c r="E2718" s="29"/>
    </row>
    <row r="2719" spans="1:5" ht="12" customHeight="1">
      <c r="A2719" s="155" t="str">
        <f>"302105 2"</f>
        <v>302105 2</v>
      </c>
      <c r="B2719" s="153" t="s">
        <v>34</v>
      </c>
      <c r="C2719" s="156" t="str">
        <f>IF(OR($A2719="",ISERROR(VALUE(LEFT($A2719,6)))),"",IF(LEN($A2719)=2,"WOJ. ",IF(LEN($A2719)=4,IF(VALUE(RIGHT($A2719,2))&gt;60,"","Powiat "),IF(VALUE(RIGHT($A2719,1))=1,"m. ",IF(VALUE(RIGHT($A2719,1))=2,"gm. w. ",IF(VALUE(RIGHT($A2719,1))=8,"dz. ","gm. m.-w. ")))))&amp;IF(LEN($A2719)=2,TRIM(UPPER(VLOOKUP($A2719,GUS_tabl_1!$A$7:$B$22,2,FALSE))),IF(ISERROR(FIND("..",TRIM(VLOOKUP(IF(AND(LEN($A2719)=4,VALUE(RIGHT($A2719,2))&gt;60),$A2719&amp;"01 1",$A2719),IF(AND(LEN($A2719)=4,VALUE(RIGHT($A2719,2))&lt;60),GUS_tabl_2!$A$8:$B$464,GUS_tabl_21!$A$5:$B$4886),2,FALSE)))),TRIM(VLOOKUP(IF(AND(LEN($A2719)=4,VALUE(RIGHT($A2719,2))&gt;60),$A2719&amp;"01 1",$A2719),IF(AND(LEN($A2719)=4,VALUE(RIGHT($A2719,2))&lt;60),GUS_tabl_2!$A$8:$B$464,GUS_tabl_21!$A$5:$B$4886),2,FALSE)),LEFT(TRIM(VLOOKUP(IF(AND(LEN($A2719)=4,VALUE(RIGHT($A2719,2))&gt;60),$A2719&amp;"01 1",$A2719),IF(AND(LEN($A2719)=4,VALUE(RIGHT($A2719,2))&lt;60),GUS_tabl_2!$A$8:$B$464,GUS_tabl_21!$A$5:$B$4886),2,FALSE)),SUM(FIND("..",TRIM(VLOOKUP(IF(AND(LEN($A2719)=4,VALUE(RIGHT($A2719,2))&gt;60),$A2719&amp;"01 1",$A2719),IF(AND(LEN($A2719)=4,VALUE(RIGHT($A2719,2))&lt;60),GUS_tabl_2!$A$8:$B$464,GUS_tabl_21!$A$5:$B$4886),2,FALSE))),-1)))))</f>
        <v>gm. w. Dopiewo</v>
      </c>
      <c r="D2719" s="141">
        <f>IF(OR($A2719="",ISERROR(VALUE(LEFT($A2719,6)))),"",IF(LEN($A2719)=2,SUMIF($A2720:$A$2965,$A2719&amp;"??",$D2720:$D$2965),IF(AND(LEN($A2719)=4,VALUE(RIGHT($A2719,2))&lt;=60),SUMIF($A2720:$A$2965,$A2719&amp;"????",$D2720:$D$2965),VLOOKUP(IF(LEN($A2719)=4,$A2719&amp;"01 1",$A2719),GUS_tabl_21!$A$5:$F$4886,6,FALSE))))</f>
        <v>28138</v>
      </c>
      <c r="E2719" s="29"/>
    </row>
    <row r="2720" spans="1:5" ht="12" customHeight="1">
      <c r="A2720" s="155" t="str">
        <f>"302106 2"</f>
        <v>302106 2</v>
      </c>
      <c r="B2720" s="153" t="s">
        <v>34</v>
      </c>
      <c r="C2720" s="156" t="str">
        <f>IF(OR($A2720="",ISERROR(VALUE(LEFT($A2720,6)))),"",IF(LEN($A2720)=2,"WOJ. ",IF(LEN($A2720)=4,IF(VALUE(RIGHT($A2720,2))&gt;60,"","Powiat "),IF(VALUE(RIGHT($A2720,1))=1,"m. ",IF(VALUE(RIGHT($A2720,1))=2,"gm. w. ",IF(VALUE(RIGHT($A2720,1))=8,"dz. ","gm. m.-w. ")))))&amp;IF(LEN($A2720)=2,TRIM(UPPER(VLOOKUP($A2720,GUS_tabl_1!$A$7:$B$22,2,FALSE))),IF(ISERROR(FIND("..",TRIM(VLOOKUP(IF(AND(LEN($A2720)=4,VALUE(RIGHT($A2720,2))&gt;60),$A2720&amp;"01 1",$A2720),IF(AND(LEN($A2720)=4,VALUE(RIGHT($A2720,2))&lt;60),GUS_tabl_2!$A$8:$B$464,GUS_tabl_21!$A$5:$B$4886),2,FALSE)))),TRIM(VLOOKUP(IF(AND(LEN($A2720)=4,VALUE(RIGHT($A2720,2))&gt;60),$A2720&amp;"01 1",$A2720),IF(AND(LEN($A2720)=4,VALUE(RIGHT($A2720,2))&lt;60),GUS_tabl_2!$A$8:$B$464,GUS_tabl_21!$A$5:$B$4886),2,FALSE)),LEFT(TRIM(VLOOKUP(IF(AND(LEN($A2720)=4,VALUE(RIGHT($A2720,2))&gt;60),$A2720&amp;"01 1",$A2720),IF(AND(LEN($A2720)=4,VALUE(RIGHT($A2720,2))&lt;60),GUS_tabl_2!$A$8:$B$464,GUS_tabl_21!$A$5:$B$4886),2,FALSE)),SUM(FIND("..",TRIM(VLOOKUP(IF(AND(LEN($A2720)=4,VALUE(RIGHT($A2720,2))&gt;60),$A2720&amp;"01 1",$A2720),IF(AND(LEN($A2720)=4,VALUE(RIGHT($A2720,2))&lt;60),GUS_tabl_2!$A$8:$B$464,GUS_tabl_21!$A$5:$B$4886),2,FALSE))),-1)))))</f>
        <v>gm. w. Kleszczewo</v>
      </c>
      <c r="D2720" s="141">
        <f>IF(OR($A2720="",ISERROR(VALUE(LEFT($A2720,6)))),"",IF(LEN($A2720)=2,SUMIF($A2721:$A$2965,$A2720&amp;"??",$D2721:$D$2965),IF(AND(LEN($A2720)=4,VALUE(RIGHT($A2720,2))&lt;=60),SUMIF($A2721:$A$2965,$A2720&amp;"????",$D2721:$D$2965),VLOOKUP(IF(LEN($A2720)=4,$A2720&amp;"01 1",$A2720),GUS_tabl_21!$A$5:$F$4886,6,FALSE))))</f>
        <v>8868</v>
      </c>
      <c r="E2720" s="29"/>
    </row>
    <row r="2721" spans="1:5" ht="12" customHeight="1">
      <c r="A2721" s="155" t="str">
        <f>"302107 2"</f>
        <v>302107 2</v>
      </c>
      <c r="B2721" s="153" t="s">
        <v>34</v>
      </c>
      <c r="C2721" s="156" t="str">
        <f>IF(OR($A2721="",ISERROR(VALUE(LEFT($A2721,6)))),"",IF(LEN($A2721)=2,"WOJ. ",IF(LEN($A2721)=4,IF(VALUE(RIGHT($A2721,2))&gt;60,"","Powiat "),IF(VALUE(RIGHT($A2721,1))=1,"m. ",IF(VALUE(RIGHT($A2721,1))=2,"gm. w. ",IF(VALUE(RIGHT($A2721,1))=8,"dz. ","gm. m.-w. ")))))&amp;IF(LEN($A2721)=2,TRIM(UPPER(VLOOKUP($A2721,GUS_tabl_1!$A$7:$B$22,2,FALSE))),IF(ISERROR(FIND("..",TRIM(VLOOKUP(IF(AND(LEN($A2721)=4,VALUE(RIGHT($A2721,2))&gt;60),$A2721&amp;"01 1",$A2721),IF(AND(LEN($A2721)=4,VALUE(RIGHT($A2721,2))&lt;60),GUS_tabl_2!$A$8:$B$464,GUS_tabl_21!$A$5:$B$4886),2,FALSE)))),TRIM(VLOOKUP(IF(AND(LEN($A2721)=4,VALUE(RIGHT($A2721,2))&gt;60),$A2721&amp;"01 1",$A2721),IF(AND(LEN($A2721)=4,VALUE(RIGHT($A2721,2))&lt;60),GUS_tabl_2!$A$8:$B$464,GUS_tabl_21!$A$5:$B$4886),2,FALSE)),LEFT(TRIM(VLOOKUP(IF(AND(LEN($A2721)=4,VALUE(RIGHT($A2721,2))&gt;60),$A2721&amp;"01 1",$A2721),IF(AND(LEN($A2721)=4,VALUE(RIGHT($A2721,2))&lt;60),GUS_tabl_2!$A$8:$B$464,GUS_tabl_21!$A$5:$B$4886),2,FALSE)),SUM(FIND("..",TRIM(VLOOKUP(IF(AND(LEN($A2721)=4,VALUE(RIGHT($A2721,2))&gt;60),$A2721&amp;"01 1",$A2721),IF(AND(LEN($A2721)=4,VALUE(RIGHT($A2721,2))&lt;60),GUS_tabl_2!$A$8:$B$464,GUS_tabl_21!$A$5:$B$4886),2,FALSE))),-1)))))</f>
        <v>gm. w. Komorniki</v>
      </c>
      <c r="D2721" s="141">
        <f>IF(OR($A2721="",ISERROR(VALUE(LEFT($A2721,6)))),"",IF(LEN($A2721)=2,SUMIF($A2722:$A$2965,$A2721&amp;"??",$D2722:$D$2965),IF(AND(LEN($A2721)=4,VALUE(RIGHT($A2721,2))&lt;=60),SUMIF($A2722:$A$2965,$A2721&amp;"????",$D2722:$D$2965),VLOOKUP(IF(LEN($A2721)=4,$A2721&amp;"01 1",$A2721),GUS_tabl_21!$A$5:$F$4886,6,FALSE))))</f>
        <v>30620</v>
      </c>
      <c r="E2721" s="29"/>
    </row>
    <row r="2722" spans="1:5" ht="12" customHeight="1">
      <c r="A2722" s="155" t="str">
        <f>"302108 3"</f>
        <v>302108 3</v>
      </c>
      <c r="B2722" s="153" t="s">
        <v>34</v>
      </c>
      <c r="C2722" s="156" t="str">
        <f>IF(OR($A2722="",ISERROR(VALUE(LEFT($A2722,6)))),"",IF(LEN($A2722)=2,"WOJ. ",IF(LEN($A2722)=4,IF(VALUE(RIGHT($A2722,2))&gt;60,"","Powiat "),IF(VALUE(RIGHT($A2722,1))=1,"m. ",IF(VALUE(RIGHT($A2722,1))=2,"gm. w. ",IF(VALUE(RIGHT($A2722,1))=8,"dz. ","gm. m.-w. ")))))&amp;IF(LEN($A2722)=2,TRIM(UPPER(VLOOKUP($A2722,GUS_tabl_1!$A$7:$B$22,2,FALSE))),IF(ISERROR(FIND("..",TRIM(VLOOKUP(IF(AND(LEN($A2722)=4,VALUE(RIGHT($A2722,2))&gt;60),$A2722&amp;"01 1",$A2722),IF(AND(LEN($A2722)=4,VALUE(RIGHT($A2722,2))&lt;60),GUS_tabl_2!$A$8:$B$464,GUS_tabl_21!$A$5:$B$4886),2,FALSE)))),TRIM(VLOOKUP(IF(AND(LEN($A2722)=4,VALUE(RIGHT($A2722,2))&gt;60),$A2722&amp;"01 1",$A2722),IF(AND(LEN($A2722)=4,VALUE(RIGHT($A2722,2))&lt;60),GUS_tabl_2!$A$8:$B$464,GUS_tabl_21!$A$5:$B$4886),2,FALSE)),LEFT(TRIM(VLOOKUP(IF(AND(LEN($A2722)=4,VALUE(RIGHT($A2722,2))&gt;60),$A2722&amp;"01 1",$A2722),IF(AND(LEN($A2722)=4,VALUE(RIGHT($A2722,2))&lt;60),GUS_tabl_2!$A$8:$B$464,GUS_tabl_21!$A$5:$B$4886),2,FALSE)),SUM(FIND("..",TRIM(VLOOKUP(IF(AND(LEN($A2722)=4,VALUE(RIGHT($A2722,2))&gt;60),$A2722&amp;"01 1",$A2722),IF(AND(LEN($A2722)=4,VALUE(RIGHT($A2722,2))&lt;60),GUS_tabl_2!$A$8:$B$464,GUS_tabl_21!$A$5:$B$4886),2,FALSE))),-1)))))</f>
        <v>gm. m.-w. Kostrzyn</v>
      </c>
      <c r="D2722" s="141">
        <f>IF(OR($A2722="",ISERROR(VALUE(LEFT($A2722,6)))),"",IF(LEN($A2722)=2,SUMIF($A2723:$A$2965,$A2722&amp;"??",$D2723:$D$2965),IF(AND(LEN($A2722)=4,VALUE(RIGHT($A2722,2))&lt;=60),SUMIF($A2723:$A$2965,$A2722&amp;"????",$D2723:$D$2965),VLOOKUP(IF(LEN($A2722)=4,$A2722&amp;"01 1",$A2722),GUS_tabl_21!$A$5:$F$4886,6,FALSE))))</f>
        <v>18491</v>
      </c>
      <c r="E2722" s="29"/>
    </row>
    <row r="2723" spans="1:5" ht="12" customHeight="1">
      <c r="A2723" s="155" t="str">
        <f>"302109 3"</f>
        <v>302109 3</v>
      </c>
      <c r="B2723" s="153" t="s">
        <v>34</v>
      </c>
      <c r="C2723" s="156" t="str">
        <f>IF(OR($A2723="",ISERROR(VALUE(LEFT($A2723,6)))),"",IF(LEN($A2723)=2,"WOJ. ",IF(LEN($A2723)=4,IF(VALUE(RIGHT($A2723,2))&gt;60,"","Powiat "),IF(VALUE(RIGHT($A2723,1))=1,"m. ",IF(VALUE(RIGHT($A2723,1))=2,"gm. w. ",IF(VALUE(RIGHT($A2723,1))=8,"dz. ","gm. m.-w. ")))))&amp;IF(LEN($A2723)=2,TRIM(UPPER(VLOOKUP($A2723,GUS_tabl_1!$A$7:$B$22,2,FALSE))),IF(ISERROR(FIND("..",TRIM(VLOOKUP(IF(AND(LEN($A2723)=4,VALUE(RIGHT($A2723,2))&gt;60),$A2723&amp;"01 1",$A2723),IF(AND(LEN($A2723)=4,VALUE(RIGHT($A2723,2))&lt;60),GUS_tabl_2!$A$8:$B$464,GUS_tabl_21!$A$5:$B$4886),2,FALSE)))),TRIM(VLOOKUP(IF(AND(LEN($A2723)=4,VALUE(RIGHT($A2723,2))&gt;60),$A2723&amp;"01 1",$A2723),IF(AND(LEN($A2723)=4,VALUE(RIGHT($A2723,2))&lt;60),GUS_tabl_2!$A$8:$B$464,GUS_tabl_21!$A$5:$B$4886),2,FALSE)),LEFT(TRIM(VLOOKUP(IF(AND(LEN($A2723)=4,VALUE(RIGHT($A2723,2))&gt;60),$A2723&amp;"01 1",$A2723),IF(AND(LEN($A2723)=4,VALUE(RIGHT($A2723,2))&lt;60),GUS_tabl_2!$A$8:$B$464,GUS_tabl_21!$A$5:$B$4886),2,FALSE)),SUM(FIND("..",TRIM(VLOOKUP(IF(AND(LEN($A2723)=4,VALUE(RIGHT($A2723,2))&gt;60),$A2723&amp;"01 1",$A2723),IF(AND(LEN($A2723)=4,VALUE(RIGHT($A2723,2))&lt;60),GUS_tabl_2!$A$8:$B$464,GUS_tabl_21!$A$5:$B$4886),2,FALSE))),-1)))))</f>
        <v>gm. m.-w. Kórnik</v>
      </c>
      <c r="D2723" s="141">
        <f>IF(OR($A2723="",ISERROR(VALUE(LEFT($A2723,6)))),"",IF(LEN($A2723)=2,SUMIF($A2724:$A$2965,$A2723&amp;"??",$D2724:$D$2965),IF(AND(LEN($A2723)=4,VALUE(RIGHT($A2723,2))&lt;=60),SUMIF($A2724:$A$2965,$A2723&amp;"????",$D2724:$D$2965),VLOOKUP(IF(LEN($A2723)=4,$A2723&amp;"01 1",$A2723),GUS_tabl_21!$A$5:$F$4886,6,FALSE))))</f>
        <v>29787</v>
      </c>
      <c r="E2723" s="29"/>
    </row>
    <row r="2724" spans="1:5" ht="12" customHeight="1">
      <c r="A2724" s="155" t="str">
        <f>"302110 3"</f>
        <v>302110 3</v>
      </c>
      <c r="B2724" s="153" t="s">
        <v>34</v>
      </c>
      <c r="C2724" s="156" t="str">
        <f>IF(OR($A2724="",ISERROR(VALUE(LEFT($A2724,6)))),"",IF(LEN($A2724)=2,"WOJ. ",IF(LEN($A2724)=4,IF(VALUE(RIGHT($A2724,2))&gt;60,"","Powiat "),IF(VALUE(RIGHT($A2724,1))=1,"m. ",IF(VALUE(RIGHT($A2724,1))=2,"gm. w. ",IF(VALUE(RIGHT($A2724,1))=8,"dz. ","gm. m.-w. ")))))&amp;IF(LEN($A2724)=2,TRIM(UPPER(VLOOKUP($A2724,GUS_tabl_1!$A$7:$B$22,2,FALSE))),IF(ISERROR(FIND("..",TRIM(VLOOKUP(IF(AND(LEN($A2724)=4,VALUE(RIGHT($A2724,2))&gt;60),$A2724&amp;"01 1",$A2724),IF(AND(LEN($A2724)=4,VALUE(RIGHT($A2724,2))&lt;60),GUS_tabl_2!$A$8:$B$464,GUS_tabl_21!$A$5:$B$4886),2,FALSE)))),TRIM(VLOOKUP(IF(AND(LEN($A2724)=4,VALUE(RIGHT($A2724,2))&gt;60),$A2724&amp;"01 1",$A2724),IF(AND(LEN($A2724)=4,VALUE(RIGHT($A2724,2))&lt;60),GUS_tabl_2!$A$8:$B$464,GUS_tabl_21!$A$5:$B$4886),2,FALSE)),LEFT(TRIM(VLOOKUP(IF(AND(LEN($A2724)=4,VALUE(RIGHT($A2724,2))&gt;60),$A2724&amp;"01 1",$A2724),IF(AND(LEN($A2724)=4,VALUE(RIGHT($A2724,2))&lt;60),GUS_tabl_2!$A$8:$B$464,GUS_tabl_21!$A$5:$B$4886),2,FALSE)),SUM(FIND("..",TRIM(VLOOKUP(IF(AND(LEN($A2724)=4,VALUE(RIGHT($A2724,2))&gt;60),$A2724&amp;"01 1",$A2724),IF(AND(LEN($A2724)=4,VALUE(RIGHT($A2724,2))&lt;60),GUS_tabl_2!$A$8:$B$464,GUS_tabl_21!$A$5:$B$4886),2,FALSE))),-1)))))</f>
        <v>gm. m.-w. Mosina</v>
      </c>
      <c r="D2724" s="141">
        <f>IF(OR($A2724="",ISERROR(VALUE(LEFT($A2724,6)))),"",IF(LEN($A2724)=2,SUMIF($A2725:$A$2965,$A2724&amp;"??",$D2725:$D$2965),IF(AND(LEN($A2724)=4,VALUE(RIGHT($A2724,2))&lt;=60),SUMIF($A2725:$A$2965,$A2724&amp;"????",$D2725:$D$2965),VLOOKUP(IF(LEN($A2724)=4,$A2724&amp;"01 1",$A2724),GUS_tabl_21!$A$5:$F$4886,6,FALSE))))</f>
        <v>33442</v>
      </c>
      <c r="E2724" s="29"/>
    </row>
    <row r="2725" spans="1:5" ht="12" customHeight="1">
      <c r="A2725" s="155" t="str">
        <f>"302111 3"</f>
        <v>302111 3</v>
      </c>
      <c r="B2725" s="153" t="s">
        <v>34</v>
      </c>
      <c r="C2725" s="156" t="str">
        <f>IF(OR($A2725="",ISERROR(VALUE(LEFT($A2725,6)))),"",IF(LEN($A2725)=2,"WOJ. ",IF(LEN($A2725)=4,IF(VALUE(RIGHT($A2725,2))&gt;60,"","Powiat "),IF(VALUE(RIGHT($A2725,1))=1,"m. ",IF(VALUE(RIGHT($A2725,1))=2,"gm. w. ",IF(VALUE(RIGHT($A2725,1))=8,"dz. ","gm. m.-w. ")))))&amp;IF(LEN($A2725)=2,TRIM(UPPER(VLOOKUP($A2725,GUS_tabl_1!$A$7:$B$22,2,FALSE))),IF(ISERROR(FIND("..",TRIM(VLOOKUP(IF(AND(LEN($A2725)=4,VALUE(RIGHT($A2725,2))&gt;60),$A2725&amp;"01 1",$A2725),IF(AND(LEN($A2725)=4,VALUE(RIGHT($A2725,2))&lt;60),GUS_tabl_2!$A$8:$B$464,GUS_tabl_21!$A$5:$B$4886),2,FALSE)))),TRIM(VLOOKUP(IF(AND(LEN($A2725)=4,VALUE(RIGHT($A2725,2))&gt;60),$A2725&amp;"01 1",$A2725),IF(AND(LEN($A2725)=4,VALUE(RIGHT($A2725,2))&lt;60),GUS_tabl_2!$A$8:$B$464,GUS_tabl_21!$A$5:$B$4886),2,FALSE)),LEFT(TRIM(VLOOKUP(IF(AND(LEN($A2725)=4,VALUE(RIGHT($A2725,2))&gt;60),$A2725&amp;"01 1",$A2725),IF(AND(LEN($A2725)=4,VALUE(RIGHT($A2725,2))&lt;60),GUS_tabl_2!$A$8:$B$464,GUS_tabl_21!$A$5:$B$4886),2,FALSE)),SUM(FIND("..",TRIM(VLOOKUP(IF(AND(LEN($A2725)=4,VALUE(RIGHT($A2725,2))&gt;60),$A2725&amp;"01 1",$A2725),IF(AND(LEN($A2725)=4,VALUE(RIGHT($A2725,2))&lt;60),GUS_tabl_2!$A$8:$B$464,GUS_tabl_21!$A$5:$B$4886),2,FALSE))),-1)))))</f>
        <v>gm. m.-w. Murowana Goślina</v>
      </c>
      <c r="D2725" s="141">
        <f>IF(OR($A2725="",ISERROR(VALUE(LEFT($A2725,6)))),"",IF(LEN($A2725)=2,SUMIF($A2726:$A$2965,$A2725&amp;"??",$D2726:$D$2965),IF(AND(LEN($A2725)=4,VALUE(RIGHT($A2725,2))&lt;=60),SUMIF($A2726:$A$2965,$A2725&amp;"????",$D2726:$D$2965),VLOOKUP(IF(LEN($A2725)=4,$A2725&amp;"01 1",$A2725),GUS_tabl_21!$A$5:$F$4886,6,FALSE))))</f>
        <v>16901</v>
      </c>
      <c r="E2725" s="29"/>
    </row>
    <row r="2726" spans="1:5" ht="12" customHeight="1">
      <c r="A2726" s="155" t="str">
        <f>"302112 3"</f>
        <v>302112 3</v>
      </c>
      <c r="B2726" s="153" t="s">
        <v>34</v>
      </c>
      <c r="C2726" s="156" t="str">
        <f>IF(OR($A2726="",ISERROR(VALUE(LEFT($A2726,6)))),"",IF(LEN($A2726)=2,"WOJ. ",IF(LEN($A2726)=4,IF(VALUE(RIGHT($A2726,2))&gt;60,"","Powiat "),IF(VALUE(RIGHT($A2726,1))=1,"m. ",IF(VALUE(RIGHT($A2726,1))=2,"gm. w. ",IF(VALUE(RIGHT($A2726,1))=8,"dz. ","gm. m.-w. ")))))&amp;IF(LEN($A2726)=2,TRIM(UPPER(VLOOKUP($A2726,GUS_tabl_1!$A$7:$B$22,2,FALSE))),IF(ISERROR(FIND("..",TRIM(VLOOKUP(IF(AND(LEN($A2726)=4,VALUE(RIGHT($A2726,2))&gt;60),$A2726&amp;"01 1",$A2726),IF(AND(LEN($A2726)=4,VALUE(RIGHT($A2726,2))&lt;60),GUS_tabl_2!$A$8:$B$464,GUS_tabl_21!$A$5:$B$4886),2,FALSE)))),TRIM(VLOOKUP(IF(AND(LEN($A2726)=4,VALUE(RIGHT($A2726,2))&gt;60),$A2726&amp;"01 1",$A2726),IF(AND(LEN($A2726)=4,VALUE(RIGHT($A2726,2))&lt;60),GUS_tabl_2!$A$8:$B$464,GUS_tabl_21!$A$5:$B$4886),2,FALSE)),LEFT(TRIM(VLOOKUP(IF(AND(LEN($A2726)=4,VALUE(RIGHT($A2726,2))&gt;60),$A2726&amp;"01 1",$A2726),IF(AND(LEN($A2726)=4,VALUE(RIGHT($A2726,2))&lt;60),GUS_tabl_2!$A$8:$B$464,GUS_tabl_21!$A$5:$B$4886),2,FALSE)),SUM(FIND("..",TRIM(VLOOKUP(IF(AND(LEN($A2726)=4,VALUE(RIGHT($A2726,2))&gt;60),$A2726&amp;"01 1",$A2726),IF(AND(LEN($A2726)=4,VALUE(RIGHT($A2726,2))&lt;60),GUS_tabl_2!$A$8:$B$464,GUS_tabl_21!$A$5:$B$4886),2,FALSE))),-1)))))</f>
        <v>gm. m.-w. Pobiedziska</v>
      </c>
      <c r="D2726" s="141">
        <f>IF(OR($A2726="",ISERROR(VALUE(LEFT($A2726,6)))),"",IF(LEN($A2726)=2,SUMIF($A2727:$A$2965,$A2726&amp;"??",$D2727:$D$2965),IF(AND(LEN($A2726)=4,VALUE(RIGHT($A2726,2))&lt;=60),SUMIF($A2727:$A$2965,$A2726&amp;"????",$D2727:$D$2965),VLOOKUP(IF(LEN($A2726)=4,$A2726&amp;"01 1",$A2726),GUS_tabl_21!$A$5:$F$4886,6,FALSE))))</f>
        <v>19741</v>
      </c>
      <c r="E2726" s="29"/>
    </row>
    <row r="2727" spans="1:5" ht="12" customHeight="1">
      <c r="A2727" s="155" t="str">
        <f>"302113 2"</f>
        <v>302113 2</v>
      </c>
      <c r="B2727" s="153" t="s">
        <v>34</v>
      </c>
      <c r="C2727" s="156" t="str">
        <f>IF(OR($A2727="",ISERROR(VALUE(LEFT($A2727,6)))),"",IF(LEN($A2727)=2,"WOJ. ",IF(LEN($A2727)=4,IF(VALUE(RIGHT($A2727,2))&gt;60,"","Powiat "),IF(VALUE(RIGHT($A2727,1))=1,"m. ",IF(VALUE(RIGHT($A2727,1))=2,"gm. w. ",IF(VALUE(RIGHT($A2727,1))=8,"dz. ","gm. m.-w. ")))))&amp;IF(LEN($A2727)=2,TRIM(UPPER(VLOOKUP($A2727,GUS_tabl_1!$A$7:$B$22,2,FALSE))),IF(ISERROR(FIND("..",TRIM(VLOOKUP(IF(AND(LEN($A2727)=4,VALUE(RIGHT($A2727,2))&gt;60),$A2727&amp;"01 1",$A2727),IF(AND(LEN($A2727)=4,VALUE(RIGHT($A2727,2))&lt;60),GUS_tabl_2!$A$8:$B$464,GUS_tabl_21!$A$5:$B$4886),2,FALSE)))),TRIM(VLOOKUP(IF(AND(LEN($A2727)=4,VALUE(RIGHT($A2727,2))&gt;60),$A2727&amp;"01 1",$A2727),IF(AND(LEN($A2727)=4,VALUE(RIGHT($A2727,2))&lt;60),GUS_tabl_2!$A$8:$B$464,GUS_tabl_21!$A$5:$B$4886),2,FALSE)),LEFT(TRIM(VLOOKUP(IF(AND(LEN($A2727)=4,VALUE(RIGHT($A2727,2))&gt;60),$A2727&amp;"01 1",$A2727),IF(AND(LEN($A2727)=4,VALUE(RIGHT($A2727,2))&lt;60),GUS_tabl_2!$A$8:$B$464,GUS_tabl_21!$A$5:$B$4886),2,FALSE)),SUM(FIND("..",TRIM(VLOOKUP(IF(AND(LEN($A2727)=4,VALUE(RIGHT($A2727,2))&gt;60),$A2727&amp;"01 1",$A2727),IF(AND(LEN($A2727)=4,VALUE(RIGHT($A2727,2))&lt;60),GUS_tabl_2!$A$8:$B$464,GUS_tabl_21!$A$5:$B$4886),2,FALSE))),-1)))))</f>
        <v>gm. w. Rokietnica</v>
      </c>
      <c r="D2727" s="141">
        <f>IF(OR($A2727="",ISERROR(VALUE(LEFT($A2727,6)))),"",IF(LEN($A2727)=2,SUMIF($A2728:$A$2965,$A2727&amp;"??",$D2728:$D$2965),IF(AND(LEN($A2727)=4,VALUE(RIGHT($A2727,2))&lt;=60),SUMIF($A2728:$A$2965,$A2727&amp;"????",$D2728:$D$2965),VLOOKUP(IF(LEN($A2727)=4,$A2727&amp;"01 1",$A2727),GUS_tabl_21!$A$5:$F$4886,6,FALSE))))</f>
        <v>18637</v>
      </c>
      <c r="E2727" s="29"/>
    </row>
    <row r="2728" spans="1:5" ht="12" customHeight="1">
      <c r="A2728" s="155" t="str">
        <f>"302114 3"</f>
        <v>302114 3</v>
      </c>
      <c r="B2728" s="153" t="s">
        <v>34</v>
      </c>
      <c r="C2728" s="156" t="str">
        <f>IF(OR($A2728="",ISERROR(VALUE(LEFT($A2728,6)))),"",IF(LEN($A2728)=2,"WOJ. ",IF(LEN($A2728)=4,IF(VALUE(RIGHT($A2728,2))&gt;60,"","Powiat "),IF(VALUE(RIGHT($A2728,1))=1,"m. ",IF(VALUE(RIGHT($A2728,1))=2,"gm. w. ",IF(VALUE(RIGHT($A2728,1))=8,"dz. ","gm. m.-w. ")))))&amp;IF(LEN($A2728)=2,TRIM(UPPER(VLOOKUP($A2728,GUS_tabl_1!$A$7:$B$22,2,FALSE))),IF(ISERROR(FIND("..",TRIM(VLOOKUP(IF(AND(LEN($A2728)=4,VALUE(RIGHT($A2728,2))&gt;60),$A2728&amp;"01 1",$A2728),IF(AND(LEN($A2728)=4,VALUE(RIGHT($A2728,2))&lt;60),GUS_tabl_2!$A$8:$B$464,GUS_tabl_21!$A$5:$B$4886),2,FALSE)))),TRIM(VLOOKUP(IF(AND(LEN($A2728)=4,VALUE(RIGHT($A2728,2))&gt;60),$A2728&amp;"01 1",$A2728),IF(AND(LEN($A2728)=4,VALUE(RIGHT($A2728,2))&lt;60),GUS_tabl_2!$A$8:$B$464,GUS_tabl_21!$A$5:$B$4886),2,FALSE)),LEFT(TRIM(VLOOKUP(IF(AND(LEN($A2728)=4,VALUE(RIGHT($A2728,2))&gt;60),$A2728&amp;"01 1",$A2728),IF(AND(LEN($A2728)=4,VALUE(RIGHT($A2728,2))&lt;60),GUS_tabl_2!$A$8:$B$464,GUS_tabl_21!$A$5:$B$4886),2,FALSE)),SUM(FIND("..",TRIM(VLOOKUP(IF(AND(LEN($A2728)=4,VALUE(RIGHT($A2728,2))&gt;60),$A2728&amp;"01 1",$A2728),IF(AND(LEN($A2728)=4,VALUE(RIGHT($A2728,2))&lt;60),GUS_tabl_2!$A$8:$B$464,GUS_tabl_21!$A$5:$B$4886),2,FALSE))),-1)))))</f>
        <v>gm. m.-w. Stęszew</v>
      </c>
      <c r="D2728" s="141">
        <f>IF(OR($A2728="",ISERROR(VALUE(LEFT($A2728,6)))),"",IF(LEN($A2728)=2,SUMIF($A2729:$A$2965,$A2728&amp;"??",$D2729:$D$2965),IF(AND(LEN($A2728)=4,VALUE(RIGHT($A2728,2))&lt;=60),SUMIF($A2729:$A$2965,$A2728&amp;"????",$D2729:$D$2965),VLOOKUP(IF(LEN($A2728)=4,$A2728&amp;"01 1",$A2728),GUS_tabl_21!$A$5:$F$4886,6,FALSE))))</f>
        <v>15126</v>
      </c>
      <c r="E2728" s="29"/>
    </row>
    <row r="2729" spans="1:5" ht="12" customHeight="1">
      <c r="A2729" s="155" t="str">
        <f>"302115 2"</f>
        <v>302115 2</v>
      </c>
      <c r="B2729" s="153" t="s">
        <v>34</v>
      </c>
      <c r="C2729" s="156" t="str">
        <f>IF(OR($A2729="",ISERROR(VALUE(LEFT($A2729,6)))),"",IF(LEN($A2729)=2,"WOJ. ",IF(LEN($A2729)=4,IF(VALUE(RIGHT($A2729,2))&gt;60,"","Powiat "),IF(VALUE(RIGHT($A2729,1))=1,"m. ",IF(VALUE(RIGHT($A2729,1))=2,"gm. w. ",IF(VALUE(RIGHT($A2729,1))=8,"dz. ","gm. m.-w. ")))))&amp;IF(LEN($A2729)=2,TRIM(UPPER(VLOOKUP($A2729,GUS_tabl_1!$A$7:$B$22,2,FALSE))),IF(ISERROR(FIND("..",TRIM(VLOOKUP(IF(AND(LEN($A2729)=4,VALUE(RIGHT($A2729,2))&gt;60),$A2729&amp;"01 1",$A2729),IF(AND(LEN($A2729)=4,VALUE(RIGHT($A2729,2))&lt;60),GUS_tabl_2!$A$8:$B$464,GUS_tabl_21!$A$5:$B$4886),2,FALSE)))),TRIM(VLOOKUP(IF(AND(LEN($A2729)=4,VALUE(RIGHT($A2729,2))&gt;60),$A2729&amp;"01 1",$A2729),IF(AND(LEN($A2729)=4,VALUE(RIGHT($A2729,2))&lt;60),GUS_tabl_2!$A$8:$B$464,GUS_tabl_21!$A$5:$B$4886),2,FALSE)),LEFT(TRIM(VLOOKUP(IF(AND(LEN($A2729)=4,VALUE(RIGHT($A2729,2))&gt;60),$A2729&amp;"01 1",$A2729),IF(AND(LEN($A2729)=4,VALUE(RIGHT($A2729,2))&lt;60),GUS_tabl_2!$A$8:$B$464,GUS_tabl_21!$A$5:$B$4886),2,FALSE)),SUM(FIND("..",TRIM(VLOOKUP(IF(AND(LEN($A2729)=4,VALUE(RIGHT($A2729,2))&gt;60),$A2729&amp;"01 1",$A2729),IF(AND(LEN($A2729)=4,VALUE(RIGHT($A2729,2))&lt;60),GUS_tabl_2!$A$8:$B$464,GUS_tabl_21!$A$5:$B$4886),2,FALSE))),-1)))))</f>
        <v>gm. w. Suchy Las</v>
      </c>
      <c r="D2729" s="141">
        <f>IF(OR($A2729="",ISERROR(VALUE(LEFT($A2729,6)))),"",IF(LEN($A2729)=2,SUMIF($A2730:$A$2965,$A2729&amp;"??",$D2730:$D$2965),IF(AND(LEN($A2729)=4,VALUE(RIGHT($A2729,2))&lt;=60),SUMIF($A2730:$A$2965,$A2729&amp;"????",$D2730:$D$2965),VLOOKUP(IF(LEN($A2729)=4,$A2729&amp;"01 1",$A2729),GUS_tabl_21!$A$5:$F$4886,6,FALSE))))</f>
        <v>18104</v>
      </c>
      <c r="E2729" s="29"/>
    </row>
    <row r="2730" spans="1:5" ht="12" customHeight="1">
      <c r="A2730" s="155" t="str">
        <f>"302116 3"</f>
        <v>302116 3</v>
      </c>
      <c r="B2730" s="153" t="s">
        <v>34</v>
      </c>
      <c r="C2730" s="156" t="str">
        <f>IF(OR($A2730="",ISERROR(VALUE(LEFT($A2730,6)))),"",IF(LEN($A2730)=2,"WOJ. ",IF(LEN($A2730)=4,IF(VALUE(RIGHT($A2730,2))&gt;60,"","Powiat "),IF(VALUE(RIGHT($A2730,1))=1,"m. ",IF(VALUE(RIGHT($A2730,1))=2,"gm. w. ",IF(VALUE(RIGHT($A2730,1))=8,"dz. ","gm. m.-w. ")))))&amp;IF(LEN($A2730)=2,TRIM(UPPER(VLOOKUP($A2730,GUS_tabl_1!$A$7:$B$22,2,FALSE))),IF(ISERROR(FIND("..",TRIM(VLOOKUP(IF(AND(LEN($A2730)=4,VALUE(RIGHT($A2730,2))&gt;60),$A2730&amp;"01 1",$A2730),IF(AND(LEN($A2730)=4,VALUE(RIGHT($A2730,2))&lt;60),GUS_tabl_2!$A$8:$B$464,GUS_tabl_21!$A$5:$B$4886),2,FALSE)))),TRIM(VLOOKUP(IF(AND(LEN($A2730)=4,VALUE(RIGHT($A2730,2))&gt;60),$A2730&amp;"01 1",$A2730),IF(AND(LEN($A2730)=4,VALUE(RIGHT($A2730,2))&lt;60),GUS_tabl_2!$A$8:$B$464,GUS_tabl_21!$A$5:$B$4886),2,FALSE)),LEFT(TRIM(VLOOKUP(IF(AND(LEN($A2730)=4,VALUE(RIGHT($A2730,2))&gt;60),$A2730&amp;"01 1",$A2730),IF(AND(LEN($A2730)=4,VALUE(RIGHT($A2730,2))&lt;60),GUS_tabl_2!$A$8:$B$464,GUS_tabl_21!$A$5:$B$4886),2,FALSE)),SUM(FIND("..",TRIM(VLOOKUP(IF(AND(LEN($A2730)=4,VALUE(RIGHT($A2730,2))&gt;60),$A2730&amp;"01 1",$A2730),IF(AND(LEN($A2730)=4,VALUE(RIGHT($A2730,2))&lt;60),GUS_tabl_2!$A$8:$B$464,GUS_tabl_21!$A$5:$B$4886),2,FALSE))),-1)))))</f>
        <v>gm. m.-w. Swarzędz</v>
      </c>
      <c r="D2730" s="141">
        <f>IF(OR($A2730="",ISERROR(VALUE(LEFT($A2730,6)))),"",IF(LEN($A2730)=2,SUMIF($A2731:$A$2965,$A2730&amp;"??",$D2731:$D$2965),IF(AND(LEN($A2730)=4,VALUE(RIGHT($A2730,2))&lt;=60),SUMIF($A2731:$A$2965,$A2730&amp;"????",$D2731:$D$2965),VLOOKUP(IF(LEN($A2730)=4,$A2730&amp;"01 1",$A2730),GUS_tabl_21!$A$5:$F$4886,6,FALSE))))</f>
        <v>51522</v>
      </c>
      <c r="E2730" s="29"/>
    </row>
    <row r="2731" spans="1:5" ht="12" customHeight="1">
      <c r="A2731" s="155" t="str">
        <f>"302117 2"</f>
        <v>302117 2</v>
      </c>
      <c r="B2731" s="153" t="s">
        <v>34</v>
      </c>
      <c r="C2731" s="156" t="str">
        <f>IF(OR($A2731="",ISERROR(VALUE(LEFT($A2731,6)))),"",IF(LEN($A2731)=2,"WOJ. ",IF(LEN($A2731)=4,IF(VALUE(RIGHT($A2731,2))&gt;60,"","Powiat "),IF(VALUE(RIGHT($A2731,1))=1,"m. ",IF(VALUE(RIGHT($A2731,1))=2,"gm. w. ",IF(VALUE(RIGHT($A2731,1))=8,"dz. ","gm. m.-w. ")))))&amp;IF(LEN($A2731)=2,TRIM(UPPER(VLOOKUP($A2731,GUS_tabl_1!$A$7:$B$22,2,FALSE))),IF(ISERROR(FIND("..",TRIM(VLOOKUP(IF(AND(LEN($A2731)=4,VALUE(RIGHT($A2731,2))&gt;60),$A2731&amp;"01 1",$A2731),IF(AND(LEN($A2731)=4,VALUE(RIGHT($A2731,2))&lt;60),GUS_tabl_2!$A$8:$B$464,GUS_tabl_21!$A$5:$B$4886),2,FALSE)))),TRIM(VLOOKUP(IF(AND(LEN($A2731)=4,VALUE(RIGHT($A2731,2))&gt;60),$A2731&amp;"01 1",$A2731),IF(AND(LEN($A2731)=4,VALUE(RIGHT($A2731,2))&lt;60),GUS_tabl_2!$A$8:$B$464,GUS_tabl_21!$A$5:$B$4886),2,FALSE)),LEFT(TRIM(VLOOKUP(IF(AND(LEN($A2731)=4,VALUE(RIGHT($A2731,2))&gt;60),$A2731&amp;"01 1",$A2731),IF(AND(LEN($A2731)=4,VALUE(RIGHT($A2731,2))&lt;60),GUS_tabl_2!$A$8:$B$464,GUS_tabl_21!$A$5:$B$4886),2,FALSE)),SUM(FIND("..",TRIM(VLOOKUP(IF(AND(LEN($A2731)=4,VALUE(RIGHT($A2731,2))&gt;60),$A2731&amp;"01 1",$A2731),IF(AND(LEN($A2731)=4,VALUE(RIGHT($A2731,2))&lt;60),GUS_tabl_2!$A$8:$B$464,GUS_tabl_21!$A$5:$B$4886),2,FALSE))),-1)))))</f>
        <v>gm. w. Tarnowo Podgórne</v>
      </c>
      <c r="D2731" s="141">
        <f>IF(OR($A2731="",ISERROR(VALUE(LEFT($A2731,6)))),"",IF(LEN($A2731)=2,SUMIF($A2732:$A$2965,$A2731&amp;"??",$D2732:$D$2965),IF(AND(LEN($A2731)=4,VALUE(RIGHT($A2731,2))&lt;=60),SUMIF($A2732:$A$2965,$A2731&amp;"????",$D2732:$D$2965),VLOOKUP(IF(LEN($A2731)=4,$A2731&amp;"01 1",$A2731),GUS_tabl_21!$A$5:$F$4886,6,FALSE))))</f>
        <v>28070</v>
      </c>
      <c r="E2731" s="29"/>
    </row>
    <row r="2732" spans="1:5" ht="12" customHeight="1">
      <c r="A2732" s="152" t="str">
        <f>"3022"</f>
        <v>3022</v>
      </c>
      <c r="B2732" s="153" t="s">
        <v>34</v>
      </c>
      <c r="C2732" s="154" t="str">
        <f>IF(OR($A2732="",ISERROR(VALUE(LEFT($A2732,6)))),"",IF(LEN($A2732)=2,"WOJ. ",IF(LEN($A2732)=4,IF(VALUE(RIGHT($A2732,2))&gt;60,"","Powiat "),IF(VALUE(RIGHT($A2732,1))=1,"m. ",IF(VALUE(RIGHT($A2732,1))=2,"gm. w. ",IF(VALUE(RIGHT($A2732,1))=8,"dz. ","gm. m.-w. ")))))&amp;IF(LEN($A2732)=2,TRIM(UPPER(VLOOKUP($A2732,GUS_tabl_1!$A$7:$B$22,2,FALSE))),IF(ISERROR(FIND("..",TRIM(VLOOKUP(IF(AND(LEN($A2732)=4,VALUE(RIGHT($A2732,2))&gt;60),$A2732&amp;"01 1",$A2732),IF(AND(LEN($A2732)=4,VALUE(RIGHT($A2732,2))&lt;60),GUS_tabl_2!$A$8:$B$464,GUS_tabl_21!$A$5:$B$4886),2,FALSE)))),TRIM(VLOOKUP(IF(AND(LEN($A2732)=4,VALUE(RIGHT($A2732,2))&gt;60),$A2732&amp;"01 1",$A2732),IF(AND(LEN($A2732)=4,VALUE(RIGHT($A2732,2))&lt;60),GUS_tabl_2!$A$8:$B$464,GUS_tabl_21!$A$5:$B$4886),2,FALSE)),LEFT(TRIM(VLOOKUP(IF(AND(LEN($A2732)=4,VALUE(RIGHT($A2732,2))&gt;60),$A2732&amp;"01 1",$A2732),IF(AND(LEN($A2732)=4,VALUE(RIGHT($A2732,2))&lt;60),GUS_tabl_2!$A$8:$B$464,GUS_tabl_21!$A$5:$B$4886),2,FALSE)),SUM(FIND("..",TRIM(VLOOKUP(IF(AND(LEN($A2732)=4,VALUE(RIGHT($A2732,2))&gt;60),$A2732&amp;"01 1",$A2732),IF(AND(LEN($A2732)=4,VALUE(RIGHT($A2732,2))&lt;60),GUS_tabl_2!$A$8:$B$464,GUS_tabl_21!$A$5:$B$4886),2,FALSE))),-1)))))</f>
        <v>Powiat rawicki</v>
      </c>
      <c r="D2732" s="140">
        <f>IF(OR($A2732="",ISERROR(VALUE(LEFT($A2732,6)))),"",IF(LEN($A2732)=2,SUMIF($A2733:$A$2965,$A2732&amp;"??",$D2733:$D$2965),IF(AND(LEN($A2732)=4,VALUE(RIGHT($A2732,2))&lt;=60),SUMIF($A2733:$A$2965,$A2732&amp;"????",$D2733:$D$2965),VLOOKUP(IF(LEN($A2732)=4,$A2732&amp;"01 1",$A2732),GUS_tabl_21!$A$5:$F$4886,6,FALSE))))</f>
        <v>60262</v>
      </c>
      <c r="E2732" s="29"/>
    </row>
    <row r="2733" spans="1:5" ht="12" customHeight="1">
      <c r="A2733" s="155" t="str">
        <f>"302201 3"</f>
        <v>302201 3</v>
      </c>
      <c r="B2733" s="153" t="s">
        <v>34</v>
      </c>
      <c r="C2733" s="156" t="str">
        <f>IF(OR($A2733="",ISERROR(VALUE(LEFT($A2733,6)))),"",IF(LEN($A2733)=2,"WOJ. ",IF(LEN($A2733)=4,IF(VALUE(RIGHT($A2733,2))&gt;60,"","Powiat "),IF(VALUE(RIGHT($A2733,1))=1,"m. ",IF(VALUE(RIGHT($A2733,1))=2,"gm. w. ",IF(VALUE(RIGHT($A2733,1))=8,"dz. ","gm. m.-w. ")))))&amp;IF(LEN($A2733)=2,TRIM(UPPER(VLOOKUP($A2733,GUS_tabl_1!$A$7:$B$22,2,FALSE))),IF(ISERROR(FIND("..",TRIM(VLOOKUP(IF(AND(LEN($A2733)=4,VALUE(RIGHT($A2733,2))&gt;60),$A2733&amp;"01 1",$A2733),IF(AND(LEN($A2733)=4,VALUE(RIGHT($A2733,2))&lt;60),GUS_tabl_2!$A$8:$B$464,GUS_tabl_21!$A$5:$B$4886),2,FALSE)))),TRIM(VLOOKUP(IF(AND(LEN($A2733)=4,VALUE(RIGHT($A2733,2))&gt;60),$A2733&amp;"01 1",$A2733),IF(AND(LEN($A2733)=4,VALUE(RIGHT($A2733,2))&lt;60),GUS_tabl_2!$A$8:$B$464,GUS_tabl_21!$A$5:$B$4886),2,FALSE)),LEFT(TRIM(VLOOKUP(IF(AND(LEN($A2733)=4,VALUE(RIGHT($A2733,2))&gt;60),$A2733&amp;"01 1",$A2733),IF(AND(LEN($A2733)=4,VALUE(RIGHT($A2733,2))&lt;60),GUS_tabl_2!$A$8:$B$464,GUS_tabl_21!$A$5:$B$4886),2,FALSE)),SUM(FIND("..",TRIM(VLOOKUP(IF(AND(LEN($A2733)=4,VALUE(RIGHT($A2733,2))&gt;60),$A2733&amp;"01 1",$A2733),IF(AND(LEN($A2733)=4,VALUE(RIGHT($A2733,2))&lt;60),GUS_tabl_2!$A$8:$B$464,GUS_tabl_21!$A$5:$B$4886),2,FALSE))),-1)))))</f>
        <v>gm. m.-w. Bojanowo</v>
      </c>
      <c r="D2733" s="141">
        <f>IF(OR($A2733="",ISERROR(VALUE(LEFT($A2733,6)))),"",IF(LEN($A2733)=2,SUMIF($A2734:$A$2965,$A2733&amp;"??",$D2734:$D$2965),IF(AND(LEN($A2733)=4,VALUE(RIGHT($A2733,2))&lt;=60),SUMIF($A2734:$A$2965,$A2733&amp;"????",$D2734:$D$2965),VLOOKUP(IF(LEN($A2733)=4,$A2733&amp;"01 1",$A2733),GUS_tabl_21!$A$5:$F$4886,6,FALSE))))</f>
        <v>8739</v>
      </c>
      <c r="E2733" s="29"/>
    </row>
    <row r="2734" spans="1:5" ht="12" customHeight="1">
      <c r="A2734" s="155" t="str">
        <f>"302202 3"</f>
        <v>302202 3</v>
      </c>
      <c r="B2734" s="153" t="s">
        <v>34</v>
      </c>
      <c r="C2734" s="156" t="str">
        <f>IF(OR($A2734="",ISERROR(VALUE(LEFT($A2734,6)))),"",IF(LEN($A2734)=2,"WOJ. ",IF(LEN($A2734)=4,IF(VALUE(RIGHT($A2734,2))&gt;60,"","Powiat "),IF(VALUE(RIGHT($A2734,1))=1,"m. ",IF(VALUE(RIGHT($A2734,1))=2,"gm. w. ",IF(VALUE(RIGHT($A2734,1))=8,"dz. ","gm. m.-w. ")))))&amp;IF(LEN($A2734)=2,TRIM(UPPER(VLOOKUP($A2734,GUS_tabl_1!$A$7:$B$22,2,FALSE))),IF(ISERROR(FIND("..",TRIM(VLOOKUP(IF(AND(LEN($A2734)=4,VALUE(RIGHT($A2734,2))&gt;60),$A2734&amp;"01 1",$A2734),IF(AND(LEN($A2734)=4,VALUE(RIGHT($A2734,2))&lt;60),GUS_tabl_2!$A$8:$B$464,GUS_tabl_21!$A$5:$B$4886),2,FALSE)))),TRIM(VLOOKUP(IF(AND(LEN($A2734)=4,VALUE(RIGHT($A2734,2))&gt;60),$A2734&amp;"01 1",$A2734),IF(AND(LEN($A2734)=4,VALUE(RIGHT($A2734,2))&lt;60),GUS_tabl_2!$A$8:$B$464,GUS_tabl_21!$A$5:$B$4886),2,FALSE)),LEFT(TRIM(VLOOKUP(IF(AND(LEN($A2734)=4,VALUE(RIGHT($A2734,2))&gt;60),$A2734&amp;"01 1",$A2734),IF(AND(LEN($A2734)=4,VALUE(RIGHT($A2734,2))&lt;60),GUS_tabl_2!$A$8:$B$464,GUS_tabl_21!$A$5:$B$4886),2,FALSE)),SUM(FIND("..",TRIM(VLOOKUP(IF(AND(LEN($A2734)=4,VALUE(RIGHT($A2734,2))&gt;60),$A2734&amp;"01 1",$A2734),IF(AND(LEN($A2734)=4,VALUE(RIGHT($A2734,2))&lt;60),GUS_tabl_2!$A$8:$B$464,GUS_tabl_21!$A$5:$B$4886),2,FALSE))),-1)))))</f>
        <v>gm. m.-w. Jutrosin</v>
      </c>
      <c r="D2734" s="141">
        <f>IF(OR($A2734="",ISERROR(VALUE(LEFT($A2734,6)))),"",IF(LEN($A2734)=2,SUMIF($A2735:$A$2965,$A2734&amp;"??",$D2735:$D$2965),IF(AND(LEN($A2734)=4,VALUE(RIGHT($A2734,2))&lt;=60),SUMIF($A2735:$A$2965,$A2734&amp;"????",$D2735:$D$2965),VLOOKUP(IF(LEN($A2734)=4,$A2734&amp;"01 1",$A2734),GUS_tabl_21!$A$5:$F$4886,6,FALSE))))</f>
        <v>7053</v>
      </c>
      <c r="E2734" s="29"/>
    </row>
    <row r="2735" spans="1:5" ht="12" customHeight="1">
      <c r="A2735" s="155" t="str">
        <f>"302203 3"</f>
        <v>302203 3</v>
      </c>
      <c r="B2735" s="153" t="s">
        <v>34</v>
      </c>
      <c r="C2735" s="156" t="str">
        <f>IF(OR($A2735="",ISERROR(VALUE(LEFT($A2735,6)))),"",IF(LEN($A2735)=2,"WOJ. ",IF(LEN($A2735)=4,IF(VALUE(RIGHT($A2735,2))&gt;60,"","Powiat "),IF(VALUE(RIGHT($A2735,1))=1,"m. ",IF(VALUE(RIGHT($A2735,1))=2,"gm. w. ",IF(VALUE(RIGHT($A2735,1))=8,"dz. ","gm. m.-w. ")))))&amp;IF(LEN($A2735)=2,TRIM(UPPER(VLOOKUP($A2735,GUS_tabl_1!$A$7:$B$22,2,FALSE))),IF(ISERROR(FIND("..",TRIM(VLOOKUP(IF(AND(LEN($A2735)=4,VALUE(RIGHT($A2735,2))&gt;60),$A2735&amp;"01 1",$A2735),IF(AND(LEN($A2735)=4,VALUE(RIGHT($A2735,2))&lt;60),GUS_tabl_2!$A$8:$B$464,GUS_tabl_21!$A$5:$B$4886),2,FALSE)))),TRIM(VLOOKUP(IF(AND(LEN($A2735)=4,VALUE(RIGHT($A2735,2))&gt;60),$A2735&amp;"01 1",$A2735),IF(AND(LEN($A2735)=4,VALUE(RIGHT($A2735,2))&lt;60),GUS_tabl_2!$A$8:$B$464,GUS_tabl_21!$A$5:$B$4886),2,FALSE)),LEFT(TRIM(VLOOKUP(IF(AND(LEN($A2735)=4,VALUE(RIGHT($A2735,2))&gt;60),$A2735&amp;"01 1",$A2735),IF(AND(LEN($A2735)=4,VALUE(RIGHT($A2735,2))&lt;60),GUS_tabl_2!$A$8:$B$464,GUS_tabl_21!$A$5:$B$4886),2,FALSE)),SUM(FIND("..",TRIM(VLOOKUP(IF(AND(LEN($A2735)=4,VALUE(RIGHT($A2735,2))&gt;60),$A2735&amp;"01 1",$A2735),IF(AND(LEN($A2735)=4,VALUE(RIGHT($A2735,2))&lt;60),GUS_tabl_2!$A$8:$B$464,GUS_tabl_21!$A$5:$B$4886),2,FALSE))),-1)))))</f>
        <v>gm. m.-w. Miejska Górka</v>
      </c>
      <c r="D2735" s="141">
        <f>IF(OR($A2735="",ISERROR(VALUE(LEFT($A2735,6)))),"",IF(LEN($A2735)=2,SUMIF($A2736:$A$2965,$A2735&amp;"??",$D2736:$D$2965),IF(AND(LEN($A2735)=4,VALUE(RIGHT($A2735,2))&lt;=60),SUMIF($A2736:$A$2965,$A2735&amp;"????",$D2736:$D$2965),VLOOKUP(IF(LEN($A2735)=4,$A2735&amp;"01 1",$A2735),GUS_tabl_21!$A$5:$F$4886,6,FALSE))))</f>
        <v>9249</v>
      </c>
      <c r="E2735" s="29"/>
    </row>
    <row r="2736" spans="1:5" ht="12" customHeight="1">
      <c r="A2736" s="155" t="str">
        <f>"302204 2"</f>
        <v>302204 2</v>
      </c>
      <c r="B2736" s="153" t="s">
        <v>34</v>
      </c>
      <c r="C2736" s="156" t="str">
        <f>IF(OR($A2736="",ISERROR(VALUE(LEFT($A2736,6)))),"",IF(LEN($A2736)=2,"WOJ. ",IF(LEN($A2736)=4,IF(VALUE(RIGHT($A2736,2))&gt;60,"","Powiat "),IF(VALUE(RIGHT($A2736,1))=1,"m. ",IF(VALUE(RIGHT($A2736,1))=2,"gm. w. ",IF(VALUE(RIGHT($A2736,1))=8,"dz. ","gm. m.-w. ")))))&amp;IF(LEN($A2736)=2,TRIM(UPPER(VLOOKUP($A2736,GUS_tabl_1!$A$7:$B$22,2,FALSE))),IF(ISERROR(FIND("..",TRIM(VLOOKUP(IF(AND(LEN($A2736)=4,VALUE(RIGHT($A2736,2))&gt;60),$A2736&amp;"01 1",$A2736),IF(AND(LEN($A2736)=4,VALUE(RIGHT($A2736,2))&lt;60),GUS_tabl_2!$A$8:$B$464,GUS_tabl_21!$A$5:$B$4886),2,FALSE)))),TRIM(VLOOKUP(IF(AND(LEN($A2736)=4,VALUE(RIGHT($A2736,2))&gt;60),$A2736&amp;"01 1",$A2736),IF(AND(LEN($A2736)=4,VALUE(RIGHT($A2736,2))&lt;60),GUS_tabl_2!$A$8:$B$464,GUS_tabl_21!$A$5:$B$4886),2,FALSE)),LEFT(TRIM(VLOOKUP(IF(AND(LEN($A2736)=4,VALUE(RIGHT($A2736,2))&gt;60),$A2736&amp;"01 1",$A2736),IF(AND(LEN($A2736)=4,VALUE(RIGHT($A2736,2))&lt;60),GUS_tabl_2!$A$8:$B$464,GUS_tabl_21!$A$5:$B$4886),2,FALSE)),SUM(FIND("..",TRIM(VLOOKUP(IF(AND(LEN($A2736)=4,VALUE(RIGHT($A2736,2))&gt;60),$A2736&amp;"01 1",$A2736),IF(AND(LEN($A2736)=4,VALUE(RIGHT($A2736,2))&lt;60),GUS_tabl_2!$A$8:$B$464,GUS_tabl_21!$A$5:$B$4886),2,FALSE))),-1)))))</f>
        <v>gm. w. Pakosław</v>
      </c>
      <c r="D2736" s="141">
        <f>IF(OR($A2736="",ISERROR(VALUE(LEFT($A2736,6)))),"",IF(LEN($A2736)=2,SUMIF($A2737:$A$2965,$A2736&amp;"??",$D2737:$D$2965),IF(AND(LEN($A2736)=4,VALUE(RIGHT($A2736,2))&lt;=60),SUMIF($A2737:$A$2965,$A2736&amp;"????",$D2737:$D$2965),VLOOKUP(IF(LEN($A2736)=4,$A2736&amp;"01 1",$A2736),GUS_tabl_21!$A$5:$F$4886,6,FALSE))))</f>
        <v>4918</v>
      </c>
      <c r="E2736" s="29"/>
    </row>
    <row r="2737" spans="1:5" ht="12" customHeight="1">
      <c r="A2737" s="155" t="str">
        <f>"302205 3"</f>
        <v>302205 3</v>
      </c>
      <c r="B2737" s="153" t="s">
        <v>34</v>
      </c>
      <c r="C2737" s="156" t="str">
        <f>IF(OR($A2737="",ISERROR(VALUE(LEFT($A2737,6)))),"",IF(LEN($A2737)=2,"WOJ. ",IF(LEN($A2737)=4,IF(VALUE(RIGHT($A2737,2))&gt;60,"","Powiat "),IF(VALUE(RIGHT($A2737,1))=1,"m. ",IF(VALUE(RIGHT($A2737,1))=2,"gm. w. ",IF(VALUE(RIGHT($A2737,1))=8,"dz. ","gm. m.-w. ")))))&amp;IF(LEN($A2737)=2,TRIM(UPPER(VLOOKUP($A2737,GUS_tabl_1!$A$7:$B$22,2,FALSE))),IF(ISERROR(FIND("..",TRIM(VLOOKUP(IF(AND(LEN($A2737)=4,VALUE(RIGHT($A2737,2))&gt;60),$A2737&amp;"01 1",$A2737),IF(AND(LEN($A2737)=4,VALUE(RIGHT($A2737,2))&lt;60),GUS_tabl_2!$A$8:$B$464,GUS_tabl_21!$A$5:$B$4886),2,FALSE)))),TRIM(VLOOKUP(IF(AND(LEN($A2737)=4,VALUE(RIGHT($A2737,2))&gt;60),$A2737&amp;"01 1",$A2737),IF(AND(LEN($A2737)=4,VALUE(RIGHT($A2737,2))&lt;60),GUS_tabl_2!$A$8:$B$464,GUS_tabl_21!$A$5:$B$4886),2,FALSE)),LEFT(TRIM(VLOOKUP(IF(AND(LEN($A2737)=4,VALUE(RIGHT($A2737,2))&gt;60),$A2737&amp;"01 1",$A2737),IF(AND(LEN($A2737)=4,VALUE(RIGHT($A2737,2))&lt;60),GUS_tabl_2!$A$8:$B$464,GUS_tabl_21!$A$5:$B$4886),2,FALSE)),SUM(FIND("..",TRIM(VLOOKUP(IF(AND(LEN($A2737)=4,VALUE(RIGHT($A2737,2))&gt;60),$A2737&amp;"01 1",$A2737),IF(AND(LEN($A2737)=4,VALUE(RIGHT($A2737,2))&lt;60),GUS_tabl_2!$A$8:$B$464,GUS_tabl_21!$A$5:$B$4886),2,FALSE))),-1)))))</f>
        <v>gm. m.-w. Rawicz</v>
      </c>
      <c r="D2737" s="141">
        <f>IF(OR($A2737="",ISERROR(VALUE(LEFT($A2737,6)))),"",IF(LEN($A2737)=2,SUMIF($A2738:$A$2965,$A2737&amp;"??",$D2738:$D$2965),IF(AND(LEN($A2737)=4,VALUE(RIGHT($A2737,2))&lt;=60),SUMIF($A2738:$A$2965,$A2737&amp;"????",$D2738:$D$2965),VLOOKUP(IF(LEN($A2737)=4,$A2737&amp;"01 1",$A2737),GUS_tabl_21!$A$5:$F$4886,6,FALSE))))</f>
        <v>30303</v>
      </c>
      <c r="E2737" s="29"/>
    </row>
    <row r="2738" spans="1:5" ht="12" customHeight="1">
      <c r="A2738" s="152" t="str">
        <f>"3023"</f>
        <v>3023</v>
      </c>
      <c r="B2738" s="153" t="s">
        <v>34</v>
      </c>
      <c r="C2738" s="154" t="str">
        <f>IF(OR($A2738="",ISERROR(VALUE(LEFT($A2738,6)))),"",IF(LEN($A2738)=2,"WOJ. ",IF(LEN($A2738)=4,IF(VALUE(RIGHT($A2738,2))&gt;60,"","Powiat "),IF(VALUE(RIGHT($A2738,1))=1,"m. ",IF(VALUE(RIGHT($A2738,1))=2,"gm. w. ",IF(VALUE(RIGHT($A2738,1))=8,"dz. ","gm. m.-w. ")))))&amp;IF(LEN($A2738)=2,TRIM(UPPER(VLOOKUP($A2738,GUS_tabl_1!$A$7:$B$22,2,FALSE))),IF(ISERROR(FIND("..",TRIM(VLOOKUP(IF(AND(LEN($A2738)=4,VALUE(RIGHT($A2738,2))&gt;60),$A2738&amp;"01 1",$A2738),IF(AND(LEN($A2738)=4,VALUE(RIGHT($A2738,2))&lt;60),GUS_tabl_2!$A$8:$B$464,GUS_tabl_21!$A$5:$B$4886),2,FALSE)))),TRIM(VLOOKUP(IF(AND(LEN($A2738)=4,VALUE(RIGHT($A2738,2))&gt;60),$A2738&amp;"01 1",$A2738),IF(AND(LEN($A2738)=4,VALUE(RIGHT($A2738,2))&lt;60),GUS_tabl_2!$A$8:$B$464,GUS_tabl_21!$A$5:$B$4886),2,FALSE)),LEFT(TRIM(VLOOKUP(IF(AND(LEN($A2738)=4,VALUE(RIGHT($A2738,2))&gt;60),$A2738&amp;"01 1",$A2738),IF(AND(LEN($A2738)=4,VALUE(RIGHT($A2738,2))&lt;60),GUS_tabl_2!$A$8:$B$464,GUS_tabl_21!$A$5:$B$4886),2,FALSE)),SUM(FIND("..",TRIM(VLOOKUP(IF(AND(LEN($A2738)=4,VALUE(RIGHT($A2738,2))&gt;60),$A2738&amp;"01 1",$A2738),IF(AND(LEN($A2738)=4,VALUE(RIGHT($A2738,2))&lt;60),GUS_tabl_2!$A$8:$B$464,GUS_tabl_21!$A$5:$B$4886),2,FALSE))),-1)))))</f>
        <v>Powiat słupecki</v>
      </c>
      <c r="D2738" s="140">
        <f>IF(OR($A2738="",ISERROR(VALUE(LEFT($A2738,6)))),"",IF(LEN($A2738)=2,SUMIF($A2739:$A$2965,$A2738&amp;"??",$D2739:$D$2965),IF(AND(LEN($A2738)=4,VALUE(RIGHT($A2738,2))&lt;=60),SUMIF($A2739:$A$2965,$A2738&amp;"????",$D2739:$D$2965),VLOOKUP(IF(LEN($A2738)=4,$A2738&amp;"01 1",$A2738),GUS_tabl_21!$A$5:$F$4886,6,FALSE))))</f>
        <v>59077</v>
      </c>
      <c r="E2738" s="29"/>
    </row>
    <row r="2739" spans="1:5" ht="12" customHeight="1">
      <c r="A2739" s="155" t="str">
        <f>"302301 1"</f>
        <v>302301 1</v>
      </c>
      <c r="B2739" s="153" t="s">
        <v>34</v>
      </c>
      <c r="C2739" s="156" t="str">
        <f>IF(OR($A2739="",ISERROR(VALUE(LEFT($A2739,6)))),"",IF(LEN($A2739)=2,"WOJ. ",IF(LEN($A2739)=4,IF(VALUE(RIGHT($A2739,2))&gt;60,"","Powiat "),IF(VALUE(RIGHT($A2739,1))=1,"m. ",IF(VALUE(RIGHT($A2739,1))=2,"gm. w. ",IF(VALUE(RIGHT($A2739,1))=8,"dz. ","gm. m.-w. ")))))&amp;IF(LEN($A2739)=2,TRIM(UPPER(VLOOKUP($A2739,GUS_tabl_1!$A$7:$B$22,2,FALSE))),IF(ISERROR(FIND("..",TRIM(VLOOKUP(IF(AND(LEN($A2739)=4,VALUE(RIGHT($A2739,2))&gt;60),$A2739&amp;"01 1",$A2739),IF(AND(LEN($A2739)=4,VALUE(RIGHT($A2739,2))&lt;60),GUS_tabl_2!$A$8:$B$464,GUS_tabl_21!$A$5:$B$4886),2,FALSE)))),TRIM(VLOOKUP(IF(AND(LEN($A2739)=4,VALUE(RIGHT($A2739,2))&gt;60),$A2739&amp;"01 1",$A2739),IF(AND(LEN($A2739)=4,VALUE(RIGHT($A2739,2))&lt;60),GUS_tabl_2!$A$8:$B$464,GUS_tabl_21!$A$5:$B$4886),2,FALSE)),LEFT(TRIM(VLOOKUP(IF(AND(LEN($A2739)=4,VALUE(RIGHT($A2739,2))&gt;60),$A2739&amp;"01 1",$A2739),IF(AND(LEN($A2739)=4,VALUE(RIGHT($A2739,2))&lt;60),GUS_tabl_2!$A$8:$B$464,GUS_tabl_21!$A$5:$B$4886),2,FALSE)),SUM(FIND("..",TRIM(VLOOKUP(IF(AND(LEN($A2739)=4,VALUE(RIGHT($A2739,2))&gt;60),$A2739&amp;"01 1",$A2739),IF(AND(LEN($A2739)=4,VALUE(RIGHT($A2739,2))&lt;60),GUS_tabl_2!$A$8:$B$464,GUS_tabl_21!$A$5:$B$4886),2,FALSE))),-1)))))</f>
        <v>m. Słupca</v>
      </c>
      <c r="D2739" s="141">
        <f>IF(OR($A2739="",ISERROR(VALUE(LEFT($A2739,6)))),"",IF(LEN($A2739)=2,SUMIF($A2740:$A$2965,$A2739&amp;"??",$D2740:$D$2965),IF(AND(LEN($A2739)=4,VALUE(RIGHT($A2739,2))&lt;=60),SUMIF($A2740:$A$2965,$A2739&amp;"????",$D2740:$D$2965),VLOOKUP(IF(LEN($A2739)=4,$A2739&amp;"01 1",$A2739),GUS_tabl_21!$A$5:$F$4886,6,FALSE))))</f>
        <v>13658</v>
      </c>
      <c r="E2739" s="29"/>
    </row>
    <row r="2740" spans="1:5" ht="12" customHeight="1">
      <c r="A2740" s="155" t="str">
        <f>"302302 2"</f>
        <v>302302 2</v>
      </c>
      <c r="B2740" s="153" t="s">
        <v>34</v>
      </c>
      <c r="C2740" s="156" t="str">
        <f>IF(OR($A2740="",ISERROR(VALUE(LEFT($A2740,6)))),"",IF(LEN($A2740)=2,"WOJ. ",IF(LEN($A2740)=4,IF(VALUE(RIGHT($A2740,2))&gt;60,"","Powiat "),IF(VALUE(RIGHT($A2740,1))=1,"m. ",IF(VALUE(RIGHT($A2740,1))=2,"gm. w. ",IF(VALUE(RIGHT($A2740,1))=8,"dz. ","gm. m.-w. ")))))&amp;IF(LEN($A2740)=2,TRIM(UPPER(VLOOKUP($A2740,GUS_tabl_1!$A$7:$B$22,2,FALSE))),IF(ISERROR(FIND("..",TRIM(VLOOKUP(IF(AND(LEN($A2740)=4,VALUE(RIGHT($A2740,2))&gt;60),$A2740&amp;"01 1",$A2740),IF(AND(LEN($A2740)=4,VALUE(RIGHT($A2740,2))&lt;60),GUS_tabl_2!$A$8:$B$464,GUS_tabl_21!$A$5:$B$4886),2,FALSE)))),TRIM(VLOOKUP(IF(AND(LEN($A2740)=4,VALUE(RIGHT($A2740,2))&gt;60),$A2740&amp;"01 1",$A2740),IF(AND(LEN($A2740)=4,VALUE(RIGHT($A2740,2))&lt;60),GUS_tabl_2!$A$8:$B$464,GUS_tabl_21!$A$5:$B$4886),2,FALSE)),LEFT(TRIM(VLOOKUP(IF(AND(LEN($A2740)=4,VALUE(RIGHT($A2740,2))&gt;60),$A2740&amp;"01 1",$A2740),IF(AND(LEN($A2740)=4,VALUE(RIGHT($A2740,2))&lt;60),GUS_tabl_2!$A$8:$B$464,GUS_tabl_21!$A$5:$B$4886),2,FALSE)),SUM(FIND("..",TRIM(VLOOKUP(IF(AND(LEN($A2740)=4,VALUE(RIGHT($A2740,2))&gt;60),$A2740&amp;"01 1",$A2740),IF(AND(LEN($A2740)=4,VALUE(RIGHT($A2740,2))&lt;60),GUS_tabl_2!$A$8:$B$464,GUS_tabl_21!$A$5:$B$4886),2,FALSE))),-1)))))</f>
        <v>gm. w. Lądek</v>
      </c>
      <c r="D2740" s="141">
        <f>IF(OR($A2740="",ISERROR(VALUE(LEFT($A2740,6)))),"",IF(LEN($A2740)=2,SUMIF($A2741:$A$2965,$A2740&amp;"??",$D2741:$D$2965),IF(AND(LEN($A2740)=4,VALUE(RIGHT($A2740,2))&lt;=60),SUMIF($A2741:$A$2965,$A2740&amp;"????",$D2741:$D$2965),VLOOKUP(IF(LEN($A2740)=4,$A2740&amp;"01 1",$A2740),GUS_tabl_21!$A$5:$F$4886,6,FALSE))))</f>
        <v>5740</v>
      </c>
      <c r="E2740" s="29"/>
    </row>
    <row r="2741" spans="1:5" ht="12" customHeight="1">
      <c r="A2741" s="155" t="str">
        <f>"302303 2"</f>
        <v>302303 2</v>
      </c>
      <c r="B2741" s="153" t="s">
        <v>34</v>
      </c>
      <c r="C2741" s="156" t="str">
        <f>IF(OR($A2741="",ISERROR(VALUE(LEFT($A2741,6)))),"",IF(LEN($A2741)=2,"WOJ. ",IF(LEN($A2741)=4,IF(VALUE(RIGHT($A2741,2))&gt;60,"","Powiat "),IF(VALUE(RIGHT($A2741,1))=1,"m. ",IF(VALUE(RIGHT($A2741,1))=2,"gm. w. ",IF(VALUE(RIGHT($A2741,1))=8,"dz. ","gm. m.-w. ")))))&amp;IF(LEN($A2741)=2,TRIM(UPPER(VLOOKUP($A2741,GUS_tabl_1!$A$7:$B$22,2,FALSE))),IF(ISERROR(FIND("..",TRIM(VLOOKUP(IF(AND(LEN($A2741)=4,VALUE(RIGHT($A2741,2))&gt;60),$A2741&amp;"01 1",$A2741),IF(AND(LEN($A2741)=4,VALUE(RIGHT($A2741,2))&lt;60),GUS_tabl_2!$A$8:$B$464,GUS_tabl_21!$A$5:$B$4886),2,FALSE)))),TRIM(VLOOKUP(IF(AND(LEN($A2741)=4,VALUE(RIGHT($A2741,2))&gt;60),$A2741&amp;"01 1",$A2741),IF(AND(LEN($A2741)=4,VALUE(RIGHT($A2741,2))&lt;60),GUS_tabl_2!$A$8:$B$464,GUS_tabl_21!$A$5:$B$4886),2,FALSE)),LEFT(TRIM(VLOOKUP(IF(AND(LEN($A2741)=4,VALUE(RIGHT($A2741,2))&gt;60),$A2741&amp;"01 1",$A2741),IF(AND(LEN($A2741)=4,VALUE(RIGHT($A2741,2))&lt;60),GUS_tabl_2!$A$8:$B$464,GUS_tabl_21!$A$5:$B$4886),2,FALSE)),SUM(FIND("..",TRIM(VLOOKUP(IF(AND(LEN($A2741)=4,VALUE(RIGHT($A2741,2))&gt;60),$A2741&amp;"01 1",$A2741),IF(AND(LEN($A2741)=4,VALUE(RIGHT($A2741,2))&lt;60),GUS_tabl_2!$A$8:$B$464,GUS_tabl_21!$A$5:$B$4886),2,FALSE))),-1)))))</f>
        <v>gm. w. Orchowo</v>
      </c>
      <c r="D2741" s="141">
        <f>IF(OR($A2741="",ISERROR(VALUE(LEFT($A2741,6)))),"",IF(LEN($A2741)=2,SUMIF($A2742:$A$2965,$A2741&amp;"??",$D2742:$D$2965),IF(AND(LEN($A2741)=4,VALUE(RIGHT($A2741,2))&lt;=60),SUMIF($A2742:$A$2965,$A2741&amp;"????",$D2742:$D$2965),VLOOKUP(IF(LEN($A2741)=4,$A2741&amp;"01 1",$A2741),GUS_tabl_21!$A$5:$F$4886,6,FALSE))))</f>
        <v>3795</v>
      </c>
      <c r="E2741" s="29"/>
    </row>
    <row r="2742" spans="1:5" ht="12" customHeight="1">
      <c r="A2742" s="155" t="str">
        <f>"302304 2"</f>
        <v>302304 2</v>
      </c>
      <c r="B2742" s="153" t="s">
        <v>34</v>
      </c>
      <c r="C2742" s="156" t="str">
        <f>IF(OR($A2742="",ISERROR(VALUE(LEFT($A2742,6)))),"",IF(LEN($A2742)=2,"WOJ. ",IF(LEN($A2742)=4,IF(VALUE(RIGHT($A2742,2))&gt;60,"","Powiat "),IF(VALUE(RIGHT($A2742,1))=1,"m. ",IF(VALUE(RIGHT($A2742,1))=2,"gm. w. ",IF(VALUE(RIGHT($A2742,1))=8,"dz. ","gm. m.-w. ")))))&amp;IF(LEN($A2742)=2,TRIM(UPPER(VLOOKUP($A2742,GUS_tabl_1!$A$7:$B$22,2,FALSE))),IF(ISERROR(FIND("..",TRIM(VLOOKUP(IF(AND(LEN($A2742)=4,VALUE(RIGHT($A2742,2))&gt;60),$A2742&amp;"01 1",$A2742),IF(AND(LEN($A2742)=4,VALUE(RIGHT($A2742,2))&lt;60),GUS_tabl_2!$A$8:$B$464,GUS_tabl_21!$A$5:$B$4886),2,FALSE)))),TRIM(VLOOKUP(IF(AND(LEN($A2742)=4,VALUE(RIGHT($A2742,2))&gt;60),$A2742&amp;"01 1",$A2742),IF(AND(LEN($A2742)=4,VALUE(RIGHT($A2742,2))&lt;60),GUS_tabl_2!$A$8:$B$464,GUS_tabl_21!$A$5:$B$4886),2,FALSE)),LEFT(TRIM(VLOOKUP(IF(AND(LEN($A2742)=4,VALUE(RIGHT($A2742,2))&gt;60),$A2742&amp;"01 1",$A2742),IF(AND(LEN($A2742)=4,VALUE(RIGHT($A2742,2))&lt;60),GUS_tabl_2!$A$8:$B$464,GUS_tabl_21!$A$5:$B$4886),2,FALSE)),SUM(FIND("..",TRIM(VLOOKUP(IF(AND(LEN($A2742)=4,VALUE(RIGHT($A2742,2))&gt;60),$A2742&amp;"01 1",$A2742),IF(AND(LEN($A2742)=4,VALUE(RIGHT($A2742,2))&lt;60),GUS_tabl_2!$A$8:$B$464,GUS_tabl_21!$A$5:$B$4886),2,FALSE))),-1)))))</f>
        <v>gm. w. Ostrowite</v>
      </c>
      <c r="D2742" s="141">
        <f>IF(OR($A2742="",ISERROR(VALUE(LEFT($A2742,6)))),"",IF(LEN($A2742)=2,SUMIF($A2743:$A$2965,$A2742&amp;"??",$D2743:$D$2965),IF(AND(LEN($A2742)=4,VALUE(RIGHT($A2742,2))&lt;=60),SUMIF($A2743:$A$2965,$A2742&amp;"????",$D2743:$D$2965),VLOOKUP(IF(LEN($A2742)=4,$A2742&amp;"01 1",$A2742),GUS_tabl_21!$A$5:$F$4886,6,FALSE))))</f>
        <v>5077</v>
      </c>
      <c r="E2742" s="29"/>
    </row>
    <row r="2743" spans="1:5" ht="12" customHeight="1">
      <c r="A2743" s="155" t="str">
        <f>"302305 2"</f>
        <v>302305 2</v>
      </c>
      <c r="B2743" s="153" t="s">
        <v>34</v>
      </c>
      <c r="C2743" s="156" t="str">
        <f>IF(OR($A2743="",ISERROR(VALUE(LEFT($A2743,6)))),"",IF(LEN($A2743)=2,"WOJ. ",IF(LEN($A2743)=4,IF(VALUE(RIGHT($A2743,2))&gt;60,"","Powiat "),IF(VALUE(RIGHT($A2743,1))=1,"m. ",IF(VALUE(RIGHT($A2743,1))=2,"gm. w. ",IF(VALUE(RIGHT($A2743,1))=8,"dz. ","gm. m.-w. ")))))&amp;IF(LEN($A2743)=2,TRIM(UPPER(VLOOKUP($A2743,GUS_tabl_1!$A$7:$B$22,2,FALSE))),IF(ISERROR(FIND("..",TRIM(VLOOKUP(IF(AND(LEN($A2743)=4,VALUE(RIGHT($A2743,2))&gt;60),$A2743&amp;"01 1",$A2743),IF(AND(LEN($A2743)=4,VALUE(RIGHT($A2743,2))&lt;60),GUS_tabl_2!$A$8:$B$464,GUS_tabl_21!$A$5:$B$4886),2,FALSE)))),TRIM(VLOOKUP(IF(AND(LEN($A2743)=4,VALUE(RIGHT($A2743,2))&gt;60),$A2743&amp;"01 1",$A2743),IF(AND(LEN($A2743)=4,VALUE(RIGHT($A2743,2))&lt;60),GUS_tabl_2!$A$8:$B$464,GUS_tabl_21!$A$5:$B$4886),2,FALSE)),LEFT(TRIM(VLOOKUP(IF(AND(LEN($A2743)=4,VALUE(RIGHT($A2743,2))&gt;60),$A2743&amp;"01 1",$A2743),IF(AND(LEN($A2743)=4,VALUE(RIGHT($A2743,2))&lt;60),GUS_tabl_2!$A$8:$B$464,GUS_tabl_21!$A$5:$B$4886),2,FALSE)),SUM(FIND("..",TRIM(VLOOKUP(IF(AND(LEN($A2743)=4,VALUE(RIGHT($A2743,2))&gt;60),$A2743&amp;"01 1",$A2743),IF(AND(LEN($A2743)=4,VALUE(RIGHT($A2743,2))&lt;60),GUS_tabl_2!$A$8:$B$464,GUS_tabl_21!$A$5:$B$4886),2,FALSE))),-1)))))</f>
        <v>gm. w. Powidz</v>
      </c>
      <c r="D2743" s="141">
        <f>IF(OR($A2743="",ISERROR(VALUE(LEFT($A2743,6)))),"",IF(LEN($A2743)=2,SUMIF($A2744:$A$2965,$A2743&amp;"??",$D2744:$D$2965),IF(AND(LEN($A2743)=4,VALUE(RIGHT($A2743,2))&lt;=60),SUMIF($A2744:$A$2965,$A2743&amp;"????",$D2744:$D$2965),VLOOKUP(IF(LEN($A2743)=4,$A2743&amp;"01 1",$A2743),GUS_tabl_21!$A$5:$F$4886,6,FALSE))))</f>
        <v>2320</v>
      </c>
      <c r="E2743" s="29"/>
    </row>
    <row r="2744" spans="1:5" ht="12" customHeight="1">
      <c r="A2744" s="155" t="str">
        <f>"302306 2"</f>
        <v>302306 2</v>
      </c>
      <c r="B2744" s="153" t="s">
        <v>34</v>
      </c>
      <c r="C2744" s="156" t="str">
        <f>IF(OR($A2744="",ISERROR(VALUE(LEFT($A2744,6)))),"",IF(LEN($A2744)=2,"WOJ. ",IF(LEN($A2744)=4,IF(VALUE(RIGHT($A2744,2))&gt;60,"","Powiat "),IF(VALUE(RIGHT($A2744,1))=1,"m. ",IF(VALUE(RIGHT($A2744,1))=2,"gm. w. ",IF(VALUE(RIGHT($A2744,1))=8,"dz. ","gm. m.-w. ")))))&amp;IF(LEN($A2744)=2,TRIM(UPPER(VLOOKUP($A2744,GUS_tabl_1!$A$7:$B$22,2,FALSE))),IF(ISERROR(FIND("..",TRIM(VLOOKUP(IF(AND(LEN($A2744)=4,VALUE(RIGHT($A2744,2))&gt;60),$A2744&amp;"01 1",$A2744),IF(AND(LEN($A2744)=4,VALUE(RIGHT($A2744,2))&lt;60),GUS_tabl_2!$A$8:$B$464,GUS_tabl_21!$A$5:$B$4886),2,FALSE)))),TRIM(VLOOKUP(IF(AND(LEN($A2744)=4,VALUE(RIGHT($A2744,2))&gt;60),$A2744&amp;"01 1",$A2744),IF(AND(LEN($A2744)=4,VALUE(RIGHT($A2744,2))&lt;60),GUS_tabl_2!$A$8:$B$464,GUS_tabl_21!$A$5:$B$4886),2,FALSE)),LEFT(TRIM(VLOOKUP(IF(AND(LEN($A2744)=4,VALUE(RIGHT($A2744,2))&gt;60),$A2744&amp;"01 1",$A2744),IF(AND(LEN($A2744)=4,VALUE(RIGHT($A2744,2))&lt;60),GUS_tabl_2!$A$8:$B$464,GUS_tabl_21!$A$5:$B$4886),2,FALSE)),SUM(FIND("..",TRIM(VLOOKUP(IF(AND(LEN($A2744)=4,VALUE(RIGHT($A2744,2))&gt;60),$A2744&amp;"01 1",$A2744),IF(AND(LEN($A2744)=4,VALUE(RIGHT($A2744,2))&lt;60),GUS_tabl_2!$A$8:$B$464,GUS_tabl_21!$A$5:$B$4886),2,FALSE))),-1)))))</f>
        <v>gm. w. Słupca</v>
      </c>
      <c r="D2744" s="141">
        <f>IF(OR($A2744="",ISERROR(VALUE(LEFT($A2744,6)))),"",IF(LEN($A2744)=2,SUMIF($A2745:$A$2965,$A2744&amp;"??",$D2745:$D$2965),IF(AND(LEN($A2744)=4,VALUE(RIGHT($A2744,2))&lt;=60),SUMIF($A2745:$A$2965,$A2744&amp;"????",$D2745:$D$2965),VLOOKUP(IF(LEN($A2744)=4,$A2744&amp;"01 1",$A2744),GUS_tabl_21!$A$5:$F$4886,6,FALSE))))</f>
        <v>9263</v>
      </c>
      <c r="E2744" s="29"/>
    </row>
    <row r="2745" spans="1:5" ht="12" customHeight="1">
      <c r="A2745" s="155" t="str">
        <f>"302307 2"</f>
        <v>302307 2</v>
      </c>
      <c r="B2745" s="153" t="s">
        <v>34</v>
      </c>
      <c r="C2745" s="156" t="str">
        <f>IF(OR($A2745="",ISERROR(VALUE(LEFT($A2745,6)))),"",IF(LEN($A2745)=2,"WOJ. ",IF(LEN($A2745)=4,IF(VALUE(RIGHT($A2745,2))&gt;60,"","Powiat "),IF(VALUE(RIGHT($A2745,1))=1,"m. ",IF(VALUE(RIGHT($A2745,1))=2,"gm. w. ",IF(VALUE(RIGHT($A2745,1))=8,"dz. ","gm. m.-w. ")))))&amp;IF(LEN($A2745)=2,TRIM(UPPER(VLOOKUP($A2745,GUS_tabl_1!$A$7:$B$22,2,FALSE))),IF(ISERROR(FIND("..",TRIM(VLOOKUP(IF(AND(LEN($A2745)=4,VALUE(RIGHT($A2745,2))&gt;60),$A2745&amp;"01 1",$A2745),IF(AND(LEN($A2745)=4,VALUE(RIGHT($A2745,2))&lt;60),GUS_tabl_2!$A$8:$B$464,GUS_tabl_21!$A$5:$B$4886),2,FALSE)))),TRIM(VLOOKUP(IF(AND(LEN($A2745)=4,VALUE(RIGHT($A2745,2))&gt;60),$A2745&amp;"01 1",$A2745),IF(AND(LEN($A2745)=4,VALUE(RIGHT($A2745,2))&lt;60),GUS_tabl_2!$A$8:$B$464,GUS_tabl_21!$A$5:$B$4886),2,FALSE)),LEFT(TRIM(VLOOKUP(IF(AND(LEN($A2745)=4,VALUE(RIGHT($A2745,2))&gt;60),$A2745&amp;"01 1",$A2745),IF(AND(LEN($A2745)=4,VALUE(RIGHT($A2745,2))&lt;60),GUS_tabl_2!$A$8:$B$464,GUS_tabl_21!$A$5:$B$4886),2,FALSE)),SUM(FIND("..",TRIM(VLOOKUP(IF(AND(LEN($A2745)=4,VALUE(RIGHT($A2745,2))&gt;60),$A2745&amp;"01 1",$A2745),IF(AND(LEN($A2745)=4,VALUE(RIGHT($A2745,2))&lt;60),GUS_tabl_2!$A$8:$B$464,GUS_tabl_21!$A$5:$B$4886),2,FALSE))),-1)))))</f>
        <v>gm. w. Strzałkowo</v>
      </c>
      <c r="D2745" s="141">
        <f>IF(OR($A2745="",ISERROR(VALUE(LEFT($A2745,6)))),"",IF(LEN($A2745)=2,SUMIF($A2746:$A$2965,$A2745&amp;"??",$D2746:$D$2965),IF(AND(LEN($A2745)=4,VALUE(RIGHT($A2745,2))&lt;=60),SUMIF($A2746:$A$2965,$A2745&amp;"????",$D2746:$D$2965),VLOOKUP(IF(LEN($A2745)=4,$A2745&amp;"01 1",$A2745),GUS_tabl_21!$A$5:$F$4886,6,FALSE))))</f>
        <v>10279</v>
      </c>
      <c r="E2745" s="29"/>
    </row>
    <row r="2746" spans="1:5" ht="12" customHeight="1">
      <c r="A2746" s="155" t="str">
        <f>"302308 3"</f>
        <v>302308 3</v>
      </c>
      <c r="B2746" s="153" t="s">
        <v>34</v>
      </c>
      <c r="C2746" s="156" t="str">
        <f>IF(OR($A2746="",ISERROR(VALUE(LEFT($A2746,6)))),"",IF(LEN($A2746)=2,"WOJ. ",IF(LEN($A2746)=4,IF(VALUE(RIGHT($A2746,2))&gt;60,"","Powiat "),IF(VALUE(RIGHT($A2746,1))=1,"m. ",IF(VALUE(RIGHT($A2746,1))=2,"gm. w. ",IF(VALUE(RIGHT($A2746,1))=8,"dz. ","gm. m.-w. ")))))&amp;IF(LEN($A2746)=2,TRIM(UPPER(VLOOKUP($A2746,GUS_tabl_1!$A$7:$B$22,2,FALSE))),IF(ISERROR(FIND("..",TRIM(VLOOKUP(IF(AND(LEN($A2746)=4,VALUE(RIGHT($A2746,2))&gt;60),$A2746&amp;"01 1",$A2746),IF(AND(LEN($A2746)=4,VALUE(RIGHT($A2746,2))&lt;60),GUS_tabl_2!$A$8:$B$464,GUS_tabl_21!$A$5:$B$4886),2,FALSE)))),TRIM(VLOOKUP(IF(AND(LEN($A2746)=4,VALUE(RIGHT($A2746,2))&gt;60),$A2746&amp;"01 1",$A2746),IF(AND(LEN($A2746)=4,VALUE(RIGHT($A2746,2))&lt;60),GUS_tabl_2!$A$8:$B$464,GUS_tabl_21!$A$5:$B$4886),2,FALSE)),LEFT(TRIM(VLOOKUP(IF(AND(LEN($A2746)=4,VALUE(RIGHT($A2746,2))&gt;60),$A2746&amp;"01 1",$A2746),IF(AND(LEN($A2746)=4,VALUE(RIGHT($A2746,2))&lt;60),GUS_tabl_2!$A$8:$B$464,GUS_tabl_21!$A$5:$B$4886),2,FALSE)),SUM(FIND("..",TRIM(VLOOKUP(IF(AND(LEN($A2746)=4,VALUE(RIGHT($A2746,2))&gt;60),$A2746&amp;"01 1",$A2746),IF(AND(LEN($A2746)=4,VALUE(RIGHT($A2746,2))&lt;60),GUS_tabl_2!$A$8:$B$464,GUS_tabl_21!$A$5:$B$4886),2,FALSE))),-1)))))</f>
        <v>gm. m.-w. Zagórów</v>
      </c>
      <c r="D2746" s="141">
        <f>IF(OR($A2746="",ISERROR(VALUE(LEFT($A2746,6)))),"",IF(LEN($A2746)=2,SUMIF($A2747:$A$2965,$A2746&amp;"??",$D2747:$D$2965),IF(AND(LEN($A2746)=4,VALUE(RIGHT($A2746,2))&lt;=60),SUMIF($A2747:$A$2965,$A2746&amp;"????",$D2747:$D$2965),VLOOKUP(IF(LEN($A2746)=4,$A2746&amp;"01 1",$A2746),GUS_tabl_21!$A$5:$F$4886,6,FALSE))))</f>
        <v>8945</v>
      </c>
      <c r="E2746" s="29"/>
    </row>
    <row r="2747" spans="1:5" ht="12" customHeight="1">
      <c r="A2747" s="152" t="str">
        <f>"3024"</f>
        <v>3024</v>
      </c>
      <c r="B2747" s="153" t="s">
        <v>34</v>
      </c>
      <c r="C2747" s="154" t="str">
        <f>IF(OR($A2747="",ISERROR(VALUE(LEFT($A2747,6)))),"",IF(LEN($A2747)=2,"WOJ. ",IF(LEN($A2747)=4,IF(VALUE(RIGHT($A2747,2))&gt;60,"","Powiat "),IF(VALUE(RIGHT($A2747,1))=1,"m. ",IF(VALUE(RIGHT($A2747,1))=2,"gm. w. ",IF(VALUE(RIGHT($A2747,1))=8,"dz. ","gm. m.-w. ")))))&amp;IF(LEN($A2747)=2,TRIM(UPPER(VLOOKUP($A2747,GUS_tabl_1!$A$7:$B$22,2,FALSE))),IF(ISERROR(FIND("..",TRIM(VLOOKUP(IF(AND(LEN($A2747)=4,VALUE(RIGHT($A2747,2))&gt;60),$A2747&amp;"01 1",$A2747),IF(AND(LEN($A2747)=4,VALUE(RIGHT($A2747,2))&lt;60),GUS_tabl_2!$A$8:$B$464,GUS_tabl_21!$A$5:$B$4886),2,FALSE)))),TRIM(VLOOKUP(IF(AND(LEN($A2747)=4,VALUE(RIGHT($A2747,2))&gt;60),$A2747&amp;"01 1",$A2747),IF(AND(LEN($A2747)=4,VALUE(RIGHT($A2747,2))&lt;60),GUS_tabl_2!$A$8:$B$464,GUS_tabl_21!$A$5:$B$4886),2,FALSE)),LEFT(TRIM(VLOOKUP(IF(AND(LEN($A2747)=4,VALUE(RIGHT($A2747,2))&gt;60),$A2747&amp;"01 1",$A2747),IF(AND(LEN($A2747)=4,VALUE(RIGHT($A2747,2))&lt;60),GUS_tabl_2!$A$8:$B$464,GUS_tabl_21!$A$5:$B$4886),2,FALSE)),SUM(FIND("..",TRIM(VLOOKUP(IF(AND(LEN($A2747)=4,VALUE(RIGHT($A2747,2))&gt;60),$A2747&amp;"01 1",$A2747),IF(AND(LEN($A2747)=4,VALUE(RIGHT($A2747,2))&lt;60),GUS_tabl_2!$A$8:$B$464,GUS_tabl_21!$A$5:$B$4886),2,FALSE))),-1)))))</f>
        <v>Powiat szamotulski</v>
      </c>
      <c r="D2747" s="140">
        <f>IF(OR($A2747="",ISERROR(VALUE(LEFT($A2747,6)))),"",IF(LEN($A2747)=2,SUMIF($A2748:$A$2965,$A2747&amp;"??",$D2748:$D$2965),IF(AND(LEN($A2747)=4,VALUE(RIGHT($A2747,2))&lt;=60),SUMIF($A2748:$A$2965,$A2747&amp;"????",$D2748:$D$2965),VLOOKUP(IF(LEN($A2747)=4,$A2747&amp;"01 1",$A2747),GUS_tabl_21!$A$5:$F$4886,6,FALSE))))</f>
        <v>91664</v>
      </c>
      <c r="E2747" s="29"/>
    </row>
    <row r="2748" spans="1:5" ht="12" customHeight="1">
      <c r="A2748" s="155" t="str">
        <f>"302401 1"</f>
        <v>302401 1</v>
      </c>
      <c r="B2748" s="153" t="s">
        <v>34</v>
      </c>
      <c r="C2748" s="156" t="str">
        <f>IF(OR($A2748="",ISERROR(VALUE(LEFT($A2748,6)))),"",IF(LEN($A2748)=2,"WOJ. ",IF(LEN($A2748)=4,IF(VALUE(RIGHT($A2748,2))&gt;60,"","Powiat "),IF(VALUE(RIGHT($A2748,1))=1,"m. ",IF(VALUE(RIGHT($A2748,1))=2,"gm. w. ",IF(VALUE(RIGHT($A2748,1))=8,"dz. ","gm. m.-w. ")))))&amp;IF(LEN($A2748)=2,TRIM(UPPER(VLOOKUP($A2748,GUS_tabl_1!$A$7:$B$22,2,FALSE))),IF(ISERROR(FIND("..",TRIM(VLOOKUP(IF(AND(LEN($A2748)=4,VALUE(RIGHT($A2748,2))&gt;60),$A2748&amp;"01 1",$A2748),IF(AND(LEN($A2748)=4,VALUE(RIGHT($A2748,2))&lt;60),GUS_tabl_2!$A$8:$B$464,GUS_tabl_21!$A$5:$B$4886),2,FALSE)))),TRIM(VLOOKUP(IF(AND(LEN($A2748)=4,VALUE(RIGHT($A2748,2))&gt;60),$A2748&amp;"01 1",$A2748),IF(AND(LEN($A2748)=4,VALUE(RIGHT($A2748,2))&lt;60),GUS_tabl_2!$A$8:$B$464,GUS_tabl_21!$A$5:$B$4886),2,FALSE)),LEFT(TRIM(VLOOKUP(IF(AND(LEN($A2748)=4,VALUE(RIGHT($A2748,2))&gt;60),$A2748&amp;"01 1",$A2748),IF(AND(LEN($A2748)=4,VALUE(RIGHT($A2748,2))&lt;60),GUS_tabl_2!$A$8:$B$464,GUS_tabl_21!$A$5:$B$4886),2,FALSE)),SUM(FIND("..",TRIM(VLOOKUP(IF(AND(LEN($A2748)=4,VALUE(RIGHT($A2748,2))&gt;60),$A2748&amp;"01 1",$A2748),IF(AND(LEN($A2748)=4,VALUE(RIGHT($A2748,2))&lt;60),GUS_tabl_2!$A$8:$B$464,GUS_tabl_21!$A$5:$B$4886),2,FALSE))),-1)))))</f>
        <v>m. Obrzycko</v>
      </c>
      <c r="D2748" s="141">
        <f>IF(OR($A2748="",ISERROR(VALUE(LEFT($A2748,6)))),"",IF(LEN($A2748)=2,SUMIF($A2749:$A$2965,$A2748&amp;"??",$D2749:$D$2965),IF(AND(LEN($A2748)=4,VALUE(RIGHT($A2748,2))&lt;=60),SUMIF($A2749:$A$2965,$A2748&amp;"????",$D2749:$D$2965),VLOOKUP(IF(LEN($A2748)=4,$A2748&amp;"01 1",$A2748),GUS_tabl_21!$A$5:$F$4886,6,FALSE))))</f>
        <v>2375</v>
      </c>
      <c r="E2748" s="29"/>
    </row>
    <row r="2749" spans="1:5" ht="12" customHeight="1">
      <c r="A2749" s="155" t="str">
        <f>"302402 2"</f>
        <v>302402 2</v>
      </c>
      <c r="B2749" s="153" t="s">
        <v>34</v>
      </c>
      <c r="C2749" s="156" t="str">
        <f>IF(OR($A2749="",ISERROR(VALUE(LEFT($A2749,6)))),"",IF(LEN($A2749)=2,"WOJ. ",IF(LEN($A2749)=4,IF(VALUE(RIGHT($A2749,2))&gt;60,"","Powiat "),IF(VALUE(RIGHT($A2749,1))=1,"m. ",IF(VALUE(RIGHT($A2749,1))=2,"gm. w. ",IF(VALUE(RIGHT($A2749,1))=8,"dz. ","gm. m.-w. ")))))&amp;IF(LEN($A2749)=2,TRIM(UPPER(VLOOKUP($A2749,GUS_tabl_1!$A$7:$B$22,2,FALSE))),IF(ISERROR(FIND("..",TRIM(VLOOKUP(IF(AND(LEN($A2749)=4,VALUE(RIGHT($A2749,2))&gt;60),$A2749&amp;"01 1",$A2749),IF(AND(LEN($A2749)=4,VALUE(RIGHT($A2749,2))&lt;60),GUS_tabl_2!$A$8:$B$464,GUS_tabl_21!$A$5:$B$4886),2,FALSE)))),TRIM(VLOOKUP(IF(AND(LEN($A2749)=4,VALUE(RIGHT($A2749,2))&gt;60),$A2749&amp;"01 1",$A2749),IF(AND(LEN($A2749)=4,VALUE(RIGHT($A2749,2))&lt;60),GUS_tabl_2!$A$8:$B$464,GUS_tabl_21!$A$5:$B$4886),2,FALSE)),LEFT(TRIM(VLOOKUP(IF(AND(LEN($A2749)=4,VALUE(RIGHT($A2749,2))&gt;60),$A2749&amp;"01 1",$A2749),IF(AND(LEN($A2749)=4,VALUE(RIGHT($A2749,2))&lt;60),GUS_tabl_2!$A$8:$B$464,GUS_tabl_21!$A$5:$B$4886),2,FALSE)),SUM(FIND("..",TRIM(VLOOKUP(IF(AND(LEN($A2749)=4,VALUE(RIGHT($A2749,2))&gt;60),$A2749&amp;"01 1",$A2749),IF(AND(LEN($A2749)=4,VALUE(RIGHT($A2749,2))&lt;60),GUS_tabl_2!$A$8:$B$464,GUS_tabl_21!$A$5:$B$4886),2,FALSE))),-1)))))</f>
        <v>gm. w. Duszniki</v>
      </c>
      <c r="D2749" s="141">
        <f>IF(OR($A2749="",ISERROR(VALUE(LEFT($A2749,6)))),"",IF(LEN($A2749)=2,SUMIF($A2750:$A$2965,$A2749&amp;"??",$D2750:$D$2965),IF(AND(LEN($A2749)=4,VALUE(RIGHT($A2749,2))&lt;=60),SUMIF($A2750:$A$2965,$A2749&amp;"????",$D2750:$D$2965),VLOOKUP(IF(LEN($A2749)=4,$A2749&amp;"01 1",$A2749),GUS_tabl_21!$A$5:$F$4886,6,FALSE))))</f>
        <v>9109</v>
      </c>
      <c r="E2749" s="29"/>
    </row>
    <row r="2750" spans="1:5" ht="12" customHeight="1">
      <c r="A2750" s="155" t="str">
        <f>"302403 2"</f>
        <v>302403 2</v>
      </c>
      <c r="B2750" s="153" t="s">
        <v>34</v>
      </c>
      <c r="C2750" s="156" t="str">
        <f>IF(OR($A2750="",ISERROR(VALUE(LEFT($A2750,6)))),"",IF(LEN($A2750)=2,"WOJ. ",IF(LEN($A2750)=4,IF(VALUE(RIGHT($A2750,2))&gt;60,"","Powiat "),IF(VALUE(RIGHT($A2750,1))=1,"m. ",IF(VALUE(RIGHT($A2750,1))=2,"gm. w. ",IF(VALUE(RIGHT($A2750,1))=8,"dz. ","gm. m.-w. ")))))&amp;IF(LEN($A2750)=2,TRIM(UPPER(VLOOKUP($A2750,GUS_tabl_1!$A$7:$B$22,2,FALSE))),IF(ISERROR(FIND("..",TRIM(VLOOKUP(IF(AND(LEN($A2750)=4,VALUE(RIGHT($A2750,2))&gt;60),$A2750&amp;"01 1",$A2750),IF(AND(LEN($A2750)=4,VALUE(RIGHT($A2750,2))&lt;60),GUS_tabl_2!$A$8:$B$464,GUS_tabl_21!$A$5:$B$4886),2,FALSE)))),TRIM(VLOOKUP(IF(AND(LEN($A2750)=4,VALUE(RIGHT($A2750,2))&gt;60),$A2750&amp;"01 1",$A2750),IF(AND(LEN($A2750)=4,VALUE(RIGHT($A2750,2))&lt;60),GUS_tabl_2!$A$8:$B$464,GUS_tabl_21!$A$5:$B$4886),2,FALSE)),LEFT(TRIM(VLOOKUP(IF(AND(LEN($A2750)=4,VALUE(RIGHT($A2750,2))&gt;60),$A2750&amp;"01 1",$A2750),IF(AND(LEN($A2750)=4,VALUE(RIGHT($A2750,2))&lt;60),GUS_tabl_2!$A$8:$B$464,GUS_tabl_21!$A$5:$B$4886),2,FALSE)),SUM(FIND("..",TRIM(VLOOKUP(IF(AND(LEN($A2750)=4,VALUE(RIGHT($A2750,2))&gt;60),$A2750&amp;"01 1",$A2750),IF(AND(LEN($A2750)=4,VALUE(RIGHT($A2750,2))&lt;60),GUS_tabl_2!$A$8:$B$464,GUS_tabl_21!$A$5:$B$4886),2,FALSE))),-1)))))</f>
        <v>gm. w. Kaźmierz</v>
      </c>
      <c r="D2750" s="141">
        <f>IF(OR($A2750="",ISERROR(VALUE(LEFT($A2750,6)))),"",IF(LEN($A2750)=2,SUMIF($A2751:$A$2965,$A2750&amp;"??",$D2751:$D$2965),IF(AND(LEN($A2750)=4,VALUE(RIGHT($A2750,2))&lt;=60),SUMIF($A2751:$A$2965,$A2750&amp;"????",$D2751:$D$2965),VLOOKUP(IF(LEN($A2750)=4,$A2750&amp;"01 1",$A2750),GUS_tabl_21!$A$5:$F$4886,6,FALSE))))</f>
        <v>8755</v>
      </c>
      <c r="E2750" s="29"/>
    </row>
    <row r="2751" spans="1:5" ht="12" customHeight="1">
      <c r="A2751" s="155" t="str">
        <f>"302404 2"</f>
        <v>302404 2</v>
      </c>
      <c r="B2751" s="153" t="s">
        <v>34</v>
      </c>
      <c r="C2751" s="156" t="str">
        <f>IF(OR($A2751="",ISERROR(VALUE(LEFT($A2751,6)))),"",IF(LEN($A2751)=2,"WOJ. ",IF(LEN($A2751)=4,IF(VALUE(RIGHT($A2751,2))&gt;60,"","Powiat "),IF(VALUE(RIGHT($A2751,1))=1,"m. ",IF(VALUE(RIGHT($A2751,1))=2,"gm. w. ",IF(VALUE(RIGHT($A2751,1))=8,"dz. ","gm. m.-w. ")))))&amp;IF(LEN($A2751)=2,TRIM(UPPER(VLOOKUP($A2751,GUS_tabl_1!$A$7:$B$22,2,FALSE))),IF(ISERROR(FIND("..",TRIM(VLOOKUP(IF(AND(LEN($A2751)=4,VALUE(RIGHT($A2751,2))&gt;60),$A2751&amp;"01 1",$A2751),IF(AND(LEN($A2751)=4,VALUE(RIGHT($A2751,2))&lt;60),GUS_tabl_2!$A$8:$B$464,GUS_tabl_21!$A$5:$B$4886),2,FALSE)))),TRIM(VLOOKUP(IF(AND(LEN($A2751)=4,VALUE(RIGHT($A2751,2))&gt;60),$A2751&amp;"01 1",$A2751),IF(AND(LEN($A2751)=4,VALUE(RIGHT($A2751,2))&lt;60),GUS_tabl_2!$A$8:$B$464,GUS_tabl_21!$A$5:$B$4886),2,FALSE)),LEFT(TRIM(VLOOKUP(IF(AND(LEN($A2751)=4,VALUE(RIGHT($A2751,2))&gt;60),$A2751&amp;"01 1",$A2751),IF(AND(LEN($A2751)=4,VALUE(RIGHT($A2751,2))&lt;60),GUS_tabl_2!$A$8:$B$464,GUS_tabl_21!$A$5:$B$4886),2,FALSE)),SUM(FIND("..",TRIM(VLOOKUP(IF(AND(LEN($A2751)=4,VALUE(RIGHT($A2751,2))&gt;60),$A2751&amp;"01 1",$A2751),IF(AND(LEN($A2751)=4,VALUE(RIGHT($A2751,2))&lt;60),GUS_tabl_2!$A$8:$B$464,GUS_tabl_21!$A$5:$B$4886),2,FALSE))),-1)))))</f>
        <v>gm. w. Obrzycko</v>
      </c>
      <c r="D2751" s="141">
        <f>IF(OR($A2751="",ISERROR(VALUE(LEFT($A2751,6)))),"",IF(LEN($A2751)=2,SUMIF($A2752:$A$2965,$A2751&amp;"??",$D2752:$D$2965),IF(AND(LEN($A2751)=4,VALUE(RIGHT($A2751,2))&lt;=60),SUMIF($A2752:$A$2965,$A2751&amp;"????",$D2752:$D$2965),VLOOKUP(IF(LEN($A2751)=4,$A2751&amp;"01 1",$A2751),GUS_tabl_21!$A$5:$F$4886,6,FALSE))))</f>
        <v>4467</v>
      </c>
      <c r="E2751" s="29"/>
    </row>
    <row r="2752" spans="1:5" ht="12" customHeight="1">
      <c r="A2752" s="155" t="str">
        <f>"302405 3"</f>
        <v>302405 3</v>
      </c>
      <c r="B2752" s="153" t="s">
        <v>34</v>
      </c>
      <c r="C2752" s="156" t="str">
        <f>IF(OR($A2752="",ISERROR(VALUE(LEFT($A2752,6)))),"",IF(LEN($A2752)=2,"WOJ. ",IF(LEN($A2752)=4,IF(VALUE(RIGHT($A2752,2))&gt;60,"","Powiat "),IF(VALUE(RIGHT($A2752,1))=1,"m. ",IF(VALUE(RIGHT($A2752,1))=2,"gm. w. ",IF(VALUE(RIGHT($A2752,1))=8,"dz. ","gm. m.-w. ")))))&amp;IF(LEN($A2752)=2,TRIM(UPPER(VLOOKUP($A2752,GUS_tabl_1!$A$7:$B$22,2,FALSE))),IF(ISERROR(FIND("..",TRIM(VLOOKUP(IF(AND(LEN($A2752)=4,VALUE(RIGHT($A2752,2))&gt;60),$A2752&amp;"01 1",$A2752),IF(AND(LEN($A2752)=4,VALUE(RIGHT($A2752,2))&lt;60),GUS_tabl_2!$A$8:$B$464,GUS_tabl_21!$A$5:$B$4886),2,FALSE)))),TRIM(VLOOKUP(IF(AND(LEN($A2752)=4,VALUE(RIGHT($A2752,2))&gt;60),$A2752&amp;"01 1",$A2752),IF(AND(LEN($A2752)=4,VALUE(RIGHT($A2752,2))&lt;60),GUS_tabl_2!$A$8:$B$464,GUS_tabl_21!$A$5:$B$4886),2,FALSE)),LEFT(TRIM(VLOOKUP(IF(AND(LEN($A2752)=4,VALUE(RIGHT($A2752,2))&gt;60),$A2752&amp;"01 1",$A2752),IF(AND(LEN($A2752)=4,VALUE(RIGHT($A2752,2))&lt;60),GUS_tabl_2!$A$8:$B$464,GUS_tabl_21!$A$5:$B$4886),2,FALSE)),SUM(FIND("..",TRIM(VLOOKUP(IF(AND(LEN($A2752)=4,VALUE(RIGHT($A2752,2))&gt;60),$A2752&amp;"01 1",$A2752),IF(AND(LEN($A2752)=4,VALUE(RIGHT($A2752,2))&lt;60),GUS_tabl_2!$A$8:$B$464,GUS_tabl_21!$A$5:$B$4886),2,FALSE))),-1)))))</f>
        <v>gm. m.-w. Ostroróg</v>
      </c>
      <c r="D2752" s="141">
        <f>IF(OR($A2752="",ISERROR(VALUE(LEFT($A2752,6)))),"",IF(LEN($A2752)=2,SUMIF($A2753:$A$2965,$A2752&amp;"??",$D2753:$D$2965),IF(AND(LEN($A2752)=4,VALUE(RIGHT($A2752,2))&lt;=60),SUMIF($A2753:$A$2965,$A2752&amp;"????",$D2753:$D$2965),VLOOKUP(IF(LEN($A2752)=4,$A2752&amp;"01 1",$A2752),GUS_tabl_21!$A$5:$F$4886,6,FALSE))))</f>
        <v>4925</v>
      </c>
      <c r="E2752" s="29"/>
    </row>
    <row r="2753" spans="1:5" ht="12" customHeight="1">
      <c r="A2753" s="155" t="str">
        <f>"302406 3"</f>
        <v>302406 3</v>
      </c>
      <c r="B2753" s="153" t="s">
        <v>34</v>
      </c>
      <c r="C2753" s="156" t="str">
        <f>IF(OR($A2753="",ISERROR(VALUE(LEFT($A2753,6)))),"",IF(LEN($A2753)=2,"WOJ. ",IF(LEN($A2753)=4,IF(VALUE(RIGHT($A2753,2))&gt;60,"","Powiat "),IF(VALUE(RIGHT($A2753,1))=1,"m. ",IF(VALUE(RIGHT($A2753,1))=2,"gm. w. ",IF(VALUE(RIGHT($A2753,1))=8,"dz. ","gm. m.-w. ")))))&amp;IF(LEN($A2753)=2,TRIM(UPPER(VLOOKUP($A2753,GUS_tabl_1!$A$7:$B$22,2,FALSE))),IF(ISERROR(FIND("..",TRIM(VLOOKUP(IF(AND(LEN($A2753)=4,VALUE(RIGHT($A2753,2))&gt;60),$A2753&amp;"01 1",$A2753),IF(AND(LEN($A2753)=4,VALUE(RIGHT($A2753,2))&lt;60),GUS_tabl_2!$A$8:$B$464,GUS_tabl_21!$A$5:$B$4886),2,FALSE)))),TRIM(VLOOKUP(IF(AND(LEN($A2753)=4,VALUE(RIGHT($A2753,2))&gt;60),$A2753&amp;"01 1",$A2753),IF(AND(LEN($A2753)=4,VALUE(RIGHT($A2753,2))&lt;60),GUS_tabl_2!$A$8:$B$464,GUS_tabl_21!$A$5:$B$4886),2,FALSE)),LEFT(TRIM(VLOOKUP(IF(AND(LEN($A2753)=4,VALUE(RIGHT($A2753,2))&gt;60),$A2753&amp;"01 1",$A2753),IF(AND(LEN($A2753)=4,VALUE(RIGHT($A2753,2))&lt;60),GUS_tabl_2!$A$8:$B$464,GUS_tabl_21!$A$5:$B$4886),2,FALSE)),SUM(FIND("..",TRIM(VLOOKUP(IF(AND(LEN($A2753)=4,VALUE(RIGHT($A2753,2))&gt;60),$A2753&amp;"01 1",$A2753),IF(AND(LEN($A2753)=4,VALUE(RIGHT($A2753,2))&lt;60),GUS_tabl_2!$A$8:$B$464,GUS_tabl_21!$A$5:$B$4886),2,FALSE))),-1)))))</f>
        <v>gm. m.-w. Pniewy</v>
      </c>
      <c r="D2753" s="141">
        <f>IF(OR($A2753="",ISERROR(VALUE(LEFT($A2753,6)))),"",IF(LEN($A2753)=2,SUMIF($A2754:$A$2965,$A2753&amp;"??",$D2754:$D$2965),IF(AND(LEN($A2753)=4,VALUE(RIGHT($A2753,2))&lt;=60),SUMIF($A2754:$A$2965,$A2753&amp;"????",$D2754:$D$2965),VLOOKUP(IF(LEN($A2753)=4,$A2753&amp;"01 1",$A2753),GUS_tabl_21!$A$5:$F$4886,6,FALSE))))</f>
        <v>12708</v>
      </c>
      <c r="E2753" s="29"/>
    </row>
    <row r="2754" spans="1:5" ht="12" customHeight="1">
      <c r="A2754" s="155" t="str">
        <f>"302407 3"</f>
        <v>302407 3</v>
      </c>
      <c r="B2754" s="153" t="s">
        <v>34</v>
      </c>
      <c r="C2754" s="156" t="str">
        <f>IF(OR($A2754="",ISERROR(VALUE(LEFT($A2754,6)))),"",IF(LEN($A2754)=2,"WOJ. ",IF(LEN($A2754)=4,IF(VALUE(RIGHT($A2754,2))&gt;60,"","Powiat "),IF(VALUE(RIGHT($A2754,1))=1,"m. ",IF(VALUE(RIGHT($A2754,1))=2,"gm. w. ",IF(VALUE(RIGHT($A2754,1))=8,"dz. ","gm. m.-w. ")))))&amp;IF(LEN($A2754)=2,TRIM(UPPER(VLOOKUP($A2754,GUS_tabl_1!$A$7:$B$22,2,FALSE))),IF(ISERROR(FIND("..",TRIM(VLOOKUP(IF(AND(LEN($A2754)=4,VALUE(RIGHT($A2754,2))&gt;60),$A2754&amp;"01 1",$A2754),IF(AND(LEN($A2754)=4,VALUE(RIGHT($A2754,2))&lt;60),GUS_tabl_2!$A$8:$B$464,GUS_tabl_21!$A$5:$B$4886),2,FALSE)))),TRIM(VLOOKUP(IF(AND(LEN($A2754)=4,VALUE(RIGHT($A2754,2))&gt;60),$A2754&amp;"01 1",$A2754),IF(AND(LEN($A2754)=4,VALUE(RIGHT($A2754,2))&lt;60),GUS_tabl_2!$A$8:$B$464,GUS_tabl_21!$A$5:$B$4886),2,FALSE)),LEFT(TRIM(VLOOKUP(IF(AND(LEN($A2754)=4,VALUE(RIGHT($A2754,2))&gt;60),$A2754&amp;"01 1",$A2754),IF(AND(LEN($A2754)=4,VALUE(RIGHT($A2754,2))&lt;60),GUS_tabl_2!$A$8:$B$464,GUS_tabl_21!$A$5:$B$4886),2,FALSE)),SUM(FIND("..",TRIM(VLOOKUP(IF(AND(LEN($A2754)=4,VALUE(RIGHT($A2754,2))&gt;60),$A2754&amp;"01 1",$A2754),IF(AND(LEN($A2754)=4,VALUE(RIGHT($A2754,2))&lt;60),GUS_tabl_2!$A$8:$B$464,GUS_tabl_21!$A$5:$B$4886),2,FALSE))),-1)))))</f>
        <v>gm. m.-w. Szamotuły</v>
      </c>
      <c r="D2754" s="141">
        <f>IF(OR($A2754="",ISERROR(VALUE(LEFT($A2754,6)))),"",IF(LEN($A2754)=2,SUMIF($A2755:$A$2965,$A2754&amp;"??",$D2755:$D$2965),IF(AND(LEN($A2754)=4,VALUE(RIGHT($A2754,2))&lt;=60),SUMIF($A2755:$A$2965,$A2754&amp;"????",$D2755:$D$2965),VLOOKUP(IF(LEN($A2754)=4,$A2754&amp;"01 1",$A2754),GUS_tabl_21!$A$5:$F$4886,6,FALSE))))</f>
        <v>30251</v>
      </c>
      <c r="E2754" s="29"/>
    </row>
    <row r="2755" spans="1:5" ht="12" customHeight="1">
      <c r="A2755" s="155" t="str">
        <f>"302408 3"</f>
        <v>302408 3</v>
      </c>
      <c r="B2755" s="153" t="s">
        <v>34</v>
      </c>
      <c r="C2755" s="156" t="str">
        <f>IF(OR($A2755="",ISERROR(VALUE(LEFT($A2755,6)))),"",IF(LEN($A2755)=2,"WOJ. ",IF(LEN($A2755)=4,IF(VALUE(RIGHT($A2755,2))&gt;60,"","Powiat "),IF(VALUE(RIGHT($A2755,1))=1,"m. ",IF(VALUE(RIGHT($A2755,1))=2,"gm. w. ",IF(VALUE(RIGHT($A2755,1))=8,"dz. ","gm. m.-w. ")))))&amp;IF(LEN($A2755)=2,TRIM(UPPER(VLOOKUP($A2755,GUS_tabl_1!$A$7:$B$22,2,FALSE))),IF(ISERROR(FIND("..",TRIM(VLOOKUP(IF(AND(LEN($A2755)=4,VALUE(RIGHT($A2755,2))&gt;60),$A2755&amp;"01 1",$A2755),IF(AND(LEN($A2755)=4,VALUE(RIGHT($A2755,2))&lt;60),GUS_tabl_2!$A$8:$B$464,GUS_tabl_21!$A$5:$B$4886),2,FALSE)))),TRIM(VLOOKUP(IF(AND(LEN($A2755)=4,VALUE(RIGHT($A2755,2))&gt;60),$A2755&amp;"01 1",$A2755),IF(AND(LEN($A2755)=4,VALUE(RIGHT($A2755,2))&lt;60),GUS_tabl_2!$A$8:$B$464,GUS_tabl_21!$A$5:$B$4886),2,FALSE)),LEFT(TRIM(VLOOKUP(IF(AND(LEN($A2755)=4,VALUE(RIGHT($A2755,2))&gt;60),$A2755&amp;"01 1",$A2755),IF(AND(LEN($A2755)=4,VALUE(RIGHT($A2755,2))&lt;60),GUS_tabl_2!$A$8:$B$464,GUS_tabl_21!$A$5:$B$4886),2,FALSE)),SUM(FIND("..",TRIM(VLOOKUP(IF(AND(LEN($A2755)=4,VALUE(RIGHT($A2755,2))&gt;60),$A2755&amp;"01 1",$A2755),IF(AND(LEN($A2755)=4,VALUE(RIGHT($A2755,2))&lt;60),GUS_tabl_2!$A$8:$B$464,GUS_tabl_21!$A$5:$B$4886),2,FALSE))),-1)))))</f>
        <v>gm. m.-w. Wronki</v>
      </c>
      <c r="D2755" s="141">
        <f>IF(OR($A2755="",ISERROR(VALUE(LEFT($A2755,6)))),"",IF(LEN($A2755)=2,SUMIF($A2756:$A$2965,$A2755&amp;"??",$D2756:$D$2965),IF(AND(LEN($A2755)=4,VALUE(RIGHT($A2755,2))&lt;=60),SUMIF($A2756:$A$2965,$A2755&amp;"????",$D2756:$D$2965),VLOOKUP(IF(LEN($A2755)=4,$A2755&amp;"01 1",$A2755),GUS_tabl_21!$A$5:$F$4886,6,FALSE))))</f>
        <v>19074</v>
      </c>
      <c r="E2755" s="29"/>
    </row>
    <row r="2756" spans="1:5" ht="12" customHeight="1">
      <c r="A2756" s="152" t="str">
        <f>"3025"</f>
        <v>3025</v>
      </c>
      <c r="B2756" s="153" t="s">
        <v>34</v>
      </c>
      <c r="C2756" s="154" t="str">
        <f>IF(OR($A2756="",ISERROR(VALUE(LEFT($A2756,6)))),"",IF(LEN($A2756)=2,"WOJ. ",IF(LEN($A2756)=4,IF(VALUE(RIGHT($A2756,2))&gt;60,"","Powiat "),IF(VALUE(RIGHT($A2756,1))=1,"m. ",IF(VALUE(RIGHT($A2756,1))=2,"gm. w. ",IF(VALUE(RIGHT($A2756,1))=8,"dz. ","gm. m.-w. ")))))&amp;IF(LEN($A2756)=2,TRIM(UPPER(VLOOKUP($A2756,GUS_tabl_1!$A$7:$B$22,2,FALSE))),IF(ISERROR(FIND("..",TRIM(VLOOKUP(IF(AND(LEN($A2756)=4,VALUE(RIGHT($A2756,2))&gt;60),$A2756&amp;"01 1",$A2756),IF(AND(LEN($A2756)=4,VALUE(RIGHT($A2756,2))&lt;60),GUS_tabl_2!$A$8:$B$464,GUS_tabl_21!$A$5:$B$4886),2,FALSE)))),TRIM(VLOOKUP(IF(AND(LEN($A2756)=4,VALUE(RIGHT($A2756,2))&gt;60),$A2756&amp;"01 1",$A2756),IF(AND(LEN($A2756)=4,VALUE(RIGHT($A2756,2))&lt;60),GUS_tabl_2!$A$8:$B$464,GUS_tabl_21!$A$5:$B$4886),2,FALSE)),LEFT(TRIM(VLOOKUP(IF(AND(LEN($A2756)=4,VALUE(RIGHT($A2756,2))&gt;60),$A2756&amp;"01 1",$A2756),IF(AND(LEN($A2756)=4,VALUE(RIGHT($A2756,2))&lt;60),GUS_tabl_2!$A$8:$B$464,GUS_tabl_21!$A$5:$B$4886),2,FALSE)),SUM(FIND("..",TRIM(VLOOKUP(IF(AND(LEN($A2756)=4,VALUE(RIGHT($A2756,2))&gt;60),$A2756&amp;"01 1",$A2756),IF(AND(LEN($A2756)=4,VALUE(RIGHT($A2756,2))&lt;60),GUS_tabl_2!$A$8:$B$464,GUS_tabl_21!$A$5:$B$4886),2,FALSE))),-1)))))</f>
        <v>Powiat średzki</v>
      </c>
      <c r="D2756" s="140">
        <f>IF(OR($A2756="",ISERROR(VALUE(LEFT($A2756,6)))),"",IF(LEN($A2756)=2,SUMIF($A2757:$A$2965,$A2756&amp;"??",$D2757:$D$2965),IF(AND(LEN($A2756)=4,VALUE(RIGHT($A2756,2))&lt;=60),SUMIF($A2757:$A$2965,$A2756&amp;"????",$D2757:$D$2965),VLOOKUP(IF(LEN($A2756)=4,$A2756&amp;"01 1",$A2756),GUS_tabl_21!$A$5:$F$4886,6,FALSE))))</f>
        <v>58879</v>
      </c>
      <c r="E2756" s="29"/>
    </row>
    <row r="2757" spans="1:5" ht="12" customHeight="1">
      <c r="A2757" s="155" t="str">
        <f>"302501 2"</f>
        <v>302501 2</v>
      </c>
      <c r="B2757" s="153" t="s">
        <v>34</v>
      </c>
      <c r="C2757" s="156" t="str">
        <f>IF(OR($A2757="",ISERROR(VALUE(LEFT($A2757,6)))),"",IF(LEN($A2757)=2,"WOJ. ",IF(LEN($A2757)=4,IF(VALUE(RIGHT($A2757,2))&gt;60,"","Powiat "),IF(VALUE(RIGHT($A2757,1))=1,"m. ",IF(VALUE(RIGHT($A2757,1))=2,"gm. w. ",IF(VALUE(RIGHT($A2757,1))=8,"dz. ","gm. m.-w. ")))))&amp;IF(LEN($A2757)=2,TRIM(UPPER(VLOOKUP($A2757,GUS_tabl_1!$A$7:$B$22,2,FALSE))),IF(ISERROR(FIND("..",TRIM(VLOOKUP(IF(AND(LEN($A2757)=4,VALUE(RIGHT($A2757,2))&gt;60),$A2757&amp;"01 1",$A2757),IF(AND(LEN($A2757)=4,VALUE(RIGHT($A2757,2))&lt;60),GUS_tabl_2!$A$8:$B$464,GUS_tabl_21!$A$5:$B$4886),2,FALSE)))),TRIM(VLOOKUP(IF(AND(LEN($A2757)=4,VALUE(RIGHT($A2757,2))&gt;60),$A2757&amp;"01 1",$A2757),IF(AND(LEN($A2757)=4,VALUE(RIGHT($A2757,2))&lt;60),GUS_tabl_2!$A$8:$B$464,GUS_tabl_21!$A$5:$B$4886),2,FALSE)),LEFT(TRIM(VLOOKUP(IF(AND(LEN($A2757)=4,VALUE(RIGHT($A2757,2))&gt;60),$A2757&amp;"01 1",$A2757),IF(AND(LEN($A2757)=4,VALUE(RIGHT($A2757,2))&lt;60),GUS_tabl_2!$A$8:$B$464,GUS_tabl_21!$A$5:$B$4886),2,FALSE)),SUM(FIND("..",TRIM(VLOOKUP(IF(AND(LEN($A2757)=4,VALUE(RIGHT($A2757,2))&gt;60),$A2757&amp;"01 1",$A2757),IF(AND(LEN($A2757)=4,VALUE(RIGHT($A2757,2))&lt;60),GUS_tabl_2!$A$8:$B$464,GUS_tabl_21!$A$5:$B$4886),2,FALSE))),-1)))))</f>
        <v>gm. w. Dominowo</v>
      </c>
      <c r="D2757" s="141">
        <f>IF(OR($A2757="",ISERROR(VALUE(LEFT($A2757,6)))),"",IF(LEN($A2757)=2,SUMIF($A2758:$A$2965,$A2757&amp;"??",$D2758:$D$2965),IF(AND(LEN($A2757)=4,VALUE(RIGHT($A2757,2))&lt;=60),SUMIF($A2758:$A$2965,$A2757&amp;"????",$D2758:$D$2965),VLOOKUP(IF(LEN($A2757)=4,$A2757&amp;"01 1",$A2757),GUS_tabl_21!$A$5:$F$4886,6,FALSE))))</f>
        <v>3079</v>
      </c>
      <c r="E2757" s="29"/>
    </row>
    <row r="2758" spans="1:5" ht="12" customHeight="1">
      <c r="A2758" s="155" t="str">
        <f>"302502 2"</f>
        <v>302502 2</v>
      </c>
      <c r="B2758" s="153" t="s">
        <v>34</v>
      </c>
      <c r="C2758" s="156" t="str">
        <f>IF(OR($A2758="",ISERROR(VALUE(LEFT($A2758,6)))),"",IF(LEN($A2758)=2,"WOJ. ",IF(LEN($A2758)=4,IF(VALUE(RIGHT($A2758,2))&gt;60,"","Powiat "),IF(VALUE(RIGHT($A2758,1))=1,"m. ",IF(VALUE(RIGHT($A2758,1))=2,"gm. w. ",IF(VALUE(RIGHT($A2758,1))=8,"dz. ","gm. m.-w. ")))))&amp;IF(LEN($A2758)=2,TRIM(UPPER(VLOOKUP($A2758,GUS_tabl_1!$A$7:$B$22,2,FALSE))),IF(ISERROR(FIND("..",TRIM(VLOOKUP(IF(AND(LEN($A2758)=4,VALUE(RIGHT($A2758,2))&gt;60),$A2758&amp;"01 1",$A2758),IF(AND(LEN($A2758)=4,VALUE(RIGHT($A2758,2))&lt;60),GUS_tabl_2!$A$8:$B$464,GUS_tabl_21!$A$5:$B$4886),2,FALSE)))),TRIM(VLOOKUP(IF(AND(LEN($A2758)=4,VALUE(RIGHT($A2758,2))&gt;60),$A2758&amp;"01 1",$A2758),IF(AND(LEN($A2758)=4,VALUE(RIGHT($A2758,2))&lt;60),GUS_tabl_2!$A$8:$B$464,GUS_tabl_21!$A$5:$B$4886),2,FALSE)),LEFT(TRIM(VLOOKUP(IF(AND(LEN($A2758)=4,VALUE(RIGHT($A2758,2))&gt;60),$A2758&amp;"01 1",$A2758),IF(AND(LEN($A2758)=4,VALUE(RIGHT($A2758,2))&lt;60),GUS_tabl_2!$A$8:$B$464,GUS_tabl_21!$A$5:$B$4886),2,FALSE)),SUM(FIND("..",TRIM(VLOOKUP(IF(AND(LEN($A2758)=4,VALUE(RIGHT($A2758,2))&gt;60),$A2758&amp;"01 1",$A2758),IF(AND(LEN($A2758)=4,VALUE(RIGHT($A2758,2))&lt;60),GUS_tabl_2!$A$8:$B$464,GUS_tabl_21!$A$5:$B$4886),2,FALSE))),-1)))))</f>
        <v>gm. w. Krzykosy</v>
      </c>
      <c r="D2758" s="141">
        <f>IF(OR($A2758="",ISERROR(VALUE(LEFT($A2758,6)))),"",IF(LEN($A2758)=2,SUMIF($A2759:$A$2965,$A2758&amp;"??",$D2759:$D$2965),IF(AND(LEN($A2758)=4,VALUE(RIGHT($A2758,2))&lt;=60),SUMIF($A2759:$A$2965,$A2758&amp;"????",$D2759:$D$2965),VLOOKUP(IF(LEN($A2758)=4,$A2758&amp;"01 1",$A2758),GUS_tabl_21!$A$5:$F$4886,6,FALSE))))</f>
        <v>7136</v>
      </c>
      <c r="E2758" s="29"/>
    </row>
    <row r="2759" spans="1:5" ht="12" customHeight="1">
      <c r="A2759" s="155" t="str">
        <f>"302503 2"</f>
        <v>302503 2</v>
      </c>
      <c r="B2759" s="153" t="s">
        <v>34</v>
      </c>
      <c r="C2759" s="156" t="str">
        <f>IF(OR($A2759="",ISERROR(VALUE(LEFT($A2759,6)))),"",IF(LEN($A2759)=2,"WOJ. ",IF(LEN($A2759)=4,IF(VALUE(RIGHT($A2759,2))&gt;60,"","Powiat "),IF(VALUE(RIGHT($A2759,1))=1,"m. ",IF(VALUE(RIGHT($A2759,1))=2,"gm. w. ",IF(VALUE(RIGHT($A2759,1))=8,"dz. ","gm. m.-w. ")))))&amp;IF(LEN($A2759)=2,TRIM(UPPER(VLOOKUP($A2759,GUS_tabl_1!$A$7:$B$22,2,FALSE))),IF(ISERROR(FIND("..",TRIM(VLOOKUP(IF(AND(LEN($A2759)=4,VALUE(RIGHT($A2759,2))&gt;60),$A2759&amp;"01 1",$A2759),IF(AND(LEN($A2759)=4,VALUE(RIGHT($A2759,2))&lt;60),GUS_tabl_2!$A$8:$B$464,GUS_tabl_21!$A$5:$B$4886),2,FALSE)))),TRIM(VLOOKUP(IF(AND(LEN($A2759)=4,VALUE(RIGHT($A2759,2))&gt;60),$A2759&amp;"01 1",$A2759),IF(AND(LEN($A2759)=4,VALUE(RIGHT($A2759,2))&lt;60),GUS_tabl_2!$A$8:$B$464,GUS_tabl_21!$A$5:$B$4886),2,FALSE)),LEFT(TRIM(VLOOKUP(IF(AND(LEN($A2759)=4,VALUE(RIGHT($A2759,2))&gt;60),$A2759&amp;"01 1",$A2759),IF(AND(LEN($A2759)=4,VALUE(RIGHT($A2759,2))&lt;60),GUS_tabl_2!$A$8:$B$464,GUS_tabl_21!$A$5:$B$4886),2,FALSE)),SUM(FIND("..",TRIM(VLOOKUP(IF(AND(LEN($A2759)=4,VALUE(RIGHT($A2759,2))&gt;60),$A2759&amp;"01 1",$A2759),IF(AND(LEN($A2759)=4,VALUE(RIGHT($A2759,2))&lt;60),GUS_tabl_2!$A$8:$B$464,GUS_tabl_21!$A$5:$B$4886),2,FALSE))),-1)))))</f>
        <v>gm. w. Nowe Miasto nad Wartą</v>
      </c>
      <c r="D2759" s="141">
        <f>IF(OR($A2759="",ISERROR(VALUE(LEFT($A2759,6)))),"",IF(LEN($A2759)=2,SUMIF($A2760:$A$2965,$A2759&amp;"??",$D2760:$D$2965),IF(AND(LEN($A2759)=4,VALUE(RIGHT($A2759,2))&lt;=60),SUMIF($A2760:$A$2965,$A2759&amp;"????",$D2760:$D$2965),VLOOKUP(IF(LEN($A2759)=4,$A2759&amp;"01 1",$A2759),GUS_tabl_21!$A$5:$F$4886,6,FALSE))))</f>
        <v>9057</v>
      </c>
      <c r="E2759" s="29"/>
    </row>
    <row r="2760" spans="1:5" ht="12" customHeight="1">
      <c r="A2760" s="155" t="str">
        <f>"302504 3"</f>
        <v>302504 3</v>
      </c>
      <c r="B2760" s="153" t="s">
        <v>34</v>
      </c>
      <c r="C2760" s="156" t="str">
        <f>IF(OR($A2760="",ISERROR(VALUE(LEFT($A2760,6)))),"",IF(LEN($A2760)=2,"WOJ. ",IF(LEN($A2760)=4,IF(VALUE(RIGHT($A2760,2))&gt;60,"","Powiat "),IF(VALUE(RIGHT($A2760,1))=1,"m. ",IF(VALUE(RIGHT($A2760,1))=2,"gm. w. ",IF(VALUE(RIGHT($A2760,1))=8,"dz. ","gm. m.-w. ")))))&amp;IF(LEN($A2760)=2,TRIM(UPPER(VLOOKUP($A2760,GUS_tabl_1!$A$7:$B$22,2,FALSE))),IF(ISERROR(FIND("..",TRIM(VLOOKUP(IF(AND(LEN($A2760)=4,VALUE(RIGHT($A2760,2))&gt;60),$A2760&amp;"01 1",$A2760),IF(AND(LEN($A2760)=4,VALUE(RIGHT($A2760,2))&lt;60),GUS_tabl_2!$A$8:$B$464,GUS_tabl_21!$A$5:$B$4886),2,FALSE)))),TRIM(VLOOKUP(IF(AND(LEN($A2760)=4,VALUE(RIGHT($A2760,2))&gt;60),$A2760&amp;"01 1",$A2760),IF(AND(LEN($A2760)=4,VALUE(RIGHT($A2760,2))&lt;60),GUS_tabl_2!$A$8:$B$464,GUS_tabl_21!$A$5:$B$4886),2,FALSE)),LEFT(TRIM(VLOOKUP(IF(AND(LEN($A2760)=4,VALUE(RIGHT($A2760,2))&gt;60),$A2760&amp;"01 1",$A2760),IF(AND(LEN($A2760)=4,VALUE(RIGHT($A2760,2))&lt;60),GUS_tabl_2!$A$8:$B$464,GUS_tabl_21!$A$5:$B$4886),2,FALSE)),SUM(FIND("..",TRIM(VLOOKUP(IF(AND(LEN($A2760)=4,VALUE(RIGHT($A2760,2))&gt;60),$A2760&amp;"01 1",$A2760),IF(AND(LEN($A2760)=4,VALUE(RIGHT($A2760,2))&lt;60),GUS_tabl_2!$A$8:$B$464,GUS_tabl_21!$A$5:$B$4886),2,FALSE))),-1)))))</f>
        <v>gm. m.-w. Środa Wielkopolska</v>
      </c>
      <c r="D2760" s="141">
        <f>IF(OR($A2760="",ISERROR(VALUE(LEFT($A2760,6)))),"",IF(LEN($A2760)=2,SUMIF($A2761:$A$2965,$A2760&amp;"??",$D2761:$D$2965),IF(AND(LEN($A2760)=4,VALUE(RIGHT($A2760,2))&lt;=60),SUMIF($A2761:$A$2965,$A2760&amp;"????",$D2761:$D$2965),VLOOKUP(IF(LEN($A2760)=4,$A2760&amp;"01 1",$A2760),GUS_tabl_21!$A$5:$F$4886,6,FALSE))))</f>
        <v>32649</v>
      </c>
      <c r="E2760" s="29"/>
    </row>
    <row r="2761" spans="1:5" ht="12" customHeight="1">
      <c r="A2761" s="155" t="str">
        <f>"302505 2"</f>
        <v>302505 2</v>
      </c>
      <c r="B2761" s="153" t="s">
        <v>34</v>
      </c>
      <c r="C2761" s="156" t="str">
        <f>IF(OR($A2761="",ISERROR(VALUE(LEFT($A2761,6)))),"",IF(LEN($A2761)=2,"WOJ. ",IF(LEN($A2761)=4,IF(VALUE(RIGHT($A2761,2))&gt;60,"","Powiat "),IF(VALUE(RIGHT($A2761,1))=1,"m. ",IF(VALUE(RIGHT($A2761,1))=2,"gm. w. ",IF(VALUE(RIGHT($A2761,1))=8,"dz. ","gm. m.-w. ")))))&amp;IF(LEN($A2761)=2,TRIM(UPPER(VLOOKUP($A2761,GUS_tabl_1!$A$7:$B$22,2,FALSE))),IF(ISERROR(FIND("..",TRIM(VLOOKUP(IF(AND(LEN($A2761)=4,VALUE(RIGHT($A2761,2))&gt;60),$A2761&amp;"01 1",$A2761),IF(AND(LEN($A2761)=4,VALUE(RIGHT($A2761,2))&lt;60),GUS_tabl_2!$A$8:$B$464,GUS_tabl_21!$A$5:$B$4886),2,FALSE)))),TRIM(VLOOKUP(IF(AND(LEN($A2761)=4,VALUE(RIGHT($A2761,2))&gt;60),$A2761&amp;"01 1",$A2761),IF(AND(LEN($A2761)=4,VALUE(RIGHT($A2761,2))&lt;60),GUS_tabl_2!$A$8:$B$464,GUS_tabl_21!$A$5:$B$4886),2,FALSE)),LEFT(TRIM(VLOOKUP(IF(AND(LEN($A2761)=4,VALUE(RIGHT($A2761,2))&gt;60),$A2761&amp;"01 1",$A2761),IF(AND(LEN($A2761)=4,VALUE(RIGHT($A2761,2))&lt;60),GUS_tabl_2!$A$8:$B$464,GUS_tabl_21!$A$5:$B$4886),2,FALSE)),SUM(FIND("..",TRIM(VLOOKUP(IF(AND(LEN($A2761)=4,VALUE(RIGHT($A2761,2))&gt;60),$A2761&amp;"01 1",$A2761),IF(AND(LEN($A2761)=4,VALUE(RIGHT($A2761,2))&lt;60),GUS_tabl_2!$A$8:$B$464,GUS_tabl_21!$A$5:$B$4886),2,FALSE))),-1)))))</f>
        <v>gm. w. Zaniemyśl</v>
      </c>
      <c r="D2761" s="141">
        <f>IF(OR($A2761="",ISERROR(VALUE(LEFT($A2761,6)))),"",IF(LEN($A2761)=2,SUMIF($A2762:$A$2965,$A2761&amp;"??",$D2762:$D$2965),IF(AND(LEN($A2761)=4,VALUE(RIGHT($A2761,2))&lt;=60),SUMIF($A2762:$A$2965,$A2761&amp;"????",$D2762:$D$2965),VLOOKUP(IF(LEN($A2761)=4,$A2761&amp;"01 1",$A2761),GUS_tabl_21!$A$5:$F$4886,6,FALSE))))</f>
        <v>6958</v>
      </c>
      <c r="E2761" s="29"/>
    </row>
    <row r="2762" spans="1:5" ht="12" customHeight="1">
      <c r="A2762" s="152" t="str">
        <f>"3026"</f>
        <v>3026</v>
      </c>
      <c r="B2762" s="153" t="s">
        <v>34</v>
      </c>
      <c r="C2762" s="154" t="str">
        <f>IF(OR($A2762="",ISERROR(VALUE(LEFT($A2762,6)))),"",IF(LEN($A2762)=2,"WOJ. ",IF(LEN($A2762)=4,IF(VALUE(RIGHT($A2762,2))&gt;60,"","Powiat "),IF(VALUE(RIGHT($A2762,1))=1,"m. ",IF(VALUE(RIGHT($A2762,1))=2,"gm. w. ",IF(VALUE(RIGHT($A2762,1))=8,"dz. ","gm. m.-w. ")))))&amp;IF(LEN($A2762)=2,TRIM(UPPER(VLOOKUP($A2762,GUS_tabl_1!$A$7:$B$22,2,FALSE))),IF(ISERROR(FIND("..",TRIM(VLOOKUP(IF(AND(LEN($A2762)=4,VALUE(RIGHT($A2762,2))&gt;60),$A2762&amp;"01 1",$A2762),IF(AND(LEN($A2762)=4,VALUE(RIGHT($A2762,2))&lt;60),GUS_tabl_2!$A$8:$B$464,GUS_tabl_21!$A$5:$B$4886),2,FALSE)))),TRIM(VLOOKUP(IF(AND(LEN($A2762)=4,VALUE(RIGHT($A2762,2))&gt;60),$A2762&amp;"01 1",$A2762),IF(AND(LEN($A2762)=4,VALUE(RIGHT($A2762,2))&lt;60),GUS_tabl_2!$A$8:$B$464,GUS_tabl_21!$A$5:$B$4886),2,FALSE)),LEFT(TRIM(VLOOKUP(IF(AND(LEN($A2762)=4,VALUE(RIGHT($A2762,2))&gt;60),$A2762&amp;"01 1",$A2762),IF(AND(LEN($A2762)=4,VALUE(RIGHT($A2762,2))&lt;60),GUS_tabl_2!$A$8:$B$464,GUS_tabl_21!$A$5:$B$4886),2,FALSE)),SUM(FIND("..",TRIM(VLOOKUP(IF(AND(LEN($A2762)=4,VALUE(RIGHT($A2762,2))&gt;60),$A2762&amp;"01 1",$A2762),IF(AND(LEN($A2762)=4,VALUE(RIGHT($A2762,2))&lt;60),GUS_tabl_2!$A$8:$B$464,GUS_tabl_21!$A$5:$B$4886),2,FALSE))),-1)))))</f>
        <v>Powiat śremski</v>
      </c>
      <c r="D2762" s="140">
        <f>IF(OR($A2762="",ISERROR(VALUE(LEFT($A2762,6)))),"",IF(LEN($A2762)=2,SUMIF($A2763:$A$2965,$A2762&amp;"??",$D2763:$D$2965),IF(AND(LEN($A2762)=4,VALUE(RIGHT($A2762,2))&lt;=60),SUMIF($A2763:$A$2965,$A2762&amp;"????",$D2763:$D$2965),VLOOKUP(IF(LEN($A2762)=4,$A2762&amp;"01 1",$A2762),GUS_tabl_21!$A$5:$F$4886,6,FALSE))))</f>
        <v>61425</v>
      </c>
      <c r="E2762" s="29"/>
    </row>
    <row r="2763" spans="1:5" ht="12" customHeight="1">
      <c r="A2763" s="155" t="str">
        <f>"302601 2"</f>
        <v>302601 2</v>
      </c>
      <c r="B2763" s="153" t="s">
        <v>34</v>
      </c>
      <c r="C2763" s="156" t="str">
        <f>IF(OR($A2763="",ISERROR(VALUE(LEFT($A2763,6)))),"",IF(LEN($A2763)=2,"WOJ. ",IF(LEN($A2763)=4,IF(VALUE(RIGHT($A2763,2))&gt;60,"","Powiat "),IF(VALUE(RIGHT($A2763,1))=1,"m. ",IF(VALUE(RIGHT($A2763,1))=2,"gm. w. ",IF(VALUE(RIGHT($A2763,1))=8,"dz. ","gm. m.-w. ")))))&amp;IF(LEN($A2763)=2,TRIM(UPPER(VLOOKUP($A2763,GUS_tabl_1!$A$7:$B$22,2,FALSE))),IF(ISERROR(FIND("..",TRIM(VLOOKUP(IF(AND(LEN($A2763)=4,VALUE(RIGHT($A2763,2))&gt;60),$A2763&amp;"01 1",$A2763),IF(AND(LEN($A2763)=4,VALUE(RIGHT($A2763,2))&lt;60),GUS_tabl_2!$A$8:$B$464,GUS_tabl_21!$A$5:$B$4886),2,FALSE)))),TRIM(VLOOKUP(IF(AND(LEN($A2763)=4,VALUE(RIGHT($A2763,2))&gt;60),$A2763&amp;"01 1",$A2763),IF(AND(LEN($A2763)=4,VALUE(RIGHT($A2763,2))&lt;60),GUS_tabl_2!$A$8:$B$464,GUS_tabl_21!$A$5:$B$4886),2,FALSE)),LEFT(TRIM(VLOOKUP(IF(AND(LEN($A2763)=4,VALUE(RIGHT($A2763,2))&gt;60),$A2763&amp;"01 1",$A2763),IF(AND(LEN($A2763)=4,VALUE(RIGHT($A2763,2))&lt;60),GUS_tabl_2!$A$8:$B$464,GUS_tabl_21!$A$5:$B$4886),2,FALSE)),SUM(FIND("..",TRIM(VLOOKUP(IF(AND(LEN($A2763)=4,VALUE(RIGHT($A2763,2))&gt;60),$A2763&amp;"01 1",$A2763),IF(AND(LEN($A2763)=4,VALUE(RIGHT($A2763,2))&lt;60),GUS_tabl_2!$A$8:$B$464,GUS_tabl_21!$A$5:$B$4886),2,FALSE))),-1)))))</f>
        <v>gm. w. Brodnica</v>
      </c>
      <c r="D2763" s="141">
        <f>IF(OR($A2763="",ISERROR(VALUE(LEFT($A2763,6)))),"",IF(LEN($A2763)=2,SUMIF($A2764:$A$2965,$A2763&amp;"??",$D2764:$D$2965),IF(AND(LEN($A2763)=4,VALUE(RIGHT($A2763,2))&lt;=60),SUMIF($A2764:$A$2965,$A2763&amp;"????",$D2764:$D$2965),VLOOKUP(IF(LEN($A2763)=4,$A2763&amp;"01 1",$A2763),GUS_tabl_21!$A$5:$F$4886,6,FALSE))))</f>
        <v>4892</v>
      </c>
      <c r="E2763" s="29"/>
    </row>
    <row r="2764" spans="1:5" ht="12" customHeight="1">
      <c r="A2764" s="155" t="str">
        <f>"302602 3"</f>
        <v>302602 3</v>
      </c>
      <c r="B2764" s="153" t="s">
        <v>34</v>
      </c>
      <c r="C2764" s="156" t="str">
        <f>IF(OR($A2764="",ISERROR(VALUE(LEFT($A2764,6)))),"",IF(LEN($A2764)=2,"WOJ. ",IF(LEN($A2764)=4,IF(VALUE(RIGHT($A2764,2))&gt;60,"","Powiat "),IF(VALUE(RIGHT($A2764,1))=1,"m. ",IF(VALUE(RIGHT($A2764,1))=2,"gm. w. ",IF(VALUE(RIGHT($A2764,1))=8,"dz. ","gm. m.-w. ")))))&amp;IF(LEN($A2764)=2,TRIM(UPPER(VLOOKUP($A2764,GUS_tabl_1!$A$7:$B$22,2,FALSE))),IF(ISERROR(FIND("..",TRIM(VLOOKUP(IF(AND(LEN($A2764)=4,VALUE(RIGHT($A2764,2))&gt;60),$A2764&amp;"01 1",$A2764),IF(AND(LEN($A2764)=4,VALUE(RIGHT($A2764,2))&lt;60),GUS_tabl_2!$A$8:$B$464,GUS_tabl_21!$A$5:$B$4886),2,FALSE)))),TRIM(VLOOKUP(IF(AND(LEN($A2764)=4,VALUE(RIGHT($A2764,2))&gt;60),$A2764&amp;"01 1",$A2764),IF(AND(LEN($A2764)=4,VALUE(RIGHT($A2764,2))&lt;60),GUS_tabl_2!$A$8:$B$464,GUS_tabl_21!$A$5:$B$4886),2,FALSE)),LEFT(TRIM(VLOOKUP(IF(AND(LEN($A2764)=4,VALUE(RIGHT($A2764,2))&gt;60),$A2764&amp;"01 1",$A2764),IF(AND(LEN($A2764)=4,VALUE(RIGHT($A2764,2))&lt;60),GUS_tabl_2!$A$8:$B$464,GUS_tabl_21!$A$5:$B$4886),2,FALSE)),SUM(FIND("..",TRIM(VLOOKUP(IF(AND(LEN($A2764)=4,VALUE(RIGHT($A2764,2))&gt;60),$A2764&amp;"01 1",$A2764),IF(AND(LEN($A2764)=4,VALUE(RIGHT($A2764,2))&lt;60),GUS_tabl_2!$A$8:$B$464,GUS_tabl_21!$A$5:$B$4886),2,FALSE))),-1)))))</f>
        <v>gm. m.-w. Dolsk</v>
      </c>
      <c r="D2764" s="141">
        <f>IF(OR($A2764="",ISERROR(VALUE(LEFT($A2764,6)))),"",IF(LEN($A2764)=2,SUMIF($A2765:$A$2965,$A2764&amp;"??",$D2765:$D$2965),IF(AND(LEN($A2764)=4,VALUE(RIGHT($A2764,2))&lt;=60),SUMIF($A2765:$A$2965,$A2764&amp;"????",$D2765:$D$2965),VLOOKUP(IF(LEN($A2764)=4,$A2764&amp;"01 1",$A2764),GUS_tabl_21!$A$5:$F$4886,6,FALSE))))</f>
        <v>5883</v>
      </c>
      <c r="E2764" s="29"/>
    </row>
    <row r="2765" spans="1:5" ht="12" customHeight="1">
      <c r="A2765" s="155" t="str">
        <f>"302603 3"</f>
        <v>302603 3</v>
      </c>
      <c r="B2765" s="153" t="s">
        <v>34</v>
      </c>
      <c r="C2765" s="156" t="str">
        <f>IF(OR($A2765="",ISERROR(VALUE(LEFT($A2765,6)))),"",IF(LEN($A2765)=2,"WOJ. ",IF(LEN($A2765)=4,IF(VALUE(RIGHT($A2765,2))&gt;60,"","Powiat "),IF(VALUE(RIGHT($A2765,1))=1,"m. ",IF(VALUE(RIGHT($A2765,1))=2,"gm. w. ",IF(VALUE(RIGHT($A2765,1))=8,"dz. ","gm. m.-w. ")))))&amp;IF(LEN($A2765)=2,TRIM(UPPER(VLOOKUP($A2765,GUS_tabl_1!$A$7:$B$22,2,FALSE))),IF(ISERROR(FIND("..",TRIM(VLOOKUP(IF(AND(LEN($A2765)=4,VALUE(RIGHT($A2765,2))&gt;60),$A2765&amp;"01 1",$A2765),IF(AND(LEN($A2765)=4,VALUE(RIGHT($A2765,2))&lt;60),GUS_tabl_2!$A$8:$B$464,GUS_tabl_21!$A$5:$B$4886),2,FALSE)))),TRIM(VLOOKUP(IF(AND(LEN($A2765)=4,VALUE(RIGHT($A2765,2))&gt;60),$A2765&amp;"01 1",$A2765),IF(AND(LEN($A2765)=4,VALUE(RIGHT($A2765,2))&lt;60),GUS_tabl_2!$A$8:$B$464,GUS_tabl_21!$A$5:$B$4886),2,FALSE)),LEFT(TRIM(VLOOKUP(IF(AND(LEN($A2765)=4,VALUE(RIGHT($A2765,2))&gt;60),$A2765&amp;"01 1",$A2765),IF(AND(LEN($A2765)=4,VALUE(RIGHT($A2765,2))&lt;60),GUS_tabl_2!$A$8:$B$464,GUS_tabl_21!$A$5:$B$4886),2,FALSE)),SUM(FIND("..",TRIM(VLOOKUP(IF(AND(LEN($A2765)=4,VALUE(RIGHT($A2765,2))&gt;60),$A2765&amp;"01 1",$A2765),IF(AND(LEN($A2765)=4,VALUE(RIGHT($A2765,2))&lt;60),GUS_tabl_2!$A$8:$B$464,GUS_tabl_21!$A$5:$B$4886),2,FALSE))),-1)))))</f>
        <v>gm. m.-w. Książ Wielkopolski</v>
      </c>
      <c r="D2765" s="141">
        <f>IF(OR($A2765="",ISERROR(VALUE(LEFT($A2765,6)))),"",IF(LEN($A2765)=2,SUMIF($A2766:$A$2965,$A2765&amp;"??",$D2766:$D$2965),IF(AND(LEN($A2765)=4,VALUE(RIGHT($A2765,2))&lt;=60),SUMIF($A2766:$A$2965,$A2765&amp;"????",$D2766:$D$2965),VLOOKUP(IF(LEN($A2765)=4,$A2765&amp;"01 1",$A2765),GUS_tabl_21!$A$5:$F$4886,6,FALSE))))</f>
        <v>8495</v>
      </c>
      <c r="E2765" s="29"/>
    </row>
    <row r="2766" spans="1:5" ht="12" customHeight="1">
      <c r="A2766" s="155" t="str">
        <f>"302604 3"</f>
        <v>302604 3</v>
      </c>
      <c r="B2766" s="153" t="s">
        <v>34</v>
      </c>
      <c r="C2766" s="156" t="str">
        <f>IF(OR($A2766="",ISERROR(VALUE(LEFT($A2766,6)))),"",IF(LEN($A2766)=2,"WOJ. ",IF(LEN($A2766)=4,IF(VALUE(RIGHT($A2766,2))&gt;60,"","Powiat "),IF(VALUE(RIGHT($A2766,1))=1,"m. ",IF(VALUE(RIGHT($A2766,1))=2,"gm. w. ",IF(VALUE(RIGHT($A2766,1))=8,"dz. ","gm. m.-w. ")))))&amp;IF(LEN($A2766)=2,TRIM(UPPER(VLOOKUP($A2766,GUS_tabl_1!$A$7:$B$22,2,FALSE))),IF(ISERROR(FIND("..",TRIM(VLOOKUP(IF(AND(LEN($A2766)=4,VALUE(RIGHT($A2766,2))&gt;60),$A2766&amp;"01 1",$A2766),IF(AND(LEN($A2766)=4,VALUE(RIGHT($A2766,2))&lt;60),GUS_tabl_2!$A$8:$B$464,GUS_tabl_21!$A$5:$B$4886),2,FALSE)))),TRIM(VLOOKUP(IF(AND(LEN($A2766)=4,VALUE(RIGHT($A2766,2))&gt;60),$A2766&amp;"01 1",$A2766),IF(AND(LEN($A2766)=4,VALUE(RIGHT($A2766,2))&lt;60),GUS_tabl_2!$A$8:$B$464,GUS_tabl_21!$A$5:$B$4886),2,FALSE)),LEFT(TRIM(VLOOKUP(IF(AND(LEN($A2766)=4,VALUE(RIGHT($A2766,2))&gt;60),$A2766&amp;"01 1",$A2766),IF(AND(LEN($A2766)=4,VALUE(RIGHT($A2766,2))&lt;60),GUS_tabl_2!$A$8:$B$464,GUS_tabl_21!$A$5:$B$4886),2,FALSE)),SUM(FIND("..",TRIM(VLOOKUP(IF(AND(LEN($A2766)=4,VALUE(RIGHT($A2766,2))&gt;60),$A2766&amp;"01 1",$A2766),IF(AND(LEN($A2766)=4,VALUE(RIGHT($A2766,2))&lt;60),GUS_tabl_2!$A$8:$B$464,GUS_tabl_21!$A$5:$B$4886),2,FALSE))),-1)))))</f>
        <v>gm. m.-w. Śrem</v>
      </c>
      <c r="D2766" s="141">
        <f>IF(OR($A2766="",ISERROR(VALUE(LEFT($A2766,6)))),"",IF(LEN($A2766)=2,SUMIF($A2767:$A$2965,$A2766&amp;"??",$D2767:$D$2965),IF(AND(LEN($A2766)=4,VALUE(RIGHT($A2766,2))&lt;=60),SUMIF($A2767:$A$2965,$A2766&amp;"????",$D2767:$D$2965),VLOOKUP(IF(LEN($A2766)=4,$A2766&amp;"01 1",$A2766),GUS_tabl_21!$A$5:$F$4886,6,FALSE))))</f>
        <v>42155</v>
      </c>
      <c r="E2766" s="29"/>
    </row>
    <row r="2767" spans="1:5" ht="12" customHeight="1">
      <c r="A2767" s="152" t="str">
        <f>"3027"</f>
        <v>3027</v>
      </c>
      <c r="B2767" s="153" t="s">
        <v>34</v>
      </c>
      <c r="C2767" s="154" t="str">
        <f>IF(OR($A2767="",ISERROR(VALUE(LEFT($A2767,6)))),"",IF(LEN($A2767)=2,"WOJ. ",IF(LEN($A2767)=4,IF(VALUE(RIGHT($A2767,2))&gt;60,"","Powiat "),IF(VALUE(RIGHT($A2767,1))=1,"m. ",IF(VALUE(RIGHT($A2767,1))=2,"gm. w. ",IF(VALUE(RIGHT($A2767,1))=8,"dz. ","gm. m.-w. ")))))&amp;IF(LEN($A2767)=2,TRIM(UPPER(VLOOKUP($A2767,GUS_tabl_1!$A$7:$B$22,2,FALSE))),IF(ISERROR(FIND("..",TRIM(VLOOKUP(IF(AND(LEN($A2767)=4,VALUE(RIGHT($A2767,2))&gt;60),$A2767&amp;"01 1",$A2767),IF(AND(LEN($A2767)=4,VALUE(RIGHT($A2767,2))&lt;60),GUS_tabl_2!$A$8:$B$464,GUS_tabl_21!$A$5:$B$4886),2,FALSE)))),TRIM(VLOOKUP(IF(AND(LEN($A2767)=4,VALUE(RIGHT($A2767,2))&gt;60),$A2767&amp;"01 1",$A2767),IF(AND(LEN($A2767)=4,VALUE(RIGHT($A2767,2))&lt;60),GUS_tabl_2!$A$8:$B$464,GUS_tabl_21!$A$5:$B$4886),2,FALSE)),LEFT(TRIM(VLOOKUP(IF(AND(LEN($A2767)=4,VALUE(RIGHT($A2767,2))&gt;60),$A2767&amp;"01 1",$A2767),IF(AND(LEN($A2767)=4,VALUE(RIGHT($A2767,2))&lt;60),GUS_tabl_2!$A$8:$B$464,GUS_tabl_21!$A$5:$B$4886),2,FALSE)),SUM(FIND("..",TRIM(VLOOKUP(IF(AND(LEN($A2767)=4,VALUE(RIGHT($A2767,2))&gt;60),$A2767&amp;"01 1",$A2767),IF(AND(LEN($A2767)=4,VALUE(RIGHT($A2767,2))&lt;60),GUS_tabl_2!$A$8:$B$464,GUS_tabl_21!$A$5:$B$4886),2,FALSE))),-1)))))</f>
        <v>Powiat turecki</v>
      </c>
      <c r="D2767" s="140">
        <f>IF(OR($A2767="",ISERROR(VALUE(LEFT($A2767,6)))),"",IF(LEN($A2767)=2,SUMIF($A2768:$A$2965,$A2767&amp;"??",$D2768:$D$2965),IF(AND(LEN($A2767)=4,VALUE(RIGHT($A2767,2))&lt;=60),SUMIF($A2768:$A$2965,$A2767&amp;"????",$D2768:$D$2965),VLOOKUP(IF(LEN($A2767)=4,$A2767&amp;"01 1",$A2767),GUS_tabl_21!$A$5:$F$4886,6,FALSE))))</f>
        <v>83894</v>
      </c>
      <c r="E2767" s="29"/>
    </row>
    <row r="2768" spans="1:5" ht="12" customHeight="1">
      <c r="A2768" s="155" t="str">
        <f>"302701 1"</f>
        <v>302701 1</v>
      </c>
      <c r="B2768" s="153" t="s">
        <v>34</v>
      </c>
      <c r="C2768" s="156" t="str">
        <f>IF(OR($A2768="",ISERROR(VALUE(LEFT($A2768,6)))),"",IF(LEN($A2768)=2,"WOJ. ",IF(LEN($A2768)=4,IF(VALUE(RIGHT($A2768,2))&gt;60,"","Powiat "),IF(VALUE(RIGHT($A2768,1))=1,"m. ",IF(VALUE(RIGHT($A2768,1))=2,"gm. w. ",IF(VALUE(RIGHT($A2768,1))=8,"dz. ","gm. m.-w. ")))))&amp;IF(LEN($A2768)=2,TRIM(UPPER(VLOOKUP($A2768,GUS_tabl_1!$A$7:$B$22,2,FALSE))),IF(ISERROR(FIND("..",TRIM(VLOOKUP(IF(AND(LEN($A2768)=4,VALUE(RIGHT($A2768,2))&gt;60),$A2768&amp;"01 1",$A2768),IF(AND(LEN($A2768)=4,VALUE(RIGHT($A2768,2))&lt;60),GUS_tabl_2!$A$8:$B$464,GUS_tabl_21!$A$5:$B$4886),2,FALSE)))),TRIM(VLOOKUP(IF(AND(LEN($A2768)=4,VALUE(RIGHT($A2768,2))&gt;60),$A2768&amp;"01 1",$A2768),IF(AND(LEN($A2768)=4,VALUE(RIGHT($A2768,2))&lt;60),GUS_tabl_2!$A$8:$B$464,GUS_tabl_21!$A$5:$B$4886),2,FALSE)),LEFT(TRIM(VLOOKUP(IF(AND(LEN($A2768)=4,VALUE(RIGHT($A2768,2))&gt;60),$A2768&amp;"01 1",$A2768),IF(AND(LEN($A2768)=4,VALUE(RIGHT($A2768,2))&lt;60),GUS_tabl_2!$A$8:$B$464,GUS_tabl_21!$A$5:$B$4886),2,FALSE)),SUM(FIND("..",TRIM(VLOOKUP(IF(AND(LEN($A2768)=4,VALUE(RIGHT($A2768,2))&gt;60),$A2768&amp;"01 1",$A2768),IF(AND(LEN($A2768)=4,VALUE(RIGHT($A2768,2))&lt;60),GUS_tabl_2!$A$8:$B$464,GUS_tabl_21!$A$5:$B$4886),2,FALSE))),-1)))))</f>
        <v>m. Turek</v>
      </c>
      <c r="D2768" s="141">
        <f>IF(OR($A2768="",ISERROR(VALUE(LEFT($A2768,6)))),"",IF(LEN($A2768)=2,SUMIF($A2769:$A$2965,$A2768&amp;"??",$D2769:$D$2965),IF(AND(LEN($A2768)=4,VALUE(RIGHT($A2768,2))&lt;=60),SUMIF($A2769:$A$2965,$A2768&amp;"????",$D2769:$D$2965),VLOOKUP(IF(LEN($A2768)=4,$A2768&amp;"01 1",$A2768),GUS_tabl_21!$A$5:$F$4886,6,FALSE))))</f>
        <v>26833</v>
      </c>
      <c r="E2768" s="29"/>
    </row>
    <row r="2769" spans="1:5" ht="12" customHeight="1">
      <c r="A2769" s="155" t="str">
        <f>"302702 2"</f>
        <v>302702 2</v>
      </c>
      <c r="B2769" s="153" t="s">
        <v>34</v>
      </c>
      <c r="C2769" s="156" t="str">
        <f>IF(OR($A2769="",ISERROR(VALUE(LEFT($A2769,6)))),"",IF(LEN($A2769)=2,"WOJ. ",IF(LEN($A2769)=4,IF(VALUE(RIGHT($A2769,2))&gt;60,"","Powiat "),IF(VALUE(RIGHT($A2769,1))=1,"m. ",IF(VALUE(RIGHT($A2769,1))=2,"gm. w. ",IF(VALUE(RIGHT($A2769,1))=8,"dz. ","gm. m.-w. ")))))&amp;IF(LEN($A2769)=2,TRIM(UPPER(VLOOKUP($A2769,GUS_tabl_1!$A$7:$B$22,2,FALSE))),IF(ISERROR(FIND("..",TRIM(VLOOKUP(IF(AND(LEN($A2769)=4,VALUE(RIGHT($A2769,2))&gt;60),$A2769&amp;"01 1",$A2769),IF(AND(LEN($A2769)=4,VALUE(RIGHT($A2769,2))&lt;60),GUS_tabl_2!$A$8:$B$464,GUS_tabl_21!$A$5:$B$4886),2,FALSE)))),TRIM(VLOOKUP(IF(AND(LEN($A2769)=4,VALUE(RIGHT($A2769,2))&gt;60),$A2769&amp;"01 1",$A2769),IF(AND(LEN($A2769)=4,VALUE(RIGHT($A2769,2))&lt;60),GUS_tabl_2!$A$8:$B$464,GUS_tabl_21!$A$5:$B$4886),2,FALSE)),LEFT(TRIM(VLOOKUP(IF(AND(LEN($A2769)=4,VALUE(RIGHT($A2769,2))&gt;60),$A2769&amp;"01 1",$A2769),IF(AND(LEN($A2769)=4,VALUE(RIGHT($A2769,2))&lt;60),GUS_tabl_2!$A$8:$B$464,GUS_tabl_21!$A$5:$B$4886),2,FALSE)),SUM(FIND("..",TRIM(VLOOKUP(IF(AND(LEN($A2769)=4,VALUE(RIGHT($A2769,2))&gt;60),$A2769&amp;"01 1",$A2769),IF(AND(LEN($A2769)=4,VALUE(RIGHT($A2769,2))&lt;60),GUS_tabl_2!$A$8:$B$464,GUS_tabl_21!$A$5:$B$4886),2,FALSE))),-1)))))</f>
        <v>gm. w. Brudzew</v>
      </c>
      <c r="D2769" s="141">
        <f>IF(OR($A2769="",ISERROR(VALUE(LEFT($A2769,6)))),"",IF(LEN($A2769)=2,SUMIF($A2770:$A$2965,$A2769&amp;"??",$D2770:$D$2965),IF(AND(LEN($A2769)=4,VALUE(RIGHT($A2769,2))&lt;=60),SUMIF($A2770:$A$2965,$A2769&amp;"????",$D2770:$D$2965),VLOOKUP(IF(LEN($A2769)=4,$A2769&amp;"01 1",$A2769),GUS_tabl_21!$A$5:$F$4886,6,FALSE))))</f>
        <v>5966</v>
      </c>
      <c r="E2769" s="29"/>
    </row>
    <row r="2770" spans="1:5" ht="12" customHeight="1">
      <c r="A2770" s="155" t="str">
        <f>"302703 3"</f>
        <v>302703 3</v>
      </c>
      <c r="B2770" s="153" t="s">
        <v>34</v>
      </c>
      <c r="C2770" s="156" t="str">
        <f>IF(OR($A2770="",ISERROR(VALUE(LEFT($A2770,6)))),"",IF(LEN($A2770)=2,"WOJ. ",IF(LEN($A2770)=4,IF(VALUE(RIGHT($A2770,2))&gt;60,"","Powiat "),IF(VALUE(RIGHT($A2770,1))=1,"m. ",IF(VALUE(RIGHT($A2770,1))=2,"gm. w. ",IF(VALUE(RIGHT($A2770,1))=8,"dz. ","gm. m.-w. ")))))&amp;IF(LEN($A2770)=2,TRIM(UPPER(VLOOKUP($A2770,GUS_tabl_1!$A$7:$B$22,2,FALSE))),IF(ISERROR(FIND("..",TRIM(VLOOKUP(IF(AND(LEN($A2770)=4,VALUE(RIGHT($A2770,2))&gt;60),$A2770&amp;"01 1",$A2770),IF(AND(LEN($A2770)=4,VALUE(RIGHT($A2770,2))&lt;60),GUS_tabl_2!$A$8:$B$464,GUS_tabl_21!$A$5:$B$4886),2,FALSE)))),TRIM(VLOOKUP(IF(AND(LEN($A2770)=4,VALUE(RIGHT($A2770,2))&gt;60),$A2770&amp;"01 1",$A2770),IF(AND(LEN($A2770)=4,VALUE(RIGHT($A2770,2))&lt;60),GUS_tabl_2!$A$8:$B$464,GUS_tabl_21!$A$5:$B$4886),2,FALSE)),LEFT(TRIM(VLOOKUP(IF(AND(LEN($A2770)=4,VALUE(RIGHT($A2770,2))&gt;60),$A2770&amp;"01 1",$A2770),IF(AND(LEN($A2770)=4,VALUE(RIGHT($A2770,2))&lt;60),GUS_tabl_2!$A$8:$B$464,GUS_tabl_21!$A$5:$B$4886),2,FALSE)),SUM(FIND("..",TRIM(VLOOKUP(IF(AND(LEN($A2770)=4,VALUE(RIGHT($A2770,2))&gt;60),$A2770&amp;"01 1",$A2770),IF(AND(LEN($A2770)=4,VALUE(RIGHT($A2770,2))&lt;60),GUS_tabl_2!$A$8:$B$464,GUS_tabl_21!$A$5:$B$4886),2,FALSE))),-1)))))</f>
        <v>gm. m.-w. Dobra</v>
      </c>
      <c r="D2770" s="141">
        <f>IF(OR($A2770="",ISERROR(VALUE(LEFT($A2770,6)))),"",IF(LEN($A2770)=2,SUMIF($A2771:$A$2965,$A2770&amp;"??",$D2771:$D$2965),IF(AND(LEN($A2770)=4,VALUE(RIGHT($A2770,2))&lt;=60),SUMIF($A2771:$A$2965,$A2770&amp;"????",$D2771:$D$2965),VLOOKUP(IF(LEN($A2770)=4,$A2770&amp;"01 1",$A2770),GUS_tabl_21!$A$5:$F$4886,6,FALSE))))</f>
        <v>6134</v>
      </c>
      <c r="E2770" s="29"/>
    </row>
    <row r="2771" spans="1:5" ht="12" customHeight="1">
      <c r="A2771" s="155" t="str">
        <f>"302704 2"</f>
        <v>302704 2</v>
      </c>
      <c r="B2771" s="153" t="s">
        <v>34</v>
      </c>
      <c r="C2771" s="156" t="str">
        <f>IF(OR($A2771="",ISERROR(VALUE(LEFT($A2771,6)))),"",IF(LEN($A2771)=2,"WOJ. ",IF(LEN($A2771)=4,IF(VALUE(RIGHT($A2771,2))&gt;60,"","Powiat "),IF(VALUE(RIGHT($A2771,1))=1,"m. ",IF(VALUE(RIGHT($A2771,1))=2,"gm. w. ",IF(VALUE(RIGHT($A2771,1))=8,"dz. ","gm. m.-w. ")))))&amp;IF(LEN($A2771)=2,TRIM(UPPER(VLOOKUP($A2771,GUS_tabl_1!$A$7:$B$22,2,FALSE))),IF(ISERROR(FIND("..",TRIM(VLOOKUP(IF(AND(LEN($A2771)=4,VALUE(RIGHT($A2771,2))&gt;60),$A2771&amp;"01 1",$A2771),IF(AND(LEN($A2771)=4,VALUE(RIGHT($A2771,2))&lt;60),GUS_tabl_2!$A$8:$B$464,GUS_tabl_21!$A$5:$B$4886),2,FALSE)))),TRIM(VLOOKUP(IF(AND(LEN($A2771)=4,VALUE(RIGHT($A2771,2))&gt;60),$A2771&amp;"01 1",$A2771),IF(AND(LEN($A2771)=4,VALUE(RIGHT($A2771,2))&lt;60),GUS_tabl_2!$A$8:$B$464,GUS_tabl_21!$A$5:$B$4886),2,FALSE)),LEFT(TRIM(VLOOKUP(IF(AND(LEN($A2771)=4,VALUE(RIGHT($A2771,2))&gt;60),$A2771&amp;"01 1",$A2771),IF(AND(LEN($A2771)=4,VALUE(RIGHT($A2771,2))&lt;60),GUS_tabl_2!$A$8:$B$464,GUS_tabl_21!$A$5:$B$4886),2,FALSE)),SUM(FIND("..",TRIM(VLOOKUP(IF(AND(LEN($A2771)=4,VALUE(RIGHT($A2771,2))&gt;60),$A2771&amp;"01 1",$A2771),IF(AND(LEN($A2771)=4,VALUE(RIGHT($A2771,2))&lt;60),GUS_tabl_2!$A$8:$B$464,GUS_tabl_21!$A$5:$B$4886),2,FALSE))),-1)))))</f>
        <v>gm. w. Kawęczyn</v>
      </c>
      <c r="D2771" s="141">
        <f>IF(OR($A2771="",ISERROR(VALUE(LEFT($A2771,6)))),"",IF(LEN($A2771)=2,SUMIF($A2772:$A$2965,$A2771&amp;"??",$D2772:$D$2965),IF(AND(LEN($A2771)=4,VALUE(RIGHT($A2771,2))&lt;=60),SUMIF($A2772:$A$2965,$A2771&amp;"????",$D2772:$D$2965),VLOOKUP(IF(LEN($A2771)=4,$A2771&amp;"01 1",$A2771),GUS_tabl_21!$A$5:$F$4886,6,FALSE))))</f>
        <v>5195</v>
      </c>
      <c r="E2771" s="29"/>
    </row>
    <row r="2772" spans="1:5" ht="12" customHeight="1">
      <c r="A2772" s="155" t="str">
        <f>"302705 2"</f>
        <v>302705 2</v>
      </c>
      <c r="B2772" s="153" t="s">
        <v>34</v>
      </c>
      <c r="C2772" s="156" t="str">
        <f>IF(OR($A2772="",ISERROR(VALUE(LEFT($A2772,6)))),"",IF(LEN($A2772)=2,"WOJ. ",IF(LEN($A2772)=4,IF(VALUE(RIGHT($A2772,2))&gt;60,"","Powiat "),IF(VALUE(RIGHT($A2772,1))=1,"m. ",IF(VALUE(RIGHT($A2772,1))=2,"gm. w. ",IF(VALUE(RIGHT($A2772,1))=8,"dz. ","gm. m.-w. ")))))&amp;IF(LEN($A2772)=2,TRIM(UPPER(VLOOKUP($A2772,GUS_tabl_1!$A$7:$B$22,2,FALSE))),IF(ISERROR(FIND("..",TRIM(VLOOKUP(IF(AND(LEN($A2772)=4,VALUE(RIGHT($A2772,2))&gt;60),$A2772&amp;"01 1",$A2772),IF(AND(LEN($A2772)=4,VALUE(RIGHT($A2772,2))&lt;60),GUS_tabl_2!$A$8:$B$464,GUS_tabl_21!$A$5:$B$4886),2,FALSE)))),TRIM(VLOOKUP(IF(AND(LEN($A2772)=4,VALUE(RIGHT($A2772,2))&gt;60),$A2772&amp;"01 1",$A2772),IF(AND(LEN($A2772)=4,VALUE(RIGHT($A2772,2))&lt;60),GUS_tabl_2!$A$8:$B$464,GUS_tabl_21!$A$5:$B$4886),2,FALSE)),LEFT(TRIM(VLOOKUP(IF(AND(LEN($A2772)=4,VALUE(RIGHT($A2772,2))&gt;60),$A2772&amp;"01 1",$A2772),IF(AND(LEN($A2772)=4,VALUE(RIGHT($A2772,2))&lt;60),GUS_tabl_2!$A$8:$B$464,GUS_tabl_21!$A$5:$B$4886),2,FALSE)),SUM(FIND("..",TRIM(VLOOKUP(IF(AND(LEN($A2772)=4,VALUE(RIGHT($A2772,2))&gt;60),$A2772&amp;"01 1",$A2772),IF(AND(LEN($A2772)=4,VALUE(RIGHT($A2772,2))&lt;60),GUS_tabl_2!$A$8:$B$464,GUS_tabl_21!$A$5:$B$4886),2,FALSE))),-1)))))</f>
        <v>gm. w. Malanów</v>
      </c>
      <c r="D2772" s="141">
        <f>IF(OR($A2772="",ISERROR(VALUE(LEFT($A2772,6)))),"",IF(LEN($A2772)=2,SUMIF($A2773:$A$2965,$A2772&amp;"??",$D2773:$D$2965),IF(AND(LEN($A2772)=4,VALUE(RIGHT($A2772,2))&lt;=60),SUMIF($A2773:$A$2965,$A2772&amp;"????",$D2773:$D$2965),VLOOKUP(IF(LEN($A2772)=4,$A2772&amp;"01 1",$A2772),GUS_tabl_21!$A$5:$F$4886,6,FALSE))))</f>
        <v>6585</v>
      </c>
      <c r="E2772" s="29"/>
    </row>
    <row r="2773" spans="1:5" ht="12" customHeight="1">
      <c r="A2773" s="155" t="str">
        <f>"302706 2"</f>
        <v>302706 2</v>
      </c>
      <c r="B2773" s="153" t="s">
        <v>34</v>
      </c>
      <c r="C2773" s="156" t="str">
        <f>IF(OR($A2773="",ISERROR(VALUE(LEFT($A2773,6)))),"",IF(LEN($A2773)=2,"WOJ. ",IF(LEN($A2773)=4,IF(VALUE(RIGHT($A2773,2))&gt;60,"","Powiat "),IF(VALUE(RIGHT($A2773,1))=1,"m. ",IF(VALUE(RIGHT($A2773,1))=2,"gm. w. ",IF(VALUE(RIGHT($A2773,1))=8,"dz. ","gm. m.-w. ")))))&amp;IF(LEN($A2773)=2,TRIM(UPPER(VLOOKUP($A2773,GUS_tabl_1!$A$7:$B$22,2,FALSE))),IF(ISERROR(FIND("..",TRIM(VLOOKUP(IF(AND(LEN($A2773)=4,VALUE(RIGHT($A2773,2))&gt;60),$A2773&amp;"01 1",$A2773),IF(AND(LEN($A2773)=4,VALUE(RIGHT($A2773,2))&lt;60),GUS_tabl_2!$A$8:$B$464,GUS_tabl_21!$A$5:$B$4886),2,FALSE)))),TRIM(VLOOKUP(IF(AND(LEN($A2773)=4,VALUE(RIGHT($A2773,2))&gt;60),$A2773&amp;"01 1",$A2773),IF(AND(LEN($A2773)=4,VALUE(RIGHT($A2773,2))&lt;60),GUS_tabl_2!$A$8:$B$464,GUS_tabl_21!$A$5:$B$4886),2,FALSE)),LEFT(TRIM(VLOOKUP(IF(AND(LEN($A2773)=4,VALUE(RIGHT($A2773,2))&gt;60),$A2773&amp;"01 1",$A2773),IF(AND(LEN($A2773)=4,VALUE(RIGHT($A2773,2))&lt;60),GUS_tabl_2!$A$8:$B$464,GUS_tabl_21!$A$5:$B$4886),2,FALSE)),SUM(FIND("..",TRIM(VLOOKUP(IF(AND(LEN($A2773)=4,VALUE(RIGHT($A2773,2))&gt;60),$A2773&amp;"01 1",$A2773),IF(AND(LEN($A2773)=4,VALUE(RIGHT($A2773,2))&lt;60),GUS_tabl_2!$A$8:$B$464,GUS_tabl_21!$A$5:$B$4886),2,FALSE))),-1)))))</f>
        <v>gm. w. Przykona</v>
      </c>
      <c r="D2773" s="141">
        <f>IF(OR($A2773="",ISERROR(VALUE(LEFT($A2773,6)))),"",IF(LEN($A2773)=2,SUMIF($A2774:$A$2965,$A2773&amp;"??",$D2774:$D$2965),IF(AND(LEN($A2773)=4,VALUE(RIGHT($A2773,2))&lt;=60),SUMIF($A2774:$A$2965,$A2773&amp;"????",$D2774:$D$2965),VLOOKUP(IF(LEN($A2773)=4,$A2773&amp;"01 1",$A2773),GUS_tabl_21!$A$5:$F$4886,6,FALSE))))</f>
        <v>4589</v>
      </c>
      <c r="E2773" s="29"/>
    </row>
    <row r="2774" spans="1:5" ht="12" customHeight="1">
      <c r="A2774" s="155" t="str">
        <f>"302707 3"</f>
        <v>302707 3</v>
      </c>
      <c r="B2774" s="153" t="s">
        <v>34</v>
      </c>
      <c r="C2774" s="156" t="str">
        <f>IF(OR($A2774="",ISERROR(VALUE(LEFT($A2774,6)))),"",IF(LEN($A2774)=2,"WOJ. ",IF(LEN($A2774)=4,IF(VALUE(RIGHT($A2774,2))&gt;60,"","Powiat "),IF(VALUE(RIGHT($A2774,1))=1,"m. ",IF(VALUE(RIGHT($A2774,1))=2,"gm. w. ",IF(VALUE(RIGHT($A2774,1))=8,"dz. ","gm. m.-w. ")))))&amp;IF(LEN($A2774)=2,TRIM(UPPER(VLOOKUP($A2774,GUS_tabl_1!$A$7:$B$22,2,FALSE))),IF(ISERROR(FIND("..",TRIM(VLOOKUP(IF(AND(LEN($A2774)=4,VALUE(RIGHT($A2774,2))&gt;60),$A2774&amp;"01 1",$A2774),IF(AND(LEN($A2774)=4,VALUE(RIGHT($A2774,2))&lt;60),GUS_tabl_2!$A$8:$B$464,GUS_tabl_21!$A$5:$B$4886),2,FALSE)))),TRIM(VLOOKUP(IF(AND(LEN($A2774)=4,VALUE(RIGHT($A2774,2))&gt;60),$A2774&amp;"01 1",$A2774),IF(AND(LEN($A2774)=4,VALUE(RIGHT($A2774,2))&lt;60),GUS_tabl_2!$A$8:$B$464,GUS_tabl_21!$A$5:$B$4886),2,FALSE)),LEFT(TRIM(VLOOKUP(IF(AND(LEN($A2774)=4,VALUE(RIGHT($A2774,2))&gt;60),$A2774&amp;"01 1",$A2774),IF(AND(LEN($A2774)=4,VALUE(RIGHT($A2774,2))&lt;60),GUS_tabl_2!$A$8:$B$464,GUS_tabl_21!$A$5:$B$4886),2,FALSE)),SUM(FIND("..",TRIM(VLOOKUP(IF(AND(LEN($A2774)=4,VALUE(RIGHT($A2774,2))&gt;60),$A2774&amp;"01 1",$A2774),IF(AND(LEN($A2774)=4,VALUE(RIGHT($A2774,2))&lt;60),GUS_tabl_2!$A$8:$B$464,GUS_tabl_21!$A$5:$B$4886),2,FALSE))),-1)))))</f>
        <v>gm. m.-w. Tuliszków</v>
      </c>
      <c r="D2774" s="141">
        <f>IF(OR($A2774="",ISERROR(VALUE(LEFT($A2774,6)))),"",IF(LEN($A2774)=2,SUMIF($A2775:$A$2965,$A2774&amp;"??",$D2775:$D$2965),IF(AND(LEN($A2774)=4,VALUE(RIGHT($A2774,2))&lt;=60),SUMIF($A2775:$A$2965,$A2774&amp;"????",$D2775:$D$2965),VLOOKUP(IF(LEN($A2774)=4,$A2774&amp;"01 1",$A2774),GUS_tabl_21!$A$5:$F$4886,6,FALSE))))</f>
        <v>10537</v>
      </c>
      <c r="E2774" s="29"/>
    </row>
    <row r="2775" spans="1:5" ht="12" customHeight="1">
      <c r="A2775" s="155" t="str">
        <f>"302708 2"</f>
        <v>302708 2</v>
      </c>
      <c r="B2775" s="153" t="s">
        <v>34</v>
      </c>
      <c r="C2775" s="156" t="str">
        <f>IF(OR($A2775="",ISERROR(VALUE(LEFT($A2775,6)))),"",IF(LEN($A2775)=2,"WOJ. ",IF(LEN($A2775)=4,IF(VALUE(RIGHT($A2775,2))&gt;60,"","Powiat "),IF(VALUE(RIGHT($A2775,1))=1,"m. ",IF(VALUE(RIGHT($A2775,1))=2,"gm. w. ",IF(VALUE(RIGHT($A2775,1))=8,"dz. ","gm. m.-w. ")))))&amp;IF(LEN($A2775)=2,TRIM(UPPER(VLOOKUP($A2775,GUS_tabl_1!$A$7:$B$22,2,FALSE))),IF(ISERROR(FIND("..",TRIM(VLOOKUP(IF(AND(LEN($A2775)=4,VALUE(RIGHT($A2775,2))&gt;60),$A2775&amp;"01 1",$A2775),IF(AND(LEN($A2775)=4,VALUE(RIGHT($A2775,2))&lt;60),GUS_tabl_2!$A$8:$B$464,GUS_tabl_21!$A$5:$B$4886),2,FALSE)))),TRIM(VLOOKUP(IF(AND(LEN($A2775)=4,VALUE(RIGHT($A2775,2))&gt;60),$A2775&amp;"01 1",$A2775),IF(AND(LEN($A2775)=4,VALUE(RIGHT($A2775,2))&lt;60),GUS_tabl_2!$A$8:$B$464,GUS_tabl_21!$A$5:$B$4886),2,FALSE)),LEFT(TRIM(VLOOKUP(IF(AND(LEN($A2775)=4,VALUE(RIGHT($A2775,2))&gt;60),$A2775&amp;"01 1",$A2775),IF(AND(LEN($A2775)=4,VALUE(RIGHT($A2775,2))&lt;60),GUS_tabl_2!$A$8:$B$464,GUS_tabl_21!$A$5:$B$4886),2,FALSE)),SUM(FIND("..",TRIM(VLOOKUP(IF(AND(LEN($A2775)=4,VALUE(RIGHT($A2775,2))&gt;60),$A2775&amp;"01 1",$A2775),IF(AND(LEN($A2775)=4,VALUE(RIGHT($A2775,2))&lt;60),GUS_tabl_2!$A$8:$B$464,GUS_tabl_21!$A$5:$B$4886),2,FALSE))),-1)))))</f>
        <v>gm. w. Turek</v>
      </c>
      <c r="D2775" s="141">
        <f>IF(OR($A2775="",ISERROR(VALUE(LEFT($A2775,6)))),"",IF(LEN($A2775)=2,SUMIF($A2776:$A$2965,$A2775&amp;"??",$D2776:$D$2965),IF(AND(LEN($A2775)=4,VALUE(RIGHT($A2775,2))&lt;=60),SUMIF($A2776:$A$2965,$A2775&amp;"????",$D2776:$D$2965),VLOOKUP(IF(LEN($A2775)=4,$A2775&amp;"01 1",$A2775),GUS_tabl_21!$A$5:$F$4886,6,FALSE))))</f>
        <v>9970</v>
      </c>
      <c r="E2775" s="29"/>
    </row>
    <row r="2776" spans="1:5" ht="12" customHeight="1">
      <c r="A2776" s="155" t="str">
        <f>"302709 2"</f>
        <v>302709 2</v>
      </c>
      <c r="B2776" s="153" t="s">
        <v>34</v>
      </c>
      <c r="C2776" s="156" t="str">
        <f>IF(OR($A2776="",ISERROR(VALUE(LEFT($A2776,6)))),"",IF(LEN($A2776)=2,"WOJ. ",IF(LEN($A2776)=4,IF(VALUE(RIGHT($A2776,2))&gt;60,"","Powiat "),IF(VALUE(RIGHT($A2776,1))=1,"m. ",IF(VALUE(RIGHT($A2776,1))=2,"gm. w. ",IF(VALUE(RIGHT($A2776,1))=8,"dz. ","gm. m.-w. ")))))&amp;IF(LEN($A2776)=2,TRIM(UPPER(VLOOKUP($A2776,GUS_tabl_1!$A$7:$B$22,2,FALSE))),IF(ISERROR(FIND("..",TRIM(VLOOKUP(IF(AND(LEN($A2776)=4,VALUE(RIGHT($A2776,2))&gt;60),$A2776&amp;"01 1",$A2776),IF(AND(LEN($A2776)=4,VALUE(RIGHT($A2776,2))&lt;60),GUS_tabl_2!$A$8:$B$464,GUS_tabl_21!$A$5:$B$4886),2,FALSE)))),TRIM(VLOOKUP(IF(AND(LEN($A2776)=4,VALUE(RIGHT($A2776,2))&gt;60),$A2776&amp;"01 1",$A2776),IF(AND(LEN($A2776)=4,VALUE(RIGHT($A2776,2))&lt;60),GUS_tabl_2!$A$8:$B$464,GUS_tabl_21!$A$5:$B$4886),2,FALSE)),LEFT(TRIM(VLOOKUP(IF(AND(LEN($A2776)=4,VALUE(RIGHT($A2776,2))&gt;60),$A2776&amp;"01 1",$A2776),IF(AND(LEN($A2776)=4,VALUE(RIGHT($A2776,2))&lt;60),GUS_tabl_2!$A$8:$B$464,GUS_tabl_21!$A$5:$B$4886),2,FALSE)),SUM(FIND("..",TRIM(VLOOKUP(IF(AND(LEN($A2776)=4,VALUE(RIGHT($A2776,2))&gt;60),$A2776&amp;"01 1",$A2776),IF(AND(LEN($A2776)=4,VALUE(RIGHT($A2776,2))&lt;60),GUS_tabl_2!$A$8:$B$464,GUS_tabl_21!$A$5:$B$4886),2,FALSE))),-1)))))</f>
        <v>gm. w. Władysławów</v>
      </c>
      <c r="D2776" s="141">
        <f>IF(OR($A2776="",ISERROR(VALUE(LEFT($A2776,6)))),"",IF(LEN($A2776)=2,SUMIF($A2777:$A$2965,$A2776&amp;"??",$D2777:$D$2965),IF(AND(LEN($A2776)=4,VALUE(RIGHT($A2776,2))&lt;=60),SUMIF($A2777:$A$2965,$A2776&amp;"????",$D2777:$D$2965),VLOOKUP(IF(LEN($A2776)=4,$A2776&amp;"01 1",$A2776),GUS_tabl_21!$A$5:$F$4886,6,FALSE))))</f>
        <v>8085</v>
      </c>
      <c r="E2776" s="29"/>
    </row>
    <row r="2777" spans="1:5" ht="12" customHeight="1">
      <c r="A2777" s="152" t="str">
        <f>"3028"</f>
        <v>3028</v>
      </c>
      <c r="B2777" s="153" t="s">
        <v>34</v>
      </c>
      <c r="C2777" s="154" t="str">
        <f>IF(OR($A2777="",ISERROR(VALUE(LEFT($A2777,6)))),"",IF(LEN($A2777)=2,"WOJ. ",IF(LEN($A2777)=4,IF(VALUE(RIGHT($A2777,2))&gt;60,"","Powiat "),IF(VALUE(RIGHT($A2777,1))=1,"m. ",IF(VALUE(RIGHT($A2777,1))=2,"gm. w. ",IF(VALUE(RIGHT($A2777,1))=8,"dz. ","gm. m.-w. ")))))&amp;IF(LEN($A2777)=2,TRIM(UPPER(VLOOKUP($A2777,GUS_tabl_1!$A$7:$B$22,2,FALSE))),IF(ISERROR(FIND("..",TRIM(VLOOKUP(IF(AND(LEN($A2777)=4,VALUE(RIGHT($A2777,2))&gt;60),$A2777&amp;"01 1",$A2777),IF(AND(LEN($A2777)=4,VALUE(RIGHT($A2777,2))&lt;60),GUS_tabl_2!$A$8:$B$464,GUS_tabl_21!$A$5:$B$4886),2,FALSE)))),TRIM(VLOOKUP(IF(AND(LEN($A2777)=4,VALUE(RIGHT($A2777,2))&gt;60),$A2777&amp;"01 1",$A2777),IF(AND(LEN($A2777)=4,VALUE(RIGHT($A2777,2))&lt;60),GUS_tabl_2!$A$8:$B$464,GUS_tabl_21!$A$5:$B$4886),2,FALSE)),LEFT(TRIM(VLOOKUP(IF(AND(LEN($A2777)=4,VALUE(RIGHT($A2777,2))&gt;60),$A2777&amp;"01 1",$A2777),IF(AND(LEN($A2777)=4,VALUE(RIGHT($A2777,2))&lt;60),GUS_tabl_2!$A$8:$B$464,GUS_tabl_21!$A$5:$B$4886),2,FALSE)),SUM(FIND("..",TRIM(VLOOKUP(IF(AND(LEN($A2777)=4,VALUE(RIGHT($A2777,2))&gt;60),$A2777&amp;"01 1",$A2777),IF(AND(LEN($A2777)=4,VALUE(RIGHT($A2777,2))&lt;60),GUS_tabl_2!$A$8:$B$464,GUS_tabl_21!$A$5:$B$4886),2,FALSE))),-1)))))</f>
        <v>Powiat wągrowiecki</v>
      </c>
      <c r="D2777" s="140">
        <f>IF(OR($A2777="",ISERROR(VALUE(LEFT($A2777,6)))),"",IF(LEN($A2777)=2,SUMIF($A2778:$A$2965,$A2777&amp;"??",$D2778:$D$2965),IF(AND(LEN($A2777)=4,VALUE(RIGHT($A2777,2))&lt;=60),SUMIF($A2778:$A$2965,$A2777&amp;"????",$D2778:$D$2965),VLOOKUP(IF(LEN($A2777)=4,$A2777&amp;"01 1",$A2777),GUS_tabl_21!$A$5:$F$4886,6,FALSE))))</f>
        <v>70233</v>
      </c>
      <c r="E2777" s="29"/>
    </row>
    <row r="2778" spans="1:5" ht="12" customHeight="1">
      <c r="A2778" s="155" t="str">
        <f>"302801 1"</f>
        <v>302801 1</v>
      </c>
      <c r="B2778" s="153" t="s">
        <v>34</v>
      </c>
      <c r="C2778" s="156" t="str">
        <f>IF(OR($A2778="",ISERROR(VALUE(LEFT($A2778,6)))),"",IF(LEN($A2778)=2,"WOJ. ",IF(LEN($A2778)=4,IF(VALUE(RIGHT($A2778,2))&gt;60,"","Powiat "),IF(VALUE(RIGHT($A2778,1))=1,"m. ",IF(VALUE(RIGHT($A2778,1))=2,"gm. w. ",IF(VALUE(RIGHT($A2778,1))=8,"dz. ","gm. m.-w. ")))))&amp;IF(LEN($A2778)=2,TRIM(UPPER(VLOOKUP($A2778,GUS_tabl_1!$A$7:$B$22,2,FALSE))),IF(ISERROR(FIND("..",TRIM(VLOOKUP(IF(AND(LEN($A2778)=4,VALUE(RIGHT($A2778,2))&gt;60),$A2778&amp;"01 1",$A2778),IF(AND(LEN($A2778)=4,VALUE(RIGHT($A2778,2))&lt;60),GUS_tabl_2!$A$8:$B$464,GUS_tabl_21!$A$5:$B$4886),2,FALSE)))),TRIM(VLOOKUP(IF(AND(LEN($A2778)=4,VALUE(RIGHT($A2778,2))&gt;60),$A2778&amp;"01 1",$A2778),IF(AND(LEN($A2778)=4,VALUE(RIGHT($A2778,2))&lt;60),GUS_tabl_2!$A$8:$B$464,GUS_tabl_21!$A$5:$B$4886),2,FALSE)),LEFT(TRIM(VLOOKUP(IF(AND(LEN($A2778)=4,VALUE(RIGHT($A2778,2))&gt;60),$A2778&amp;"01 1",$A2778),IF(AND(LEN($A2778)=4,VALUE(RIGHT($A2778,2))&lt;60),GUS_tabl_2!$A$8:$B$464,GUS_tabl_21!$A$5:$B$4886),2,FALSE)),SUM(FIND("..",TRIM(VLOOKUP(IF(AND(LEN($A2778)=4,VALUE(RIGHT($A2778,2))&gt;60),$A2778&amp;"01 1",$A2778),IF(AND(LEN($A2778)=4,VALUE(RIGHT($A2778,2))&lt;60),GUS_tabl_2!$A$8:$B$464,GUS_tabl_21!$A$5:$B$4886),2,FALSE))),-1)))))</f>
        <v>m. Wągrowiec</v>
      </c>
      <c r="D2778" s="141">
        <f>IF(OR($A2778="",ISERROR(VALUE(LEFT($A2778,6)))),"",IF(LEN($A2778)=2,SUMIF($A2779:$A$2965,$A2778&amp;"??",$D2779:$D$2965),IF(AND(LEN($A2778)=4,VALUE(RIGHT($A2778,2))&lt;=60),SUMIF($A2779:$A$2965,$A2778&amp;"????",$D2779:$D$2965),VLOOKUP(IF(LEN($A2778)=4,$A2778&amp;"01 1",$A2778),GUS_tabl_21!$A$5:$F$4886,6,FALSE))))</f>
        <v>25686</v>
      </c>
      <c r="E2778" s="29"/>
    </row>
    <row r="2779" spans="1:5" ht="12" customHeight="1">
      <c r="A2779" s="155" t="str">
        <f>"302802 2"</f>
        <v>302802 2</v>
      </c>
      <c r="B2779" s="153" t="s">
        <v>34</v>
      </c>
      <c r="C2779" s="156" t="str">
        <f>IF(OR($A2779="",ISERROR(VALUE(LEFT($A2779,6)))),"",IF(LEN($A2779)=2,"WOJ. ",IF(LEN($A2779)=4,IF(VALUE(RIGHT($A2779,2))&gt;60,"","Powiat "),IF(VALUE(RIGHT($A2779,1))=1,"m. ",IF(VALUE(RIGHT($A2779,1))=2,"gm. w. ",IF(VALUE(RIGHT($A2779,1))=8,"dz. ","gm. m.-w. ")))))&amp;IF(LEN($A2779)=2,TRIM(UPPER(VLOOKUP($A2779,GUS_tabl_1!$A$7:$B$22,2,FALSE))),IF(ISERROR(FIND("..",TRIM(VLOOKUP(IF(AND(LEN($A2779)=4,VALUE(RIGHT($A2779,2))&gt;60),$A2779&amp;"01 1",$A2779),IF(AND(LEN($A2779)=4,VALUE(RIGHT($A2779,2))&lt;60),GUS_tabl_2!$A$8:$B$464,GUS_tabl_21!$A$5:$B$4886),2,FALSE)))),TRIM(VLOOKUP(IF(AND(LEN($A2779)=4,VALUE(RIGHT($A2779,2))&gt;60),$A2779&amp;"01 1",$A2779),IF(AND(LEN($A2779)=4,VALUE(RIGHT($A2779,2))&lt;60),GUS_tabl_2!$A$8:$B$464,GUS_tabl_21!$A$5:$B$4886),2,FALSE)),LEFT(TRIM(VLOOKUP(IF(AND(LEN($A2779)=4,VALUE(RIGHT($A2779,2))&gt;60),$A2779&amp;"01 1",$A2779),IF(AND(LEN($A2779)=4,VALUE(RIGHT($A2779,2))&lt;60),GUS_tabl_2!$A$8:$B$464,GUS_tabl_21!$A$5:$B$4886),2,FALSE)),SUM(FIND("..",TRIM(VLOOKUP(IF(AND(LEN($A2779)=4,VALUE(RIGHT($A2779,2))&gt;60),$A2779&amp;"01 1",$A2779),IF(AND(LEN($A2779)=4,VALUE(RIGHT($A2779,2))&lt;60),GUS_tabl_2!$A$8:$B$464,GUS_tabl_21!$A$5:$B$4886),2,FALSE))),-1)))))</f>
        <v>gm. w. Damasławek</v>
      </c>
      <c r="D2779" s="141">
        <f>IF(OR($A2779="",ISERROR(VALUE(LEFT($A2779,6)))),"",IF(LEN($A2779)=2,SUMIF($A2780:$A$2965,$A2779&amp;"??",$D2780:$D$2965),IF(AND(LEN($A2779)=4,VALUE(RIGHT($A2779,2))&lt;=60),SUMIF($A2780:$A$2965,$A2779&amp;"????",$D2780:$D$2965),VLOOKUP(IF(LEN($A2779)=4,$A2779&amp;"01 1",$A2779),GUS_tabl_21!$A$5:$F$4886,6,FALSE))))</f>
        <v>5326</v>
      </c>
      <c r="E2779" s="29"/>
    </row>
    <row r="2780" spans="1:5" ht="12" customHeight="1">
      <c r="A2780" s="155" t="str">
        <f>"302803 3"</f>
        <v>302803 3</v>
      </c>
      <c r="B2780" s="153" t="s">
        <v>34</v>
      </c>
      <c r="C2780" s="156" t="str">
        <f>IF(OR($A2780="",ISERROR(VALUE(LEFT($A2780,6)))),"",IF(LEN($A2780)=2,"WOJ. ",IF(LEN($A2780)=4,IF(VALUE(RIGHT($A2780,2))&gt;60,"","Powiat "),IF(VALUE(RIGHT($A2780,1))=1,"m. ",IF(VALUE(RIGHT($A2780,1))=2,"gm. w. ",IF(VALUE(RIGHT($A2780,1))=8,"dz. ","gm. m.-w. ")))))&amp;IF(LEN($A2780)=2,TRIM(UPPER(VLOOKUP($A2780,GUS_tabl_1!$A$7:$B$22,2,FALSE))),IF(ISERROR(FIND("..",TRIM(VLOOKUP(IF(AND(LEN($A2780)=4,VALUE(RIGHT($A2780,2))&gt;60),$A2780&amp;"01 1",$A2780),IF(AND(LEN($A2780)=4,VALUE(RIGHT($A2780,2))&lt;60),GUS_tabl_2!$A$8:$B$464,GUS_tabl_21!$A$5:$B$4886),2,FALSE)))),TRIM(VLOOKUP(IF(AND(LEN($A2780)=4,VALUE(RIGHT($A2780,2))&gt;60),$A2780&amp;"01 1",$A2780),IF(AND(LEN($A2780)=4,VALUE(RIGHT($A2780,2))&lt;60),GUS_tabl_2!$A$8:$B$464,GUS_tabl_21!$A$5:$B$4886),2,FALSE)),LEFT(TRIM(VLOOKUP(IF(AND(LEN($A2780)=4,VALUE(RIGHT($A2780,2))&gt;60),$A2780&amp;"01 1",$A2780),IF(AND(LEN($A2780)=4,VALUE(RIGHT($A2780,2))&lt;60),GUS_tabl_2!$A$8:$B$464,GUS_tabl_21!$A$5:$B$4886),2,FALSE)),SUM(FIND("..",TRIM(VLOOKUP(IF(AND(LEN($A2780)=4,VALUE(RIGHT($A2780,2))&gt;60),$A2780&amp;"01 1",$A2780),IF(AND(LEN($A2780)=4,VALUE(RIGHT($A2780,2))&lt;60),GUS_tabl_2!$A$8:$B$464,GUS_tabl_21!$A$5:$B$4886),2,FALSE))),-1)))))</f>
        <v>gm. m.-w. Gołańcz</v>
      </c>
      <c r="D2780" s="141">
        <f>IF(OR($A2780="",ISERROR(VALUE(LEFT($A2780,6)))),"",IF(LEN($A2780)=2,SUMIF($A2781:$A$2965,$A2780&amp;"??",$D2781:$D$2965),IF(AND(LEN($A2780)=4,VALUE(RIGHT($A2780,2))&lt;=60),SUMIF($A2781:$A$2965,$A2780&amp;"????",$D2781:$D$2965),VLOOKUP(IF(LEN($A2780)=4,$A2780&amp;"01 1",$A2780),GUS_tabl_21!$A$5:$F$4886,6,FALSE))))</f>
        <v>8293</v>
      </c>
      <c r="E2780" s="29"/>
    </row>
    <row r="2781" spans="1:5" ht="12" customHeight="1">
      <c r="A2781" s="155" t="str">
        <f>"302804 2"</f>
        <v>302804 2</v>
      </c>
      <c r="B2781" s="153" t="s">
        <v>34</v>
      </c>
      <c r="C2781" s="156" t="str">
        <f>IF(OR($A2781="",ISERROR(VALUE(LEFT($A2781,6)))),"",IF(LEN($A2781)=2,"WOJ. ",IF(LEN($A2781)=4,IF(VALUE(RIGHT($A2781,2))&gt;60,"","Powiat "),IF(VALUE(RIGHT($A2781,1))=1,"m. ",IF(VALUE(RIGHT($A2781,1))=2,"gm. w. ",IF(VALUE(RIGHT($A2781,1))=8,"dz. ","gm. m.-w. ")))))&amp;IF(LEN($A2781)=2,TRIM(UPPER(VLOOKUP($A2781,GUS_tabl_1!$A$7:$B$22,2,FALSE))),IF(ISERROR(FIND("..",TRIM(VLOOKUP(IF(AND(LEN($A2781)=4,VALUE(RIGHT($A2781,2))&gt;60),$A2781&amp;"01 1",$A2781),IF(AND(LEN($A2781)=4,VALUE(RIGHT($A2781,2))&lt;60),GUS_tabl_2!$A$8:$B$464,GUS_tabl_21!$A$5:$B$4886),2,FALSE)))),TRIM(VLOOKUP(IF(AND(LEN($A2781)=4,VALUE(RIGHT($A2781,2))&gt;60),$A2781&amp;"01 1",$A2781),IF(AND(LEN($A2781)=4,VALUE(RIGHT($A2781,2))&lt;60),GUS_tabl_2!$A$8:$B$464,GUS_tabl_21!$A$5:$B$4886),2,FALSE)),LEFT(TRIM(VLOOKUP(IF(AND(LEN($A2781)=4,VALUE(RIGHT($A2781,2))&gt;60),$A2781&amp;"01 1",$A2781),IF(AND(LEN($A2781)=4,VALUE(RIGHT($A2781,2))&lt;60),GUS_tabl_2!$A$8:$B$464,GUS_tabl_21!$A$5:$B$4886),2,FALSE)),SUM(FIND("..",TRIM(VLOOKUP(IF(AND(LEN($A2781)=4,VALUE(RIGHT($A2781,2))&gt;60),$A2781&amp;"01 1",$A2781),IF(AND(LEN($A2781)=4,VALUE(RIGHT($A2781,2))&lt;60),GUS_tabl_2!$A$8:$B$464,GUS_tabl_21!$A$5:$B$4886),2,FALSE))),-1)))))</f>
        <v>gm. w. Mieścisko</v>
      </c>
      <c r="D2781" s="141">
        <f>IF(OR($A2781="",ISERROR(VALUE(LEFT($A2781,6)))),"",IF(LEN($A2781)=2,SUMIF($A2782:$A$2965,$A2781&amp;"??",$D2782:$D$2965),IF(AND(LEN($A2781)=4,VALUE(RIGHT($A2781,2))&lt;=60),SUMIF($A2782:$A$2965,$A2781&amp;"????",$D2782:$D$2965),VLOOKUP(IF(LEN($A2781)=4,$A2781&amp;"01 1",$A2781),GUS_tabl_21!$A$5:$F$4886,6,FALSE))))</f>
        <v>5937</v>
      </c>
      <c r="E2781" s="29"/>
    </row>
    <row r="2782" spans="1:5" ht="12" customHeight="1">
      <c r="A2782" s="155" t="str">
        <f>"302805 3"</f>
        <v>302805 3</v>
      </c>
      <c r="B2782" s="153" t="s">
        <v>34</v>
      </c>
      <c r="C2782" s="156" t="str">
        <f>IF(OR($A2782="",ISERROR(VALUE(LEFT($A2782,6)))),"",IF(LEN($A2782)=2,"WOJ. ",IF(LEN($A2782)=4,IF(VALUE(RIGHT($A2782,2))&gt;60,"","Powiat "),IF(VALUE(RIGHT($A2782,1))=1,"m. ",IF(VALUE(RIGHT($A2782,1))=2,"gm. w. ",IF(VALUE(RIGHT($A2782,1))=8,"dz. ","gm. m.-w. ")))))&amp;IF(LEN($A2782)=2,TRIM(UPPER(VLOOKUP($A2782,GUS_tabl_1!$A$7:$B$22,2,FALSE))),IF(ISERROR(FIND("..",TRIM(VLOOKUP(IF(AND(LEN($A2782)=4,VALUE(RIGHT($A2782,2))&gt;60),$A2782&amp;"01 1",$A2782),IF(AND(LEN($A2782)=4,VALUE(RIGHT($A2782,2))&lt;60),GUS_tabl_2!$A$8:$B$464,GUS_tabl_21!$A$5:$B$4886),2,FALSE)))),TRIM(VLOOKUP(IF(AND(LEN($A2782)=4,VALUE(RIGHT($A2782,2))&gt;60),$A2782&amp;"01 1",$A2782),IF(AND(LEN($A2782)=4,VALUE(RIGHT($A2782,2))&lt;60),GUS_tabl_2!$A$8:$B$464,GUS_tabl_21!$A$5:$B$4886),2,FALSE)),LEFT(TRIM(VLOOKUP(IF(AND(LEN($A2782)=4,VALUE(RIGHT($A2782,2))&gt;60),$A2782&amp;"01 1",$A2782),IF(AND(LEN($A2782)=4,VALUE(RIGHT($A2782,2))&lt;60),GUS_tabl_2!$A$8:$B$464,GUS_tabl_21!$A$5:$B$4886),2,FALSE)),SUM(FIND("..",TRIM(VLOOKUP(IF(AND(LEN($A2782)=4,VALUE(RIGHT($A2782,2))&gt;60),$A2782&amp;"01 1",$A2782),IF(AND(LEN($A2782)=4,VALUE(RIGHT($A2782,2))&lt;60),GUS_tabl_2!$A$8:$B$464,GUS_tabl_21!$A$5:$B$4886),2,FALSE))),-1)))))</f>
        <v>gm. m.-w. Skoki</v>
      </c>
      <c r="D2782" s="141">
        <f>IF(OR($A2782="",ISERROR(VALUE(LEFT($A2782,6)))),"",IF(LEN($A2782)=2,SUMIF($A2783:$A$2965,$A2782&amp;"??",$D2783:$D$2965),IF(AND(LEN($A2782)=4,VALUE(RIGHT($A2782,2))&lt;=60),SUMIF($A2783:$A$2965,$A2782&amp;"????",$D2783:$D$2965),VLOOKUP(IF(LEN($A2782)=4,$A2782&amp;"01 1",$A2782),GUS_tabl_21!$A$5:$F$4886,6,FALSE))))</f>
        <v>9713</v>
      </c>
      <c r="E2782" s="29"/>
    </row>
    <row r="2783" spans="1:5" ht="12" customHeight="1">
      <c r="A2783" s="155" t="str">
        <f>"302806 2"</f>
        <v>302806 2</v>
      </c>
      <c r="B2783" s="153" t="s">
        <v>34</v>
      </c>
      <c r="C2783" s="156" t="str">
        <f>IF(OR($A2783="",ISERROR(VALUE(LEFT($A2783,6)))),"",IF(LEN($A2783)=2,"WOJ. ",IF(LEN($A2783)=4,IF(VALUE(RIGHT($A2783,2))&gt;60,"","Powiat "),IF(VALUE(RIGHT($A2783,1))=1,"m. ",IF(VALUE(RIGHT($A2783,1))=2,"gm. w. ",IF(VALUE(RIGHT($A2783,1))=8,"dz. ","gm. m.-w. ")))))&amp;IF(LEN($A2783)=2,TRIM(UPPER(VLOOKUP($A2783,GUS_tabl_1!$A$7:$B$22,2,FALSE))),IF(ISERROR(FIND("..",TRIM(VLOOKUP(IF(AND(LEN($A2783)=4,VALUE(RIGHT($A2783,2))&gt;60),$A2783&amp;"01 1",$A2783),IF(AND(LEN($A2783)=4,VALUE(RIGHT($A2783,2))&lt;60),GUS_tabl_2!$A$8:$B$464,GUS_tabl_21!$A$5:$B$4886),2,FALSE)))),TRIM(VLOOKUP(IF(AND(LEN($A2783)=4,VALUE(RIGHT($A2783,2))&gt;60),$A2783&amp;"01 1",$A2783),IF(AND(LEN($A2783)=4,VALUE(RIGHT($A2783,2))&lt;60),GUS_tabl_2!$A$8:$B$464,GUS_tabl_21!$A$5:$B$4886),2,FALSE)),LEFT(TRIM(VLOOKUP(IF(AND(LEN($A2783)=4,VALUE(RIGHT($A2783,2))&gt;60),$A2783&amp;"01 1",$A2783),IF(AND(LEN($A2783)=4,VALUE(RIGHT($A2783,2))&lt;60),GUS_tabl_2!$A$8:$B$464,GUS_tabl_21!$A$5:$B$4886),2,FALSE)),SUM(FIND("..",TRIM(VLOOKUP(IF(AND(LEN($A2783)=4,VALUE(RIGHT($A2783,2))&gt;60),$A2783&amp;"01 1",$A2783),IF(AND(LEN($A2783)=4,VALUE(RIGHT($A2783,2))&lt;60),GUS_tabl_2!$A$8:$B$464,GUS_tabl_21!$A$5:$B$4886),2,FALSE))),-1)))))</f>
        <v>gm. w. Wapno</v>
      </c>
      <c r="D2783" s="141">
        <f>IF(OR($A2783="",ISERROR(VALUE(LEFT($A2783,6)))),"",IF(LEN($A2783)=2,SUMIF($A2784:$A$2965,$A2783&amp;"??",$D2784:$D$2965),IF(AND(LEN($A2783)=4,VALUE(RIGHT($A2783,2))&lt;=60),SUMIF($A2784:$A$2965,$A2783&amp;"????",$D2784:$D$2965),VLOOKUP(IF(LEN($A2783)=4,$A2783&amp;"01 1",$A2783),GUS_tabl_21!$A$5:$F$4886,6,FALSE))))</f>
        <v>2962</v>
      </c>
      <c r="E2783" s="29"/>
    </row>
    <row r="2784" spans="1:5" ht="12" customHeight="1">
      <c r="A2784" s="155" t="str">
        <f>"302807 2"</f>
        <v>302807 2</v>
      </c>
      <c r="B2784" s="153" t="s">
        <v>34</v>
      </c>
      <c r="C2784" s="156" t="str">
        <f>IF(OR($A2784="",ISERROR(VALUE(LEFT($A2784,6)))),"",IF(LEN($A2784)=2,"WOJ. ",IF(LEN($A2784)=4,IF(VALUE(RIGHT($A2784,2))&gt;60,"","Powiat "),IF(VALUE(RIGHT($A2784,1))=1,"m. ",IF(VALUE(RIGHT($A2784,1))=2,"gm. w. ",IF(VALUE(RIGHT($A2784,1))=8,"dz. ","gm. m.-w. ")))))&amp;IF(LEN($A2784)=2,TRIM(UPPER(VLOOKUP($A2784,GUS_tabl_1!$A$7:$B$22,2,FALSE))),IF(ISERROR(FIND("..",TRIM(VLOOKUP(IF(AND(LEN($A2784)=4,VALUE(RIGHT($A2784,2))&gt;60),$A2784&amp;"01 1",$A2784),IF(AND(LEN($A2784)=4,VALUE(RIGHT($A2784,2))&lt;60),GUS_tabl_2!$A$8:$B$464,GUS_tabl_21!$A$5:$B$4886),2,FALSE)))),TRIM(VLOOKUP(IF(AND(LEN($A2784)=4,VALUE(RIGHT($A2784,2))&gt;60),$A2784&amp;"01 1",$A2784),IF(AND(LEN($A2784)=4,VALUE(RIGHT($A2784,2))&lt;60),GUS_tabl_2!$A$8:$B$464,GUS_tabl_21!$A$5:$B$4886),2,FALSE)),LEFT(TRIM(VLOOKUP(IF(AND(LEN($A2784)=4,VALUE(RIGHT($A2784,2))&gt;60),$A2784&amp;"01 1",$A2784),IF(AND(LEN($A2784)=4,VALUE(RIGHT($A2784,2))&lt;60),GUS_tabl_2!$A$8:$B$464,GUS_tabl_21!$A$5:$B$4886),2,FALSE)),SUM(FIND("..",TRIM(VLOOKUP(IF(AND(LEN($A2784)=4,VALUE(RIGHT($A2784,2))&gt;60),$A2784&amp;"01 1",$A2784),IF(AND(LEN($A2784)=4,VALUE(RIGHT($A2784,2))&lt;60),GUS_tabl_2!$A$8:$B$464,GUS_tabl_21!$A$5:$B$4886),2,FALSE))),-1)))))</f>
        <v>gm. w. Wągrowiec</v>
      </c>
      <c r="D2784" s="141">
        <f>IF(OR($A2784="",ISERROR(VALUE(LEFT($A2784,6)))),"",IF(LEN($A2784)=2,SUMIF($A2785:$A$2965,$A2784&amp;"??",$D2785:$D$2965),IF(AND(LEN($A2784)=4,VALUE(RIGHT($A2784,2))&lt;=60),SUMIF($A2785:$A$2965,$A2784&amp;"????",$D2785:$D$2965),VLOOKUP(IF(LEN($A2784)=4,$A2784&amp;"01 1",$A2784),GUS_tabl_21!$A$5:$F$4886,6,FALSE))))</f>
        <v>12316</v>
      </c>
      <c r="E2784" s="29"/>
    </row>
    <row r="2785" spans="1:5" ht="12" customHeight="1">
      <c r="A2785" s="152" t="str">
        <f>"3029"</f>
        <v>3029</v>
      </c>
      <c r="B2785" s="153" t="s">
        <v>34</v>
      </c>
      <c r="C2785" s="154" t="str">
        <f>IF(OR($A2785="",ISERROR(VALUE(LEFT($A2785,6)))),"",IF(LEN($A2785)=2,"WOJ. ",IF(LEN($A2785)=4,IF(VALUE(RIGHT($A2785,2))&gt;60,"","Powiat "),IF(VALUE(RIGHT($A2785,1))=1,"m. ",IF(VALUE(RIGHT($A2785,1))=2,"gm. w. ",IF(VALUE(RIGHT($A2785,1))=8,"dz. ","gm. m.-w. ")))))&amp;IF(LEN($A2785)=2,TRIM(UPPER(VLOOKUP($A2785,GUS_tabl_1!$A$7:$B$22,2,FALSE))),IF(ISERROR(FIND("..",TRIM(VLOOKUP(IF(AND(LEN($A2785)=4,VALUE(RIGHT($A2785,2))&gt;60),$A2785&amp;"01 1",$A2785),IF(AND(LEN($A2785)=4,VALUE(RIGHT($A2785,2))&lt;60),GUS_tabl_2!$A$8:$B$464,GUS_tabl_21!$A$5:$B$4886),2,FALSE)))),TRIM(VLOOKUP(IF(AND(LEN($A2785)=4,VALUE(RIGHT($A2785,2))&gt;60),$A2785&amp;"01 1",$A2785),IF(AND(LEN($A2785)=4,VALUE(RIGHT($A2785,2))&lt;60),GUS_tabl_2!$A$8:$B$464,GUS_tabl_21!$A$5:$B$4886),2,FALSE)),LEFT(TRIM(VLOOKUP(IF(AND(LEN($A2785)=4,VALUE(RIGHT($A2785,2))&gt;60),$A2785&amp;"01 1",$A2785),IF(AND(LEN($A2785)=4,VALUE(RIGHT($A2785,2))&lt;60),GUS_tabl_2!$A$8:$B$464,GUS_tabl_21!$A$5:$B$4886),2,FALSE)),SUM(FIND("..",TRIM(VLOOKUP(IF(AND(LEN($A2785)=4,VALUE(RIGHT($A2785,2))&gt;60),$A2785&amp;"01 1",$A2785),IF(AND(LEN($A2785)=4,VALUE(RIGHT($A2785,2))&lt;60),GUS_tabl_2!$A$8:$B$464,GUS_tabl_21!$A$5:$B$4886),2,FALSE))),-1)))))</f>
        <v>Powiat wolsztyński</v>
      </c>
      <c r="D2785" s="140">
        <f>IF(OR($A2785="",ISERROR(VALUE(LEFT($A2785,6)))),"",IF(LEN($A2785)=2,SUMIF($A2786:$A$2965,$A2785&amp;"??",$D2786:$D$2965),IF(AND(LEN($A2785)=4,VALUE(RIGHT($A2785,2))&lt;=60),SUMIF($A2786:$A$2965,$A2785&amp;"????",$D2786:$D$2965),VLOOKUP(IF(LEN($A2785)=4,$A2785&amp;"01 1",$A2785),GUS_tabl_21!$A$5:$F$4886,6,FALSE))))</f>
        <v>57446</v>
      </c>
      <c r="E2785" s="29"/>
    </row>
    <row r="2786" spans="1:5" ht="12" customHeight="1">
      <c r="A2786" s="155" t="str">
        <f>"302901 2"</f>
        <v>302901 2</v>
      </c>
      <c r="B2786" s="153" t="s">
        <v>34</v>
      </c>
      <c r="C2786" s="156" t="str">
        <f>IF(OR($A2786="",ISERROR(VALUE(LEFT($A2786,6)))),"",IF(LEN($A2786)=2,"WOJ. ",IF(LEN($A2786)=4,IF(VALUE(RIGHT($A2786,2))&gt;60,"","Powiat "),IF(VALUE(RIGHT($A2786,1))=1,"m. ",IF(VALUE(RIGHT($A2786,1))=2,"gm. w. ",IF(VALUE(RIGHT($A2786,1))=8,"dz. ","gm. m.-w. ")))))&amp;IF(LEN($A2786)=2,TRIM(UPPER(VLOOKUP($A2786,GUS_tabl_1!$A$7:$B$22,2,FALSE))),IF(ISERROR(FIND("..",TRIM(VLOOKUP(IF(AND(LEN($A2786)=4,VALUE(RIGHT($A2786,2))&gt;60),$A2786&amp;"01 1",$A2786),IF(AND(LEN($A2786)=4,VALUE(RIGHT($A2786,2))&lt;60),GUS_tabl_2!$A$8:$B$464,GUS_tabl_21!$A$5:$B$4886),2,FALSE)))),TRIM(VLOOKUP(IF(AND(LEN($A2786)=4,VALUE(RIGHT($A2786,2))&gt;60),$A2786&amp;"01 1",$A2786),IF(AND(LEN($A2786)=4,VALUE(RIGHT($A2786,2))&lt;60),GUS_tabl_2!$A$8:$B$464,GUS_tabl_21!$A$5:$B$4886),2,FALSE)),LEFT(TRIM(VLOOKUP(IF(AND(LEN($A2786)=4,VALUE(RIGHT($A2786,2))&gt;60),$A2786&amp;"01 1",$A2786),IF(AND(LEN($A2786)=4,VALUE(RIGHT($A2786,2))&lt;60),GUS_tabl_2!$A$8:$B$464,GUS_tabl_21!$A$5:$B$4886),2,FALSE)),SUM(FIND("..",TRIM(VLOOKUP(IF(AND(LEN($A2786)=4,VALUE(RIGHT($A2786,2))&gt;60),$A2786&amp;"01 1",$A2786),IF(AND(LEN($A2786)=4,VALUE(RIGHT($A2786,2))&lt;60),GUS_tabl_2!$A$8:$B$464,GUS_tabl_21!$A$5:$B$4886),2,FALSE))),-1)))))</f>
        <v>gm. w. Przemęt</v>
      </c>
      <c r="D2786" s="141">
        <f>IF(OR($A2786="",ISERROR(VALUE(LEFT($A2786,6)))),"",IF(LEN($A2786)=2,SUMIF($A2787:$A$2965,$A2786&amp;"??",$D2787:$D$2965),IF(AND(LEN($A2786)=4,VALUE(RIGHT($A2786,2))&lt;=60),SUMIF($A2787:$A$2965,$A2786&amp;"????",$D2787:$D$2965),VLOOKUP(IF(LEN($A2786)=4,$A2786&amp;"01 1",$A2786),GUS_tabl_21!$A$5:$F$4886,6,FALSE))))</f>
        <v>14173</v>
      </c>
      <c r="E2786" s="29"/>
    </row>
    <row r="2787" spans="1:5" ht="12" customHeight="1">
      <c r="A2787" s="155" t="str">
        <f>"302902 2"</f>
        <v>302902 2</v>
      </c>
      <c r="B2787" s="153" t="s">
        <v>34</v>
      </c>
      <c r="C2787" s="156" t="str">
        <f>IF(OR($A2787="",ISERROR(VALUE(LEFT($A2787,6)))),"",IF(LEN($A2787)=2,"WOJ. ",IF(LEN($A2787)=4,IF(VALUE(RIGHT($A2787,2))&gt;60,"","Powiat "),IF(VALUE(RIGHT($A2787,1))=1,"m. ",IF(VALUE(RIGHT($A2787,1))=2,"gm. w. ",IF(VALUE(RIGHT($A2787,1))=8,"dz. ","gm. m.-w. ")))))&amp;IF(LEN($A2787)=2,TRIM(UPPER(VLOOKUP($A2787,GUS_tabl_1!$A$7:$B$22,2,FALSE))),IF(ISERROR(FIND("..",TRIM(VLOOKUP(IF(AND(LEN($A2787)=4,VALUE(RIGHT($A2787,2))&gt;60),$A2787&amp;"01 1",$A2787),IF(AND(LEN($A2787)=4,VALUE(RIGHT($A2787,2))&lt;60),GUS_tabl_2!$A$8:$B$464,GUS_tabl_21!$A$5:$B$4886),2,FALSE)))),TRIM(VLOOKUP(IF(AND(LEN($A2787)=4,VALUE(RIGHT($A2787,2))&gt;60),$A2787&amp;"01 1",$A2787),IF(AND(LEN($A2787)=4,VALUE(RIGHT($A2787,2))&lt;60),GUS_tabl_2!$A$8:$B$464,GUS_tabl_21!$A$5:$B$4886),2,FALSE)),LEFT(TRIM(VLOOKUP(IF(AND(LEN($A2787)=4,VALUE(RIGHT($A2787,2))&gt;60),$A2787&amp;"01 1",$A2787),IF(AND(LEN($A2787)=4,VALUE(RIGHT($A2787,2))&lt;60),GUS_tabl_2!$A$8:$B$464,GUS_tabl_21!$A$5:$B$4886),2,FALSE)),SUM(FIND("..",TRIM(VLOOKUP(IF(AND(LEN($A2787)=4,VALUE(RIGHT($A2787,2))&gt;60),$A2787&amp;"01 1",$A2787),IF(AND(LEN($A2787)=4,VALUE(RIGHT($A2787,2))&lt;60),GUS_tabl_2!$A$8:$B$464,GUS_tabl_21!$A$5:$B$4886),2,FALSE))),-1)))))</f>
        <v>gm. w. Siedlec</v>
      </c>
      <c r="D2787" s="141">
        <f>IF(OR($A2787="",ISERROR(VALUE(LEFT($A2787,6)))),"",IF(LEN($A2787)=2,SUMIF($A2788:$A$2965,$A2787&amp;"??",$D2788:$D$2965),IF(AND(LEN($A2787)=4,VALUE(RIGHT($A2787,2))&lt;=60),SUMIF($A2788:$A$2965,$A2787&amp;"????",$D2788:$D$2965),VLOOKUP(IF(LEN($A2787)=4,$A2787&amp;"01 1",$A2787),GUS_tabl_21!$A$5:$F$4886,6,FALSE))))</f>
        <v>12734</v>
      </c>
      <c r="E2787" s="29"/>
    </row>
    <row r="2788" spans="1:5" ht="12" customHeight="1">
      <c r="A2788" s="155" t="str">
        <f>"302903 3"</f>
        <v>302903 3</v>
      </c>
      <c r="B2788" s="153" t="s">
        <v>34</v>
      </c>
      <c r="C2788" s="156" t="str">
        <f>IF(OR($A2788="",ISERROR(VALUE(LEFT($A2788,6)))),"",IF(LEN($A2788)=2,"WOJ. ",IF(LEN($A2788)=4,IF(VALUE(RIGHT($A2788,2))&gt;60,"","Powiat "),IF(VALUE(RIGHT($A2788,1))=1,"m. ",IF(VALUE(RIGHT($A2788,1))=2,"gm. w. ",IF(VALUE(RIGHT($A2788,1))=8,"dz. ","gm. m.-w. ")))))&amp;IF(LEN($A2788)=2,TRIM(UPPER(VLOOKUP($A2788,GUS_tabl_1!$A$7:$B$22,2,FALSE))),IF(ISERROR(FIND("..",TRIM(VLOOKUP(IF(AND(LEN($A2788)=4,VALUE(RIGHT($A2788,2))&gt;60),$A2788&amp;"01 1",$A2788),IF(AND(LEN($A2788)=4,VALUE(RIGHT($A2788,2))&lt;60),GUS_tabl_2!$A$8:$B$464,GUS_tabl_21!$A$5:$B$4886),2,FALSE)))),TRIM(VLOOKUP(IF(AND(LEN($A2788)=4,VALUE(RIGHT($A2788,2))&gt;60),$A2788&amp;"01 1",$A2788),IF(AND(LEN($A2788)=4,VALUE(RIGHT($A2788,2))&lt;60),GUS_tabl_2!$A$8:$B$464,GUS_tabl_21!$A$5:$B$4886),2,FALSE)),LEFT(TRIM(VLOOKUP(IF(AND(LEN($A2788)=4,VALUE(RIGHT($A2788,2))&gt;60),$A2788&amp;"01 1",$A2788),IF(AND(LEN($A2788)=4,VALUE(RIGHT($A2788,2))&lt;60),GUS_tabl_2!$A$8:$B$464,GUS_tabl_21!$A$5:$B$4886),2,FALSE)),SUM(FIND("..",TRIM(VLOOKUP(IF(AND(LEN($A2788)=4,VALUE(RIGHT($A2788,2))&gt;60),$A2788&amp;"01 1",$A2788),IF(AND(LEN($A2788)=4,VALUE(RIGHT($A2788,2))&lt;60),GUS_tabl_2!$A$8:$B$464,GUS_tabl_21!$A$5:$B$4886),2,FALSE))),-1)))))</f>
        <v>gm. m.-w. Wolsztyn</v>
      </c>
      <c r="D2788" s="141">
        <f>IF(OR($A2788="",ISERROR(VALUE(LEFT($A2788,6)))),"",IF(LEN($A2788)=2,SUMIF($A2789:$A$2965,$A2788&amp;"??",$D2789:$D$2965),IF(AND(LEN($A2788)=4,VALUE(RIGHT($A2788,2))&lt;=60),SUMIF($A2789:$A$2965,$A2788&amp;"????",$D2789:$D$2965),VLOOKUP(IF(LEN($A2788)=4,$A2788&amp;"01 1",$A2788),GUS_tabl_21!$A$5:$F$4886,6,FALSE))))</f>
        <v>30539</v>
      </c>
      <c r="E2788" s="29"/>
    </row>
    <row r="2789" spans="1:5" ht="12" customHeight="1">
      <c r="A2789" s="152" t="str">
        <f>"3030"</f>
        <v>3030</v>
      </c>
      <c r="B2789" s="153" t="s">
        <v>34</v>
      </c>
      <c r="C2789" s="154" t="str">
        <f>IF(OR($A2789="",ISERROR(VALUE(LEFT($A2789,6)))),"",IF(LEN($A2789)=2,"WOJ. ",IF(LEN($A2789)=4,IF(VALUE(RIGHT($A2789,2))&gt;60,"","Powiat "),IF(VALUE(RIGHT($A2789,1))=1,"m. ",IF(VALUE(RIGHT($A2789,1))=2,"gm. w. ",IF(VALUE(RIGHT($A2789,1))=8,"dz. ","gm. m.-w. ")))))&amp;IF(LEN($A2789)=2,TRIM(UPPER(VLOOKUP($A2789,GUS_tabl_1!$A$7:$B$22,2,FALSE))),IF(ISERROR(FIND("..",TRIM(VLOOKUP(IF(AND(LEN($A2789)=4,VALUE(RIGHT($A2789,2))&gt;60),$A2789&amp;"01 1",$A2789),IF(AND(LEN($A2789)=4,VALUE(RIGHT($A2789,2))&lt;60),GUS_tabl_2!$A$8:$B$464,GUS_tabl_21!$A$5:$B$4886),2,FALSE)))),TRIM(VLOOKUP(IF(AND(LEN($A2789)=4,VALUE(RIGHT($A2789,2))&gt;60),$A2789&amp;"01 1",$A2789),IF(AND(LEN($A2789)=4,VALUE(RIGHT($A2789,2))&lt;60),GUS_tabl_2!$A$8:$B$464,GUS_tabl_21!$A$5:$B$4886),2,FALSE)),LEFT(TRIM(VLOOKUP(IF(AND(LEN($A2789)=4,VALUE(RIGHT($A2789,2))&gt;60),$A2789&amp;"01 1",$A2789),IF(AND(LEN($A2789)=4,VALUE(RIGHT($A2789,2))&lt;60),GUS_tabl_2!$A$8:$B$464,GUS_tabl_21!$A$5:$B$4886),2,FALSE)),SUM(FIND("..",TRIM(VLOOKUP(IF(AND(LEN($A2789)=4,VALUE(RIGHT($A2789,2))&gt;60),$A2789&amp;"01 1",$A2789),IF(AND(LEN($A2789)=4,VALUE(RIGHT($A2789,2))&lt;60),GUS_tabl_2!$A$8:$B$464,GUS_tabl_21!$A$5:$B$4886),2,FALSE))),-1)))))</f>
        <v>Powiat wrzesiński</v>
      </c>
      <c r="D2789" s="140">
        <f>IF(OR($A2789="",ISERROR(VALUE(LEFT($A2789,6)))),"",IF(LEN($A2789)=2,SUMIF($A2790:$A$2965,$A2789&amp;"??",$D2790:$D$2965),IF(AND(LEN($A2789)=4,VALUE(RIGHT($A2789,2))&lt;=60),SUMIF($A2790:$A$2965,$A2789&amp;"????",$D2790:$D$2965),VLOOKUP(IF(LEN($A2789)=4,$A2789&amp;"01 1",$A2789),GUS_tabl_21!$A$5:$F$4886,6,FALSE))))</f>
        <v>77994</v>
      </c>
      <c r="E2789" s="29"/>
    </row>
    <row r="2790" spans="1:5" ht="12" customHeight="1">
      <c r="A2790" s="155" t="str">
        <f>"303001 2"</f>
        <v>303001 2</v>
      </c>
      <c r="B2790" s="153" t="s">
        <v>34</v>
      </c>
      <c r="C2790" s="156" t="str">
        <f>IF(OR($A2790="",ISERROR(VALUE(LEFT($A2790,6)))),"",IF(LEN($A2790)=2,"WOJ. ",IF(LEN($A2790)=4,IF(VALUE(RIGHT($A2790,2))&gt;60,"","Powiat "),IF(VALUE(RIGHT($A2790,1))=1,"m. ",IF(VALUE(RIGHT($A2790,1))=2,"gm. w. ",IF(VALUE(RIGHT($A2790,1))=8,"dz. ","gm. m.-w. ")))))&amp;IF(LEN($A2790)=2,TRIM(UPPER(VLOOKUP($A2790,GUS_tabl_1!$A$7:$B$22,2,FALSE))),IF(ISERROR(FIND("..",TRIM(VLOOKUP(IF(AND(LEN($A2790)=4,VALUE(RIGHT($A2790,2))&gt;60),$A2790&amp;"01 1",$A2790),IF(AND(LEN($A2790)=4,VALUE(RIGHT($A2790,2))&lt;60),GUS_tabl_2!$A$8:$B$464,GUS_tabl_21!$A$5:$B$4886),2,FALSE)))),TRIM(VLOOKUP(IF(AND(LEN($A2790)=4,VALUE(RIGHT($A2790,2))&gt;60),$A2790&amp;"01 1",$A2790),IF(AND(LEN($A2790)=4,VALUE(RIGHT($A2790,2))&lt;60),GUS_tabl_2!$A$8:$B$464,GUS_tabl_21!$A$5:$B$4886),2,FALSE)),LEFT(TRIM(VLOOKUP(IF(AND(LEN($A2790)=4,VALUE(RIGHT($A2790,2))&gt;60),$A2790&amp;"01 1",$A2790),IF(AND(LEN($A2790)=4,VALUE(RIGHT($A2790,2))&lt;60),GUS_tabl_2!$A$8:$B$464,GUS_tabl_21!$A$5:$B$4886),2,FALSE)),SUM(FIND("..",TRIM(VLOOKUP(IF(AND(LEN($A2790)=4,VALUE(RIGHT($A2790,2))&gt;60),$A2790&amp;"01 1",$A2790),IF(AND(LEN($A2790)=4,VALUE(RIGHT($A2790,2))&lt;60),GUS_tabl_2!$A$8:$B$464,GUS_tabl_21!$A$5:$B$4886),2,FALSE))),-1)))))</f>
        <v>gm. w. Kołaczkowo</v>
      </c>
      <c r="D2790" s="141">
        <f>IF(OR($A2790="",ISERROR(VALUE(LEFT($A2790,6)))),"",IF(LEN($A2790)=2,SUMIF($A2791:$A$2965,$A2790&amp;"??",$D2791:$D$2965),IF(AND(LEN($A2790)=4,VALUE(RIGHT($A2790,2))&lt;=60),SUMIF($A2791:$A$2965,$A2790&amp;"????",$D2791:$D$2965),VLOOKUP(IF(LEN($A2790)=4,$A2790&amp;"01 1",$A2790),GUS_tabl_21!$A$5:$F$4886,6,FALSE))))</f>
        <v>6025</v>
      </c>
      <c r="E2790" s="29"/>
    </row>
    <row r="2791" spans="1:5" ht="12" customHeight="1">
      <c r="A2791" s="155" t="str">
        <f>"303002 3"</f>
        <v>303002 3</v>
      </c>
      <c r="B2791" s="153" t="s">
        <v>34</v>
      </c>
      <c r="C2791" s="156" t="str">
        <f>IF(OR($A2791="",ISERROR(VALUE(LEFT($A2791,6)))),"",IF(LEN($A2791)=2,"WOJ. ",IF(LEN($A2791)=4,IF(VALUE(RIGHT($A2791,2))&gt;60,"","Powiat "),IF(VALUE(RIGHT($A2791,1))=1,"m. ",IF(VALUE(RIGHT($A2791,1))=2,"gm. w. ",IF(VALUE(RIGHT($A2791,1))=8,"dz. ","gm. m.-w. ")))))&amp;IF(LEN($A2791)=2,TRIM(UPPER(VLOOKUP($A2791,GUS_tabl_1!$A$7:$B$22,2,FALSE))),IF(ISERROR(FIND("..",TRIM(VLOOKUP(IF(AND(LEN($A2791)=4,VALUE(RIGHT($A2791,2))&gt;60),$A2791&amp;"01 1",$A2791),IF(AND(LEN($A2791)=4,VALUE(RIGHT($A2791,2))&lt;60),GUS_tabl_2!$A$8:$B$464,GUS_tabl_21!$A$5:$B$4886),2,FALSE)))),TRIM(VLOOKUP(IF(AND(LEN($A2791)=4,VALUE(RIGHT($A2791,2))&gt;60),$A2791&amp;"01 1",$A2791),IF(AND(LEN($A2791)=4,VALUE(RIGHT($A2791,2))&lt;60),GUS_tabl_2!$A$8:$B$464,GUS_tabl_21!$A$5:$B$4886),2,FALSE)),LEFT(TRIM(VLOOKUP(IF(AND(LEN($A2791)=4,VALUE(RIGHT($A2791,2))&gt;60),$A2791&amp;"01 1",$A2791),IF(AND(LEN($A2791)=4,VALUE(RIGHT($A2791,2))&lt;60),GUS_tabl_2!$A$8:$B$464,GUS_tabl_21!$A$5:$B$4886),2,FALSE)),SUM(FIND("..",TRIM(VLOOKUP(IF(AND(LEN($A2791)=4,VALUE(RIGHT($A2791,2))&gt;60),$A2791&amp;"01 1",$A2791),IF(AND(LEN($A2791)=4,VALUE(RIGHT($A2791,2))&lt;60),GUS_tabl_2!$A$8:$B$464,GUS_tabl_21!$A$5:$B$4886),2,FALSE))),-1)))))</f>
        <v>gm. m.-w. Miłosław</v>
      </c>
      <c r="D2791" s="141">
        <f>IF(OR($A2791="",ISERROR(VALUE(LEFT($A2791,6)))),"",IF(LEN($A2791)=2,SUMIF($A2792:$A$2965,$A2791&amp;"??",$D2792:$D$2965),IF(AND(LEN($A2791)=4,VALUE(RIGHT($A2791,2))&lt;=60),SUMIF($A2792:$A$2965,$A2791&amp;"????",$D2792:$D$2965),VLOOKUP(IF(LEN($A2791)=4,$A2791&amp;"01 1",$A2791),GUS_tabl_21!$A$5:$F$4886,6,FALSE))))</f>
        <v>10202</v>
      </c>
      <c r="E2791" s="29"/>
    </row>
    <row r="2792" spans="1:5" ht="12" customHeight="1">
      <c r="A2792" s="155" t="str">
        <f>"303003 3"</f>
        <v>303003 3</v>
      </c>
      <c r="B2792" s="153" t="s">
        <v>34</v>
      </c>
      <c r="C2792" s="156" t="str">
        <f>IF(OR($A2792="",ISERROR(VALUE(LEFT($A2792,6)))),"",IF(LEN($A2792)=2,"WOJ. ",IF(LEN($A2792)=4,IF(VALUE(RIGHT($A2792,2))&gt;60,"","Powiat "),IF(VALUE(RIGHT($A2792,1))=1,"m. ",IF(VALUE(RIGHT($A2792,1))=2,"gm. w. ",IF(VALUE(RIGHT($A2792,1))=8,"dz. ","gm. m.-w. ")))))&amp;IF(LEN($A2792)=2,TRIM(UPPER(VLOOKUP($A2792,GUS_tabl_1!$A$7:$B$22,2,FALSE))),IF(ISERROR(FIND("..",TRIM(VLOOKUP(IF(AND(LEN($A2792)=4,VALUE(RIGHT($A2792,2))&gt;60),$A2792&amp;"01 1",$A2792),IF(AND(LEN($A2792)=4,VALUE(RIGHT($A2792,2))&lt;60),GUS_tabl_2!$A$8:$B$464,GUS_tabl_21!$A$5:$B$4886),2,FALSE)))),TRIM(VLOOKUP(IF(AND(LEN($A2792)=4,VALUE(RIGHT($A2792,2))&gt;60),$A2792&amp;"01 1",$A2792),IF(AND(LEN($A2792)=4,VALUE(RIGHT($A2792,2))&lt;60),GUS_tabl_2!$A$8:$B$464,GUS_tabl_21!$A$5:$B$4886),2,FALSE)),LEFT(TRIM(VLOOKUP(IF(AND(LEN($A2792)=4,VALUE(RIGHT($A2792,2))&gt;60),$A2792&amp;"01 1",$A2792),IF(AND(LEN($A2792)=4,VALUE(RIGHT($A2792,2))&lt;60),GUS_tabl_2!$A$8:$B$464,GUS_tabl_21!$A$5:$B$4886),2,FALSE)),SUM(FIND("..",TRIM(VLOOKUP(IF(AND(LEN($A2792)=4,VALUE(RIGHT($A2792,2))&gt;60),$A2792&amp;"01 1",$A2792),IF(AND(LEN($A2792)=4,VALUE(RIGHT($A2792,2))&lt;60),GUS_tabl_2!$A$8:$B$464,GUS_tabl_21!$A$5:$B$4886),2,FALSE))),-1)))))</f>
        <v>gm. m.-w. Nekla</v>
      </c>
      <c r="D2792" s="141">
        <f>IF(OR($A2792="",ISERROR(VALUE(LEFT($A2792,6)))),"",IF(LEN($A2792)=2,SUMIF($A2793:$A$2965,$A2792&amp;"??",$D2793:$D$2965),IF(AND(LEN($A2792)=4,VALUE(RIGHT($A2792,2))&lt;=60),SUMIF($A2793:$A$2965,$A2792&amp;"????",$D2793:$D$2965),VLOOKUP(IF(LEN($A2792)=4,$A2792&amp;"01 1",$A2792),GUS_tabl_21!$A$5:$F$4886,6,FALSE))))</f>
        <v>7571</v>
      </c>
      <c r="E2792" s="29"/>
    </row>
    <row r="2793" spans="1:5" ht="12" customHeight="1">
      <c r="A2793" s="155" t="str">
        <f>"303004 3"</f>
        <v>303004 3</v>
      </c>
      <c r="B2793" s="153" t="s">
        <v>34</v>
      </c>
      <c r="C2793" s="156" t="str">
        <f>IF(OR($A2793="",ISERROR(VALUE(LEFT($A2793,6)))),"",IF(LEN($A2793)=2,"WOJ. ",IF(LEN($A2793)=4,IF(VALUE(RIGHT($A2793,2))&gt;60,"","Powiat "),IF(VALUE(RIGHT($A2793,1))=1,"m. ",IF(VALUE(RIGHT($A2793,1))=2,"gm. w. ",IF(VALUE(RIGHT($A2793,1))=8,"dz. ","gm. m.-w. ")))))&amp;IF(LEN($A2793)=2,TRIM(UPPER(VLOOKUP($A2793,GUS_tabl_1!$A$7:$B$22,2,FALSE))),IF(ISERROR(FIND("..",TRIM(VLOOKUP(IF(AND(LEN($A2793)=4,VALUE(RIGHT($A2793,2))&gt;60),$A2793&amp;"01 1",$A2793),IF(AND(LEN($A2793)=4,VALUE(RIGHT($A2793,2))&lt;60),GUS_tabl_2!$A$8:$B$464,GUS_tabl_21!$A$5:$B$4886),2,FALSE)))),TRIM(VLOOKUP(IF(AND(LEN($A2793)=4,VALUE(RIGHT($A2793,2))&gt;60),$A2793&amp;"01 1",$A2793),IF(AND(LEN($A2793)=4,VALUE(RIGHT($A2793,2))&lt;60),GUS_tabl_2!$A$8:$B$464,GUS_tabl_21!$A$5:$B$4886),2,FALSE)),LEFT(TRIM(VLOOKUP(IF(AND(LEN($A2793)=4,VALUE(RIGHT($A2793,2))&gt;60),$A2793&amp;"01 1",$A2793),IF(AND(LEN($A2793)=4,VALUE(RIGHT($A2793,2))&lt;60),GUS_tabl_2!$A$8:$B$464,GUS_tabl_21!$A$5:$B$4886),2,FALSE)),SUM(FIND("..",TRIM(VLOOKUP(IF(AND(LEN($A2793)=4,VALUE(RIGHT($A2793,2))&gt;60),$A2793&amp;"01 1",$A2793),IF(AND(LEN($A2793)=4,VALUE(RIGHT($A2793,2))&lt;60),GUS_tabl_2!$A$8:$B$464,GUS_tabl_21!$A$5:$B$4886),2,FALSE))),-1)))))</f>
        <v>gm. m.-w. Pyzdry</v>
      </c>
      <c r="D2793" s="141">
        <f>IF(OR($A2793="",ISERROR(VALUE(LEFT($A2793,6)))),"",IF(LEN($A2793)=2,SUMIF($A2794:$A$2965,$A2793&amp;"??",$D2794:$D$2965),IF(AND(LEN($A2793)=4,VALUE(RIGHT($A2793,2))&lt;=60),SUMIF($A2794:$A$2965,$A2793&amp;"????",$D2794:$D$2965),VLOOKUP(IF(LEN($A2793)=4,$A2793&amp;"01 1",$A2793),GUS_tabl_21!$A$5:$F$4886,6,FALSE))))</f>
        <v>6937</v>
      </c>
      <c r="E2793" s="29"/>
    </row>
    <row r="2794" spans="1:5" ht="12" customHeight="1">
      <c r="A2794" s="155" t="str">
        <f>"303005 3"</f>
        <v>303005 3</v>
      </c>
      <c r="B2794" s="153" t="s">
        <v>34</v>
      </c>
      <c r="C2794" s="156" t="str">
        <f>IF(OR($A2794="",ISERROR(VALUE(LEFT($A2794,6)))),"",IF(LEN($A2794)=2,"WOJ. ",IF(LEN($A2794)=4,IF(VALUE(RIGHT($A2794,2))&gt;60,"","Powiat "),IF(VALUE(RIGHT($A2794,1))=1,"m. ",IF(VALUE(RIGHT($A2794,1))=2,"gm. w. ",IF(VALUE(RIGHT($A2794,1))=8,"dz. ","gm. m.-w. ")))))&amp;IF(LEN($A2794)=2,TRIM(UPPER(VLOOKUP($A2794,GUS_tabl_1!$A$7:$B$22,2,FALSE))),IF(ISERROR(FIND("..",TRIM(VLOOKUP(IF(AND(LEN($A2794)=4,VALUE(RIGHT($A2794,2))&gt;60),$A2794&amp;"01 1",$A2794),IF(AND(LEN($A2794)=4,VALUE(RIGHT($A2794,2))&lt;60),GUS_tabl_2!$A$8:$B$464,GUS_tabl_21!$A$5:$B$4886),2,FALSE)))),TRIM(VLOOKUP(IF(AND(LEN($A2794)=4,VALUE(RIGHT($A2794,2))&gt;60),$A2794&amp;"01 1",$A2794),IF(AND(LEN($A2794)=4,VALUE(RIGHT($A2794,2))&lt;60),GUS_tabl_2!$A$8:$B$464,GUS_tabl_21!$A$5:$B$4886),2,FALSE)),LEFT(TRIM(VLOOKUP(IF(AND(LEN($A2794)=4,VALUE(RIGHT($A2794,2))&gt;60),$A2794&amp;"01 1",$A2794),IF(AND(LEN($A2794)=4,VALUE(RIGHT($A2794,2))&lt;60),GUS_tabl_2!$A$8:$B$464,GUS_tabl_21!$A$5:$B$4886),2,FALSE)),SUM(FIND("..",TRIM(VLOOKUP(IF(AND(LEN($A2794)=4,VALUE(RIGHT($A2794,2))&gt;60),$A2794&amp;"01 1",$A2794),IF(AND(LEN($A2794)=4,VALUE(RIGHT($A2794,2))&lt;60),GUS_tabl_2!$A$8:$B$464,GUS_tabl_21!$A$5:$B$4886),2,FALSE))),-1)))))</f>
        <v>gm. m.-w. Września</v>
      </c>
      <c r="D2794" s="141">
        <f>IF(OR($A2794="",ISERROR(VALUE(LEFT($A2794,6)))),"",IF(LEN($A2794)=2,SUMIF($A2795:$A$2965,$A2794&amp;"??",$D2795:$D$2965),IF(AND(LEN($A2794)=4,VALUE(RIGHT($A2794,2))&lt;=60),SUMIF($A2795:$A$2965,$A2794&amp;"????",$D2795:$D$2965),VLOOKUP(IF(LEN($A2794)=4,$A2794&amp;"01 1",$A2794),GUS_tabl_21!$A$5:$F$4886,6,FALSE))))</f>
        <v>47259</v>
      </c>
      <c r="E2794" s="29"/>
    </row>
    <row r="2795" spans="1:5" ht="12" customHeight="1">
      <c r="A2795" s="152" t="str">
        <f>"3031"</f>
        <v>3031</v>
      </c>
      <c r="B2795" s="153" t="s">
        <v>34</v>
      </c>
      <c r="C2795" s="154" t="str">
        <f>IF(OR($A2795="",ISERROR(VALUE(LEFT($A2795,6)))),"",IF(LEN($A2795)=2,"WOJ. ",IF(LEN($A2795)=4,IF(VALUE(RIGHT($A2795,2))&gt;60,"","Powiat "),IF(VALUE(RIGHT($A2795,1))=1,"m. ",IF(VALUE(RIGHT($A2795,1))=2,"gm. w. ",IF(VALUE(RIGHT($A2795,1))=8,"dz. ","gm. m.-w. ")))))&amp;IF(LEN($A2795)=2,TRIM(UPPER(VLOOKUP($A2795,GUS_tabl_1!$A$7:$B$22,2,FALSE))),IF(ISERROR(FIND("..",TRIM(VLOOKUP(IF(AND(LEN($A2795)=4,VALUE(RIGHT($A2795,2))&gt;60),$A2795&amp;"01 1",$A2795),IF(AND(LEN($A2795)=4,VALUE(RIGHT($A2795,2))&lt;60),GUS_tabl_2!$A$8:$B$464,GUS_tabl_21!$A$5:$B$4886),2,FALSE)))),TRIM(VLOOKUP(IF(AND(LEN($A2795)=4,VALUE(RIGHT($A2795,2))&gt;60),$A2795&amp;"01 1",$A2795),IF(AND(LEN($A2795)=4,VALUE(RIGHT($A2795,2))&lt;60),GUS_tabl_2!$A$8:$B$464,GUS_tabl_21!$A$5:$B$4886),2,FALSE)),LEFT(TRIM(VLOOKUP(IF(AND(LEN($A2795)=4,VALUE(RIGHT($A2795,2))&gt;60),$A2795&amp;"01 1",$A2795),IF(AND(LEN($A2795)=4,VALUE(RIGHT($A2795,2))&lt;60),GUS_tabl_2!$A$8:$B$464,GUS_tabl_21!$A$5:$B$4886),2,FALSE)),SUM(FIND("..",TRIM(VLOOKUP(IF(AND(LEN($A2795)=4,VALUE(RIGHT($A2795,2))&gt;60),$A2795&amp;"01 1",$A2795),IF(AND(LEN($A2795)=4,VALUE(RIGHT($A2795,2))&lt;60),GUS_tabl_2!$A$8:$B$464,GUS_tabl_21!$A$5:$B$4886),2,FALSE))),-1)))))</f>
        <v>Powiat złotowski</v>
      </c>
      <c r="D2795" s="140">
        <f>IF(OR($A2795="",ISERROR(VALUE(LEFT($A2795,6)))),"",IF(LEN($A2795)=2,SUMIF($A2796:$A$2965,$A2795&amp;"??",$D2796:$D$2965),IF(AND(LEN($A2795)=4,VALUE(RIGHT($A2795,2))&lt;=60),SUMIF($A2796:$A$2965,$A2795&amp;"????",$D2796:$D$2965),VLOOKUP(IF(LEN($A2795)=4,$A2795&amp;"01 1",$A2795),GUS_tabl_21!$A$5:$F$4886,6,FALSE))))</f>
        <v>69433</v>
      </c>
      <c r="E2795" s="29"/>
    </row>
    <row r="2796" spans="1:5" ht="12" customHeight="1">
      <c r="A2796" s="155" t="str">
        <f>"303101 1"</f>
        <v>303101 1</v>
      </c>
      <c r="B2796" s="153" t="s">
        <v>34</v>
      </c>
      <c r="C2796" s="156" t="str">
        <f>IF(OR($A2796="",ISERROR(VALUE(LEFT($A2796,6)))),"",IF(LEN($A2796)=2,"WOJ. ",IF(LEN($A2796)=4,IF(VALUE(RIGHT($A2796,2))&gt;60,"","Powiat "),IF(VALUE(RIGHT($A2796,1))=1,"m. ",IF(VALUE(RIGHT($A2796,1))=2,"gm. w. ",IF(VALUE(RIGHT($A2796,1))=8,"dz. ","gm. m.-w. ")))))&amp;IF(LEN($A2796)=2,TRIM(UPPER(VLOOKUP($A2796,GUS_tabl_1!$A$7:$B$22,2,FALSE))),IF(ISERROR(FIND("..",TRIM(VLOOKUP(IF(AND(LEN($A2796)=4,VALUE(RIGHT($A2796,2))&gt;60),$A2796&amp;"01 1",$A2796),IF(AND(LEN($A2796)=4,VALUE(RIGHT($A2796,2))&lt;60),GUS_tabl_2!$A$8:$B$464,GUS_tabl_21!$A$5:$B$4886),2,FALSE)))),TRIM(VLOOKUP(IF(AND(LEN($A2796)=4,VALUE(RIGHT($A2796,2))&gt;60),$A2796&amp;"01 1",$A2796),IF(AND(LEN($A2796)=4,VALUE(RIGHT($A2796,2))&lt;60),GUS_tabl_2!$A$8:$B$464,GUS_tabl_21!$A$5:$B$4886),2,FALSE)),LEFT(TRIM(VLOOKUP(IF(AND(LEN($A2796)=4,VALUE(RIGHT($A2796,2))&gt;60),$A2796&amp;"01 1",$A2796),IF(AND(LEN($A2796)=4,VALUE(RIGHT($A2796,2))&lt;60),GUS_tabl_2!$A$8:$B$464,GUS_tabl_21!$A$5:$B$4886),2,FALSE)),SUM(FIND("..",TRIM(VLOOKUP(IF(AND(LEN($A2796)=4,VALUE(RIGHT($A2796,2))&gt;60),$A2796&amp;"01 1",$A2796),IF(AND(LEN($A2796)=4,VALUE(RIGHT($A2796,2))&lt;60),GUS_tabl_2!$A$8:$B$464,GUS_tabl_21!$A$5:$B$4886),2,FALSE))),-1)))))</f>
        <v>m. Złotów</v>
      </c>
      <c r="D2796" s="141">
        <f>IF(OR($A2796="",ISERROR(VALUE(LEFT($A2796,6)))),"",IF(LEN($A2796)=2,SUMIF($A2797:$A$2965,$A2796&amp;"??",$D2797:$D$2965),IF(AND(LEN($A2796)=4,VALUE(RIGHT($A2796,2))&lt;=60),SUMIF($A2797:$A$2965,$A2796&amp;"????",$D2797:$D$2965),VLOOKUP(IF(LEN($A2796)=4,$A2796&amp;"01 1",$A2796),GUS_tabl_21!$A$5:$F$4886,6,FALSE))))</f>
        <v>18532</v>
      </c>
      <c r="E2796" s="29"/>
    </row>
    <row r="2797" spans="1:5" ht="12" customHeight="1">
      <c r="A2797" s="155" t="str">
        <f>"303102 3"</f>
        <v>303102 3</v>
      </c>
      <c r="B2797" s="153" t="s">
        <v>34</v>
      </c>
      <c r="C2797" s="156" t="str">
        <f>IF(OR($A2797="",ISERROR(VALUE(LEFT($A2797,6)))),"",IF(LEN($A2797)=2,"WOJ. ",IF(LEN($A2797)=4,IF(VALUE(RIGHT($A2797,2))&gt;60,"","Powiat "),IF(VALUE(RIGHT($A2797,1))=1,"m. ",IF(VALUE(RIGHT($A2797,1))=2,"gm. w. ",IF(VALUE(RIGHT($A2797,1))=8,"dz. ","gm. m.-w. ")))))&amp;IF(LEN($A2797)=2,TRIM(UPPER(VLOOKUP($A2797,GUS_tabl_1!$A$7:$B$22,2,FALSE))),IF(ISERROR(FIND("..",TRIM(VLOOKUP(IF(AND(LEN($A2797)=4,VALUE(RIGHT($A2797,2))&gt;60),$A2797&amp;"01 1",$A2797),IF(AND(LEN($A2797)=4,VALUE(RIGHT($A2797,2))&lt;60),GUS_tabl_2!$A$8:$B$464,GUS_tabl_21!$A$5:$B$4886),2,FALSE)))),TRIM(VLOOKUP(IF(AND(LEN($A2797)=4,VALUE(RIGHT($A2797,2))&gt;60),$A2797&amp;"01 1",$A2797),IF(AND(LEN($A2797)=4,VALUE(RIGHT($A2797,2))&lt;60),GUS_tabl_2!$A$8:$B$464,GUS_tabl_21!$A$5:$B$4886),2,FALSE)),LEFT(TRIM(VLOOKUP(IF(AND(LEN($A2797)=4,VALUE(RIGHT($A2797,2))&gt;60),$A2797&amp;"01 1",$A2797),IF(AND(LEN($A2797)=4,VALUE(RIGHT($A2797,2))&lt;60),GUS_tabl_2!$A$8:$B$464,GUS_tabl_21!$A$5:$B$4886),2,FALSE)),SUM(FIND("..",TRIM(VLOOKUP(IF(AND(LEN($A2797)=4,VALUE(RIGHT($A2797,2))&gt;60),$A2797&amp;"01 1",$A2797),IF(AND(LEN($A2797)=4,VALUE(RIGHT($A2797,2))&lt;60),GUS_tabl_2!$A$8:$B$464,GUS_tabl_21!$A$5:$B$4886),2,FALSE))),-1)))))</f>
        <v>gm. m.-w. Jastrowie</v>
      </c>
      <c r="D2797" s="141">
        <f>IF(OR($A2797="",ISERROR(VALUE(LEFT($A2797,6)))),"",IF(LEN($A2797)=2,SUMIF($A2798:$A$2965,$A2797&amp;"??",$D2798:$D$2965),IF(AND(LEN($A2797)=4,VALUE(RIGHT($A2797,2))&lt;=60),SUMIF($A2798:$A$2965,$A2797&amp;"????",$D2798:$D$2965),VLOOKUP(IF(LEN($A2797)=4,$A2797&amp;"01 1",$A2797),GUS_tabl_21!$A$5:$F$4886,6,FALSE))))</f>
        <v>11500</v>
      </c>
      <c r="E2797" s="29"/>
    </row>
    <row r="2798" spans="1:5" ht="12" customHeight="1">
      <c r="A2798" s="155" t="str">
        <f>"303103 3"</f>
        <v>303103 3</v>
      </c>
      <c r="B2798" s="153" t="s">
        <v>34</v>
      </c>
      <c r="C2798" s="156" t="str">
        <f>IF(OR($A2798="",ISERROR(VALUE(LEFT($A2798,6)))),"",IF(LEN($A2798)=2,"WOJ. ",IF(LEN($A2798)=4,IF(VALUE(RIGHT($A2798,2))&gt;60,"","Powiat "),IF(VALUE(RIGHT($A2798,1))=1,"m. ",IF(VALUE(RIGHT($A2798,1))=2,"gm. w. ",IF(VALUE(RIGHT($A2798,1))=8,"dz. ","gm. m.-w. ")))))&amp;IF(LEN($A2798)=2,TRIM(UPPER(VLOOKUP($A2798,GUS_tabl_1!$A$7:$B$22,2,FALSE))),IF(ISERROR(FIND("..",TRIM(VLOOKUP(IF(AND(LEN($A2798)=4,VALUE(RIGHT($A2798,2))&gt;60),$A2798&amp;"01 1",$A2798),IF(AND(LEN($A2798)=4,VALUE(RIGHT($A2798,2))&lt;60),GUS_tabl_2!$A$8:$B$464,GUS_tabl_21!$A$5:$B$4886),2,FALSE)))),TRIM(VLOOKUP(IF(AND(LEN($A2798)=4,VALUE(RIGHT($A2798,2))&gt;60),$A2798&amp;"01 1",$A2798),IF(AND(LEN($A2798)=4,VALUE(RIGHT($A2798,2))&lt;60),GUS_tabl_2!$A$8:$B$464,GUS_tabl_21!$A$5:$B$4886),2,FALSE)),LEFT(TRIM(VLOOKUP(IF(AND(LEN($A2798)=4,VALUE(RIGHT($A2798,2))&gt;60),$A2798&amp;"01 1",$A2798),IF(AND(LEN($A2798)=4,VALUE(RIGHT($A2798,2))&lt;60),GUS_tabl_2!$A$8:$B$464,GUS_tabl_21!$A$5:$B$4886),2,FALSE)),SUM(FIND("..",TRIM(VLOOKUP(IF(AND(LEN($A2798)=4,VALUE(RIGHT($A2798,2))&gt;60),$A2798&amp;"01 1",$A2798),IF(AND(LEN($A2798)=4,VALUE(RIGHT($A2798,2))&lt;60),GUS_tabl_2!$A$8:$B$464,GUS_tabl_21!$A$5:$B$4886),2,FALSE))),-1)))))</f>
        <v>gm. m.-w. Krajenka</v>
      </c>
      <c r="D2798" s="141">
        <f>IF(OR($A2798="",ISERROR(VALUE(LEFT($A2798,6)))),"",IF(LEN($A2798)=2,SUMIF($A2799:$A$2965,$A2798&amp;"??",$D2799:$D$2965),IF(AND(LEN($A2798)=4,VALUE(RIGHT($A2798,2))&lt;=60),SUMIF($A2799:$A$2965,$A2798&amp;"????",$D2799:$D$2965),VLOOKUP(IF(LEN($A2798)=4,$A2798&amp;"01 1",$A2798),GUS_tabl_21!$A$5:$F$4886,6,FALSE))))</f>
        <v>7534</v>
      </c>
      <c r="E2798" s="29"/>
    </row>
    <row r="2799" spans="1:5" ht="12" customHeight="1">
      <c r="A2799" s="155" t="str">
        <f>"303104 2"</f>
        <v>303104 2</v>
      </c>
      <c r="B2799" s="153" t="s">
        <v>34</v>
      </c>
      <c r="C2799" s="156" t="str">
        <f>IF(OR($A2799="",ISERROR(VALUE(LEFT($A2799,6)))),"",IF(LEN($A2799)=2,"WOJ. ",IF(LEN($A2799)=4,IF(VALUE(RIGHT($A2799,2))&gt;60,"","Powiat "),IF(VALUE(RIGHT($A2799,1))=1,"m. ",IF(VALUE(RIGHT($A2799,1))=2,"gm. w. ",IF(VALUE(RIGHT($A2799,1))=8,"dz. ","gm. m.-w. ")))))&amp;IF(LEN($A2799)=2,TRIM(UPPER(VLOOKUP($A2799,GUS_tabl_1!$A$7:$B$22,2,FALSE))),IF(ISERROR(FIND("..",TRIM(VLOOKUP(IF(AND(LEN($A2799)=4,VALUE(RIGHT($A2799,2))&gt;60),$A2799&amp;"01 1",$A2799),IF(AND(LEN($A2799)=4,VALUE(RIGHT($A2799,2))&lt;60),GUS_tabl_2!$A$8:$B$464,GUS_tabl_21!$A$5:$B$4886),2,FALSE)))),TRIM(VLOOKUP(IF(AND(LEN($A2799)=4,VALUE(RIGHT($A2799,2))&gt;60),$A2799&amp;"01 1",$A2799),IF(AND(LEN($A2799)=4,VALUE(RIGHT($A2799,2))&lt;60),GUS_tabl_2!$A$8:$B$464,GUS_tabl_21!$A$5:$B$4886),2,FALSE)),LEFT(TRIM(VLOOKUP(IF(AND(LEN($A2799)=4,VALUE(RIGHT($A2799,2))&gt;60),$A2799&amp;"01 1",$A2799),IF(AND(LEN($A2799)=4,VALUE(RIGHT($A2799,2))&lt;60),GUS_tabl_2!$A$8:$B$464,GUS_tabl_21!$A$5:$B$4886),2,FALSE)),SUM(FIND("..",TRIM(VLOOKUP(IF(AND(LEN($A2799)=4,VALUE(RIGHT($A2799,2))&gt;60),$A2799&amp;"01 1",$A2799),IF(AND(LEN($A2799)=4,VALUE(RIGHT($A2799,2))&lt;60),GUS_tabl_2!$A$8:$B$464,GUS_tabl_21!$A$5:$B$4886),2,FALSE))),-1)))))</f>
        <v>gm. w. Lipka</v>
      </c>
      <c r="D2799" s="141">
        <f>IF(OR($A2799="",ISERROR(VALUE(LEFT($A2799,6)))),"",IF(LEN($A2799)=2,SUMIF($A2800:$A$2965,$A2799&amp;"??",$D2800:$D$2965),IF(AND(LEN($A2799)=4,VALUE(RIGHT($A2799,2))&lt;=60),SUMIF($A2800:$A$2965,$A2799&amp;"????",$D2800:$D$2965),VLOOKUP(IF(LEN($A2799)=4,$A2799&amp;"01 1",$A2799),GUS_tabl_21!$A$5:$F$4886,6,FALSE))))</f>
        <v>5509</v>
      </c>
      <c r="E2799" s="29"/>
    </row>
    <row r="2800" spans="1:5" ht="12" customHeight="1">
      <c r="A2800" s="155" t="str">
        <f>"303105 3"</f>
        <v>303105 3</v>
      </c>
      <c r="B2800" s="153" t="s">
        <v>34</v>
      </c>
      <c r="C2800" s="156" t="str">
        <f>IF(OR($A2800="",ISERROR(VALUE(LEFT($A2800,6)))),"",IF(LEN($A2800)=2,"WOJ. ",IF(LEN($A2800)=4,IF(VALUE(RIGHT($A2800,2))&gt;60,"","Powiat "),IF(VALUE(RIGHT($A2800,1))=1,"m. ",IF(VALUE(RIGHT($A2800,1))=2,"gm. w. ",IF(VALUE(RIGHT($A2800,1))=8,"dz. ","gm. m.-w. ")))))&amp;IF(LEN($A2800)=2,TRIM(UPPER(VLOOKUP($A2800,GUS_tabl_1!$A$7:$B$22,2,FALSE))),IF(ISERROR(FIND("..",TRIM(VLOOKUP(IF(AND(LEN($A2800)=4,VALUE(RIGHT($A2800,2))&gt;60),$A2800&amp;"01 1",$A2800),IF(AND(LEN($A2800)=4,VALUE(RIGHT($A2800,2))&lt;60),GUS_tabl_2!$A$8:$B$464,GUS_tabl_21!$A$5:$B$4886),2,FALSE)))),TRIM(VLOOKUP(IF(AND(LEN($A2800)=4,VALUE(RIGHT($A2800,2))&gt;60),$A2800&amp;"01 1",$A2800),IF(AND(LEN($A2800)=4,VALUE(RIGHT($A2800,2))&lt;60),GUS_tabl_2!$A$8:$B$464,GUS_tabl_21!$A$5:$B$4886),2,FALSE)),LEFT(TRIM(VLOOKUP(IF(AND(LEN($A2800)=4,VALUE(RIGHT($A2800,2))&gt;60),$A2800&amp;"01 1",$A2800),IF(AND(LEN($A2800)=4,VALUE(RIGHT($A2800,2))&lt;60),GUS_tabl_2!$A$8:$B$464,GUS_tabl_21!$A$5:$B$4886),2,FALSE)),SUM(FIND("..",TRIM(VLOOKUP(IF(AND(LEN($A2800)=4,VALUE(RIGHT($A2800,2))&gt;60),$A2800&amp;"01 1",$A2800),IF(AND(LEN($A2800)=4,VALUE(RIGHT($A2800,2))&lt;60),GUS_tabl_2!$A$8:$B$464,GUS_tabl_21!$A$5:$B$4886),2,FALSE))),-1)))))</f>
        <v>gm. m.-w. Okonek</v>
      </c>
      <c r="D2800" s="141">
        <f>IF(OR($A2800="",ISERROR(VALUE(LEFT($A2800,6)))),"",IF(LEN($A2800)=2,SUMIF($A2801:$A$2965,$A2800&amp;"??",$D2801:$D$2965),IF(AND(LEN($A2800)=4,VALUE(RIGHT($A2800,2))&lt;=60),SUMIF($A2801:$A$2965,$A2800&amp;"????",$D2801:$D$2965),VLOOKUP(IF(LEN($A2800)=4,$A2800&amp;"01 1",$A2800),GUS_tabl_21!$A$5:$F$4886,6,FALSE))))</f>
        <v>8502</v>
      </c>
      <c r="E2800" s="29"/>
    </row>
    <row r="2801" spans="1:5" ht="12" customHeight="1">
      <c r="A2801" s="155" t="str">
        <f>"303106 2"</f>
        <v>303106 2</v>
      </c>
      <c r="B2801" s="153" t="s">
        <v>34</v>
      </c>
      <c r="C2801" s="156" t="str">
        <f>IF(OR($A2801="",ISERROR(VALUE(LEFT($A2801,6)))),"",IF(LEN($A2801)=2,"WOJ. ",IF(LEN($A2801)=4,IF(VALUE(RIGHT($A2801,2))&gt;60,"","Powiat "),IF(VALUE(RIGHT($A2801,1))=1,"m. ",IF(VALUE(RIGHT($A2801,1))=2,"gm. w. ",IF(VALUE(RIGHT($A2801,1))=8,"dz. ","gm. m.-w. ")))))&amp;IF(LEN($A2801)=2,TRIM(UPPER(VLOOKUP($A2801,GUS_tabl_1!$A$7:$B$22,2,FALSE))),IF(ISERROR(FIND("..",TRIM(VLOOKUP(IF(AND(LEN($A2801)=4,VALUE(RIGHT($A2801,2))&gt;60),$A2801&amp;"01 1",$A2801),IF(AND(LEN($A2801)=4,VALUE(RIGHT($A2801,2))&lt;60),GUS_tabl_2!$A$8:$B$464,GUS_tabl_21!$A$5:$B$4886),2,FALSE)))),TRIM(VLOOKUP(IF(AND(LEN($A2801)=4,VALUE(RIGHT($A2801,2))&gt;60),$A2801&amp;"01 1",$A2801),IF(AND(LEN($A2801)=4,VALUE(RIGHT($A2801,2))&lt;60),GUS_tabl_2!$A$8:$B$464,GUS_tabl_21!$A$5:$B$4886),2,FALSE)),LEFT(TRIM(VLOOKUP(IF(AND(LEN($A2801)=4,VALUE(RIGHT($A2801,2))&gt;60),$A2801&amp;"01 1",$A2801),IF(AND(LEN($A2801)=4,VALUE(RIGHT($A2801,2))&lt;60),GUS_tabl_2!$A$8:$B$464,GUS_tabl_21!$A$5:$B$4886),2,FALSE)),SUM(FIND("..",TRIM(VLOOKUP(IF(AND(LEN($A2801)=4,VALUE(RIGHT($A2801,2))&gt;60),$A2801&amp;"01 1",$A2801),IF(AND(LEN($A2801)=4,VALUE(RIGHT($A2801,2))&lt;60),GUS_tabl_2!$A$8:$B$464,GUS_tabl_21!$A$5:$B$4886),2,FALSE))),-1)))))</f>
        <v>gm. w. Tarnówka</v>
      </c>
      <c r="D2801" s="141">
        <f>IF(OR($A2801="",ISERROR(VALUE(LEFT($A2801,6)))),"",IF(LEN($A2801)=2,SUMIF($A2802:$A$2965,$A2801&amp;"??",$D2802:$D$2965),IF(AND(LEN($A2801)=4,VALUE(RIGHT($A2801,2))&lt;=60),SUMIF($A2802:$A$2965,$A2801&amp;"????",$D2802:$D$2965),VLOOKUP(IF(LEN($A2801)=4,$A2801&amp;"01 1",$A2801),GUS_tabl_21!$A$5:$F$4886,6,FALSE))))</f>
        <v>3009</v>
      </c>
      <c r="E2801" s="29"/>
    </row>
    <row r="2802" spans="1:5" ht="12" customHeight="1">
      <c r="A2802" s="155" t="str">
        <f>"303107 2"</f>
        <v>303107 2</v>
      </c>
      <c r="B2802" s="153" t="s">
        <v>34</v>
      </c>
      <c r="C2802" s="156" t="str">
        <f>IF(OR($A2802="",ISERROR(VALUE(LEFT($A2802,6)))),"",IF(LEN($A2802)=2,"WOJ. ",IF(LEN($A2802)=4,IF(VALUE(RIGHT($A2802,2))&gt;60,"","Powiat "),IF(VALUE(RIGHT($A2802,1))=1,"m. ",IF(VALUE(RIGHT($A2802,1))=2,"gm. w. ",IF(VALUE(RIGHT($A2802,1))=8,"dz. ","gm. m.-w. ")))))&amp;IF(LEN($A2802)=2,TRIM(UPPER(VLOOKUP($A2802,GUS_tabl_1!$A$7:$B$22,2,FALSE))),IF(ISERROR(FIND("..",TRIM(VLOOKUP(IF(AND(LEN($A2802)=4,VALUE(RIGHT($A2802,2))&gt;60),$A2802&amp;"01 1",$A2802),IF(AND(LEN($A2802)=4,VALUE(RIGHT($A2802,2))&lt;60),GUS_tabl_2!$A$8:$B$464,GUS_tabl_21!$A$5:$B$4886),2,FALSE)))),TRIM(VLOOKUP(IF(AND(LEN($A2802)=4,VALUE(RIGHT($A2802,2))&gt;60),$A2802&amp;"01 1",$A2802),IF(AND(LEN($A2802)=4,VALUE(RIGHT($A2802,2))&lt;60),GUS_tabl_2!$A$8:$B$464,GUS_tabl_21!$A$5:$B$4886),2,FALSE)),LEFT(TRIM(VLOOKUP(IF(AND(LEN($A2802)=4,VALUE(RIGHT($A2802,2))&gt;60),$A2802&amp;"01 1",$A2802),IF(AND(LEN($A2802)=4,VALUE(RIGHT($A2802,2))&lt;60),GUS_tabl_2!$A$8:$B$464,GUS_tabl_21!$A$5:$B$4886),2,FALSE)),SUM(FIND("..",TRIM(VLOOKUP(IF(AND(LEN($A2802)=4,VALUE(RIGHT($A2802,2))&gt;60),$A2802&amp;"01 1",$A2802),IF(AND(LEN($A2802)=4,VALUE(RIGHT($A2802,2))&lt;60),GUS_tabl_2!$A$8:$B$464,GUS_tabl_21!$A$5:$B$4886),2,FALSE))),-1)))))</f>
        <v>gm. w. Zakrzewo</v>
      </c>
      <c r="D2802" s="141">
        <f>IF(OR($A2802="",ISERROR(VALUE(LEFT($A2802,6)))),"",IF(LEN($A2802)=2,SUMIF($A2803:$A$2965,$A2802&amp;"??",$D2803:$D$2965),IF(AND(LEN($A2802)=4,VALUE(RIGHT($A2802,2))&lt;=60),SUMIF($A2803:$A$2965,$A2802&amp;"????",$D2803:$D$2965),VLOOKUP(IF(LEN($A2802)=4,$A2802&amp;"01 1",$A2802),GUS_tabl_21!$A$5:$F$4886,6,FALSE))))</f>
        <v>4905</v>
      </c>
      <c r="E2802" s="29"/>
    </row>
    <row r="2803" spans="1:5" ht="12" customHeight="1">
      <c r="A2803" s="155" t="str">
        <f>"303108 2"</f>
        <v>303108 2</v>
      </c>
      <c r="B2803" s="153" t="s">
        <v>34</v>
      </c>
      <c r="C2803" s="156" t="str">
        <f>IF(OR($A2803="",ISERROR(VALUE(LEFT($A2803,6)))),"",IF(LEN($A2803)=2,"WOJ. ",IF(LEN($A2803)=4,IF(VALUE(RIGHT($A2803,2))&gt;60,"","Powiat "),IF(VALUE(RIGHT($A2803,1))=1,"m. ",IF(VALUE(RIGHT($A2803,1))=2,"gm. w. ",IF(VALUE(RIGHT($A2803,1))=8,"dz. ","gm. m.-w. ")))))&amp;IF(LEN($A2803)=2,TRIM(UPPER(VLOOKUP($A2803,GUS_tabl_1!$A$7:$B$22,2,FALSE))),IF(ISERROR(FIND("..",TRIM(VLOOKUP(IF(AND(LEN($A2803)=4,VALUE(RIGHT($A2803,2))&gt;60),$A2803&amp;"01 1",$A2803),IF(AND(LEN($A2803)=4,VALUE(RIGHT($A2803,2))&lt;60),GUS_tabl_2!$A$8:$B$464,GUS_tabl_21!$A$5:$B$4886),2,FALSE)))),TRIM(VLOOKUP(IF(AND(LEN($A2803)=4,VALUE(RIGHT($A2803,2))&gt;60),$A2803&amp;"01 1",$A2803),IF(AND(LEN($A2803)=4,VALUE(RIGHT($A2803,2))&lt;60),GUS_tabl_2!$A$8:$B$464,GUS_tabl_21!$A$5:$B$4886),2,FALSE)),LEFT(TRIM(VLOOKUP(IF(AND(LEN($A2803)=4,VALUE(RIGHT($A2803,2))&gt;60),$A2803&amp;"01 1",$A2803),IF(AND(LEN($A2803)=4,VALUE(RIGHT($A2803,2))&lt;60),GUS_tabl_2!$A$8:$B$464,GUS_tabl_21!$A$5:$B$4886),2,FALSE)),SUM(FIND("..",TRIM(VLOOKUP(IF(AND(LEN($A2803)=4,VALUE(RIGHT($A2803,2))&gt;60),$A2803&amp;"01 1",$A2803),IF(AND(LEN($A2803)=4,VALUE(RIGHT($A2803,2))&lt;60),GUS_tabl_2!$A$8:$B$464,GUS_tabl_21!$A$5:$B$4886),2,FALSE))),-1)))))</f>
        <v>gm. w. Złotów</v>
      </c>
      <c r="D2803" s="141">
        <f>IF(OR($A2803="",ISERROR(VALUE(LEFT($A2803,6)))),"",IF(LEN($A2803)=2,SUMIF($A2804:$A$2965,$A2803&amp;"??",$D2804:$D$2965),IF(AND(LEN($A2803)=4,VALUE(RIGHT($A2803,2))&lt;=60),SUMIF($A2804:$A$2965,$A2803&amp;"????",$D2804:$D$2965),VLOOKUP(IF(LEN($A2803)=4,$A2803&amp;"01 1",$A2803),GUS_tabl_21!$A$5:$F$4886,6,FALSE))))</f>
        <v>9942</v>
      </c>
      <c r="E2803" s="29"/>
    </row>
    <row r="2804" spans="1:5" ht="12" customHeight="1">
      <c r="A2804" s="152"/>
      <c r="B2804" s="153" t="s">
        <v>34</v>
      </c>
      <c r="C2804" s="154" t="s">
        <v>0</v>
      </c>
      <c r="D2804" s="140"/>
      <c r="E2804" s="29"/>
    </row>
    <row r="2805" spans="1:5" ht="12" customHeight="1">
      <c r="A2805" s="152"/>
      <c r="B2805" s="153" t="s">
        <v>34</v>
      </c>
      <c r="C2805" s="162" t="s">
        <v>1</v>
      </c>
      <c r="D2805" s="140"/>
      <c r="E2805" s="29"/>
    </row>
    <row r="2806" spans="1:5" ht="12" customHeight="1">
      <c r="A2806" s="152" t="str">
        <f>"3061"</f>
        <v>3061</v>
      </c>
      <c r="B2806" s="153" t="s">
        <v>34</v>
      </c>
      <c r="C2806" s="154" t="str">
        <f>IF(OR($A2806="",ISERROR(VALUE(LEFT($A2806,6)))),"",IF(LEN($A2806)=2,"WOJ. ",IF(LEN($A2806)=4,IF(VALUE(RIGHT($A2806,2))&gt;60,"","Powiat "),IF(VALUE(RIGHT($A2806,1))=1,"m. ",IF(VALUE(RIGHT($A2806,1))=2,"gm. w. ",IF(VALUE(RIGHT($A2806,1))=8,"dz. ","gm. m.-w. ")))))&amp;IF(LEN($A2806)=2,TRIM(UPPER(VLOOKUP($A2806,GUS_tabl_1!$A$7:$B$22,2,FALSE))),IF(ISERROR(FIND("..",TRIM(VLOOKUP(IF(AND(LEN($A2806)=4,VALUE(RIGHT($A2806,2))&gt;60),$A2806&amp;"01 1",$A2806),IF(AND(LEN($A2806)=4,VALUE(RIGHT($A2806,2))&lt;60),GUS_tabl_2!$A$8:$B$464,GUS_tabl_21!$A$5:$B$4886),2,FALSE)))),TRIM(VLOOKUP(IF(AND(LEN($A2806)=4,VALUE(RIGHT($A2806,2))&gt;60),$A2806&amp;"01 1",$A2806),IF(AND(LEN($A2806)=4,VALUE(RIGHT($A2806,2))&lt;60),GUS_tabl_2!$A$8:$B$464,GUS_tabl_21!$A$5:$B$4886),2,FALSE)),LEFT(TRIM(VLOOKUP(IF(AND(LEN($A2806)=4,VALUE(RIGHT($A2806,2))&gt;60),$A2806&amp;"01 1",$A2806),IF(AND(LEN($A2806)=4,VALUE(RIGHT($A2806,2))&lt;60),GUS_tabl_2!$A$8:$B$464,GUS_tabl_21!$A$5:$B$4886),2,FALSE)),SUM(FIND("..",TRIM(VLOOKUP(IF(AND(LEN($A2806)=4,VALUE(RIGHT($A2806,2))&gt;60),$A2806&amp;"01 1",$A2806),IF(AND(LEN($A2806)=4,VALUE(RIGHT($A2806,2))&lt;60),GUS_tabl_2!$A$8:$B$464,GUS_tabl_21!$A$5:$B$4886),2,FALSE))),-1)))))</f>
        <v>Kalisz</v>
      </c>
      <c r="D2806" s="140">
        <f>IF(OR($A2806="",ISERROR(VALUE(LEFT($A2806,6)))),"",IF(LEN($A2806)=2,SUMIF($A2807:$A$2965,$A2806&amp;"??",$D2807:$D$2965),IF(AND(LEN($A2806)=4,VALUE(RIGHT($A2806,2))&lt;=60),SUMIF($A2807:$A$2965,$A2806&amp;"????",$D2807:$D$2965),VLOOKUP(IF(LEN($A2806)=4,$A2806&amp;"01 1",$A2806),GUS_tabl_21!$A$5:$F$4886,6,FALSE))))</f>
        <v>100246</v>
      </c>
      <c r="E2806" s="29"/>
    </row>
    <row r="2807" spans="1:5" ht="12" customHeight="1">
      <c r="A2807" s="152" t="str">
        <f>"3062"</f>
        <v>3062</v>
      </c>
      <c r="B2807" s="153" t="s">
        <v>34</v>
      </c>
      <c r="C2807" s="154" t="str">
        <f>IF(OR($A2807="",ISERROR(VALUE(LEFT($A2807,6)))),"",IF(LEN($A2807)=2,"WOJ. ",IF(LEN($A2807)=4,IF(VALUE(RIGHT($A2807,2))&gt;60,"","Powiat "),IF(VALUE(RIGHT($A2807,1))=1,"m. ",IF(VALUE(RIGHT($A2807,1))=2,"gm. w. ",IF(VALUE(RIGHT($A2807,1))=8,"dz. ","gm. m.-w. ")))))&amp;IF(LEN($A2807)=2,TRIM(UPPER(VLOOKUP($A2807,GUS_tabl_1!$A$7:$B$22,2,FALSE))),IF(ISERROR(FIND("..",TRIM(VLOOKUP(IF(AND(LEN($A2807)=4,VALUE(RIGHT($A2807,2))&gt;60),$A2807&amp;"01 1",$A2807),IF(AND(LEN($A2807)=4,VALUE(RIGHT($A2807,2))&lt;60),GUS_tabl_2!$A$8:$B$464,GUS_tabl_21!$A$5:$B$4886),2,FALSE)))),TRIM(VLOOKUP(IF(AND(LEN($A2807)=4,VALUE(RIGHT($A2807,2))&gt;60),$A2807&amp;"01 1",$A2807),IF(AND(LEN($A2807)=4,VALUE(RIGHT($A2807,2))&lt;60),GUS_tabl_2!$A$8:$B$464,GUS_tabl_21!$A$5:$B$4886),2,FALSE)),LEFT(TRIM(VLOOKUP(IF(AND(LEN($A2807)=4,VALUE(RIGHT($A2807,2))&gt;60),$A2807&amp;"01 1",$A2807),IF(AND(LEN($A2807)=4,VALUE(RIGHT($A2807,2))&lt;60),GUS_tabl_2!$A$8:$B$464,GUS_tabl_21!$A$5:$B$4886),2,FALSE)),SUM(FIND("..",TRIM(VLOOKUP(IF(AND(LEN($A2807)=4,VALUE(RIGHT($A2807,2))&gt;60),$A2807&amp;"01 1",$A2807),IF(AND(LEN($A2807)=4,VALUE(RIGHT($A2807,2))&lt;60),GUS_tabl_2!$A$8:$B$464,GUS_tabl_21!$A$5:$B$4886),2,FALSE))),-1)))))</f>
        <v>Konin</v>
      </c>
      <c r="D2807" s="140">
        <f>IF(OR($A2807="",ISERROR(VALUE(LEFT($A2807,6)))),"",IF(LEN($A2807)=2,SUMIF($A2808:$A$2965,$A2807&amp;"??",$D2808:$D$2965),IF(AND(LEN($A2807)=4,VALUE(RIGHT($A2807,2))&lt;=60),SUMIF($A2808:$A$2965,$A2807&amp;"????",$D2808:$D$2965),VLOOKUP(IF(LEN($A2807)=4,$A2807&amp;"01 1",$A2807),GUS_tabl_21!$A$5:$F$4886,6,FALSE))))</f>
        <v>73522</v>
      </c>
      <c r="E2807" s="29"/>
    </row>
    <row r="2808" spans="1:5" ht="12" customHeight="1">
      <c r="A2808" s="152" t="str">
        <f>"3063"</f>
        <v>3063</v>
      </c>
      <c r="B2808" s="153" t="s">
        <v>34</v>
      </c>
      <c r="C2808" s="154" t="str">
        <f>IF(OR($A2808="",ISERROR(VALUE(LEFT($A2808,6)))),"",IF(LEN($A2808)=2,"WOJ. ",IF(LEN($A2808)=4,IF(VALUE(RIGHT($A2808,2))&gt;60,"","Powiat "),IF(VALUE(RIGHT($A2808,1))=1,"m. ",IF(VALUE(RIGHT($A2808,1))=2,"gm. w. ",IF(VALUE(RIGHT($A2808,1))=8,"dz. ","gm. m.-w. ")))))&amp;IF(LEN($A2808)=2,TRIM(UPPER(VLOOKUP($A2808,GUS_tabl_1!$A$7:$B$22,2,FALSE))),IF(ISERROR(FIND("..",TRIM(VLOOKUP(IF(AND(LEN($A2808)=4,VALUE(RIGHT($A2808,2))&gt;60),$A2808&amp;"01 1",$A2808),IF(AND(LEN($A2808)=4,VALUE(RIGHT($A2808,2))&lt;60),GUS_tabl_2!$A$8:$B$464,GUS_tabl_21!$A$5:$B$4886),2,FALSE)))),TRIM(VLOOKUP(IF(AND(LEN($A2808)=4,VALUE(RIGHT($A2808,2))&gt;60),$A2808&amp;"01 1",$A2808),IF(AND(LEN($A2808)=4,VALUE(RIGHT($A2808,2))&lt;60),GUS_tabl_2!$A$8:$B$464,GUS_tabl_21!$A$5:$B$4886),2,FALSE)),LEFT(TRIM(VLOOKUP(IF(AND(LEN($A2808)=4,VALUE(RIGHT($A2808,2))&gt;60),$A2808&amp;"01 1",$A2808),IF(AND(LEN($A2808)=4,VALUE(RIGHT($A2808,2))&lt;60),GUS_tabl_2!$A$8:$B$464,GUS_tabl_21!$A$5:$B$4886),2,FALSE)),SUM(FIND("..",TRIM(VLOOKUP(IF(AND(LEN($A2808)=4,VALUE(RIGHT($A2808,2))&gt;60),$A2808&amp;"01 1",$A2808),IF(AND(LEN($A2808)=4,VALUE(RIGHT($A2808,2))&lt;60),GUS_tabl_2!$A$8:$B$464,GUS_tabl_21!$A$5:$B$4886),2,FALSE))),-1)))))</f>
        <v>Leszno</v>
      </c>
      <c r="D2808" s="140">
        <f>IF(OR($A2808="",ISERROR(VALUE(LEFT($A2808,6)))),"",IF(LEN($A2808)=2,SUMIF($A2809:$A$2965,$A2808&amp;"??",$D2809:$D$2965),IF(AND(LEN($A2808)=4,VALUE(RIGHT($A2808,2))&lt;=60),SUMIF($A2809:$A$2965,$A2808&amp;"????",$D2809:$D$2965),VLOOKUP(IF(LEN($A2808)=4,$A2808&amp;"01 1",$A2808),GUS_tabl_21!$A$5:$F$4886,6,FALSE))))</f>
        <v>63505</v>
      </c>
      <c r="E2808" s="29"/>
    </row>
    <row r="2809" spans="1:5" ht="12" customHeight="1">
      <c r="A2809" s="152" t="str">
        <f>"3064"</f>
        <v>3064</v>
      </c>
      <c r="B2809" s="153" t="s">
        <v>34</v>
      </c>
      <c r="C2809" s="154" t="str">
        <f>IF(OR($A2809="",ISERROR(VALUE(LEFT($A2809,6)))),"",IF(LEN($A2809)=2,"WOJ. ",IF(LEN($A2809)=4,IF(VALUE(RIGHT($A2809,2))&gt;60,"","Powiat "),IF(VALUE(RIGHT($A2809,1))=1,"m. ",IF(VALUE(RIGHT($A2809,1))=2,"gm. w. ",IF(VALUE(RIGHT($A2809,1))=8,"dz. ","gm. m.-w. ")))))&amp;IF(LEN($A2809)=2,TRIM(UPPER(VLOOKUP($A2809,GUS_tabl_1!$A$7:$B$22,2,FALSE))),IF(ISERROR(FIND("..",TRIM(VLOOKUP(IF(AND(LEN($A2809)=4,VALUE(RIGHT($A2809,2))&gt;60),$A2809&amp;"01 1",$A2809),IF(AND(LEN($A2809)=4,VALUE(RIGHT($A2809,2))&lt;60),GUS_tabl_2!$A$8:$B$464,GUS_tabl_21!$A$5:$B$4886),2,FALSE)))),TRIM(VLOOKUP(IF(AND(LEN($A2809)=4,VALUE(RIGHT($A2809,2))&gt;60),$A2809&amp;"01 1",$A2809),IF(AND(LEN($A2809)=4,VALUE(RIGHT($A2809,2))&lt;60),GUS_tabl_2!$A$8:$B$464,GUS_tabl_21!$A$5:$B$4886),2,FALSE)),LEFT(TRIM(VLOOKUP(IF(AND(LEN($A2809)=4,VALUE(RIGHT($A2809,2))&gt;60),$A2809&amp;"01 1",$A2809),IF(AND(LEN($A2809)=4,VALUE(RIGHT($A2809,2))&lt;60),GUS_tabl_2!$A$8:$B$464,GUS_tabl_21!$A$5:$B$4886),2,FALSE)),SUM(FIND("..",TRIM(VLOOKUP(IF(AND(LEN($A2809)=4,VALUE(RIGHT($A2809,2))&gt;60),$A2809&amp;"01 1",$A2809),IF(AND(LEN($A2809)=4,VALUE(RIGHT($A2809,2))&lt;60),GUS_tabl_2!$A$8:$B$464,GUS_tabl_21!$A$5:$B$4886),2,FALSE))),-1)))))</f>
        <v>Poznań (a)</v>
      </c>
      <c r="D2809" s="140">
        <f>IF(OR($A2809="",ISERROR(VALUE(LEFT($A2809,6)))),"",IF(LEN($A2809)=2,SUMIF($A2810:$A$2965,$A2809&amp;"??",$D2810:$D$2965),IF(AND(LEN($A2809)=4,VALUE(RIGHT($A2809,2))&lt;=60),SUMIF($A2810:$A$2965,$A2809&amp;"????",$D2810:$D$2965),VLOOKUP(IF(LEN($A2809)=4,$A2809&amp;"01 1",$A2809),GUS_tabl_21!$A$5:$F$4886,6,FALSE))))</f>
        <v>534813</v>
      </c>
      <c r="E2809" s="29"/>
    </row>
    <row r="2810" spans="1:5" ht="12" customHeight="1">
      <c r="A2810" s="152"/>
      <c r="B2810" s="153" t="s">
        <v>34</v>
      </c>
      <c r="C2810" s="156" t="str">
        <f>IF(OR($A2810="",ISERROR(VALUE(LEFT($A2810,6)))),"",IF(LEN($A2810)=2,"WOJ. ",IF(LEN($A2810)=4,IF(VALUE(RIGHT($A2810,2))&gt;60,"","Powiat "),IF(VALUE(RIGHT($A2810,1))=1,"m. ",IF(VALUE(RIGHT($A2810,1))=2,"gm. w. ",IF(VALUE(RIGHT($A2810,1))=8,"dz. ","gm. m.-w. ")))))&amp;IF(LEN($A2810)=2,TRIM(UPPER(VLOOKUP($A2810,GUS_tabl_1!$A$7:$B$22,2,FALSE))),IF(ISERROR(FIND("..",TRIM(VLOOKUP(IF(AND(LEN($A2810)=4,VALUE(RIGHT($A2810,2))&gt;60),$A2810&amp;"01 1",$A2810),IF(AND(LEN($A2810)=4,VALUE(RIGHT($A2810,2))&lt;60),GUS_tabl_2!$A$8:$B$464,GUS_tabl_21!$A$5:$B$4886),2,FALSE)))),TRIM(VLOOKUP(IF(AND(LEN($A2810)=4,VALUE(RIGHT($A2810,2))&gt;60),$A2810&amp;"01 1",$A2810),IF(AND(LEN($A2810)=4,VALUE(RIGHT($A2810,2))&lt;60),GUS_tabl_2!$A$8:$B$464,GUS_tabl_21!$A$5:$B$4886),2,FALSE)),LEFT(TRIM(VLOOKUP(IF(AND(LEN($A2810)=4,VALUE(RIGHT($A2810,2))&gt;60),$A2810&amp;"01 1",$A2810),IF(AND(LEN($A2810)=4,VALUE(RIGHT($A2810,2))&lt;60),GUS_tabl_2!$A$8:$B$464,GUS_tabl_21!$A$5:$B$4886),2,FALSE)),SUM(FIND("..",TRIM(VLOOKUP(IF(AND(LEN($A2810)=4,VALUE(RIGHT($A2810,2))&gt;60),$A2810&amp;"01 1",$A2810),IF(AND(LEN($A2810)=4,VALUE(RIGHT($A2810,2))&lt;60),GUS_tabl_2!$A$8:$B$464,GUS_tabl_21!$A$5:$B$4886),2,FALSE))),-1)))))</f>
        <v/>
      </c>
      <c r="D2810" s="141" t="str">
        <f>IF(OR($A2810="",ISERROR(VALUE(LEFT($A2810,6)))),"",IF(LEN($A2810)=2,SUMIF($A2811:$A$2965,$A2810&amp;"??",$D2811:$D$2965),IF(AND(LEN($A2810)=4,VALUE(RIGHT($A2810,2))&lt;=60),SUMIF($A2811:$A$2965,$A2810&amp;"????",$D2811:$D$2965),VLOOKUP(IF(LEN($A2810)=4,$A2810&amp;"01 1",$A2810),GUS_tabl_21!$A$5:$F$4886,6,FALSE))))</f>
        <v/>
      </c>
      <c r="E2810" s="29"/>
    </row>
    <row r="2811" spans="1:5" ht="12" customHeight="1">
      <c r="A2811" s="152"/>
      <c r="B2811" s="153" t="s">
        <v>34</v>
      </c>
      <c r="C2811" s="156" t="str">
        <f>IF(OR($A2811="",ISERROR(VALUE(LEFT($A2811,6)))),"",IF(LEN($A2811)=2,"WOJ. ",IF(LEN($A2811)=4,IF(VALUE(RIGHT($A2811,2))&gt;60,"","Powiat "),IF(VALUE(RIGHT($A2811,1))=1,"m. ",IF(VALUE(RIGHT($A2811,1))=2,"gm. w. ",IF(VALUE(RIGHT($A2811,1))=8,"dz. ","gm. m.-w. ")))))&amp;IF(LEN($A2811)=2,TRIM(UPPER(VLOOKUP($A2811,GUS_tabl_1!$A$7:$B$22,2,FALSE))),IF(ISERROR(FIND("..",TRIM(VLOOKUP(IF(AND(LEN($A2811)=4,VALUE(RIGHT($A2811,2))&gt;60),$A2811&amp;"01 1",$A2811),IF(AND(LEN($A2811)=4,VALUE(RIGHT($A2811,2))&lt;60),GUS_tabl_2!$A$8:$B$464,GUS_tabl_21!$A$5:$B$4886),2,FALSE)))),TRIM(VLOOKUP(IF(AND(LEN($A2811)=4,VALUE(RIGHT($A2811,2))&gt;60),$A2811&amp;"01 1",$A2811),IF(AND(LEN($A2811)=4,VALUE(RIGHT($A2811,2))&lt;60),GUS_tabl_2!$A$8:$B$464,GUS_tabl_21!$A$5:$B$4886),2,FALSE)),LEFT(TRIM(VLOOKUP(IF(AND(LEN($A2811)=4,VALUE(RIGHT($A2811,2))&gt;60),$A2811&amp;"01 1",$A2811),IF(AND(LEN($A2811)=4,VALUE(RIGHT($A2811,2))&lt;60),GUS_tabl_2!$A$8:$B$464,GUS_tabl_21!$A$5:$B$4886),2,FALSE)),SUM(FIND("..",TRIM(VLOOKUP(IF(AND(LEN($A2811)=4,VALUE(RIGHT($A2811,2))&gt;60),$A2811&amp;"01 1",$A2811),IF(AND(LEN($A2811)=4,VALUE(RIGHT($A2811,2))&lt;60),GUS_tabl_2!$A$8:$B$464,GUS_tabl_21!$A$5:$B$4886),2,FALSE))),-1)))))</f>
        <v/>
      </c>
      <c r="D2811" s="141" t="str">
        <f>IF(OR($A2811="",ISERROR(VALUE(LEFT($A2811,6)))),"",IF(LEN($A2811)=2,SUMIF($A2812:$A$2965,$A2811&amp;"??",$D2812:$D$2965),IF(AND(LEN($A2811)=4,VALUE(RIGHT($A2811,2))&lt;=60),SUMIF($A2812:$A$2965,$A2811&amp;"????",$D2812:$D$2965),VLOOKUP(IF(LEN($A2811)=4,$A2811&amp;"01 1",$A2811),GUS_tabl_21!$A$5:$F$4886,6,FALSE))))</f>
        <v/>
      </c>
      <c r="E2811" s="29"/>
    </row>
    <row r="2812" spans="1:5" ht="12" customHeight="1">
      <c r="A2812" s="152"/>
      <c r="B2812" s="153" t="s">
        <v>34</v>
      </c>
      <c r="C2812" s="156" t="str">
        <f>IF(OR($A2812="",ISERROR(VALUE(LEFT($A2812,6)))),"",IF(LEN($A2812)=2,"WOJ. ",IF(LEN($A2812)=4,IF(VALUE(RIGHT($A2812,2))&gt;60,"","Powiat "),IF(VALUE(RIGHT($A2812,1))=1,"m. ",IF(VALUE(RIGHT($A2812,1))=2,"gm. w. ",IF(VALUE(RIGHT($A2812,1))=8,"dz. ","gm. m.-w. ")))))&amp;IF(LEN($A2812)=2,TRIM(UPPER(VLOOKUP($A2812,GUS_tabl_1!$A$7:$B$22,2,FALSE))),IF(ISERROR(FIND("..",TRIM(VLOOKUP(IF(AND(LEN($A2812)=4,VALUE(RIGHT($A2812,2))&gt;60),$A2812&amp;"01 1",$A2812),IF(AND(LEN($A2812)=4,VALUE(RIGHT($A2812,2))&lt;60),GUS_tabl_2!$A$8:$B$464,GUS_tabl_21!$A$5:$B$4886),2,FALSE)))),TRIM(VLOOKUP(IF(AND(LEN($A2812)=4,VALUE(RIGHT($A2812,2))&gt;60),$A2812&amp;"01 1",$A2812),IF(AND(LEN($A2812)=4,VALUE(RIGHT($A2812,2))&lt;60),GUS_tabl_2!$A$8:$B$464,GUS_tabl_21!$A$5:$B$4886),2,FALSE)),LEFT(TRIM(VLOOKUP(IF(AND(LEN($A2812)=4,VALUE(RIGHT($A2812,2))&gt;60),$A2812&amp;"01 1",$A2812),IF(AND(LEN($A2812)=4,VALUE(RIGHT($A2812,2))&lt;60),GUS_tabl_2!$A$8:$B$464,GUS_tabl_21!$A$5:$B$4886),2,FALSE)),SUM(FIND("..",TRIM(VLOOKUP(IF(AND(LEN($A2812)=4,VALUE(RIGHT($A2812,2))&gt;60),$A2812&amp;"01 1",$A2812),IF(AND(LEN($A2812)=4,VALUE(RIGHT($A2812,2))&lt;60),GUS_tabl_2!$A$8:$B$464,GUS_tabl_21!$A$5:$B$4886),2,FALSE))),-1)))))</f>
        <v/>
      </c>
      <c r="D2812" s="141" t="str">
        <f>IF(OR($A2812="",ISERROR(VALUE(LEFT($A2812,6)))),"",IF(LEN($A2812)=2,SUMIF($A2813:$A$2965,$A2812&amp;"??",$D2813:$D$2965),IF(AND(LEN($A2812)=4,VALUE(RIGHT($A2812,2))&lt;=60),SUMIF($A2813:$A$2965,$A2812&amp;"????",$D2813:$D$2965),VLOOKUP(IF(LEN($A2812)=4,$A2812&amp;"01 1",$A2812),GUS_tabl_21!$A$5:$F$4886,6,FALSE))))</f>
        <v/>
      </c>
      <c r="E2812" s="29"/>
    </row>
    <row r="2813" spans="1:5" ht="12" customHeight="1">
      <c r="A2813" s="152"/>
      <c r="B2813" s="153" t="s">
        <v>34</v>
      </c>
      <c r="C2813" s="156" t="str">
        <f>IF(OR($A2813="",ISERROR(VALUE(LEFT($A2813,6)))),"",IF(LEN($A2813)=2,"WOJ. ",IF(LEN($A2813)=4,IF(VALUE(RIGHT($A2813,2))&gt;60,"","Powiat "),IF(VALUE(RIGHT($A2813,1))=1,"m. ",IF(VALUE(RIGHT($A2813,1))=2,"gm. w. ",IF(VALUE(RIGHT($A2813,1))=8,"dz. ","gm. m.-w. ")))))&amp;IF(LEN($A2813)=2,TRIM(UPPER(VLOOKUP($A2813,GUS_tabl_1!$A$7:$B$22,2,FALSE))),IF(ISERROR(FIND("..",TRIM(VLOOKUP(IF(AND(LEN($A2813)=4,VALUE(RIGHT($A2813,2))&gt;60),$A2813&amp;"01 1",$A2813),IF(AND(LEN($A2813)=4,VALUE(RIGHT($A2813,2))&lt;60),GUS_tabl_2!$A$8:$B$464,GUS_tabl_21!$A$5:$B$4886),2,FALSE)))),TRIM(VLOOKUP(IF(AND(LEN($A2813)=4,VALUE(RIGHT($A2813,2))&gt;60),$A2813&amp;"01 1",$A2813),IF(AND(LEN($A2813)=4,VALUE(RIGHT($A2813,2))&lt;60),GUS_tabl_2!$A$8:$B$464,GUS_tabl_21!$A$5:$B$4886),2,FALSE)),LEFT(TRIM(VLOOKUP(IF(AND(LEN($A2813)=4,VALUE(RIGHT($A2813,2))&gt;60),$A2813&amp;"01 1",$A2813),IF(AND(LEN($A2813)=4,VALUE(RIGHT($A2813,2))&lt;60),GUS_tabl_2!$A$8:$B$464,GUS_tabl_21!$A$5:$B$4886),2,FALSE)),SUM(FIND("..",TRIM(VLOOKUP(IF(AND(LEN($A2813)=4,VALUE(RIGHT($A2813,2))&gt;60),$A2813&amp;"01 1",$A2813),IF(AND(LEN($A2813)=4,VALUE(RIGHT($A2813,2))&lt;60),GUS_tabl_2!$A$8:$B$464,GUS_tabl_21!$A$5:$B$4886),2,FALSE))),-1)))))</f>
        <v/>
      </c>
      <c r="D2813" s="141" t="str">
        <f>IF(OR($A2813="",ISERROR(VALUE(LEFT($A2813,6)))),"",IF(LEN($A2813)=2,SUMIF($A2814:$A$2965,$A2813&amp;"??",$D2814:$D$2965),IF(AND(LEN($A2813)=4,VALUE(RIGHT($A2813,2))&lt;=60),SUMIF($A2814:$A$2965,$A2813&amp;"????",$D2814:$D$2965),VLOOKUP(IF(LEN($A2813)=4,$A2813&amp;"01 1",$A2813),GUS_tabl_21!$A$5:$F$4886,6,FALSE))))</f>
        <v/>
      </c>
      <c r="E2813" s="29"/>
    </row>
    <row r="2814" spans="1:5" ht="12" customHeight="1">
      <c r="A2814" s="152"/>
      <c r="B2814" s="153" t="s">
        <v>34</v>
      </c>
      <c r="C2814" s="156" t="str">
        <f>IF(OR($A2814="",ISERROR(VALUE(LEFT($A2814,6)))),"",IF(LEN($A2814)=2,"WOJ. ",IF(LEN($A2814)=4,IF(VALUE(RIGHT($A2814,2))&gt;60,"","Powiat "),IF(VALUE(RIGHT($A2814,1))=1,"m. ",IF(VALUE(RIGHT($A2814,1))=2,"gm. w. ",IF(VALUE(RIGHT($A2814,1))=8,"dz. ","gm. m.-w. ")))))&amp;IF(LEN($A2814)=2,TRIM(UPPER(VLOOKUP($A2814,GUS_tabl_1!$A$7:$B$22,2,FALSE))),IF(ISERROR(FIND("..",TRIM(VLOOKUP(IF(AND(LEN($A2814)=4,VALUE(RIGHT($A2814,2))&gt;60),$A2814&amp;"01 1",$A2814),IF(AND(LEN($A2814)=4,VALUE(RIGHT($A2814,2))&lt;60),GUS_tabl_2!$A$8:$B$464,GUS_tabl_21!$A$5:$B$4886),2,FALSE)))),TRIM(VLOOKUP(IF(AND(LEN($A2814)=4,VALUE(RIGHT($A2814,2))&gt;60),$A2814&amp;"01 1",$A2814),IF(AND(LEN($A2814)=4,VALUE(RIGHT($A2814,2))&lt;60),GUS_tabl_2!$A$8:$B$464,GUS_tabl_21!$A$5:$B$4886),2,FALSE)),LEFT(TRIM(VLOOKUP(IF(AND(LEN($A2814)=4,VALUE(RIGHT($A2814,2))&gt;60),$A2814&amp;"01 1",$A2814),IF(AND(LEN($A2814)=4,VALUE(RIGHT($A2814,2))&lt;60),GUS_tabl_2!$A$8:$B$464,GUS_tabl_21!$A$5:$B$4886),2,FALSE)),SUM(FIND("..",TRIM(VLOOKUP(IF(AND(LEN($A2814)=4,VALUE(RIGHT($A2814,2))&gt;60),$A2814&amp;"01 1",$A2814),IF(AND(LEN($A2814)=4,VALUE(RIGHT($A2814,2))&lt;60),GUS_tabl_2!$A$8:$B$464,GUS_tabl_21!$A$5:$B$4886),2,FALSE))),-1)))))</f>
        <v/>
      </c>
      <c r="D2814" s="141" t="str">
        <f>IF(OR($A2814="",ISERROR(VALUE(LEFT($A2814,6)))),"",IF(LEN($A2814)=2,SUMIF($A2815:$A$2965,$A2814&amp;"??",$D2815:$D$2965),IF(AND(LEN($A2814)=4,VALUE(RIGHT($A2814,2))&lt;=60),SUMIF($A2815:$A$2965,$A2814&amp;"????",$D2815:$D$2965),VLOOKUP(IF(LEN($A2814)=4,$A2814&amp;"01 1",$A2814),GUS_tabl_21!$A$5:$F$4886,6,FALSE))))</f>
        <v/>
      </c>
      <c r="E2814" s="29"/>
    </row>
    <row r="2815" spans="1:5" ht="12" customHeight="1" thickBot="1">
      <c r="A2815" s="152"/>
      <c r="B2815" s="153"/>
      <c r="C2815" s="156" t="str">
        <f>IF(OR($A2815="",ISERROR(VALUE(LEFT($A2815,6)))),"",IF(LEN($A2815)=2,"WOJ. ",IF(LEN($A2815)=4,IF(VALUE(RIGHT($A2815,2))&gt;60,"","Powiat "),IF(VALUE(RIGHT($A2815,1))=1,"m. ",IF(VALUE(RIGHT($A2815,1))=2,"gm. w. ",IF(VALUE(RIGHT($A2815,1))=8,"dz. ","gm. m.-w. ")))))&amp;IF(LEN($A2815)=2,TRIM(UPPER(VLOOKUP($A2815,GUS_tabl_1!$A$7:$B$22,2,FALSE))),IF(ISERROR(FIND("..",TRIM(VLOOKUP(IF(AND(LEN($A2815)=4,VALUE(RIGHT($A2815,2))&gt;60),$A2815&amp;"01 1",$A2815),IF(AND(LEN($A2815)=4,VALUE(RIGHT($A2815,2))&lt;60),GUS_tabl_2!$A$8:$B$464,GUS_tabl_21!$A$5:$B$4886),2,FALSE)))),TRIM(VLOOKUP(IF(AND(LEN($A2815)=4,VALUE(RIGHT($A2815,2))&gt;60),$A2815&amp;"01 1",$A2815),IF(AND(LEN($A2815)=4,VALUE(RIGHT($A2815,2))&lt;60),GUS_tabl_2!$A$8:$B$464,GUS_tabl_21!$A$5:$B$4886),2,FALSE)),LEFT(TRIM(VLOOKUP(IF(AND(LEN($A2815)=4,VALUE(RIGHT($A2815,2))&gt;60),$A2815&amp;"01 1",$A2815),IF(AND(LEN($A2815)=4,VALUE(RIGHT($A2815,2))&lt;60),GUS_tabl_2!$A$8:$B$464,GUS_tabl_21!$A$5:$B$4886),2,FALSE)),SUM(FIND("..",TRIM(VLOOKUP(IF(AND(LEN($A2815)=4,VALUE(RIGHT($A2815,2))&gt;60),$A2815&amp;"01 1",$A2815),IF(AND(LEN($A2815)=4,VALUE(RIGHT($A2815,2))&lt;60),GUS_tabl_2!$A$8:$B$464,GUS_tabl_21!$A$5:$B$4886),2,FALSE))),-1)))))</f>
        <v/>
      </c>
      <c r="D2815" s="140" t="str">
        <f>IF(OR($A2815="",ISERROR(VALUE(LEFT($A2815,6)))),"",IF(LEN($A2815)=2,SUMIF($A2816:$A$2965,$A2815&amp;"??",$D2816:$D$2965),IF(AND(LEN($A2815)=4,VALUE(RIGHT($A2815,2))&lt;=60),SUMIF($A2816:$A$2965,$A2815&amp;"????",$D2816:$D$2965),VLOOKUP(IF(LEN($A2815)=4,$A2815&amp;"01 1",$A2815),GUS_tabl_21!$A$5:$F$4886,6,FALSE))))</f>
        <v/>
      </c>
      <c r="E2815" s="29"/>
    </row>
    <row r="2816" spans="1:5" ht="30.75" customHeight="1" thickTop="1">
      <c r="A2816" s="241" t="s">
        <v>97</v>
      </c>
      <c r="B2816" s="247" t="s">
        <v>60</v>
      </c>
      <c r="C2816" s="243" t="s">
        <v>7311</v>
      </c>
      <c r="D2816" s="251" t="s">
        <v>6</v>
      </c>
    </row>
    <row r="2817" spans="1:5" ht="25.5" customHeight="1" thickBot="1">
      <c r="A2817" s="242"/>
      <c r="B2817" s="253"/>
      <c r="C2817" s="244"/>
      <c r="D2817" s="252"/>
    </row>
    <row r="2818" spans="1:5" ht="12" customHeight="1" thickTop="1">
      <c r="A2818" s="158"/>
      <c r="B2818" s="153"/>
      <c r="C2818" s="156" t="str">
        <f>IF(OR($A2818="",ISERROR(VALUE(LEFT($A2818,6)))),"",IF(LEN($A2818)=2,"WOJ. ",IF(LEN($A2818)=4,IF(VALUE(RIGHT($A2818,2))&gt;60,"","Powiat "),IF(VALUE(RIGHT($A2818,1))=1,"m. ",IF(VALUE(RIGHT($A2818,1))=2,"gm. w. ",IF(VALUE(RIGHT($A2818,1))=8,"dz. ","gm. m.-w. ")))))&amp;IF(LEN($A2818)=2,TRIM(UPPER(VLOOKUP($A2818,GUS_tabl_1!$A$7:$B$22,2,FALSE))),IF(ISERROR(FIND("..",TRIM(VLOOKUP(IF(AND(LEN($A2818)=4,VALUE(RIGHT($A2818,2))&gt;60),$A2818&amp;"01 1",$A2818),IF(AND(LEN($A2818)=4,VALUE(RIGHT($A2818,2))&lt;60),GUS_tabl_2!$A$8:$B$464,GUS_tabl_21!$A$5:$B$4886),2,FALSE)))),TRIM(VLOOKUP(IF(AND(LEN($A2818)=4,VALUE(RIGHT($A2818,2))&gt;60),$A2818&amp;"01 1",$A2818),IF(AND(LEN($A2818)=4,VALUE(RIGHT($A2818,2))&lt;60),GUS_tabl_2!$A$8:$B$464,GUS_tabl_21!$A$5:$B$4886),2,FALSE)),LEFT(TRIM(VLOOKUP(IF(AND(LEN($A2818)=4,VALUE(RIGHT($A2818,2))&gt;60),$A2818&amp;"01 1",$A2818),IF(AND(LEN($A2818)=4,VALUE(RIGHT($A2818,2))&lt;60),GUS_tabl_2!$A$8:$B$464,GUS_tabl_21!$A$5:$B$4886),2,FALSE)),SUM(FIND("..",TRIM(VLOOKUP(IF(AND(LEN($A2818)=4,VALUE(RIGHT($A2818,2))&gt;60),$A2818&amp;"01 1",$A2818),IF(AND(LEN($A2818)=4,VALUE(RIGHT($A2818,2))&lt;60),GUS_tabl_2!$A$8:$B$464,GUS_tabl_21!$A$5:$B$4886),2,FALSE))),-1)))))</f>
        <v/>
      </c>
      <c r="D2818" s="140" t="str">
        <f>IF(OR($A2818="",ISERROR(VALUE(LEFT($A2818,6)))),"",IF(LEN($A2818)=2,SUMIF($A2819:$A$2965,$A2818&amp;"??",$D2819:$D$2965),IF(AND(LEN($A2818)=4,VALUE(RIGHT($A2818,2))&lt;=60),SUMIF($A2819:$A$2965,$A2818&amp;"????",$D2819:$D$2965),VLOOKUP(IF(LEN($A2818)=4,$A2818&amp;"01 1",$A2818),GUS_tabl_21!$A$5:$F$4886,6,FALSE))))</f>
        <v/>
      </c>
      <c r="E2818" s="29"/>
    </row>
    <row r="2819" spans="1:5" ht="12" customHeight="1">
      <c r="A2819" s="152" t="str">
        <f>"32"</f>
        <v>32</v>
      </c>
      <c r="B2819" s="153"/>
      <c r="C2819" s="154" t="str">
        <f>IF(OR($A2819="",ISERROR(VALUE(LEFT($A2819,6)))),"",IF(LEN($A2819)=2,"WOJ. ",IF(LEN($A2819)=4,IF(VALUE(RIGHT($A2819,2))&gt;60,"","Powiat "),IF(VALUE(RIGHT($A2819,1))=1,"m. ",IF(VALUE(RIGHT($A2819,1))=2,"gm. w. ",IF(VALUE(RIGHT($A2819,1))=8,"dz. ","gm. m.-w. ")))))&amp;IF(LEN($A2819)=2,TRIM(UPPER(VLOOKUP($A2819,GUS_tabl_1!$A$7:$B$22,2,FALSE))),IF(ISERROR(FIND("..",TRIM(VLOOKUP(IF(AND(LEN($A2819)=4,VALUE(RIGHT($A2819,2))&gt;60),$A2819&amp;"01 1",$A2819),IF(AND(LEN($A2819)=4,VALUE(RIGHT($A2819,2))&lt;60),GUS_tabl_2!$A$8:$B$464,GUS_tabl_21!$A$5:$B$4886),2,FALSE)))),TRIM(VLOOKUP(IF(AND(LEN($A2819)=4,VALUE(RIGHT($A2819,2))&gt;60),$A2819&amp;"01 1",$A2819),IF(AND(LEN($A2819)=4,VALUE(RIGHT($A2819,2))&lt;60),GUS_tabl_2!$A$8:$B$464,GUS_tabl_21!$A$5:$B$4886),2,FALSE)),LEFT(TRIM(VLOOKUP(IF(AND(LEN($A2819)=4,VALUE(RIGHT($A2819,2))&gt;60),$A2819&amp;"01 1",$A2819),IF(AND(LEN($A2819)=4,VALUE(RIGHT($A2819,2))&lt;60),GUS_tabl_2!$A$8:$B$464,GUS_tabl_21!$A$5:$B$4886),2,FALSE)),SUM(FIND("..",TRIM(VLOOKUP(IF(AND(LEN($A2819)=4,VALUE(RIGHT($A2819,2))&gt;60),$A2819&amp;"01 1",$A2819),IF(AND(LEN($A2819)=4,VALUE(RIGHT($A2819,2))&lt;60),GUS_tabl_2!$A$8:$B$464,GUS_tabl_21!$A$5:$B$4886),2,FALSE))),-1)))))</f>
        <v>WOJ. ZACHODNIOPOMORSKIE</v>
      </c>
      <c r="D2819" s="140">
        <f>IF(OR($A2819="",ISERROR(VALUE(LEFT($A2819,6)))),"",IF(LEN($A2819)=2,SUMIF($A2820:$A$2965,$A2819&amp;"??",$D2820:$D$2965),IF(AND(LEN($A2819)=4,VALUE(RIGHT($A2819,2))&lt;=60),SUMIF($A2820:$A$2965,$A2819&amp;"????",$D2820:$D$2965),VLOOKUP(IF(LEN($A2819)=4,$A2819&amp;"01 1",$A2819),GUS_tabl_21!$A$5:$F$4886,6,FALSE))))</f>
        <v>1696193</v>
      </c>
      <c r="E2819" s="29"/>
    </row>
    <row r="2820" spans="1:5" ht="12" customHeight="1">
      <c r="A2820" s="152"/>
      <c r="B2820" s="153"/>
      <c r="C2820" s="154" t="str">
        <f>IF(OR($A2820="",ISERROR(VALUE(LEFT($A2820,6)))),"",IF(LEN($A2820)=2,"WOJ. ",IF(LEN($A2820)=4,IF(VALUE(RIGHT($A2820,2))&gt;60,"","Powiat "),IF(VALUE(RIGHT($A2820,1))=1,"m. ",IF(VALUE(RIGHT($A2820,1))=2,"gm. w. ",IF(VALUE(RIGHT($A2820,1))=8,"dz. ","gm. m.-w. ")))))&amp;IF(LEN($A2820)=2,TRIM(UPPER(VLOOKUP($A2820,GUS_tabl_1!$A$7:$B$22,2,FALSE))),IF(ISERROR(FIND("..",TRIM(VLOOKUP(IF(AND(LEN($A2820)=4,VALUE(RIGHT($A2820,2))&gt;60),$A2820&amp;"01 1",$A2820),IF(AND(LEN($A2820)=4,VALUE(RIGHT($A2820,2))&lt;60),GUS_tabl_2!$A$8:$B$464,GUS_tabl_21!$A$5:$B$4886),2,FALSE)))),TRIM(VLOOKUP(IF(AND(LEN($A2820)=4,VALUE(RIGHT($A2820,2))&gt;60),$A2820&amp;"01 1",$A2820),IF(AND(LEN($A2820)=4,VALUE(RIGHT($A2820,2))&lt;60),GUS_tabl_2!$A$8:$B$464,GUS_tabl_21!$A$5:$B$4886),2,FALSE)),LEFT(TRIM(VLOOKUP(IF(AND(LEN($A2820)=4,VALUE(RIGHT($A2820,2))&gt;60),$A2820&amp;"01 1",$A2820),IF(AND(LEN($A2820)=4,VALUE(RIGHT($A2820,2))&lt;60),GUS_tabl_2!$A$8:$B$464,GUS_tabl_21!$A$5:$B$4886),2,FALSE)),SUM(FIND("..",TRIM(VLOOKUP(IF(AND(LEN($A2820)=4,VALUE(RIGHT($A2820,2))&gt;60),$A2820&amp;"01 1",$A2820),IF(AND(LEN($A2820)=4,VALUE(RIGHT($A2820,2))&lt;60),GUS_tabl_2!$A$8:$B$464,GUS_tabl_21!$A$5:$B$4886),2,FALSE))),-1)))))</f>
        <v/>
      </c>
      <c r="D2820" s="140" t="str">
        <f>IF(OR($A2820="",ISERROR(VALUE(LEFT($A2820,6)))),"",IF(LEN($A2820)=2,SUMIF($A2821:$A$2965,$A2820&amp;"??",$D2821:$D$2965),IF(AND(LEN($A2820)=4,VALUE(RIGHT($A2820,2))&lt;=60),SUMIF($A2821:$A$2965,$A2820&amp;"????",$D2821:$D$2965),VLOOKUP(IF(LEN($A2820)=4,$A2820&amp;"01 1",$A2820),GUS_tabl_21!$A$5:$F$4886,6,FALSE))))</f>
        <v/>
      </c>
      <c r="E2820" s="29"/>
    </row>
    <row r="2821" spans="1:5" ht="12" customHeight="1">
      <c r="A2821" s="152"/>
      <c r="B2821" s="153"/>
      <c r="C2821" s="156" t="str">
        <f>IF(OR($A2821="",ISERROR(VALUE(LEFT($A2821,6)))),"",IF(LEN($A2821)=2,"WOJ. ",IF(LEN($A2821)=4,IF(VALUE(RIGHT($A2821,2))&gt;60,"","Powiat "),IF(VALUE(RIGHT($A2821,1))=1,"m. ",IF(VALUE(RIGHT($A2821,1))=2,"gm. w. ",IF(VALUE(RIGHT($A2821,1))=8,"dz. ","gm. m.-w. ")))))&amp;IF(LEN($A2821)=2,TRIM(UPPER(VLOOKUP($A2821,GUS_tabl_1!$A$7:$B$22,2,FALSE))),IF(ISERROR(FIND("..",TRIM(VLOOKUP(IF(AND(LEN($A2821)=4,VALUE(RIGHT($A2821,2))&gt;60),$A2821&amp;"01 1",$A2821),IF(AND(LEN($A2821)=4,VALUE(RIGHT($A2821,2))&lt;60),GUS_tabl_2!$A$8:$B$464,GUS_tabl_21!$A$5:$B$4886),2,FALSE)))),TRIM(VLOOKUP(IF(AND(LEN($A2821)=4,VALUE(RIGHT($A2821,2))&gt;60),$A2821&amp;"01 1",$A2821),IF(AND(LEN($A2821)=4,VALUE(RIGHT($A2821,2))&lt;60),GUS_tabl_2!$A$8:$B$464,GUS_tabl_21!$A$5:$B$4886),2,FALSE)),LEFT(TRIM(VLOOKUP(IF(AND(LEN($A2821)=4,VALUE(RIGHT($A2821,2))&gt;60),$A2821&amp;"01 1",$A2821),IF(AND(LEN($A2821)=4,VALUE(RIGHT($A2821,2))&lt;60),GUS_tabl_2!$A$8:$B$464,GUS_tabl_21!$A$5:$B$4886),2,FALSE)),SUM(FIND("..",TRIM(VLOOKUP(IF(AND(LEN($A2821)=4,VALUE(RIGHT($A2821,2))&gt;60),$A2821&amp;"01 1",$A2821),IF(AND(LEN($A2821)=4,VALUE(RIGHT($A2821,2))&lt;60),GUS_tabl_2!$A$8:$B$464,GUS_tabl_21!$A$5:$B$4886),2,FALSE))),-1)))))</f>
        <v/>
      </c>
      <c r="D2821" s="140" t="str">
        <f>IF(OR($A2821="",ISERROR(VALUE(LEFT($A2821,6)))),"",IF(LEN($A2821)=2,SUMIF($A2822:$A$2965,$A2821&amp;"??",$D2822:$D$2965),IF(AND(LEN($A2821)=4,VALUE(RIGHT($A2821,2))&lt;=60),SUMIF($A2822:$A$2965,$A2821&amp;"????",$D2822:$D$2965),VLOOKUP(IF(LEN($A2821)=4,$A2821&amp;"01 1",$A2821),GUS_tabl_21!$A$5:$F$4886,6,FALSE))))</f>
        <v/>
      </c>
      <c r="E2821" s="29"/>
    </row>
    <row r="2822" spans="1:5" ht="12" customHeight="1">
      <c r="A2822" s="152" t="str">
        <f>"3201"</f>
        <v>3201</v>
      </c>
      <c r="B2822" s="153" t="s">
        <v>41</v>
      </c>
      <c r="C2822" s="154" t="str">
        <f>IF(OR($A2822="",ISERROR(VALUE(LEFT($A2822,6)))),"",IF(LEN($A2822)=2,"WOJ. ",IF(LEN($A2822)=4,IF(VALUE(RIGHT($A2822,2))&gt;60,"","Powiat "),IF(VALUE(RIGHT($A2822,1))=1,"m. ",IF(VALUE(RIGHT($A2822,1))=2,"gm. w. ",IF(VALUE(RIGHT($A2822,1))=8,"dz. ","gm. m.-w. ")))))&amp;IF(LEN($A2822)=2,TRIM(UPPER(VLOOKUP($A2822,GUS_tabl_1!$A$7:$B$22,2,FALSE))),IF(ISERROR(FIND("..",TRIM(VLOOKUP(IF(AND(LEN($A2822)=4,VALUE(RIGHT($A2822,2))&gt;60),$A2822&amp;"01 1",$A2822),IF(AND(LEN($A2822)=4,VALUE(RIGHT($A2822,2))&lt;60),GUS_tabl_2!$A$8:$B$464,GUS_tabl_21!$A$5:$B$4886),2,FALSE)))),TRIM(VLOOKUP(IF(AND(LEN($A2822)=4,VALUE(RIGHT($A2822,2))&gt;60),$A2822&amp;"01 1",$A2822),IF(AND(LEN($A2822)=4,VALUE(RIGHT($A2822,2))&lt;60),GUS_tabl_2!$A$8:$B$464,GUS_tabl_21!$A$5:$B$4886),2,FALSE)),LEFT(TRIM(VLOOKUP(IF(AND(LEN($A2822)=4,VALUE(RIGHT($A2822,2))&gt;60),$A2822&amp;"01 1",$A2822),IF(AND(LEN($A2822)=4,VALUE(RIGHT($A2822,2))&lt;60),GUS_tabl_2!$A$8:$B$464,GUS_tabl_21!$A$5:$B$4886),2,FALSE)),SUM(FIND("..",TRIM(VLOOKUP(IF(AND(LEN($A2822)=4,VALUE(RIGHT($A2822,2))&gt;60),$A2822&amp;"01 1",$A2822),IF(AND(LEN($A2822)=4,VALUE(RIGHT($A2822,2))&lt;60),GUS_tabl_2!$A$8:$B$464,GUS_tabl_21!$A$5:$B$4886),2,FALSE))),-1)))))</f>
        <v>Powiat białogardzki</v>
      </c>
      <c r="D2822" s="140">
        <f>IF(OR($A2822="",ISERROR(VALUE(LEFT($A2822,6)))),"",IF(LEN($A2822)=2,SUMIF($A2823:$A$2965,$A2822&amp;"??",$D2823:$D$2965),IF(AND(LEN($A2822)=4,VALUE(RIGHT($A2822,2))&lt;=60),SUMIF($A2823:$A$2965,$A2822&amp;"????",$D2823:$D$2965),VLOOKUP(IF(LEN($A2822)=4,$A2822&amp;"01 1",$A2822),GUS_tabl_21!$A$5:$F$4886,6,FALSE))))</f>
        <v>47560</v>
      </c>
      <c r="E2822" s="29"/>
    </row>
    <row r="2823" spans="1:5" ht="12" customHeight="1">
      <c r="A2823" s="155" t="str">
        <f>"320101 1"</f>
        <v>320101 1</v>
      </c>
      <c r="B2823" s="153" t="s">
        <v>41</v>
      </c>
      <c r="C2823" s="156" t="str">
        <f>IF(OR($A2823="",ISERROR(VALUE(LEFT($A2823,6)))),"",IF(LEN($A2823)=2,"WOJ. ",IF(LEN($A2823)=4,IF(VALUE(RIGHT($A2823,2))&gt;60,"","Powiat "),IF(VALUE(RIGHT($A2823,1))=1,"m. ",IF(VALUE(RIGHT($A2823,1))=2,"gm. w. ",IF(VALUE(RIGHT($A2823,1))=8,"dz. ","gm. m.-w. ")))))&amp;IF(LEN($A2823)=2,TRIM(UPPER(VLOOKUP($A2823,GUS_tabl_1!$A$7:$B$22,2,FALSE))),IF(ISERROR(FIND("..",TRIM(VLOOKUP(IF(AND(LEN($A2823)=4,VALUE(RIGHT($A2823,2))&gt;60),$A2823&amp;"01 1",$A2823),IF(AND(LEN($A2823)=4,VALUE(RIGHT($A2823,2))&lt;60),GUS_tabl_2!$A$8:$B$464,GUS_tabl_21!$A$5:$B$4886),2,FALSE)))),TRIM(VLOOKUP(IF(AND(LEN($A2823)=4,VALUE(RIGHT($A2823,2))&gt;60),$A2823&amp;"01 1",$A2823),IF(AND(LEN($A2823)=4,VALUE(RIGHT($A2823,2))&lt;60),GUS_tabl_2!$A$8:$B$464,GUS_tabl_21!$A$5:$B$4886),2,FALSE)),LEFT(TRIM(VLOOKUP(IF(AND(LEN($A2823)=4,VALUE(RIGHT($A2823,2))&gt;60),$A2823&amp;"01 1",$A2823),IF(AND(LEN($A2823)=4,VALUE(RIGHT($A2823,2))&lt;60),GUS_tabl_2!$A$8:$B$464,GUS_tabl_21!$A$5:$B$4886),2,FALSE)),SUM(FIND("..",TRIM(VLOOKUP(IF(AND(LEN($A2823)=4,VALUE(RIGHT($A2823,2))&gt;60),$A2823&amp;"01 1",$A2823),IF(AND(LEN($A2823)=4,VALUE(RIGHT($A2823,2))&lt;60),GUS_tabl_2!$A$8:$B$464,GUS_tabl_21!$A$5:$B$4886),2,FALSE))),-1)))))</f>
        <v>m. Białogard</v>
      </c>
      <c r="D2823" s="141">
        <f>IF(OR($A2823="",ISERROR(VALUE(LEFT($A2823,6)))),"",IF(LEN($A2823)=2,SUMIF($A2824:$A$2965,$A2823&amp;"??",$D2824:$D$2965),IF(AND(LEN($A2823)=4,VALUE(RIGHT($A2823,2))&lt;=60),SUMIF($A2824:$A$2965,$A2823&amp;"????",$D2824:$D$2965),VLOOKUP(IF(LEN($A2823)=4,$A2823&amp;"01 1",$A2823),GUS_tabl_21!$A$5:$F$4886,6,FALSE))))</f>
        <v>24146</v>
      </c>
      <c r="E2823" s="29"/>
    </row>
    <row r="2824" spans="1:5" ht="12" customHeight="1">
      <c r="A2824" s="155" t="str">
        <f>"320102 2"</f>
        <v>320102 2</v>
      </c>
      <c r="B2824" s="153" t="s">
        <v>41</v>
      </c>
      <c r="C2824" s="156" t="str">
        <f>IF(OR($A2824="",ISERROR(VALUE(LEFT($A2824,6)))),"",IF(LEN($A2824)=2,"WOJ. ",IF(LEN($A2824)=4,IF(VALUE(RIGHT($A2824,2))&gt;60,"","Powiat "),IF(VALUE(RIGHT($A2824,1))=1,"m. ",IF(VALUE(RIGHT($A2824,1))=2,"gm. w. ",IF(VALUE(RIGHT($A2824,1))=8,"dz. ","gm. m.-w. ")))))&amp;IF(LEN($A2824)=2,TRIM(UPPER(VLOOKUP($A2824,GUS_tabl_1!$A$7:$B$22,2,FALSE))),IF(ISERROR(FIND("..",TRIM(VLOOKUP(IF(AND(LEN($A2824)=4,VALUE(RIGHT($A2824,2))&gt;60),$A2824&amp;"01 1",$A2824),IF(AND(LEN($A2824)=4,VALUE(RIGHT($A2824,2))&lt;60),GUS_tabl_2!$A$8:$B$464,GUS_tabl_21!$A$5:$B$4886),2,FALSE)))),TRIM(VLOOKUP(IF(AND(LEN($A2824)=4,VALUE(RIGHT($A2824,2))&gt;60),$A2824&amp;"01 1",$A2824),IF(AND(LEN($A2824)=4,VALUE(RIGHT($A2824,2))&lt;60),GUS_tabl_2!$A$8:$B$464,GUS_tabl_21!$A$5:$B$4886),2,FALSE)),LEFT(TRIM(VLOOKUP(IF(AND(LEN($A2824)=4,VALUE(RIGHT($A2824,2))&gt;60),$A2824&amp;"01 1",$A2824),IF(AND(LEN($A2824)=4,VALUE(RIGHT($A2824,2))&lt;60),GUS_tabl_2!$A$8:$B$464,GUS_tabl_21!$A$5:$B$4886),2,FALSE)),SUM(FIND("..",TRIM(VLOOKUP(IF(AND(LEN($A2824)=4,VALUE(RIGHT($A2824,2))&gt;60),$A2824&amp;"01 1",$A2824),IF(AND(LEN($A2824)=4,VALUE(RIGHT($A2824,2))&lt;60),GUS_tabl_2!$A$8:$B$464,GUS_tabl_21!$A$5:$B$4886),2,FALSE))),-1)))))</f>
        <v>gm. w. Białogard</v>
      </c>
      <c r="D2824" s="141">
        <f>IF(OR($A2824="",ISERROR(VALUE(LEFT($A2824,6)))),"",IF(LEN($A2824)=2,SUMIF($A2825:$A$2965,$A2824&amp;"??",$D2825:$D$2965),IF(AND(LEN($A2824)=4,VALUE(RIGHT($A2824,2))&lt;=60),SUMIF($A2825:$A$2965,$A2824&amp;"????",$D2825:$D$2965),VLOOKUP(IF(LEN($A2824)=4,$A2824&amp;"01 1",$A2824),GUS_tabl_21!$A$5:$F$4886,6,FALSE))))</f>
        <v>7546</v>
      </c>
      <c r="E2824" s="29"/>
    </row>
    <row r="2825" spans="1:5" ht="12" customHeight="1">
      <c r="A2825" s="155" t="str">
        <f>"320103 3"</f>
        <v>320103 3</v>
      </c>
      <c r="B2825" s="153" t="s">
        <v>41</v>
      </c>
      <c r="C2825" s="156" t="str">
        <f>IF(OR($A2825="",ISERROR(VALUE(LEFT($A2825,6)))),"",IF(LEN($A2825)=2,"WOJ. ",IF(LEN($A2825)=4,IF(VALUE(RIGHT($A2825,2))&gt;60,"","Powiat "),IF(VALUE(RIGHT($A2825,1))=1,"m. ",IF(VALUE(RIGHT($A2825,1))=2,"gm. w. ",IF(VALUE(RIGHT($A2825,1))=8,"dz. ","gm. m.-w. ")))))&amp;IF(LEN($A2825)=2,TRIM(UPPER(VLOOKUP($A2825,GUS_tabl_1!$A$7:$B$22,2,FALSE))),IF(ISERROR(FIND("..",TRIM(VLOOKUP(IF(AND(LEN($A2825)=4,VALUE(RIGHT($A2825,2))&gt;60),$A2825&amp;"01 1",$A2825),IF(AND(LEN($A2825)=4,VALUE(RIGHT($A2825,2))&lt;60),GUS_tabl_2!$A$8:$B$464,GUS_tabl_21!$A$5:$B$4886),2,FALSE)))),TRIM(VLOOKUP(IF(AND(LEN($A2825)=4,VALUE(RIGHT($A2825,2))&gt;60),$A2825&amp;"01 1",$A2825),IF(AND(LEN($A2825)=4,VALUE(RIGHT($A2825,2))&lt;60),GUS_tabl_2!$A$8:$B$464,GUS_tabl_21!$A$5:$B$4886),2,FALSE)),LEFT(TRIM(VLOOKUP(IF(AND(LEN($A2825)=4,VALUE(RIGHT($A2825,2))&gt;60),$A2825&amp;"01 1",$A2825),IF(AND(LEN($A2825)=4,VALUE(RIGHT($A2825,2))&lt;60),GUS_tabl_2!$A$8:$B$464,GUS_tabl_21!$A$5:$B$4886),2,FALSE)),SUM(FIND("..",TRIM(VLOOKUP(IF(AND(LEN($A2825)=4,VALUE(RIGHT($A2825,2))&gt;60),$A2825&amp;"01 1",$A2825),IF(AND(LEN($A2825)=4,VALUE(RIGHT($A2825,2))&lt;60),GUS_tabl_2!$A$8:$B$464,GUS_tabl_21!$A$5:$B$4886),2,FALSE))),-1)))))</f>
        <v>gm. m.-w. Karlino</v>
      </c>
      <c r="D2825" s="141">
        <f>IF(OR($A2825="",ISERROR(VALUE(LEFT($A2825,6)))),"",IF(LEN($A2825)=2,SUMIF($A2826:$A$2965,$A2825&amp;"??",$D2826:$D$2965),IF(AND(LEN($A2825)=4,VALUE(RIGHT($A2825,2))&lt;=60),SUMIF($A2826:$A$2965,$A2825&amp;"????",$D2826:$D$2965),VLOOKUP(IF(LEN($A2825)=4,$A2825&amp;"01 1",$A2825),GUS_tabl_21!$A$5:$F$4886,6,FALSE))))</f>
        <v>9137</v>
      </c>
      <c r="E2825" s="29"/>
    </row>
    <row r="2826" spans="1:5" ht="12" customHeight="1">
      <c r="A2826" s="155" t="str">
        <f>"320104 3"</f>
        <v>320104 3</v>
      </c>
      <c r="B2826" s="153" t="s">
        <v>41</v>
      </c>
      <c r="C2826" s="156" t="str">
        <f>IF(OR($A2826="",ISERROR(VALUE(LEFT($A2826,6)))),"",IF(LEN($A2826)=2,"WOJ. ",IF(LEN($A2826)=4,IF(VALUE(RIGHT($A2826,2))&gt;60,"","Powiat "),IF(VALUE(RIGHT($A2826,1))=1,"m. ",IF(VALUE(RIGHT($A2826,1))=2,"gm. w. ",IF(VALUE(RIGHT($A2826,1))=8,"dz. ","gm. m.-w. ")))))&amp;IF(LEN($A2826)=2,TRIM(UPPER(VLOOKUP($A2826,GUS_tabl_1!$A$7:$B$22,2,FALSE))),IF(ISERROR(FIND("..",TRIM(VLOOKUP(IF(AND(LEN($A2826)=4,VALUE(RIGHT($A2826,2))&gt;60),$A2826&amp;"01 1",$A2826),IF(AND(LEN($A2826)=4,VALUE(RIGHT($A2826,2))&lt;60),GUS_tabl_2!$A$8:$B$464,GUS_tabl_21!$A$5:$B$4886),2,FALSE)))),TRIM(VLOOKUP(IF(AND(LEN($A2826)=4,VALUE(RIGHT($A2826,2))&gt;60),$A2826&amp;"01 1",$A2826),IF(AND(LEN($A2826)=4,VALUE(RIGHT($A2826,2))&lt;60),GUS_tabl_2!$A$8:$B$464,GUS_tabl_21!$A$5:$B$4886),2,FALSE)),LEFT(TRIM(VLOOKUP(IF(AND(LEN($A2826)=4,VALUE(RIGHT($A2826,2))&gt;60),$A2826&amp;"01 1",$A2826),IF(AND(LEN($A2826)=4,VALUE(RIGHT($A2826,2))&lt;60),GUS_tabl_2!$A$8:$B$464,GUS_tabl_21!$A$5:$B$4886),2,FALSE)),SUM(FIND("..",TRIM(VLOOKUP(IF(AND(LEN($A2826)=4,VALUE(RIGHT($A2826,2))&gt;60),$A2826&amp;"01 1",$A2826),IF(AND(LEN($A2826)=4,VALUE(RIGHT($A2826,2))&lt;60),GUS_tabl_2!$A$8:$B$464,GUS_tabl_21!$A$5:$B$4886),2,FALSE))),-1)))))</f>
        <v>gm. m.-w. Tychowo</v>
      </c>
      <c r="D2826" s="141">
        <f>IF(OR($A2826="",ISERROR(VALUE(LEFT($A2826,6)))),"",IF(LEN($A2826)=2,SUMIF($A2827:$A$2965,$A2826&amp;"??",$D2827:$D$2965),IF(AND(LEN($A2826)=4,VALUE(RIGHT($A2826,2))&lt;=60),SUMIF($A2827:$A$2965,$A2826&amp;"????",$D2827:$D$2965),VLOOKUP(IF(LEN($A2826)=4,$A2826&amp;"01 1",$A2826),GUS_tabl_21!$A$5:$F$4886,6,FALSE))))</f>
        <v>6731</v>
      </c>
      <c r="E2826" s="29"/>
    </row>
    <row r="2827" spans="1:5" ht="12" customHeight="1">
      <c r="A2827" s="152" t="str">
        <f>"3202"</f>
        <v>3202</v>
      </c>
      <c r="B2827" s="153" t="s">
        <v>41</v>
      </c>
      <c r="C2827" s="154" t="str">
        <f>IF(OR($A2827="",ISERROR(VALUE(LEFT($A2827,6)))),"",IF(LEN($A2827)=2,"WOJ. ",IF(LEN($A2827)=4,IF(VALUE(RIGHT($A2827,2))&gt;60,"","Powiat "),IF(VALUE(RIGHT($A2827,1))=1,"m. ",IF(VALUE(RIGHT($A2827,1))=2,"gm. w. ",IF(VALUE(RIGHT($A2827,1))=8,"dz. ","gm. m.-w. ")))))&amp;IF(LEN($A2827)=2,TRIM(UPPER(VLOOKUP($A2827,GUS_tabl_1!$A$7:$B$22,2,FALSE))),IF(ISERROR(FIND("..",TRIM(VLOOKUP(IF(AND(LEN($A2827)=4,VALUE(RIGHT($A2827,2))&gt;60),$A2827&amp;"01 1",$A2827),IF(AND(LEN($A2827)=4,VALUE(RIGHT($A2827,2))&lt;60),GUS_tabl_2!$A$8:$B$464,GUS_tabl_21!$A$5:$B$4886),2,FALSE)))),TRIM(VLOOKUP(IF(AND(LEN($A2827)=4,VALUE(RIGHT($A2827,2))&gt;60),$A2827&amp;"01 1",$A2827),IF(AND(LEN($A2827)=4,VALUE(RIGHT($A2827,2))&lt;60),GUS_tabl_2!$A$8:$B$464,GUS_tabl_21!$A$5:$B$4886),2,FALSE)),LEFT(TRIM(VLOOKUP(IF(AND(LEN($A2827)=4,VALUE(RIGHT($A2827,2))&gt;60),$A2827&amp;"01 1",$A2827),IF(AND(LEN($A2827)=4,VALUE(RIGHT($A2827,2))&lt;60),GUS_tabl_2!$A$8:$B$464,GUS_tabl_21!$A$5:$B$4886),2,FALSE)),SUM(FIND("..",TRIM(VLOOKUP(IF(AND(LEN($A2827)=4,VALUE(RIGHT($A2827,2))&gt;60),$A2827&amp;"01 1",$A2827),IF(AND(LEN($A2827)=4,VALUE(RIGHT($A2827,2))&lt;60),GUS_tabl_2!$A$8:$B$464,GUS_tabl_21!$A$5:$B$4886),2,FALSE))),-1)))))</f>
        <v>Powiat choszczeński</v>
      </c>
      <c r="D2827" s="140">
        <f>IF(OR($A2827="",ISERROR(VALUE(LEFT($A2827,6)))),"",IF(LEN($A2827)=2,SUMIF($A2828:$A$2965,$A2827&amp;"??",$D2828:$D$2965),IF(AND(LEN($A2827)=4,VALUE(RIGHT($A2827,2))&lt;=60),SUMIF($A2828:$A$2965,$A2827&amp;"????",$D2828:$D$2965),VLOOKUP(IF(LEN($A2827)=4,$A2827&amp;"01 1",$A2827),GUS_tabl_21!$A$5:$F$4886,6,FALSE))))</f>
        <v>48243</v>
      </c>
      <c r="E2827" s="29"/>
    </row>
    <row r="2828" spans="1:5" ht="12" customHeight="1">
      <c r="A2828" s="155" t="str">
        <f>"320201 2"</f>
        <v>320201 2</v>
      </c>
      <c r="B2828" s="153" t="s">
        <v>41</v>
      </c>
      <c r="C2828" s="156" t="str">
        <f>IF(OR($A2828="",ISERROR(VALUE(LEFT($A2828,6)))),"",IF(LEN($A2828)=2,"WOJ. ",IF(LEN($A2828)=4,IF(VALUE(RIGHT($A2828,2))&gt;60,"","Powiat "),IF(VALUE(RIGHT($A2828,1))=1,"m. ",IF(VALUE(RIGHT($A2828,1))=2,"gm. w. ",IF(VALUE(RIGHT($A2828,1))=8,"dz. ","gm. m.-w. ")))))&amp;IF(LEN($A2828)=2,TRIM(UPPER(VLOOKUP($A2828,GUS_tabl_1!$A$7:$B$22,2,FALSE))),IF(ISERROR(FIND("..",TRIM(VLOOKUP(IF(AND(LEN($A2828)=4,VALUE(RIGHT($A2828,2))&gt;60),$A2828&amp;"01 1",$A2828),IF(AND(LEN($A2828)=4,VALUE(RIGHT($A2828,2))&lt;60),GUS_tabl_2!$A$8:$B$464,GUS_tabl_21!$A$5:$B$4886),2,FALSE)))),TRIM(VLOOKUP(IF(AND(LEN($A2828)=4,VALUE(RIGHT($A2828,2))&gt;60),$A2828&amp;"01 1",$A2828),IF(AND(LEN($A2828)=4,VALUE(RIGHT($A2828,2))&lt;60),GUS_tabl_2!$A$8:$B$464,GUS_tabl_21!$A$5:$B$4886),2,FALSE)),LEFT(TRIM(VLOOKUP(IF(AND(LEN($A2828)=4,VALUE(RIGHT($A2828,2))&gt;60),$A2828&amp;"01 1",$A2828),IF(AND(LEN($A2828)=4,VALUE(RIGHT($A2828,2))&lt;60),GUS_tabl_2!$A$8:$B$464,GUS_tabl_21!$A$5:$B$4886),2,FALSE)),SUM(FIND("..",TRIM(VLOOKUP(IF(AND(LEN($A2828)=4,VALUE(RIGHT($A2828,2))&gt;60),$A2828&amp;"01 1",$A2828),IF(AND(LEN($A2828)=4,VALUE(RIGHT($A2828,2))&lt;60),GUS_tabl_2!$A$8:$B$464,GUS_tabl_21!$A$5:$B$4886),2,FALSE))),-1)))))</f>
        <v>gm. w. Bierzwnik</v>
      </c>
      <c r="D2828" s="141">
        <f>IF(OR($A2828="",ISERROR(VALUE(LEFT($A2828,6)))),"",IF(LEN($A2828)=2,SUMIF($A2829:$A$2965,$A2828&amp;"??",$D2829:$D$2965),IF(AND(LEN($A2828)=4,VALUE(RIGHT($A2828,2))&lt;=60),SUMIF($A2829:$A$2965,$A2828&amp;"????",$D2829:$D$2965),VLOOKUP(IF(LEN($A2828)=4,$A2828&amp;"01 1",$A2828),GUS_tabl_21!$A$5:$F$4886,6,FALSE))))</f>
        <v>4670</v>
      </c>
      <c r="E2828" s="29"/>
    </row>
    <row r="2829" spans="1:5" ht="12" customHeight="1">
      <c r="A2829" s="155" t="str">
        <f>"320202 3"</f>
        <v>320202 3</v>
      </c>
      <c r="B2829" s="153" t="s">
        <v>41</v>
      </c>
      <c r="C2829" s="156" t="str">
        <f>IF(OR($A2829="",ISERROR(VALUE(LEFT($A2829,6)))),"",IF(LEN($A2829)=2,"WOJ. ",IF(LEN($A2829)=4,IF(VALUE(RIGHT($A2829,2))&gt;60,"","Powiat "),IF(VALUE(RIGHT($A2829,1))=1,"m. ",IF(VALUE(RIGHT($A2829,1))=2,"gm. w. ",IF(VALUE(RIGHT($A2829,1))=8,"dz. ","gm. m.-w. ")))))&amp;IF(LEN($A2829)=2,TRIM(UPPER(VLOOKUP($A2829,GUS_tabl_1!$A$7:$B$22,2,FALSE))),IF(ISERROR(FIND("..",TRIM(VLOOKUP(IF(AND(LEN($A2829)=4,VALUE(RIGHT($A2829,2))&gt;60),$A2829&amp;"01 1",$A2829),IF(AND(LEN($A2829)=4,VALUE(RIGHT($A2829,2))&lt;60),GUS_tabl_2!$A$8:$B$464,GUS_tabl_21!$A$5:$B$4886),2,FALSE)))),TRIM(VLOOKUP(IF(AND(LEN($A2829)=4,VALUE(RIGHT($A2829,2))&gt;60),$A2829&amp;"01 1",$A2829),IF(AND(LEN($A2829)=4,VALUE(RIGHT($A2829,2))&lt;60),GUS_tabl_2!$A$8:$B$464,GUS_tabl_21!$A$5:$B$4886),2,FALSE)),LEFT(TRIM(VLOOKUP(IF(AND(LEN($A2829)=4,VALUE(RIGHT($A2829,2))&gt;60),$A2829&amp;"01 1",$A2829),IF(AND(LEN($A2829)=4,VALUE(RIGHT($A2829,2))&lt;60),GUS_tabl_2!$A$8:$B$464,GUS_tabl_21!$A$5:$B$4886),2,FALSE)),SUM(FIND("..",TRIM(VLOOKUP(IF(AND(LEN($A2829)=4,VALUE(RIGHT($A2829,2))&gt;60),$A2829&amp;"01 1",$A2829),IF(AND(LEN($A2829)=4,VALUE(RIGHT($A2829,2))&lt;60),GUS_tabl_2!$A$8:$B$464,GUS_tabl_21!$A$5:$B$4886),2,FALSE))),-1)))))</f>
        <v>gm. m.-w. Choszczno</v>
      </c>
      <c r="D2829" s="141">
        <f>IF(OR($A2829="",ISERROR(VALUE(LEFT($A2829,6)))),"",IF(LEN($A2829)=2,SUMIF($A2830:$A$2965,$A2829&amp;"??",$D2830:$D$2965),IF(AND(LEN($A2829)=4,VALUE(RIGHT($A2829,2))&lt;=60),SUMIF($A2830:$A$2965,$A2829&amp;"????",$D2830:$D$2965),VLOOKUP(IF(LEN($A2829)=4,$A2829&amp;"01 1",$A2829),GUS_tabl_21!$A$5:$F$4886,6,FALSE))))</f>
        <v>21635</v>
      </c>
      <c r="E2829" s="29"/>
    </row>
    <row r="2830" spans="1:5" ht="12" customHeight="1">
      <c r="A2830" s="155" t="str">
        <f>"320203 3"</f>
        <v>320203 3</v>
      </c>
      <c r="B2830" s="153" t="s">
        <v>41</v>
      </c>
      <c r="C2830" s="156" t="str">
        <f>IF(OR($A2830="",ISERROR(VALUE(LEFT($A2830,6)))),"",IF(LEN($A2830)=2,"WOJ. ",IF(LEN($A2830)=4,IF(VALUE(RIGHT($A2830,2))&gt;60,"","Powiat "),IF(VALUE(RIGHT($A2830,1))=1,"m. ",IF(VALUE(RIGHT($A2830,1))=2,"gm. w. ",IF(VALUE(RIGHT($A2830,1))=8,"dz. ","gm. m.-w. ")))))&amp;IF(LEN($A2830)=2,TRIM(UPPER(VLOOKUP($A2830,GUS_tabl_1!$A$7:$B$22,2,FALSE))),IF(ISERROR(FIND("..",TRIM(VLOOKUP(IF(AND(LEN($A2830)=4,VALUE(RIGHT($A2830,2))&gt;60),$A2830&amp;"01 1",$A2830),IF(AND(LEN($A2830)=4,VALUE(RIGHT($A2830,2))&lt;60),GUS_tabl_2!$A$8:$B$464,GUS_tabl_21!$A$5:$B$4886),2,FALSE)))),TRIM(VLOOKUP(IF(AND(LEN($A2830)=4,VALUE(RIGHT($A2830,2))&gt;60),$A2830&amp;"01 1",$A2830),IF(AND(LEN($A2830)=4,VALUE(RIGHT($A2830,2))&lt;60),GUS_tabl_2!$A$8:$B$464,GUS_tabl_21!$A$5:$B$4886),2,FALSE)),LEFT(TRIM(VLOOKUP(IF(AND(LEN($A2830)=4,VALUE(RIGHT($A2830,2))&gt;60),$A2830&amp;"01 1",$A2830),IF(AND(LEN($A2830)=4,VALUE(RIGHT($A2830,2))&lt;60),GUS_tabl_2!$A$8:$B$464,GUS_tabl_21!$A$5:$B$4886),2,FALSE)),SUM(FIND("..",TRIM(VLOOKUP(IF(AND(LEN($A2830)=4,VALUE(RIGHT($A2830,2))&gt;60),$A2830&amp;"01 1",$A2830),IF(AND(LEN($A2830)=4,VALUE(RIGHT($A2830,2))&lt;60),GUS_tabl_2!$A$8:$B$464,GUS_tabl_21!$A$5:$B$4886),2,FALSE))),-1)))))</f>
        <v>gm. m.-w. Drawno</v>
      </c>
      <c r="D2830" s="141">
        <f>IF(OR($A2830="",ISERROR(VALUE(LEFT($A2830,6)))),"",IF(LEN($A2830)=2,SUMIF($A2831:$A$2965,$A2830&amp;"??",$D2831:$D$2965),IF(AND(LEN($A2830)=4,VALUE(RIGHT($A2830,2))&lt;=60),SUMIF($A2831:$A$2965,$A2830&amp;"????",$D2831:$D$2965),VLOOKUP(IF(LEN($A2830)=4,$A2830&amp;"01 1",$A2830),GUS_tabl_21!$A$5:$F$4886,6,FALSE))))</f>
        <v>5053</v>
      </c>
      <c r="E2830" s="29"/>
    </row>
    <row r="2831" spans="1:5" ht="12" customHeight="1">
      <c r="A2831" s="155" t="str">
        <f>"320204 2"</f>
        <v>320204 2</v>
      </c>
      <c r="B2831" s="153" t="s">
        <v>41</v>
      </c>
      <c r="C2831" s="156" t="str">
        <f>IF(OR($A2831="",ISERROR(VALUE(LEFT($A2831,6)))),"",IF(LEN($A2831)=2,"WOJ. ",IF(LEN($A2831)=4,IF(VALUE(RIGHT($A2831,2))&gt;60,"","Powiat "),IF(VALUE(RIGHT($A2831,1))=1,"m. ",IF(VALUE(RIGHT($A2831,1))=2,"gm. w. ",IF(VALUE(RIGHT($A2831,1))=8,"dz. ","gm. m.-w. ")))))&amp;IF(LEN($A2831)=2,TRIM(UPPER(VLOOKUP($A2831,GUS_tabl_1!$A$7:$B$22,2,FALSE))),IF(ISERROR(FIND("..",TRIM(VLOOKUP(IF(AND(LEN($A2831)=4,VALUE(RIGHT($A2831,2))&gt;60),$A2831&amp;"01 1",$A2831),IF(AND(LEN($A2831)=4,VALUE(RIGHT($A2831,2))&lt;60),GUS_tabl_2!$A$8:$B$464,GUS_tabl_21!$A$5:$B$4886),2,FALSE)))),TRIM(VLOOKUP(IF(AND(LEN($A2831)=4,VALUE(RIGHT($A2831,2))&gt;60),$A2831&amp;"01 1",$A2831),IF(AND(LEN($A2831)=4,VALUE(RIGHT($A2831,2))&lt;60),GUS_tabl_2!$A$8:$B$464,GUS_tabl_21!$A$5:$B$4886),2,FALSE)),LEFT(TRIM(VLOOKUP(IF(AND(LEN($A2831)=4,VALUE(RIGHT($A2831,2))&gt;60),$A2831&amp;"01 1",$A2831),IF(AND(LEN($A2831)=4,VALUE(RIGHT($A2831,2))&lt;60),GUS_tabl_2!$A$8:$B$464,GUS_tabl_21!$A$5:$B$4886),2,FALSE)),SUM(FIND("..",TRIM(VLOOKUP(IF(AND(LEN($A2831)=4,VALUE(RIGHT($A2831,2))&gt;60),$A2831&amp;"01 1",$A2831),IF(AND(LEN($A2831)=4,VALUE(RIGHT($A2831,2))&lt;60),GUS_tabl_2!$A$8:$B$464,GUS_tabl_21!$A$5:$B$4886),2,FALSE))),-1)))))</f>
        <v>gm. w. Krzęcin</v>
      </c>
      <c r="D2831" s="141">
        <f>IF(OR($A2831="",ISERROR(VALUE(LEFT($A2831,6)))),"",IF(LEN($A2831)=2,SUMIF($A2832:$A$2965,$A2831&amp;"??",$D2832:$D$2965),IF(AND(LEN($A2831)=4,VALUE(RIGHT($A2831,2))&lt;=60),SUMIF($A2832:$A$2965,$A2831&amp;"????",$D2832:$D$2965),VLOOKUP(IF(LEN($A2831)=4,$A2831&amp;"01 1",$A2831),GUS_tabl_21!$A$5:$F$4886,6,FALSE))))</f>
        <v>3667</v>
      </c>
      <c r="E2831" s="29"/>
    </row>
    <row r="2832" spans="1:5" ht="12" customHeight="1">
      <c r="A2832" s="155" t="str">
        <f>"320205 3"</f>
        <v>320205 3</v>
      </c>
      <c r="B2832" s="153" t="s">
        <v>41</v>
      </c>
      <c r="C2832" s="156" t="str">
        <f>IF(OR($A2832="",ISERROR(VALUE(LEFT($A2832,6)))),"",IF(LEN($A2832)=2,"WOJ. ",IF(LEN($A2832)=4,IF(VALUE(RIGHT($A2832,2))&gt;60,"","Powiat "),IF(VALUE(RIGHT($A2832,1))=1,"m. ",IF(VALUE(RIGHT($A2832,1))=2,"gm. w. ",IF(VALUE(RIGHT($A2832,1))=8,"dz. ","gm. m.-w. ")))))&amp;IF(LEN($A2832)=2,TRIM(UPPER(VLOOKUP($A2832,GUS_tabl_1!$A$7:$B$22,2,FALSE))),IF(ISERROR(FIND("..",TRIM(VLOOKUP(IF(AND(LEN($A2832)=4,VALUE(RIGHT($A2832,2))&gt;60),$A2832&amp;"01 1",$A2832),IF(AND(LEN($A2832)=4,VALUE(RIGHT($A2832,2))&lt;60),GUS_tabl_2!$A$8:$B$464,GUS_tabl_21!$A$5:$B$4886),2,FALSE)))),TRIM(VLOOKUP(IF(AND(LEN($A2832)=4,VALUE(RIGHT($A2832,2))&gt;60),$A2832&amp;"01 1",$A2832),IF(AND(LEN($A2832)=4,VALUE(RIGHT($A2832,2))&lt;60),GUS_tabl_2!$A$8:$B$464,GUS_tabl_21!$A$5:$B$4886),2,FALSE)),LEFT(TRIM(VLOOKUP(IF(AND(LEN($A2832)=4,VALUE(RIGHT($A2832,2))&gt;60),$A2832&amp;"01 1",$A2832),IF(AND(LEN($A2832)=4,VALUE(RIGHT($A2832,2))&lt;60),GUS_tabl_2!$A$8:$B$464,GUS_tabl_21!$A$5:$B$4886),2,FALSE)),SUM(FIND("..",TRIM(VLOOKUP(IF(AND(LEN($A2832)=4,VALUE(RIGHT($A2832,2))&gt;60),$A2832&amp;"01 1",$A2832),IF(AND(LEN($A2832)=4,VALUE(RIGHT($A2832,2))&lt;60),GUS_tabl_2!$A$8:$B$464,GUS_tabl_21!$A$5:$B$4886),2,FALSE))),-1)))))</f>
        <v>gm. m.-w. Pełczyce</v>
      </c>
      <c r="D2832" s="141">
        <f>IF(OR($A2832="",ISERROR(VALUE(LEFT($A2832,6)))),"",IF(LEN($A2832)=2,SUMIF($A2833:$A$2965,$A2832&amp;"??",$D2833:$D$2965),IF(AND(LEN($A2832)=4,VALUE(RIGHT($A2832,2))&lt;=60),SUMIF($A2833:$A$2965,$A2832&amp;"????",$D2833:$D$2965),VLOOKUP(IF(LEN($A2832)=4,$A2832&amp;"01 1",$A2832),GUS_tabl_21!$A$5:$F$4886,6,FALSE))))</f>
        <v>7764</v>
      </c>
      <c r="E2832" s="29"/>
    </row>
    <row r="2833" spans="1:5" ht="12" customHeight="1">
      <c r="A2833" s="155" t="str">
        <f>"320206 3"</f>
        <v>320206 3</v>
      </c>
      <c r="B2833" s="153" t="s">
        <v>41</v>
      </c>
      <c r="C2833" s="156" t="str">
        <f>IF(OR($A2833="",ISERROR(VALUE(LEFT($A2833,6)))),"",IF(LEN($A2833)=2,"WOJ. ",IF(LEN($A2833)=4,IF(VALUE(RIGHT($A2833,2))&gt;60,"","Powiat "),IF(VALUE(RIGHT($A2833,1))=1,"m. ",IF(VALUE(RIGHT($A2833,1))=2,"gm. w. ",IF(VALUE(RIGHT($A2833,1))=8,"dz. ","gm. m.-w. ")))))&amp;IF(LEN($A2833)=2,TRIM(UPPER(VLOOKUP($A2833,GUS_tabl_1!$A$7:$B$22,2,FALSE))),IF(ISERROR(FIND("..",TRIM(VLOOKUP(IF(AND(LEN($A2833)=4,VALUE(RIGHT($A2833,2))&gt;60),$A2833&amp;"01 1",$A2833),IF(AND(LEN($A2833)=4,VALUE(RIGHT($A2833,2))&lt;60),GUS_tabl_2!$A$8:$B$464,GUS_tabl_21!$A$5:$B$4886),2,FALSE)))),TRIM(VLOOKUP(IF(AND(LEN($A2833)=4,VALUE(RIGHT($A2833,2))&gt;60),$A2833&amp;"01 1",$A2833),IF(AND(LEN($A2833)=4,VALUE(RIGHT($A2833,2))&lt;60),GUS_tabl_2!$A$8:$B$464,GUS_tabl_21!$A$5:$B$4886),2,FALSE)),LEFT(TRIM(VLOOKUP(IF(AND(LEN($A2833)=4,VALUE(RIGHT($A2833,2))&gt;60),$A2833&amp;"01 1",$A2833),IF(AND(LEN($A2833)=4,VALUE(RIGHT($A2833,2))&lt;60),GUS_tabl_2!$A$8:$B$464,GUS_tabl_21!$A$5:$B$4886),2,FALSE)),SUM(FIND("..",TRIM(VLOOKUP(IF(AND(LEN($A2833)=4,VALUE(RIGHT($A2833,2))&gt;60),$A2833&amp;"01 1",$A2833),IF(AND(LEN($A2833)=4,VALUE(RIGHT($A2833,2))&lt;60),GUS_tabl_2!$A$8:$B$464,GUS_tabl_21!$A$5:$B$4886),2,FALSE))),-1)))))</f>
        <v>gm. m.-w. Recz</v>
      </c>
      <c r="D2833" s="141">
        <f>IF(OR($A2833="",ISERROR(VALUE(LEFT($A2833,6)))),"",IF(LEN($A2833)=2,SUMIF($A2834:$A$2965,$A2833&amp;"??",$D2834:$D$2965),IF(AND(LEN($A2833)=4,VALUE(RIGHT($A2833,2))&lt;=60),SUMIF($A2834:$A$2965,$A2833&amp;"????",$D2834:$D$2965),VLOOKUP(IF(LEN($A2833)=4,$A2833&amp;"01 1",$A2833),GUS_tabl_21!$A$5:$F$4886,6,FALSE))))</f>
        <v>5454</v>
      </c>
      <c r="E2833" s="29"/>
    </row>
    <row r="2834" spans="1:5" ht="12" customHeight="1">
      <c r="A2834" s="152" t="str">
        <f>"3203"</f>
        <v>3203</v>
      </c>
      <c r="B2834" s="153" t="s">
        <v>41</v>
      </c>
      <c r="C2834" s="154" t="str">
        <f>IF(OR($A2834="",ISERROR(VALUE(LEFT($A2834,6)))),"",IF(LEN($A2834)=2,"WOJ. ",IF(LEN($A2834)=4,IF(VALUE(RIGHT($A2834,2))&gt;60,"","Powiat "),IF(VALUE(RIGHT($A2834,1))=1,"m. ",IF(VALUE(RIGHT($A2834,1))=2,"gm. w. ",IF(VALUE(RIGHT($A2834,1))=8,"dz. ","gm. m.-w. ")))))&amp;IF(LEN($A2834)=2,TRIM(UPPER(VLOOKUP($A2834,GUS_tabl_1!$A$7:$B$22,2,FALSE))),IF(ISERROR(FIND("..",TRIM(VLOOKUP(IF(AND(LEN($A2834)=4,VALUE(RIGHT($A2834,2))&gt;60),$A2834&amp;"01 1",$A2834),IF(AND(LEN($A2834)=4,VALUE(RIGHT($A2834,2))&lt;60),GUS_tabl_2!$A$8:$B$464,GUS_tabl_21!$A$5:$B$4886),2,FALSE)))),TRIM(VLOOKUP(IF(AND(LEN($A2834)=4,VALUE(RIGHT($A2834,2))&gt;60),$A2834&amp;"01 1",$A2834),IF(AND(LEN($A2834)=4,VALUE(RIGHT($A2834,2))&lt;60),GUS_tabl_2!$A$8:$B$464,GUS_tabl_21!$A$5:$B$4886),2,FALSE)),LEFT(TRIM(VLOOKUP(IF(AND(LEN($A2834)=4,VALUE(RIGHT($A2834,2))&gt;60),$A2834&amp;"01 1",$A2834),IF(AND(LEN($A2834)=4,VALUE(RIGHT($A2834,2))&lt;60),GUS_tabl_2!$A$8:$B$464,GUS_tabl_21!$A$5:$B$4886),2,FALSE)),SUM(FIND("..",TRIM(VLOOKUP(IF(AND(LEN($A2834)=4,VALUE(RIGHT($A2834,2))&gt;60),$A2834&amp;"01 1",$A2834),IF(AND(LEN($A2834)=4,VALUE(RIGHT($A2834,2))&lt;60),GUS_tabl_2!$A$8:$B$464,GUS_tabl_21!$A$5:$B$4886),2,FALSE))),-1)))))</f>
        <v>Powiat drawski</v>
      </c>
      <c r="D2834" s="140">
        <f>IF(OR($A2834="",ISERROR(VALUE(LEFT($A2834,6)))),"",IF(LEN($A2834)=2,SUMIF($A2835:$A$2965,$A2834&amp;"??",$D2835:$D$2965),IF(AND(LEN($A2834)=4,VALUE(RIGHT($A2834,2))&lt;=60),SUMIF($A2835:$A$2965,$A2834&amp;"????",$D2835:$D$2965),VLOOKUP(IF(LEN($A2834)=4,$A2834&amp;"01 1",$A2834),GUS_tabl_21!$A$5:$F$4886,6,FALSE))))</f>
        <v>57015</v>
      </c>
      <c r="E2834" s="29"/>
    </row>
    <row r="2835" spans="1:5" ht="12" customHeight="1">
      <c r="A2835" s="155" t="str">
        <f>"320301 3"</f>
        <v>320301 3</v>
      </c>
      <c r="B2835" s="153" t="s">
        <v>41</v>
      </c>
      <c r="C2835" s="156" t="str">
        <f>IF(OR($A2835="",ISERROR(VALUE(LEFT($A2835,6)))),"",IF(LEN($A2835)=2,"WOJ. ",IF(LEN($A2835)=4,IF(VALUE(RIGHT($A2835,2))&gt;60,"","Powiat "),IF(VALUE(RIGHT($A2835,1))=1,"m. ",IF(VALUE(RIGHT($A2835,1))=2,"gm. w. ",IF(VALUE(RIGHT($A2835,1))=8,"dz. ","gm. m.-w. ")))))&amp;IF(LEN($A2835)=2,TRIM(UPPER(VLOOKUP($A2835,GUS_tabl_1!$A$7:$B$22,2,FALSE))),IF(ISERROR(FIND("..",TRIM(VLOOKUP(IF(AND(LEN($A2835)=4,VALUE(RIGHT($A2835,2))&gt;60),$A2835&amp;"01 1",$A2835),IF(AND(LEN($A2835)=4,VALUE(RIGHT($A2835,2))&lt;60),GUS_tabl_2!$A$8:$B$464,GUS_tabl_21!$A$5:$B$4886),2,FALSE)))),TRIM(VLOOKUP(IF(AND(LEN($A2835)=4,VALUE(RIGHT($A2835,2))&gt;60),$A2835&amp;"01 1",$A2835),IF(AND(LEN($A2835)=4,VALUE(RIGHT($A2835,2))&lt;60),GUS_tabl_2!$A$8:$B$464,GUS_tabl_21!$A$5:$B$4886),2,FALSE)),LEFT(TRIM(VLOOKUP(IF(AND(LEN($A2835)=4,VALUE(RIGHT($A2835,2))&gt;60),$A2835&amp;"01 1",$A2835),IF(AND(LEN($A2835)=4,VALUE(RIGHT($A2835,2))&lt;60),GUS_tabl_2!$A$8:$B$464,GUS_tabl_21!$A$5:$B$4886),2,FALSE)),SUM(FIND("..",TRIM(VLOOKUP(IF(AND(LEN($A2835)=4,VALUE(RIGHT($A2835,2))&gt;60),$A2835&amp;"01 1",$A2835),IF(AND(LEN($A2835)=4,VALUE(RIGHT($A2835,2))&lt;60),GUS_tabl_2!$A$8:$B$464,GUS_tabl_21!$A$5:$B$4886),2,FALSE))),-1)))))</f>
        <v>gm. m.-w. Czaplinek</v>
      </c>
      <c r="D2835" s="141">
        <f>IF(OR($A2835="",ISERROR(VALUE(LEFT($A2835,6)))),"",IF(LEN($A2835)=2,SUMIF($A2836:$A$2965,$A2835&amp;"??",$D2836:$D$2965),IF(AND(LEN($A2835)=4,VALUE(RIGHT($A2835,2))&lt;=60),SUMIF($A2836:$A$2965,$A2835&amp;"????",$D2836:$D$2965),VLOOKUP(IF(LEN($A2835)=4,$A2835&amp;"01 1",$A2835),GUS_tabl_21!$A$5:$F$4886,6,FALSE))))</f>
        <v>11867</v>
      </c>
      <c r="E2835" s="29"/>
    </row>
    <row r="2836" spans="1:5" ht="12" customHeight="1">
      <c r="A2836" s="155" t="str">
        <f>"320302 3"</f>
        <v>320302 3</v>
      </c>
      <c r="B2836" s="153" t="s">
        <v>41</v>
      </c>
      <c r="C2836" s="156" t="str">
        <f>IF(OR($A2836="",ISERROR(VALUE(LEFT($A2836,6)))),"",IF(LEN($A2836)=2,"WOJ. ",IF(LEN($A2836)=4,IF(VALUE(RIGHT($A2836,2))&gt;60,"","Powiat "),IF(VALUE(RIGHT($A2836,1))=1,"m. ",IF(VALUE(RIGHT($A2836,1))=2,"gm. w. ",IF(VALUE(RIGHT($A2836,1))=8,"dz. ","gm. m.-w. ")))))&amp;IF(LEN($A2836)=2,TRIM(UPPER(VLOOKUP($A2836,GUS_tabl_1!$A$7:$B$22,2,FALSE))),IF(ISERROR(FIND("..",TRIM(VLOOKUP(IF(AND(LEN($A2836)=4,VALUE(RIGHT($A2836,2))&gt;60),$A2836&amp;"01 1",$A2836),IF(AND(LEN($A2836)=4,VALUE(RIGHT($A2836,2))&lt;60),GUS_tabl_2!$A$8:$B$464,GUS_tabl_21!$A$5:$B$4886),2,FALSE)))),TRIM(VLOOKUP(IF(AND(LEN($A2836)=4,VALUE(RIGHT($A2836,2))&gt;60),$A2836&amp;"01 1",$A2836),IF(AND(LEN($A2836)=4,VALUE(RIGHT($A2836,2))&lt;60),GUS_tabl_2!$A$8:$B$464,GUS_tabl_21!$A$5:$B$4886),2,FALSE)),LEFT(TRIM(VLOOKUP(IF(AND(LEN($A2836)=4,VALUE(RIGHT($A2836,2))&gt;60),$A2836&amp;"01 1",$A2836),IF(AND(LEN($A2836)=4,VALUE(RIGHT($A2836,2))&lt;60),GUS_tabl_2!$A$8:$B$464,GUS_tabl_21!$A$5:$B$4886),2,FALSE)),SUM(FIND("..",TRIM(VLOOKUP(IF(AND(LEN($A2836)=4,VALUE(RIGHT($A2836,2))&gt;60),$A2836&amp;"01 1",$A2836),IF(AND(LEN($A2836)=4,VALUE(RIGHT($A2836,2))&lt;60),GUS_tabl_2!$A$8:$B$464,GUS_tabl_21!$A$5:$B$4886),2,FALSE))),-1)))))</f>
        <v>gm. m.-w. Drawsko Pomorskie</v>
      </c>
      <c r="D2836" s="141">
        <f>IF(OR($A2836="",ISERROR(VALUE(LEFT($A2836,6)))),"",IF(LEN($A2836)=2,SUMIF($A2837:$A$2965,$A2836&amp;"??",$D2837:$D$2965),IF(AND(LEN($A2836)=4,VALUE(RIGHT($A2836,2))&lt;=60),SUMIF($A2837:$A$2965,$A2836&amp;"????",$D2837:$D$2965),VLOOKUP(IF(LEN($A2836)=4,$A2836&amp;"01 1",$A2836),GUS_tabl_21!$A$5:$F$4886,6,FALSE))))</f>
        <v>17174</v>
      </c>
      <c r="E2836" s="29"/>
    </row>
    <row r="2837" spans="1:5" ht="12" customHeight="1">
      <c r="A2837" s="155" t="str">
        <f>"320303 3"</f>
        <v>320303 3</v>
      </c>
      <c r="B2837" s="153" t="s">
        <v>41</v>
      </c>
      <c r="C2837" s="156" t="str">
        <f>IF(OR($A2837="",ISERROR(VALUE(LEFT($A2837,6)))),"",IF(LEN($A2837)=2,"WOJ. ",IF(LEN($A2837)=4,IF(VALUE(RIGHT($A2837,2))&gt;60,"","Powiat "),IF(VALUE(RIGHT($A2837,1))=1,"m. ",IF(VALUE(RIGHT($A2837,1))=2,"gm. w. ",IF(VALUE(RIGHT($A2837,1))=8,"dz. ","gm. m.-w. ")))))&amp;IF(LEN($A2837)=2,TRIM(UPPER(VLOOKUP($A2837,GUS_tabl_1!$A$7:$B$22,2,FALSE))),IF(ISERROR(FIND("..",TRIM(VLOOKUP(IF(AND(LEN($A2837)=4,VALUE(RIGHT($A2837,2))&gt;60),$A2837&amp;"01 1",$A2837),IF(AND(LEN($A2837)=4,VALUE(RIGHT($A2837,2))&lt;60),GUS_tabl_2!$A$8:$B$464,GUS_tabl_21!$A$5:$B$4886),2,FALSE)))),TRIM(VLOOKUP(IF(AND(LEN($A2837)=4,VALUE(RIGHT($A2837,2))&gt;60),$A2837&amp;"01 1",$A2837),IF(AND(LEN($A2837)=4,VALUE(RIGHT($A2837,2))&lt;60),GUS_tabl_2!$A$8:$B$464,GUS_tabl_21!$A$5:$B$4886),2,FALSE)),LEFT(TRIM(VLOOKUP(IF(AND(LEN($A2837)=4,VALUE(RIGHT($A2837,2))&gt;60),$A2837&amp;"01 1",$A2837),IF(AND(LEN($A2837)=4,VALUE(RIGHT($A2837,2))&lt;60),GUS_tabl_2!$A$8:$B$464,GUS_tabl_21!$A$5:$B$4886),2,FALSE)),SUM(FIND("..",TRIM(VLOOKUP(IF(AND(LEN($A2837)=4,VALUE(RIGHT($A2837,2))&gt;60),$A2837&amp;"01 1",$A2837),IF(AND(LEN($A2837)=4,VALUE(RIGHT($A2837,2))&lt;60),GUS_tabl_2!$A$8:$B$464,GUS_tabl_21!$A$5:$B$4886),2,FALSE))),-1)))))</f>
        <v>gm. m.-w. Kalisz Pomorski</v>
      </c>
      <c r="D2837" s="141">
        <f>IF(OR($A2837="",ISERROR(VALUE(LEFT($A2837,6)))),"",IF(LEN($A2837)=2,SUMIF($A2838:$A$2965,$A2837&amp;"??",$D2838:$D$2965),IF(AND(LEN($A2837)=4,VALUE(RIGHT($A2837,2))&lt;=60),SUMIF($A2838:$A$2965,$A2837&amp;"????",$D2838:$D$2965),VLOOKUP(IF(LEN($A2837)=4,$A2837&amp;"01 1",$A2837),GUS_tabl_21!$A$5:$F$4886,6,FALSE))))</f>
        <v>7372</v>
      </c>
      <c r="E2837" s="29"/>
    </row>
    <row r="2838" spans="1:5" ht="12" customHeight="1">
      <c r="A2838" s="155" t="str">
        <f>"320305 2"</f>
        <v>320305 2</v>
      </c>
      <c r="B2838" s="153" t="s">
        <v>41</v>
      </c>
      <c r="C2838" s="156" t="str">
        <f>IF(OR($A2838="",ISERROR(VALUE(LEFT($A2838,6)))),"",IF(LEN($A2838)=2,"WOJ. ",IF(LEN($A2838)=4,IF(VALUE(RIGHT($A2838,2))&gt;60,"","Powiat "),IF(VALUE(RIGHT($A2838,1))=1,"m. ",IF(VALUE(RIGHT($A2838,1))=2,"gm. w. ",IF(VALUE(RIGHT($A2838,1))=8,"dz. ","gm. m.-w. ")))))&amp;IF(LEN($A2838)=2,TRIM(UPPER(VLOOKUP($A2838,GUS_tabl_1!$A$7:$B$22,2,FALSE))),IF(ISERROR(FIND("..",TRIM(VLOOKUP(IF(AND(LEN($A2838)=4,VALUE(RIGHT($A2838,2))&gt;60),$A2838&amp;"01 1",$A2838),IF(AND(LEN($A2838)=4,VALUE(RIGHT($A2838,2))&lt;60),GUS_tabl_2!$A$8:$B$464,GUS_tabl_21!$A$5:$B$4886),2,FALSE)))),TRIM(VLOOKUP(IF(AND(LEN($A2838)=4,VALUE(RIGHT($A2838,2))&gt;60),$A2838&amp;"01 1",$A2838),IF(AND(LEN($A2838)=4,VALUE(RIGHT($A2838,2))&lt;60),GUS_tabl_2!$A$8:$B$464,GUS_tabl_21!$A$5:$B$4886),2,FALSE)),LEFT(TRIM(VLOOKUP(IF(AND(LEN($A2838)=4,VALUE(RIGHT($A2838,2))&gt;60),$A2838&amp;"01 1",$A2838),IF(AND(LEN($A2838)=4,VALUE(RIGHT($A2838,2))&lt;60),GUS_tabl_2!$A$8:$B$464,GUS_tabl_21!$A$5:$B$4886),2,FALSE)),SUM(FIND("..",TRIM(VLOOKUP(IF(AND(LEN($A2838)=4,VALUE(RIGHT($A2838,2))&gt;60),$A2838&amp;"01 1",$A2838),IF(AND(LEN($A2838)=4,VALUE(RIGHT($A2838,2))&lt;60),GUS_tabl_2!$A$8:$B$464,GUS_tabl_21!$A$5:$B$4886),2,FALSE))),-1)))))</f>
        <v>gm. w. Wierzchowo</v>
      </c>
      <c r="D2838" s="141">
        <f>IF(OR($A2838="",ISERROR(VALUE(LEFT($A2838,6)))),"",IF(LEN($A2838)=2,SUMIF($A2839:$A$2965,$A2838&amp;"??",$D2839:$D$2965),IF(AND(LEN($A2838)=4,VALUE(RIGHT($A2838,2))&lt;=60),SUMIF($A2839:$A$2965,$A2838&amp;"????",$D2839:$D$2965),VLOOKUP(IF(LEN($A2838)=4,$A2838&amp;"01 1",$A2838),GUS_tabl_21!$A$5:$F$4886,6,FALSE))))</f>
        <v>4243</v>
      </c>
      <c r="E2838" s="29"/>
    </row>
    <row r="2839" spans="1:5" ht="12" customHeight="1">
      <c r="A2839" s="155" t="str">
        <f>"320306 3"</f>
        <v>320306 3</v>
      </c>
      <c r="B2839" s="153" t="s">
        <v>41</v>
      </c>
      <c r="C2839" s="156" t="str">
        <f>IF(OR($A2839="",ISERROR(VALUE(LEFT($A2839,6)))),"",IF(LEN($A2839)=2,"WOJ. ",IF(LEN($A2839)=4,IF(VALUE(RIGHT($A2839,2))&gt;60,"","Powiat "),IF(VALUE(RIGHT($A2839,1))=1,"m. ",IF(VALUE(RIGHT($A2839,1))=2,"gm. w. ",IF(VALUE(RIGHT($A2839,1))=8,"dz. ","gm. m.-w. ")))))&amp;IF(LEN($A2839)=2,TRIM(UPPER(VLOOKUP($A2839,GUS_tabl_1!$A$7:$B$22,2,FALSE))),IF(ISERROR(FIND("..",TRIM(VLOOKUP(IF(AND(LEN($A2839)=4,VALUE(RIGHT($A2839,2))&gt;60),$A2839&amp;"01 1",$A2839),IF(AND(LEN($A2839)=4,VALUE(RIGHT($A2839,2))&lt;60),GUS_tabl_2!$A$8:$B$464,GUS_tabl_21!$A$5:$B$4886),2,FALSE)))),TRIM(VLOOKUP(IF(AND(LEN($A2839)=4,VALUE(RIGHT($A2839,2))&gt;60),$A2839&amp;"01 1",$A2839),IF(AND(LEN($A2839)=4,VALUE(RIGHT($A2839,2))&lt;60),GUS_tabl_2!$A$8:$B$464,GUS_tabl_21!$A$5:$B$4886),2,FALSE)),LEFT(TRIM(VLOOKUP(IF(AND(LEN($A2839)=4,VALUE(RIGHT($A2839,2))&gt;60),$A2839&amp;"01 1",$A2839),IF(AND(LEN($A2839)=4,VALUE(RIGHT($A2839,2))&lt;60),GUS_tabl_2!$A$8:$B$464,GUS_tabl_21!$A$5:$B$4886),2,FALSE)),SUM(FIND("..",TRIM(VLOOKUP(IF(AND(LEN($A2839)=4,VALUE(RIGHT($A2839,2))&gt;60),$A2839&amp;"01 1",$A2839),IF(AND(LEN($A2839)=4,VALUE(RIGHT($A2839,2))&lt;60),GUS_tabl_2!$A$8:$B$464,GUS_tabl_21!$A$5:$B$4886),2,FALSE))),-1)))))</f>
        <v>gm. m.-w. Złocieniec</v>
      </c>
      <c r="D2839" s="141">
        <f>IF(OR($A2839="",ISERROR(VALUE(LEFT($A2839,6)))),"",IF(LEN($A2839)=2,SUMIF($A2840:$A$2965,$A2839&amp;"??",$D2840:$D$2965),IF(AND(LEN($A2839)=4,VALUE(RIGHT($A2839,2))&lt;=60),SUMIF($A2840:$A$2965,$A2839&amp;"????",$D2840:$D$2965),VLOOKUP(IF(LEN($A2839)=4,$A2839&amp;"01 1",$A2839),GUS_tabl_21!$A$5:$F$4886,6,FALSE))))</f>
        <v>16359</v>
      </c>
      <c r="E2839" s="29"/>
    </row>
    <row r="2840" spans="1:5" ht="12" customHeight="1">
      <c r="A2840" s="152"/>
      <c r="B2840" s="153" t="s">
        <v>41</v>
      </c>
      <c r="C2840" s="156" t="str">
        <f>IF(OR($A2840="",ISERROR(VALUE(LEFT($A2840,6)))),"",IF(LEN($A2840)=2,"WOJ. ",IF(LEN($A2840)=4,IF(VALUE(RIGHT($A2840,2))&gt;60,"","Powiat "),IF(VALUE(RIGHT($A2840,1))=1,"m. ",IF(VALUE(RIGHT($A2840,1))=2,"gm. w. ",IF(VALUE(RIGHT($A2840,1))=8,"dz. ","gm. m.-w. ")))))&amp;IF(LEN($A2840)=2,TRIM(UPPER(VLOOKUP($A2840,GUS_tabl_1!$A$7:$B$22,2,FALSE))),IF(ISERROR(FIND("..",TRIM(VLOOKUP(IF(AND(LEN($A2840)=4,VALUE(RIGHT($A2840,2))&gt;60),$A2840&amp;"01 1",$A2840),IF(AND(LEN($A2840)=4,VALUE(RIGHT($A2840,2))&lt;60),GUS_tabl_2!$A$8:$B$464,GUS_tabl_21!$A$5:$B$4886),2,FALSE)))),TRIM(VLOOKUP(IF(AND(LEN($A2840)=4,VALUE(RIGHT($A2840,2))&gt;60),$A2840&amp;"01 1",$A2840),IF(AND(LEN($A2840)=4,VALUE(RIGHT($A2840,2))&lt;60),GUS_tabl_2!$A$8:$B$464,GUS_tabl_21!$A$5:$B$4886),2,FALSE)),LEFT(TRIM(VLOOKUP(IF(AND(LEN($A2840)=4,VALUE(RIGHT($A2840,2))&gt;60),$A2840&amp;"01 1",$A2840),IF(AND(LEN($A2840)=4,VALUE(RIGHT($A2840,2))&lt;60),GUS_tabl_2!$A$8:$B$464,GUS_tabl_21!$A$5:$B$4886),2,FALSE)),SUM(FIND("..",TRIM(VLOOKUP(IF(AND(LEN($A2840)=4,VALUE(RIGHT($A2840,2))&gt;60),$A2840&amp;"01 1",$A2840),IF(AND(LEN($A2840)=4,VALUE(RIGHT($A2840,2))&lt;60),GUS_tabl_2!$A$8:$B$464,GUS_tabl_21!$A$5:$B$4886),2,FALSE))),-1)))))</f>
        <v/>
      </c>
      <c r="D2840" s="141" t="str">
        <f>IF(OR($A2840="",ISERROR(VALUE(LEFT($A2840,6)))),"",IF(LEN($A2840)=2,SUMIF($A2841:$A$2965,$A2840&amp;"??",$D2841:$D$2965),IF(AND(LEN($A2840)=4,VALUE(RIGHT($A2840,2))&lt;=60),SUMIF($A2841:$A$2965,$A2840&amp;"????",$D2841:$D$2965),VLOOKUP(IF(LEN($A2840)=4,$A2840&amp;"01 1",$A2840),GUS_tabl_21!$A$5:$F$4886,6,FALSE))))</f>
        <v/>
      </c>
      <c r="E2840" s="29"/>
    </row>
    <row r="2841" spans="1:5" ht="12" customHeight="1">
      <c r="A2841" s="152" t="str">
        <f>"3204"</f>
        <v>3204</v>
      </c>
      <c r="B2841" s="153" t="s">
        <v>41</v>
      </c>
      <c r="C2841" s="154" t="str">
        <f>IF(OR($A2841="",ISERROR(VALUE(LEFT($A2841,6)))),"",IF(LEN($A2841)=2,"WOJ. ",IF(LEN($A2841)=4,IF(VALUE(RIGHT($A2841,2))&gt;60,"","Powiat "),IF(VALUE(RIGHT($A2841,1))=1,"m. ",IF(VALUE(RIGHT($A2841,1))=2,"gm. w. ",IF(VALUE(RIGHT($A2841,1))=8,"dz. ","gm. m.-w. ")))))&amp;IF(LEN($A2841)=2,TRIM(UPPER(VLOOKUP($A2841,GUS_tabl_1!$A$7:$B$22,2,FALSE))),IF(ISERROR(FIND("..",TRIM(VLOOKUP(IF(AND(LEN($A2841)=4,VALUE(RIGHT($A2841,2))&gt;60),$A2841&amp;"01 1",$A2841),IF(AND(LEN($A2841)=4,VALUE(RIGHT($A2841,2))&lt;60),GUS_tabl_2!$A$8:$B$464,GUS_tabl_21!$A$5:$B$4886),2,FALSE)))),TRIM(VLOOKUP(IF(AND(LEN($A2841)=4,VALUE(RIGHT($A2841,2))&gt;60),$A2841&amp;"01 1",$A2841),IF(AND(LEN($A2841)=4,VALUE(RIGHT($A2841,2))&lt;60),GUS_tabl_2!$A$8:$B$464,GUS_tabl_21!$A$5:$B$4886),2,FALSE)),LEFT(TRIM(VLOOKUP(IF(AND(LEN($A2841)=4,VALUE(RIGHT($A2841,2))&gt;60),$A2841&amp;"01 1",$A2841),IF(AND(LEN($A2841)=4,VALUE(RIGHT($A2841,2))&lt;60),GUS_tabl_2!$A$8:$B$464,GUS_tabl_21!$A$5:$B$4886),2,FALSE)),SUM(FIND("..",TRIM(VLOOKUP(IF(AND(LEN($A2841)=4,VALUE(RIGHT($A2841,2))&gt;60),$A2841&amp;"01 1",$A2841),IF(AND(LEN($A2841)=4,VALUE(RIGHT($A2841,2))&lt;60),GUS_tabl_2!$A$8:$B$464,GUS_tabl_21!$A$5:$B$4886),2,FALSE))),-1)))))</f>
        <v>Powiat goleniowski</v>
      </c>
      <c r="D2841" s="140">
        <f>IF(OR($A2841="",ISERROR(VALUE(LEFT($A2841,6)))),"",IF(LEN($A2841)=2,SUMIF($A2842:$A$2965,$A2841&amp;"??",$D2842:$D$2965),IF(AND(LEN($A2841)=4,VALUE(RIGHT($A2841,2))&lt;=60),SUMIF($A2842:$A$2965,$A2841&amp;"????",$D2842:$D$2965),VLOOKUP(IF(LEN($A2841)=4,$A2841&amp;"01 1",$A2841),GUS_tabl_21!$A$5:$F$4886,6,FALSE))))</f>
        <v>82421</v>
      </c>
      <c r="E2841" s="29"/>
    </row>
    <row r="2842" spans="1:5" ht="12" customHeight="1">
      <c r="A2842" s="155" t="str">
        <f>"320402 3"</f>
        <v>320402 3</v>
      </c>
      <c r="B2842" s="153" t="s">
        <v>41</v>
      </c>
      <c r="C2842" s="156" t="str">
        <f>IF(OR($A2842="",ISERROR(VALUE(LEFT($A2842,6)))),"",IF(LEN($A2842)=2,"WOJ. ",IF(LEN($A2842)=4,IF(VALUE(RIGHT($A2842,2))&gt;60,"","Powiat "),IF(VALUE(RIGHT($A2842,1))=1,"m. ",IF(VALUE(RIGHT($A2842,1))=2,"gm. w. ",IF(VALUE(RIGHT($A2842,1))=8,"dz. ","gm. m.-w. ")))))&amp;IF(LEN($A2842)=2,TRIM(UPPER(VLOOKUP($A2842,GUS_tabl_1!$A$7:$B$22,2,FALSE))),IF(ISERROR(FIND("..",TRIM(VLOOKUP(IF(AND(LEN($A2842)=4,VALUE(RIGHT($A2842,2))&gt;60),$A2842&amp;"01 1",$A2842),IF(AND(LEN($A2842)=4,VALUE(RIGHT($A2842,2))&lt;60),GUS_tabl_2!$A$8:$B$464,GUS_tabl_21!$A$5:$B$4886),2,FALSE)))),TRIM(VLOOKUP(IF(AND(LEN($A2842)=4,VALUE(RIGHT($A2842,2))&gt;60),$A2842&amp;"01 1",$A2842),IF(AND(LEN($A2842)=4,VALUE(RIGHT($A2842,2))&lt;60),GUS_tabl_2!$A$8:$B$464,GUS_tabl_21!$A$5:$B$4886),2,FALSE)),LEFT(TRIM(VLOOKUP(IF(AND(LEN($A2842)=4,VALUE(RIGHT($A2842,2))&gt;60),$A2842&amp;"01 1",$A2842),IF(AND(LEN($A2842)=4,VALUE(RIGHT($A2842,2))&lt;60),GUS_tabl_2!$A$8:$B$464,GUS_tabl_21!$A$5:$B$4886),2,FALSE)),SUM(FIND("..",TRIM(VLOOKUP(IF(AND(LEN($A2842)=4,VALUE(RIGHT($A2842,2))&gt;60),$A2842&amp;"01 1",$A2842),IF(AND(LEN($A2842)=4,VALUE(RIGHT($A2842,2))&lt;60),GUS_tabl_2!$A$8:$B$464,GUS_tabl_21!$A$5:$B$4886),2,FALSE))),-1)))))</f>
        <v>gm. m.-w. Goleniów</v>
      </c>
      <c r="D2842" s="141">
        <f>IF(OR($A2842="",ISERROR(VALUE(LEFT($A2842,6)))),"",IF(LEN($A2842)=2,SUMIF($A2843:$A$2965,$A2842&amp;"??",$D2843:$D$2965),IF(AND(LEN($A2842)=4,VALUE(RIGHT($A2842,2))&lt;=60),SUMIF($A2843:$A$2965,$A2842&amp;"????",$D2843:$D$2965),VLOOKUP(IF(LEN($A2842)=4,$A2842&amp;"01 1",$A2842),GUS_tabl_21!$A$5:$F$4886,6,FALSE))))</f>
        <v>36088</v>
      </c>
      <c r="E2842" s="29"/>
    </row>
    <row r="2843" spans="1:5" ht="12" customHeight="1">
      <c r="A2843" s="155" t="str">
        <f>"320403 3"</f>
        <v>320403 3</v>
      </c>
      <c r="B2843" s="153" t="s">
        <v>41</v>
      </c>
      <c r="C2843" s="156" t="str">
        <f>IF(OR($A2843="",ISERROR(VALUE(LEFT($A2843,6)))),"",IF(LEN($A2843)=2,"WOJ. ",IF(LEN($A2843)=4,IF(VALUE(RIGHT($A2843,2))&gt;60,"","Powiat "),IF(VALUE(RIGHT($A2843,1))=1,"m. ",IF(VALUE(RIGHT($A2843,1))=2,"gm. w. ",IF(VALUE(RIGHT($A2843,1))=8,"dz. ","gm. m.-w. ")))))&amp;IF(LEN($A2843)=2,TRIM(UPPER(VLOOKUP($A2843,GUS_tabl_1!$A$7:$B$22,2,FALSE))),IF(ISERROR(FIND("..",TRIM(VLOOKUP(IF(AND(LEN($A2843)=4,VALUE(RIGHT($A2843,2))&gt;60),$A2843&amp;"01 1",$A2843),IF(AND(LEN($A2843)=4,VALUE(RIGHT($A2843,2))&lt;60),GUS_tabl_2!$A$8:$B$464,GUS_tabl_21!$A$5:$B$4886),2,FALSE)))),TRIM(VLOOKUP(IF(AND(LEN($A2843)=4,VALUE(RIGHT($A2843,2))&gt;60),$A2843&amp;"01 1",$A2843),IF(AND(LEN($A2843)=4,VALUE(RIGHT($A2843,2))&lt;60),GUS_tabl_2!$A$8:$B$464,GUS_tabl_21!$A$5:$B$4886),2,FALSE)),LEFT(TRIM(VLOOKUP(IF(AND(LEN($A2843)=4,VALUE(RIGHT($A2843,2))&gt;60),$A2843&amp;"01 1",$A2843),IF(AND(LEN($A2843)=4,VALUE(RIGHT($A2843,2))&lt;60),GUS_tabl_2!$A$8:$B$464,GUS_tabl_21!$A$5:$B$4886),2,FALSE)),SUM(FIND("..",TRIM(VLOOKUP(IF(AND(LEN($A2843)=4,VALUE(RIGHT($A2843,2))&gt;60),$A2843&amp;"01 1",$A2843),IF(AND(LEN($A2843)=4,VALUE(RIGHT($A2843,2))&lt;60),GUS_tabl_2!$A$8:$B$464,GUS_tabl_21!$A$5:$B$4886),2,FALSE))),-1)))))</f>
        <v>gm. m.-w. Maszewo</v>
      </c>
      <c r="D2843" s="141">
        <f>IF(OR($A2843="",ISERROR(VALUE(LEFT($A2843,6)))),"",IF(LEN($A2843)=2,SUMIF($A2844:$A$2965,$A2843&amp;"??",$D2844:$D$2965),IF(AND(LEN($A2843)=4,VALUE(RIGHT($A2843,2))&lt;=60),SUMIF($A2844:$A$2965,$A2843&amp;"????",$D2844:$D$2965),VLOOKUP(IF(LEN($A2843)=4,$A2843&amp;"01 1",$A2843),GUS_tabl_21!$A$5:$F$4886,6,FALSE))))</f>
        <v>8777</v>
      </c>
      <c r="E2843" s="29"/>
    </row>
    <row r="2844" spans="1:5" ht="12" customHeight="1">
      <c r="A2844" s="155" t="str">
        <f>"320404 3"</f>
        <v>320404 3</v>
      </c>
      <c r="B2844" s="153" t="s">
        <v>41</v>
      </c>
      <c r="C2844" s="156" t="str">
        <f>IF(OR($A2844="",ISERROR(VALUE(LEFT($A2844,6)))),"",IF(LEN($A2844)=2,"WOJ. ",IF(LEN($A2844)=4,IF(VALUE(RIGHT($A2844,2))&gt;60,"","Powiat "),IF(VALUE(RIGHT($A2844,1))=1,"m. ",IF(VALUE(RIGHT($A2844,1))=2,"gm. w. ",IF(VALUE(RIGHT($A2844,1))=8,"dz. ","gm. m.-w. ")))))&amp;IF(LEN($A2844)=2,TRIM(UPPER(VLOOKUP($A2844,GUS_tabl_1!$A$7:$B$22,2,FALSE))),IF(ISERROR(FIND("..",TRIM(VLOOKUP(IF(AND(LEN($A2844)=4,VALUE(RIGHT($A2844,2))&gt;60),$A2844&amp;"01 1",$A2844),IF(AND(LEN($A2844)=4,VALUE(RIGHT($A2844,2))&lt;60),GUS_tabl_2!$A$8:$B$464,GUS_tabl_21!$A$5:$B$4886),2,FALSE)))),TRIM(VLOOKUP(IF(AND(LEN($A2844)=4,VALUE(RIGHT($A2844,2))&gt;60),$A2844&amp;"01 1",$A2844),IF(AND(LEN($A2844)=4,VALUE(RIGHT($A2844,2))&lt;60),GUS_tabl_2!$A$8:$B$464,GUS_tabl_21!$A$5:$B$4886),2,FALSE)),LEFT(TRIM(VLOOKUP(IF(AND(LEN($A2844)=4,VALUE(RIGHT($A2844,2))&gt;60),$A2844&amp;"01 1",$A2844),IF(AND(LEN($A2844)=4,VALUE(RIGHT($A2844,2))&lt;60),GUS_tabl_2!$A$8:$B$464,GUS_tabl_21!$A$5:$B$4886),2,FALSE)),SUM(FIND("..",TRIM(VLOOKUP(IF(AND(LEN($A2844)=4,VALUE(RIGHT($A2844,2))&gt;60),$A2844&amp;"01 1",$A2844),IF(AND(LEN($A2844)=4,VALUE(RIGHT($A2844,2))&lt;60),GUS_tabl_2!$A$8:$B$464,GUS_tabl_21!$A$5:$B$4886),2,FALSE))),-1)))))</f>
        <v>gm. m.-w. Nowogard</v>
      </c>
      <c r="D2844" s="141">
        <f>IF(OR($A2844="",ISERROR(VALUE(LEFT($A2844,6)))),"",IF(LEN($A2844)=2,SUMIF($A2845:$A$2965,$A2844&amp;"??",$D2845:$D$2965),IF(AND(LEN($A2844)=4,VALUE(RIGHT($A2844,2))&lt;=60),SUMIF($A2845:$A$2965,$A2844&amp;"????",$D2845:$D$2965),VLOOKUP(IF(LEN($A2844)=4,$A2844&amp;"01 1",$A2844),GUS_tabl_21!$A$5:$F$4886,6,FALSE))))</f>
        <v>24634</v>
      </c>
      <c r="E2844" s="29"/>
    </row>
    <row r="2845" spans="1:5" ht="12" customHeight="1">
      <c r="A2845" s="155" t="str">
        <f>"320405 2"</f>
        <v>320405 2</v>
      </c>
      <c r="B2845" s="153" t="s">
        <v>41</v>
      </c>
      <c r="C2845" s="156" t="str">
        <f>IF(OR($A2845="",ISERROR(VALUE(LEFT($A2845,6)))),"",IF(LEN($A2845)=2,"WOJ. ",IF(LEN($A2845)=4,IF(VALUE(RIGHT($A2845,2))&gt;60,"","Powiat "),IF(VALUE(RIGHT($A2845,1))=1,"m. ",IF(VALUE(RIGHT($A2845,1))=2,"gm. w. ",IF(VALUE(RIGHT($A2845,1))=8,"dz. ","gm. m.-w. ")))))&amp;IF(LEN($A2845)=2,TRIM(UPPER(VLOOKUP($A2845,GUS_tabl_1!$A$7:$B$22,2,FALSE))),IF(ISERROR(FIND("..",TRIM(VLOOKUP(IF(AND(LEN($A2845)=4,VALUE(RIGHT($A2845,2))&gt;60),$A2845&amp;"01 1",$A2845),IF(AND(LEN($A2845)=4,VALUE(RIGHT($A2845,2))&lt;60),GUS_tabl_2!$A$8:$B$464,GUS_tabl_21!$A$5:$B$4886),2,FALSE)))),TRIM(VLOOKUP(IF(AND(LEN($A2845)=4,VALUE(RIGHT($A2845,2))&gt;60),$A2845&amp;"01 1",$A2845),IF(AND(LEN($A2845)=4,VALUE(RIGHT($A2845,2))&lt;60),GUS_tabl_2!$A$8:$B$464,GUS_tabl_21!$A$5:$B$4886),2,FALSE)),LEFT(TRIM(VLOOKUP(IF(AND(LEN($A2845)=4,VALUE(RIGHT($A2845,2))&gt;60),$A2845&amp;"01 1",$A2845),IF(AND(LEN($A2845)=4,VALUE(RIGHT($A2845,2))&lt;60),GUS_tabl_2!$A$8:$B$464,GUS_tabl_21!$A$5:$B$4886),2,FALSE)),SUM(FIND("..",TRIM(VLOOKUP(IF(AND(LEN($A2845)=4,VALUE(RIGHT($A2845,2))&gt;60),$A2845&amp;"01 1",$A2845),IF(AND(LEN($A2845)=4,VALUE(RIGHT($A2845,2))&lt;60),GUS_tabl_2!$A$8:$B$464,GUS_tabl_21!$A$5:$B$4886),2,FALSE))),-1)))))</f>
        <v>gm. w. Osina</v>
      </c>
      <c r="D2845" s="141">
        <f>IF(OR($A2845="",ISERROR(VALUE(LEFT($A2845,6)))),"",IF(LEN($A2845)=2,SUMIF($A2846:$A$2965,$A2845&amp;"??",$D2846:$D$2965),IF(AND(LEN($A2845)=4,VALUE(RIGHT($A2845,2))&lt;=60),SUMIF($A2846:$A$2965,$A2845&amp;"????",$D2846:$D$2965),VLOOKUP(IF(LEN($A2845)=4,$A2845&amp;"01 1",$A2845),GUS_tabl_21!$A$5:$F$4886,6,FALSE))))</f>
        <v>3034</v>
      </c>
      <c r="E2845" s="29"/>
    </row>
    <row r="2846" spans="1:5" ht="12" customHeight="1">
      <c r="A2846" s="155" t="str">
        <f>"320406 2"</f>
        <v>320406 2</v>
      </c>
      <c r="B2846" s="153" t="s">
        <v>41</v>
      </c>
      <c r="C2846" s="156" t="str">
        <f>IF(OR($A2846="",ISERROR(VALUE(LEFT($A2846,6)))),"",IF(LEN($A2846)=2,"WOJ. ",IF(LEN($A2846)=4,IF(VALUE(RIGHT($A2846,2))&gt;60,"","Powiat "),IF(VALUE(RIGHT($A2846,1))=1,"m. ",IF(VALUE(RIGHT($A2846,1))=2,"gm. w. ",IF(VALUE(RIGHT($A2846,1))=8,"dz. ","gm. m.-w. ")))))&amp;IF(LEN($A2846)=2,TRIM(UPPER(VLOOKUP($A2846,GUS_tabl_1!$A$7:$B$22,2,FALSE))),IF(ISERROR(FIND("..",TRIM(VLOOKUP(IF(AND(LEN($A2846)=4,VALUE(RIGHT($A2846,2))&gt;60),$A2846&amp;"01 1",$A2846),IF(AND(LEN($A2846)=4,VALUE(RIGHT($A2846,2))&lt;60),GUS_tabl_2!$A$8:$B$464,GUS_tabl_21!$A$5:$B$4886),2,FALSE)))),TRIM(VLOOKUP(IF(AND(LEN($A2846)=4,VALUE(RIGHT($A2846,2))&gt;60),$A2846&amp;"01 1",$A2846),IF(AND(LEN($A2846)=4,VALUE(RIGHT($A2846,2))&lt;60),GUS_tabl_2!$A$8:$B$464,GUS_tabl_21!$A$5:$B$4886),2,FALSE)),LEFT(TRIM(VLOOKUP(IF(AND(LEN($A2846)=4,VALUE(RIGHT($A2846,2))&gt;60),$A2846&amp;"01 1",$A2846),IF(AND(LEN($A2846)=4,VALUE(RIGHT($A2846,2))&lt;60),GUS_tabl_2!$A$8:$B$464,GUS_tabl_21!$A$5:$B$4886),2,FALSE)),SUM(FIND("..",TRIM(VLOOKUP(IF(AND(LEN($A2846)=4,VALUE(RIGHT($A2846,2))&gt;60),$A2846&amp;"01 1",$A2846),IF(AND(LEN($A2846)=4,VALUE(RIGHT($A2846,2))&lt;60),GUS_tabl_2!$A$8:$B$464,GUS_tabl_21!$A$5:$B$4886),2,FALSE))),-1)))))</f>
        <v>gm. w. Przybiernów</v>
      </c>
      <c r="D2846" s="141">
        <f>IF(OR($A2846="",ISERROR(VALUE(LEFT($A2846,6)))),"",IF(LEN($A2846)=2,SUMIF($A2847:$A$2965,$A2846&amp;"??",$D2847:$D$2965),IF(AND(LEN($A2846)=4,VALUE(RIGHT($A2846,2))&lt;=60),SUMIF($A2847:$A$2965,$A2846&amp;"????",$D2847:$D$2965),VLOOKUP(IF(LEN($A2846)=4,$A2846&amp;"01 1",$A2846),GUS_tabl_21!$A$5:$F$4886,6,FALSE))))</f>
        <v>5005</v>
      </c>
      <c r="E2846" s="29"/>
    </row>
    <row r="2847" spans="1:5" ht="12" customHeight="1">
      <c r="A2847" s="155" t="str">
        <f>"320407 3"</f>
        <v>320407 3</v>
      </c>
      <c r="B2847" s="153" t="s">
        <v>41</v>
      </c>
      <c r="C2847" s="159" t="str">
        <f>IF(OR($A2847="",ISERROR(VALUE(LEFT($A2847,6)))),"",IF(LEN($A2847)=2,"WOJ. ",IF(LEN($A2847)=4,IF(VALUE(RIGHT($A2847,2))&gt;60,"","Powiat "),IF(VALUE(RIGHT($A2847,1))=1,"m. ",IF(VALUE(RIGHT($A2847,1))=2,"gm. w. ",IF(VALUE(RIGHT($A2847,1))=8,"dz. ","gm. m.-w. ")))))&amp;IF(LEN($A2847)=2,TRIM(UPPER(VLOOKUP($A2847,GUS_tabl_1!$A$7:$B$22,2,FALSE))),IF(ISERROR(FIND("..",TRIM(VLOOKUP(IF(AND(LEN($A2847)=4,VALUE(RIGHT($A2847,2))&gt;60),$A2847&amp;"01 1",$A2847),IF(AND(LEN($A2847)=4,VALUE(RIGHT($A2847,2))&lt;60),GUS_tabl_2!$A$8:$B$464,GUS_tabl_21!$A$5:$B$4886),2,FALSE)))),TRIM(VLOOKUP(IF(AND(LEN($A2847)=4,VALUE(RIGHT($A2847,2))&gt;60),$A2847&amp;"01 1",$A2847),IF(AND(LEN($A2847)=4,VALUE(RIGHT($A2847,2))&lt;60),GUS_tabl_2!$A$8:$B$464,GUS_tabl_21!$A$5:$B$4886),2,FALSE)),LEFT(TRIM(VLOOKUP(IF(AND(LEN($A2847)=4,VALUE(RIGHT($A2847,2))&gt;60),$A2847&amp;"01 1",$A2847),IF(AND(LEN($A2847)=4,VALUE(RIGHT($A2847,2))&lt;60),GUS_tabl_2!$A$8:$B$464,GUS_tabl_21!$A$5:$B$4886),2,FALSE)),SUM(FIND("..",TRIM(VLOOKUP(IF(AND(LEN($A2847)=4,VALUE(RIGHT($A2847,2))&gt;60),$A2847&amp;"01 1",$A2847),IF(AND(LEN($A2847)=4,VALUE(RIGHT($A2847,2))&lt;60),GUS_tabl_2!$A$8:$B$464,GUS_tabl_21!$A$5:$B$4886),2,FALSE))),-1)))))</f>
        <v>gm. m.-w. Stepnica</v>
      </c>
      <c r="D2847" s="141">
        <f>IF(OR($A2847="",ISERROR(VALUE(LEFT($A2847,6)))),"",IF(LEN($A2847)=2,SUMIF($A2848:$A$2965,$A2847&amp;"??",$D2848:$D$2965),IF(AND(LEN($A2847)=4,VALUE(RIGHT($A2847,2))&lt;=60),SUMIF($A2848:$A$2965,$A2847&amp;"????",$D2848:$D$2965),VLOOKUP(IF(LEN($A2847)=4,$A2847&amp;"01 1",$A2847),GUS_tabl_21!$A$5:$F$4886,6,FALSE))))</f>
        <v>4883</v>
      </c>
      <c r="E2847" s="29"/>
    </row>
    <row r="2848" spans="1:5" ht="12" customHeight="1">
      <c r="A2848" s="152" t="str">
        <f>"3205"</f>
        <v>3205</v>
      </c>
      <c r="B2848" s="153" t="s">
        <v>41</v>
      </c>
      <c r="C2848" s="154" t="str">
        <f>IF(OR($A2848="",ISERROR(VALUE(LEFT($A2848,6)))),"",IF(LEN($A2848)=2,"WOJ. ",IF(LEN($A2848)=4,IF(VALUE(RIGHT($A2848,2))&gt;60,"","Powiat "),IF(VALUE(RIGHT($A2848,1))=1,"m. ",IF(VALUE(RIGHT($A2848,1))=2,"gm. w. ",IF(VALUE(RIGHT($A2848,1))=8,"dz. ","gm. m.-w. ")))))&amp;IF(LEN($A2848)=2,TRIM(UPPER(VLOOKUP($A2848,GUS_tabl_1!$A$7:$B$22,2,FALSE))),IF(ISERROR(FIND("..",TRIM(VLOOKUP(IF(AND(LEN($A2848)=4,VALUE(RIGHT($A2848,2))&gt;60),$A2848&amp;"01 1",$A2848),IF(AND(LEN($A2848)=4,VALUE(RIGHT($A2848,2))&lt;60),GUS_tabl_2!$A$8:$B$464,GUS_tabl_21!$A$5:$B$4886),2,FALSE)))),TRIM(VLOOKUP(IF(AND(LEN($A2848)=4,VALUE(RIGHT($A2848,2))&gt;60),$A2848&amp;"01 1",$A2848),IF(AND(LEN($A2848)=4,VALUE(RIGHT($A2848,2))&lt;60),GUS_tabl_2!$A$8:$B$464,GUS_tabl_21!$A$5:$B$4886),2,FALSE)),LEFT(TRIM(VLOOKUP(IF(AND(LEN($A2848)=4,VALUE(RIGHT($A2848,2))&gt;60),$A2848&amp;"01 1",$A2848),IF(AND(LEN($A2848)=4,VALUE(RIGHT($A2848,2))&lt;60),GUS_tabl_2!$A$8:$B$464,GUS_tabl_21!$A$5:$B$4886),2,FALSE)),SUM(FIND("..",TRIM(VLOOKUP(IF(AND(LEN($A2848)=4,VALUE(RIGHT($A2848,2))&gt;60),$A2848&amp;"01 1",$A2848),IF(AND(LEN($A2848)=4,VALUE(RIGHT($A2848,2))&lt;60),GUS_tabl_2!$A$8:$B$464,GUS_tabl_21!$A$5:$B$4886),2,FALSE))),-1)))))</f>
        <v>Powiat gryficki</v>
      </c>
      <c r="D2848" s="140">
        <f>IF(OR($A2848="",ISERROR(VALUE(LEFT($A2848,6)))),"",IF(LEN($A2848)=2,SUMIF($A2849:$A$2965,$A2848&amp;"??",$D2849:$D$2965),IF(AND(LEN($A2848)=4,VALUE(RIGHT($A2848,2))&lt;=60),SUMIF($A2849:$A$2965,$A2848&amp;"????",$D2849:$D$2965),VLOOKUP(IF(LEN($A2848)=4,$A2848&amp;"01 1",$A2848),GUS_tabl_21!$A$5:$F$4886,6,FALSE))))</f>
        <v>60277</v>
      </c>
      <c r="E2848" s="29"/>
    </row>
    <row r="2849" spans="1:5" ht="12" customHeight="1">
      <c r="A2849" s="155" t="str">
        <f>"320501 2"</f>
        <v>320501 2</v>
      </c>
      <c r="B2849" s="153" t="s">
        <v>41</v>
      </c>
      <c r="C2849" s="156" t="str">
        <f>IF(OR($A2849="",ISERROR(VALUE(LEFT($A2849,6)))),"",IF(LEN($A2849)=2,"WOJ. ",IF(LEN($A2849)=4,IF(VALUE(RIGHT($A2849,2))&gt;60,"","Powiat "),IF(VALUE(RIGHT($A2849,1))=1,"m. ",IF(VALUE(RIGHT($A2849,1))=2,"gm. w. ",IF(VALUE(RIGHT($A2849,1))=8,"dz. ","gm. m.-w. ")))))&amp;IF(LEN($A2849)=2,TRIM(UPPER(VLOOKUP($A2849,GUS_tabl_1!$A$7:$B$22,2,FALSE))),IF(ISERROR(FIND("..",TRIM(VLOOKUP(IF(AND(LEN($A2849)=4,VALUE(RIGHT($A2849,2))&gt;60),$A2849&amp;"01 1",$A2849),IF(AND(LEN($A2849)=4,VALUE(RIGHT($A2849,2))&lt;60),GUS_tabl_2!$A$8:$B$464,GUS_tabl_21!$A$5:$B$4886),2,FALSE)))),TRIM(VLOOKUP(IF(AND(LEN($A2849)=4,VALUE(RIGHT($A2849,2))&gt;60),$A2849&amp;"01 1",$A2849),IF(AND(LEN($A2849)=4,VALUE(RIGHT($A2849,2))&lt;60),GUS_tabl_2!$A$8:$B$464,GUS_tabl_21!$A$5:$B$4886),2,FALSE)),LEFT(TRIM(VLOOKUP(IF(AND(LEN($A2849)=4,VALUE(RIGHT($A2849,2))&gt;60),$A2849&amp;"01 1",$A2849),IF(AND(LEN($A2849)=4,VALUE(RIGHT($A2849,2))&lt;60),GUS_tabl_2!$A$8:$B$464,GUS_tabl_21!$A$5:$B$4886),2,FALSE)),SUM(FIND("..",TRIM(VLOOKUP(IF(AND(LEN($A2849)=4,VALUE(RIGHT($A2849,2))&gt;60),$A2849&amp;"01 1",$A2849),IF(AND(LEN($A2849)=4,VALUE(RIGHT($A2849,2))&lt;60),GUS_tabl_2!$A$8:$B$464,GUS_tabl_21!$A$5:$B$4886),2,FALSE))),-1)))))</f>
        <v>gm. w. Brojce</v>
      </c>
      <c r="D2849" s="141">
        <f>IF(OR($A2849="",ISERROR(VALUE(LEFT($A2849,6)))),"",IF(LEN($A2849)=2,SUMIF($A2850:$A$2965,$A2849&amp;"??",$D2850:$D$2965),IF(AND(LEN($A2849)=4,VALUE(RIGHT($A2849,2))&lt;=60),SUMIF($A2850:$A$2965,$A2849&amp;"????",$D2850:$D$2965),VLOOKUP(IF(LEN($A2849)=4,$A2849&amp;"01 1",$A2849),GUS_tabl_21!$A$5:$F$4886,6,FALSE))))</f>
        <v>3743</v>
      </c>
      <c r="E2849" s="29"/>
    </row>
    <row r="2850" spans="1:5" ht="12" customHeight="1">
      <c r="A2850" s="155" t="str">
        <f>"320502 3"</f>
        <v>320502 3</v>
      </c>
      <c r="B2850" s="153" t="s">
        <v>41</v>
      </c>
      <c r="C2850" s="156" t="str">
        <f>IF(OR($A2850="",ISERROR(VALUE(LEFT($A2850,6)))),"",IF(LEN($A2850)=2,"WOJ. ",IF(LEN($A2850)=4,IF(VALUE(RIGHT($A2850,2))&gt;60,"","Powiat "),IF(VALUE(RIGHT($A2850,1))=1,"m. ",IF(VALUE(RIGHT($A2850,1))=2,"gm. w. ",IF(VALUE(RIGHT($A2850,1))=8,"dz. ","gm. m.-w. ")))))&amp;IF(LEN($A2850)=2,TRIM(UPPER(VLOOKUP($A2850,GUS_tabl_1!$A$7:$B$22,2,FALSE))),IF(ISERROR(FIND("..",TRIM(VLOOKUP(IF(AND(LEN($A2850)=4,VALUE(RIGHT($A2850,2))&gt;60),$A2850&amp;"01 1",$A2850),IF(AND(LEN($A2850)=4,VALUE(RIGHT($A2850,2))&lt;60),GUS_tabl_2!$A$8:$B$464,GUS_tabl_21!$A$5:$B$4886),2,FALSE)))),TRIM(VLOOKUP(IF(AND(LEN($A2850)=4,VALUE(RIGHT($A2850,2))&gt;60),$A2850&amp;"01 1",$A2850),IF(AND(LEN($A2850)=4,VALUE(RIGHT($A2850,2))&lt;60),GUS_tabl_2!$A$8:$B$464,GUS_tabl_21!$A$5:$B$4886),2,FALSE)),LEFT(TRIM(VLOOKUP(IF(AND(LEN($A2850)=4,VALUE(RIGHT($A2850,2))&gt;60),$A2850&amp;"01 1",$A2850),IF(AND(LEN($A2850)=4,VALUE(RIGHT($A2850,2))&lt;60),GUS_tabl_2!$A$8:$B$464,GUS_tabl_21!$A$5:$B$4886),2,FALSE)),SUM(FIND("..",TRIM(VLOOKUP(IF(AND(LEN($A2850)=4,VALUE(RIGHT($A2850,2))&gt;60),$A2850&amp;"01 1",$A2850),IF(AND(LEN($A2850)=4,VALUE(RIGHT($A2850,2))&lt;60),GUS_tabl_2!$A$8:$B$464,GUS_tabl_21!$A$5:$B$4886),2,FALSE))),-1)))))</f>
        <v>gm. m.-w. Gryfice</v>
      </c>
      <c r="D2850" s="141">
        <f>IF(OR($A2850="",ISERROR(VALUE(LEFT($A2850,6)))),"",IF(LEN($A2850)=2,SUMIF($A2851:$A$2965,$A2850&amp;"??",$D2851:$D$2965),IF(AND(LEN($A2850)=4,VALUE(RIGHT($A2850,2))&lt;=60),SUMIF($A2851:$A$2965,$A2850&amp;"????",$D2851:$D$2965),VLOOKUP(IF(LEN($A2850)=4,$A2850&amp;"01 1",$A2850),GUS_tabl_21!$A$5:$F$4886,6,FALSE))))</f>
        <v>23757</v>
      </c>
      <c r="E2850" s="29"/>
    </row>
    <row r="2851" spans="1:5" ht="12" customHeight="1">
      <c r="A2851" s="155" t="str">
        <f>"320503 2"</f>
        <v>320503 2</v>
      </c>
      <c r="B2851" s="153" t="s">
        <v>41</v>
      </c>
      <c r="C2851" s="156" t="str">
        <f>IF(OR($A2851="",ISERROR(VALUE(LEFT($A2851,6)))),"",IF(LEN($A2851)=2,"WOJ. ",IF(LEN($A2851)=4,IF(VALUE(RIGHT($A2851,2))&gt;60,"","Powiat "),IF(VALUE(RIGHT($A2851,1))=1,"m. ",IF(VALUE(RIGHT($A2851,1))=2,"gm. w. ",IF(VALUE(RIGHT($A2851,1))=8,"dz. ","gm. m.-w. ")))))&amp;IF(LEN($A2851)=2,TRIM(UPPER(VLOOKUP($A2851,GUS_tabl_1!$A$7:$B$22,2,FALSE))),IF(ISERROR(FIND("..",TRIM(VLOOKUP(IF(AND(LEN($A2851)=4,VALUE(RIGHT($A2851,2))&gt;60),$A2851&amp;"01 1",$A2851),IF(AND(LEN($A2851)=4,VALUE(RIGHT($A2851,2))&lt;60),GUS_tabl_2!$A$8:$B$464,GUS_tabl_21!$A$5:$B$4886),2,FALSE)))),TRIM(VLOOKUP(IF(AND(LEN($A2851)=4,VALUE(RIGHT($A2851,2))&gt;60),$A2851&amp;"01 1",$A2851),IF(AND(LEN($A2851)=4,VALUE(RIGHT($A2851,2))&lt;60),GUS_tabl_2!$A$8:$B$464,GUS_tabl_21!$A$5:$B$4886),2,FALSE)),LEFT(TRIM(VLOOKUP(IF(AND(LEN($A2851)=4,VALUE(RIGHT($A2851,2))&gt;60),$A2851&amp;"01 1",$A2851),IF(AND(LEN($A2851)=4,VALUE(RIGHT($A2851,2))&lt;60),GUS_tabl_2!$A$8:$B$464,GUS_tabl_21!$A$5:$B$4886),2,FALSE)),SUM(FIND("..",TRIM(VLOOKUP(IF(AND(LEN($A2851)=4,VALUE(RIGHT($A2851,2))&gt;60),$A2851&amp;"01 1",$A2851),IF(AND(LEN($A2851)=4,VALUE(RIGHT($A2851,2))&lt;60),GUS_tabl_2!$A$8:$B$464,GUS_tabl_21!$A$5:$B$4886),2,FALSE))),-1)))))</f>
        <v>gm. w. Karnice</v>
      </c>
      <c r="D2851" s="141">
        <f>IF(OR($A2851="",ISERROR(VALUE(LEFT($A2851,6)))),"",IF(LEN($A2851)=2,SUMIF($A2852:$A$2965,$A2851&amp;"??",$D2852:$D$2965),IF(AND(LEN($A2851)=4,VALUE(RIGHT($A2851,2))&lt;=60),SUMIF($A2852:$A$2965,$A2851&amp;"????",$D2852:$D$2965),VLOOKUP(IF(LEN($A2851)=4,$A2851&amp;"01 1",$A2851),GUS_tabl_21!$A$5:$F$4886,6,FALSE))))</f>
        <v>3977</v>
      </c>
      <c r="E2851" s="29"/>
    </row>
    <row r="2852" spans="1:5" ht="12" customHeight="1">
      <c r="A2852" s="155" t="str">
        <f>"320504 3"</f>
        <v>320504 3</v>
      </c>
      <c r="B2852" s="153" t="s">
        <v>41</v>
      </c>
      <c r="C2852" s="156" t="str">
        <f>IF(OR($A2852="",ISERROR(VALUE(LEFT($A2852,6)))),"",IF(LEN($A2852)=2,"WOJ. ",IF(LEN($A2852)=4,IF(VALUE(RIGHT($A2852,2))&gt;60,"","Powiat "),IF(VALUE(RIGHT($A2852,1))=1,"m. ",IF(VALUE(RIGHT($A2852,1))=2,"gm. w. ",IF(VALUE(RIGHT($A2852,1))=8,"dz. ","gm. m.-w. ")))))&amp;IF(LEN($A2852)=2,TRIM(UPPER(VLOOKUP($A2852,GUS_tabl_1!$A$7:$B$22,2,FALSE))),IF(ISERROR(FIND("..",TRIM(VLOOKUP(IF(AND(LEN($A2852)=4,VALUE(RIGHT($A2852,2))&gt;60),$A2852&amp;"01 1",$A2852),IF(AND(LEN($A2852)=4,VALUE(RIGHT($A2852,2))&lt;60),GUS_tabl_2!$A$8:$B$464,GUS_tabl_21!$A$5:$B$4886),2,FALSE)))),TRIM(VLOOKUP(IF(AND(LEN($A2852)=4,VALUE(RIGHT($A2852,2))&gt;60),$A2852&amp;"01 1",$A2852),IF(AND(LEN($A2852)=4,VALUE(RIGHT($A2852,2))&lt;60),GUS_tabl_2!$A$8:$B$464,GUS_tabl_21!$A$5:$B$4886),2,FALSE)),LEFT(TRIM(VLOOKUP(IF(AND(LEN($A2852)=4,VALUE(RIGHT($A2852,2))&gt;60),$A2852&amp;"01 1",$A2852),IF(AND(LEN($A2852)=4,VALUE(RIGHT($A2852,2))&lt;60),GUS_tabl_2!$A$8:$B$464,GUS_tabl_21!$A$5:$B$4886),2,FALSE)),SUM(FIND("..",TRIM(VLOOKUP(IF(AND(LEN($A2852)=4,VALUE(RIGHT($A2852,2))&gt;60),$A2852&amp;"01 1",$A2852),IF(AND(LEN($A2852)=4,VALUE(RIGHT($A2852,2))&lt;60),GUS_tabl_2!$A$8:$B$464,GUS_tabl_21!$A$5:$B$4886),2,FALSE))),-1)))))</f>
        <v>gm. m.-w. Płoty</v>
      </c>
      <c r="D2852" s="141">
        <f>IF(OR($A2852="",ISERROR(VALUE(LEFT($A2852,6)))),"",IF(LEN($A2852)=2,SUMIF($A2853:$A$2965,$A2852&amp;"??",$D2853:$D$2965),IF(AND(LEN($A2852)=4,VALUE(RIGHT($A2852,2))&lt;=60),SUMIF($A2853:$A$2965,$A2852&amp;"????",$D2853:$D$2965),VLOOKUP(IF(LEN($A2852)=4,$A2852&amp;"01 1",$A2852),GUS_tabl_21!$A$5:$F$4886,6,FALSE))))</f>
        <v>8801</v>
      </c>
      <c r="E2852" s="29"/>
    </row>
    <row r="2853" spans="1:5" ht="12" customHeight="1">
      <c r="A2853" s="155" t="str">
        <f>"320507 2"</f>
        <v>320507 2</v>
      </c>
      <c r="B2853" s="153" t="s">
        <v>41</v>
      </c>
      <c r="C2853" s="156" t="str">
        <f>IF(OR($A2853="",ISERROR(VALUE(LEFT($A2853,6)))),"",IF(LEN($A2853)=2,"WOJ. ",IF(LEN($A2853)=4,IF(VALUE(RIGHT($A2853,2))&gt;60,"","Powiat "),IF(VALUE(RIGHT($A2853,1))=1,"m. ",IF(VALUE(RIGHT($A2853,1))=2,"gm. w. ",IF(VALUE(RIGHT($A2853,1))=8,"dz. ","gm. m.-w. ")))))&amp;IF(LEN($A2853)=2,TRIM(UPPER(VLOOKUP($A2853,GUS_tabl_1!$A$7:$B$22,2,FALSE))),IF(ISERROR(FIND("..",TRIM(VLOOKUP(IF(AND(LEN($A2853)=4,VALUE(RIGHT($A2853,2))&gt;60),$A2853&amp;"01 1",$A2853),IF(AND(LEN($A2853)=4,VALUE(RIGHT($A2853,2))&lt;60),GUS_tabl_2!$A$8:$B$464,GUS_tabl_21!$A$5:$B$4886),2,FALSE)))),TRIM(VLOOKUP(IF(AND(LEN($A2853)=4,VALUE(RIGHT($A2853,2))&gt;60),$A2853&amp;"01 1",$A2853),IF(AND(LEN($A2853)=4,VALUE(RIGHT($A2853,2))&lt;60),GUS_tabl_2!$A$8:$B$464,GUS_tabl_21!$A$5:$B$4886),2,FALSE)),LEFT(TRIM(VLOOKUP(IF(AND(LEN($A2853)=4,VALUE(RIGHT($A2853,2))&gt;60),$A2853&amp;"01 1",$A2853),IF(AND(LEN($A2853)=4,VALUE(RIGHT($A2853,2))&lt;60),GUS_tabl_2!$A$8:$B$464,GUS_tabl_21!$A$5:$B$4886),2,FALSE)),SUM(FIND("..",TRIM(VLOOKUP(IF(AND(LEN($A2853)=4,VALUE(RIGHT($A2853,2))&gt;60),$A2853&amp;"01 1",$A2853),IF(AND(LEN($A2853)=4,VALUE(RIGHT($A2853,2))&lt;60),GUS_tabl_2!$A$8:$B$464,GUS_tabl_21!$A$5:$B$4886),2,FALSE))),-1)))))</f>
        <v>gm. w. Rewal</v>
      </c>
      <c r="D2853" s="141">
        <f>IF(OR($A2853="",ISERROR(VALUE(LEFT($A2853,6)))),"",IF(LEN($A2853)=2,SUMIF($A2854:$A$2965,$A2853&amp;"??",$D2854:$D$2965),IF(AND(LEN($A2853)=4,VALUE(RIGHT($A2853,2))&lt;=60),SUMIF($A2854:$A$2965,$A2853&amp;"????",$D2854:$D$2965),VLOOKUP(IF(LEN($A2853)=4,$A2853&amp;"01 1",$A2853),GUS_tabl_21!$A$5:$F$4886,6,FALSE))))</f>
        <v>3862</v>
      </c>
      <c r="E2853" s="29"/>
    </row>
    <row r="2854" spans="1:5" ht="12" customHeight="1">
      <c r="A2854" s="155" t="str">
        <f>"320508 3"</f>
        <v>320508 3</v>
      </c>
      <c r="B2854" s="153" t="s">
        <v>41</v>
      </c>
      <c r="C2854" s="156" t="str">
        <f>IF(OR($A2854="",ISERROR(VALUE(LEFT($A2854,6)))),"",IF(LEN($A2854)=2,"WOJ. ",IF(LEN($A2854)=4,IF(VALUE(RIGHT($A2854,2))&gt;60,"","Powiat "),IF(VALUE(RIGHT($A2854,1))=1,"m. ",IF(VALUE(RIGHT($A2854,1))=2,"gm. w. ",IF(VALUE(RIGHT($A2854,1))=8,"dz. ","gm. m.-w. ")))))&amp;IF(LEN($A2854)=2,TRIM(UPPER(VLOOKUP($A2854,GUS_tabl_1!$A$7:$B$22,2,FALSE))),IF(ISERROR(FIND("..",TRIM(VLOOKUP(IF(AND(LEN($A2854)=4,VALUE(RIGHT($A2854,2))&gt;60),$A2854&amp;"01 1",$A2854),IF(AND(LEN($A2854)=4,VALUE(RIGHT($A2854,2))&lt;60),GUS_tabl_2!$A$8:$B$464,GUS_tabl_21!$A$5:$B$4886),2,FALSE)))),TRIM(VLOOKUP(IF(AND(LEN($A2854)=4,VALUE(RIGHT($A2854,2))&gt;60),$A2854&amp;"01 1",$A2854),IF(AND(LEN($A2854)=4,VALUE(RIGHT($A2854,2))&lt;60),GUS_tabl_2!$A$8:$B$464,GUS_tabl_21!$A$5:$B$4886),2,FALSE)),LEFT(TRIM(VLOOKUP(IF(AND(LEN($A2854)=4,VALUE(RIGHT($A2854,2))&gt;60),$A2854&amp;"01 1",$A2854),IF(AND(LEN($A2854)=4,VALUE(RIGHT($A2854,2))&lt;60),GUS_tabl_2!$A$8:$B$464,GUS_tabl_21!$A$5:$B$4886),2,FALSE)),SUM(FIND("..",TRIM(VLOOKUP(IF(AND(LEN($A2854)=4,VALUE(RIGHT($A2854,2))&gt;60),$A2854&amp;"01 1",$A2854),IF(AND(LEN($A2854)=4,VALUE(RIGHT($A2854,2))&lt;60),GUS_tabl_2!$A$8:$B$464,GUS_tabl_21!$A$5:$B$4886),2,FALSE))),-1)))))</f>
        <v>gm. m.-w. Trzebiatów</v>
      </c>
      <c r="D2854" s="141">
        <f>IF(OR($A2854="",ISERROR(VALUE(LEFT($A2854,6)))),"",IF(LEN($A2854)=2,SUMIF($A2855:$A$2965,$A2854&amp;"??",$D2855:$D$2965),IF(AND(LEN($A2854)=4,VALUE(RIGHT($A2854,2))&lt;=60),SUMIF($A2855:$A$2965,$A2854&amp;"????",$D2855:$D$2965),VLOOKUP(IF(LEN($A2854)=4,$A2854&amp;"01 1",$A2854),GUS_tabl_21!$A$5:$F$4886,6,FALSE))))</f>
        <v>16137</v>
      </c>
      <c r="E2854" s="29"/>
    </row>
    <row r="2855" spans="1:5" ht="12" customHeight="1">
      <c r="A2855" s="152" t="str">
        <f>"3206"</f>
        <v>3206</v>
      </c>
      <c r="B2855" s="153" t="s">
        <v>41</v>
      </c>
      <c r="C2855" s="154" t="str">
        <f>IF(OR($A2855="",ISERROR(VALUE(LEFT($A2855,6)))),"",IF(LEN($A2855)=2,"WOJ. ",IF(LEN($A2855)=4,IF(VALUE(RIGHT($A2855,2))&gt;60,"","Powiat "),IF(VALUE(RIGHT($A2855,1))=1,"m. ",IF(VALUE(RIGHT($A2855,1))=2,"gm. w. ",IF(VALUE(RIGHT($A2855,1))=8,"dz. ","gm. m.-w. ")))))&amp;IF(LEN($A2855)=2,TRIM(UPPER(VLOOKUP($A2855,GUS_tabl_1!$A$7:$B$22,2,FALSE))),IF(ISERROR(FIND("..",TRIM(VLOOKUP(IF(AND(LEN($A2855)=4,VALUE(RIGHT($A2855,2))&gt;60),$A2855&amp;"01 1",$A2855),IF(AND(LEN($A2855)=4,VALUE(RIGHT($A2855,2))&lt;60),GUS_tabl_2!$A$8:$B$464,GUS_tabl_21!$A$5:$B$4886),2,FALSE)))),TRIM(VLOOKUP(IF(AND(LEN($A2855)=4,VALUE(RIGHT($A2855,2))&gt;60),$A2855&amp;"01 1",$A2855),IF(AND(LEN($A2855)=4,VALUE(RIGHT($A2855,2))&lt;60),GUS_tabl_2!$A$8:$B$464,GUS_tabl_21!$A$5:$B$4886),2,FALSE)),LEFT(TRIM(VLOOKUP(IF(AND(LEN($A2855)=4,VALUE(RIGHT($A2855,2))&gt;60),$A2855&amp;"01 1",$A2855),IF(AND(LEN($A2855)=4,VALUE(RIGHT($A2855,2))&lt;60),GUS_tabl_2!$A$8:$B$464,GUS_tabl_21!$A$5:$B$4886),2,FALSE)),SUM(FIND("..",TRIM(VLOOKUP(IF(AND(LEN($A2855)=4,VALUE(RIGHT($A2855,2))&gt;60),$A2855&amp;"01 1",$A2855),IF(AND(LEN($A2855)=4,VALUE(RIGHT($A2855,2))&lt;60),GUS_tabl_2!$A$8:$B$464,GUS_tabl_21!$A$5:$B$4886),2,FALSE))),-1)))))</f>
        <v>Powiat gryfiński</v>
      </c>
      <c r="D2855" s="140">
        <f>IF(OR($A2855="",ISERROR(VALUE(LEFT($A2855,6)))),"",IF(LEN($A2855)=2,SUMIF($A2856:$A$2965,$A2855&amp;"??",$D2856:$D$2965),IF(AND(LEN($A2855)=4,VALUE(RIGHT($A2855,2))&lt;=60),SUMIF($A2856:$A$2965,$A2855&amp;"????",$D2856:$D$2965),VLOOKUP(IF(LEN($A2855)=4,$A2855&amp;"01 1",$A2855),GUS_tabl_21!$A$5:$F$4886,6,FALSE))))</f>
        <v>81882</v>
      </c>
      <c r="E2855" s="29"/>
    </row>
    <row r="2856" spans="1:5" ht="12" customHeight="1">
      <c r="A2856" s="155" t="str">
        <f>"320601 2"</f>
        <v>320601 2</v>
      </c>
      <c r="B2856" s="153" t="s">
        <v>41</v>
      </c>
      <c r="C2856" s="156" t="str">
        <f>IF(OR($A2856="",ISERROR(VALUE(LEFT($A2856,6)))),"",IF(LEN($A2856)=2,"WOJ. ",IF(LEN($A2856)=4,IF(VALUE(RIGHT($A2856,2))&gt;60,"","Powiat "),IF(VALUE(RIGHT($A2856,1))=1,"m. ",IF(VALUE(RIGHT($A2856,1))=2,"gm. w. ",IF(VALUE(RIGHT($A2856,1))=8,"dz. ","gm. m.-w. ")))))&amp;IF(LEN($A2856)=2,TRIM(UPPER(VLOOKUP($A2856,GUS_tabl_1!$A$7:$B$22,2,FALSE))),IF(ISERROR(FIND("..",TRIM(VLOOKUP(IF(AND(LEN($A2856)=4,VALUE(RIGHT($A2856,2))&gt;60),$A2856&amp;"01 1",$A2856),IF(AND(LEN($A2856)=4,VALUE(RIGHT($A2856,2))&lt;60),GUS_tabl_2!$A$8:$B$464,GUS_tabl_21!$A$5:$B$4886),2,FALSE)))),TRIM(VLOOKUP(IF(AND(LEN($A2856)=4,VALUE(RIGHT($A2856,2))&gt;60),$A2856&amp;"01 1",$A2856),IF(AND(LEN($A2856)=4,VALUE(RIGHT($A2856,2))&lt;60),GUS_tabl_2!$A$8:$B$464,GUS_tabl_21!$A$5:$B$4886),2,FALSE)),LEFT(TRIM(VLOOKUP(IF(AND(LEN($A2856)=4,VALUE(RIGHT($A2856,2))&gt;60),$A2856&amp;"01 1",$A2856),IF(AND(LEN($A2856)=4,VALUE(RIGHT($A2856,2))&lt;60),GUS_tabl_2!$A$8:$B$464,GUS_tabl_21!$A$5:$B$4886),2,FALSE)),SUM(FIND("..",TRIM(VLOOKUP(IF(AND(LEN($A2856)=4,VALUE(RIGHT($A2856,2))&gt;60),$A2856&amp;"01 1",$A2856),IF(AND(LEN($A2856)=4,VALUE(RIGHT($A2856,2))&lt;60),GUS_tabl_2!$A$8:$B$464,GUS_tabl_21!$A$5:$B$4886),2,FALSE))),-1)))))</f>
        <v>gm. w. Banie</v>
      </c>
      <c r="D2856" s="141">
        <f>IF(OR($A2856="",ISERROR(VALUE(LEFT($A2856,6)))),"",IF(LEN($A2856)=2,SUMIF($A2857:$A$2965,$A2856&amp;"??",$D2857:$D$2965),IF(AND(LEN($A2856)=4,VALUE(RIGHT($A2856,2))&lt;=60),SUMIF($A2857:$A$2965,$A2856&amp;"????",$D2857:$D$2965),VLOOKUP(IF(LEN($A2856)=4,$A2856&amp;"01 1",$A2856),GUS_tabl_21!$A$5:$F$4886,6,FALSE))))</f>
        <v>6308</v>
      </c>
      <c r="E2856" s="29"/>
    </row>
    <row r="2857" spans="1:5" ht="12" customHeight="1">
      <c r="A2857" s="155" t="str">
        <f>"320602 3"</f>
        <v>320602 3</v>
      </c>
      <c r="B2857" s="153" t="s">
        <v>41</v>
      </c>
      <c r="C2857" s="156" t="str">
        <f>IF(OR($A2857="",ISERROR(VALUE(LEFT($A2857,6)))),"",IF(LEN($A2857)=2,"WOJ. ",IF(LEN($A2857)=4,IF(VALUE(RIGHT($A2857,2))&gt;60,"","Powiat "),IF(VALUE(RIGHT($A2857,1))=1,"m. ",IF(VALUE(RIGHT($A2857,1))=2,"gm. w. ",IF(VALUE(RIGHT($A2857,1))=8,"dz. ","gm. m.-w. ")))))&amp;IF(LEN($A2857)=2,TRIM(UPPER(VLOOKUP($A2857,GUS_tabl_1!$A$7:$B$22,2,FALSE))),IF(ISERROR(FIND("..",TRIM(VLOOKUP(IF(AND(LEN($A2857)=4,VALUE(RIGHT($A2857,2))&gt;60),$A2857&amp;"01 1",$A2857),IF(AND(LEN($A2857)=4,VALUE(RIGHT($A2857,2))&lt;60),GUS_tabl_2!$A$8:$B$464,GUS_tabl_21!$A$5:$B$4886),2,FALSE)))),TRIM(VLOOKUP(IF(AND(LEN($A2857)=4,VALUE(RIGHT($A2857,2))&gt;60),$A2857&amp;"01 1",$A2857),IF(AND(LEN($A2857)=4,VALUE(RIGHT($A2857,2))&lt;60),GUS_tabl_2!$A$8:$B$464,GUS_tabl_21!$A$5:$B$4886),2,FALSE)),LEFT(TRIM(VLOOKUP(IF(AND(LEN($A2857)=4,VALUE(RIGHT($A2857,2))&gt;60),$A2857&amp;"01 1",$A2857),IF(AND(LEN($A2857)=4,VALUE(RIGHT($A2857,2))&lt;60),GUS_tabl_2!$A$8:$B$464,GUS_tabl_21!$A$5:$B$4886),2,FALSE)),SUM(FIND("..",TRIM(VLOOKUP(IF(AND(LEN($A2857)=4,VALUE(RIGHT($A2857,2))&gt;60),$A2857&amp;"01 1",$A2857),IF(AND(LEN($A2857)=4,VALUE(RIGHT($A2857,2))&lt;60),GUS_tabl_2!$A$8:$B$464,GUS_tabl_21!$A$5:$B$4886),2,FALSE))),-1)))))</f>
        <v>gm. m.-w. Cedynia</v>
      </c>
      <c r="D2857" s="141">
        <f>IF(OR($A2857="",ISERROR(VALUE(LEFT($A2857,6)))),"",IF(LEN($A2857)=2,SUMIF($A2858:$A$2965,$A2857&amp;"??",$D2858:$D$2965),IF(AND(LEN($A2857)=4,VALUE(RIGHT($A2857,2))&lt;=60),SUMIF($A2858:$A$2965,$A2857&amp;"????",$D2858:$D$2965),VLOOKUP(IF(LEN($A2857)=4,$A2857&amp;"01 1",$A2857),GUS_tabl_21!$A$5:$F$4886,6,FALSE))))</f>
        <v>4221</v>
      </c>
      <c r="E2857" s="29"/>
    </row>
    <row r="2858" spans="1:5" ht="12" customHeight="1">
      <c r="A2858" s="155" t="str">
        <f>"320603 3"</f>
        <v>320603 3</v>
      </c>
      <c r="B2858" s="153" t="s">
        <v>41</v>
      </c>
      <c r="C2858" s="156" t="str">
        <f>IF(OR($A2858="",ISERROR(VALUE(LEFT($A2858,6)))),"",IF(LEN($A2858)=2,"WOJ. ",IF(LEN($A2858)=4,IF(VALUE(RIGHT($A2858,2))&gt;60,"","Powiat "),IF(VALUE(RIGHT($A2858,1))=1,"m. ",IF(VALUE(RIGHT($A2858,1))=2,"gm. w. ",IF(VALUE(RIGHT($A2858,1))=8,"dz. ","gm. m.-w. ")))))&amp;IF(LEN($A2858)=2,TRIM(UPPER(VLOOKUP($A2858,GUS_tabl_1!$A$7:$B$22,2,FALSE))),IF(ISERROR(FIND("..",TRIM(VLOOKUP(IF(AND(LEN($A2858)=4,VALUE(RIGHT($A2858,2))&gt;60),$A2858&amp;"01 1",$A2858),IF(AND(LEN($A2858)=4,VALUE(RIGHT($A2858,2))&lt;60),GUS_tabl_2!$A$8:$B$464,GUS_tabl_21!$A$5:$B$4886),2,FALSE)))),TRIM(VLOOKUP(IF(AND(LEN($A2858)=4,VALUE(RIGHT($A2858,2))&gt;60),$A2858&amp;"01 1",$A2858),IF(AND(LEN($A2858)=4,VALUE(RIGHT($A2858,2))&lt;60),GUS_tabl_2!$A$8:$B$464,GUS_tabl_21!$A$5:$B$4886),2,FALSE)),LEFT(TRIM(VLOOKUP(IF(AND(LEN($A2858)=4,VALUE(RIGHT($A2858,2))&gt;60),$A2858&amp;"01 1",$A2858),IF(AND(LEN($A2858)=4,VALUE(RIGHT($A2858,2))&lt;60),GUS_tabl_2!$A$8:$B$464,GUS_tabl_21!$A$5:$B$4886),2,FALSE)),SUM(FIND("..",TRIM(VLOOKUP(IF(AND(LEN($A2858)=4,VALUE(RIGHT($A2858,2))&gt;60),$A2858&amp;"01 1",$A2858),IF(AND(LEN($A2858)=4,VALUE(RIGHT($A2858,2))&lt;60),GUS_tabl_2!$A$8:$B$464,GUS_tabl_21!$A$5:$B$4886),2,FALSE))),-1)))))</f>
        <v>gm. m.-w. Chojna</v>
      </c>
      <c r="D2858" s="141">
        <f>IF(OR($A2858="",ISERROR(VALUE(LEFT($A2858,6)))),"",IF(LEN($A2858)=2,SUMIF($A2859:$A$2965,$A2858&amp;"??",$D2859:$D$2965),IF(AND(LEN($A2858)=4,VALUE(RIGHT($A2858,2))&lt;=60),SUMIF($A2859:$A$2965,$A2858&amp;"????",$D2859:$D$2965),VLOOKUP(IF(LEN($A2858)=4,$A2858&amp;"01 1",$A2858),GUS_tabl_21!$A$5:$F$4886,6,FALSE))))</f>
        <v>13706</v>
      </c>
      <c r="E2858" s="29"/>
    </row>
    <row r="2859" spans="1:5" ht="12" customHeight="1">
      <c r="A2859" s="155" t="str">
        <f>"320604 3"</f>
        <v>320604 3</v>
      </c>
      <c r="B2859" s="153" t="s">
        <v>41</v>
      </c>
      <c r="C2859" s="156" t="str">
        <f>IF(OR($A2859="",ISERROR(VALUE(LEFT($A2859,6)))),"",IF(LEN($A2859)=2,"WOJ. ",IF(LEN($A2859)=4,IF(VALUE(RIGHT($A2859,2))&gt;60,"","Powiat "),IF(VALUE(RIGHT($A2859,1))=1,"m. ",IF(VALUE(RIGHT($A2859,1))=2,"gm. w. ",IF(VALUE(RIGHT($A2859,1))=8,"dz. ","gm. m.-w. ")))))&amp;IF(LEN($A2859)=2,TRIM(UPPER(VLOOKUP($A2859,GUS_tabl_1!$A$7:$B$22,2,FALSE))),IF(ISERROR(FIND("..",TRIM(VLOOKUP(IF(AND(LEN($A2859)=4,VALUE(RIGHT($A2859,2))&gt;60),$A2859&amp;"01 1",$A2859),IF(AND(LEN($A2859)=4,VALUE(RIGHT($A2859,2))&lt;60),GUS_tabl_2!$A$8:$B$464,GUS_tabl_21!$A$5:$B$4886),2,FALSE)))),TRIM(VLOOKUP(IF(AND(LEN($A2859)=4,VALUE(RIGHT($A2859,2))&gt;60),$A2859&amp;"01 1",$A2859),IF(AND(LEN($A2859)=4,VALUE(RIGHT($A2859,2))&lt;60),GUS_tabl_2!$A$8:$B$464,GUS_tabl_21!$A$5:$B$4886),2,FALSE)),LEFT(TRIM(VLOOKUP(IF(AND(LEN($A2859)=4,VALUE(RIGHT($A2859,2))&gt;60),$A2859&amp;"01 1",$A2859),IF(AND(LEN($A2859)=4,VALUE(RIGHT($A2859,2))&lt;60),GUS_tabl_2!$A$8:$B$464,GUS_tabl_21!$A$5:$B$4886),2,FALSE)),SUM(FIND("..",TRIM(VLOOKUP(IF(AND(LEN($A2859)=4,VALUE(RIGHT($A2859,2))&gt;60),$A2859&amp;"01 1",$A2859),IF(AND(LEN($A2859)=4,VALUE(RIGHT($A2859,2))&lt;60),GUS_tabl_2!$A$8:$B$464,GUS_tabl_21!$A$5:$B$4886),2,FALSE))),-1)))))</f>
        <v>gm. m.-w. Gryfino</v>
      </c>
      <c r="D2859" s="141">
        <f>IF(OR($A2859="",ISERROR(VALUE(LEFT($A2859,6)))),"",IF(LEN($A2859)=2,SUMIF($A2860:$A$2965,$A2859&amp;"??",$D2860:$D$2965),IF(AND(LEN($A2859)=4,VALUE(RIGHT($A2859,2))&lt;=60),SUMIF($A2860:$A$2965,$A2859&amp;"????",$D2860:$D$2965),VLOOKUP(IF(LEN($A2859)=4,$A2859&amp;"01 1",$A2859),GUS_tabl_21!$A$5:$F$4886,6,FALSE))))</f>
        <v>31827</v>
      </c>
      <c r="E2859" s="29"/>
    </row>
    <row r="2860" spans="1:5" ht="12" customHeight="1">
      <c r="A2860" s="155" t="str">
        <f>"320605 3"</f>
        <v>320605 3</v>
      </c>
      <c r="B2860" s="153" t="s">
        <v>41</v>
      </c>
      <c r="C2860" s="156" t="str">
        <f>IF(OR($A2860="",ISERROR(VALUE(LEFT($A2860,6)))),"",IF(LEN($A2860)=2,"WOJ. ",IF(LEN($A2860)=4,IF(VALUE(RIGHT($A2860,2))&gt;60,"","Powiat "),IF(VALUE(RIGHT($A2860,1))=1,"m. ",IF(VALUE(RIGHT($A2860,1))=2,"gm. w. ",IF(VALUE(RIGHT($A2860,1))=8,"dz. ","gm. m.-w. ")))))&amp;IF(LEN($A2860)=2,TRIM(UPPER(VLOOKUP($A2860,GUS_tabl_1!$A$7:$B$22,2,FALSE))),IF(ISERROR(FIND("..",TRIM(VLOOKUP(IF(AND(LEN($A2860)=4,VALUE(RIGHT($A2860,2))&gt;60),$A2860&amp;"01 1",$A2860),IF(AND(LEN($A2860)=4,VALUE(RIGHT($A2860,2))&lt;60),GUS_tabl_2!$A$8:$B$464,GUS_tabl_21!$A$5:$B$4886),2,FALSE)))),TRIM(VLOOKUP(IF(AND(LEN($A2860)=4,VALUE(RIGHT($A2860,2))&gt;60),$A2860&amp;"01 1",$A2860),IF(AND(LEN($A2860)=4,VALUE(RIGHT($A2860,2))&lt;60),GUS_tabl_2!$A$8:$B$464,GUS_tabl_21!$A$5:$B$4886),2,FALSE)),LEFT(TRIM(VLOOKUP(IF(AND(LEN($A2860)=4,VALUE(RIGHT($A2860,2))&gt;60),$A2860&amp;"01 1",$A2860),IF(AND(LEN($A2860)=4,VALUE(RIGHT($A2860,2))&lt;60),GUS_tabl_2!$A$8:$B$464,GUS_tabl_21!$A$5:$B$4886),2,FALSE)),SUM(FIND("..",TRIM(VLOOKUP(IF(AND(LEN($A2860)=4,VALUE(RIGHT($A2860,2))&gt;60),$A2860&amp;"01 1",$A2860),IF(AND(LEN($A2860)=4,VALUE(RIGHT($A2860,2))&lt;60),GUS_tabl_2!$A$8:$B$464,GUS_tabl_21!$A$5:$B$4886),2,FALSE))),-1)))))</f>
        <v>gm. m.-w. Mieszkowice</v>
      </c>
      <c r="D2860" s="141">
        <f>IF(OR($A2860="",ISERROR(VALUE(LEFT($A2860,6)))),"",IF(LEN($A2860)=2,SUMIF($A2861:$A$2965,$A2860&amp;"??",$D2861:$D$2965),IF(AND(LEN($A2860)=4,VALUE(RIGHT($A2860,2))&lt;=60),SUMIF($A2861:$A$2965,$A2860&amp;"????",$D2861:$D$2965),VLOOKUP(IF(LEN($A2860)=4,$A2860&amp;"01 1",$A2860),GUS_tabl_21!$A$5:$F$4886,6,FALSE))))</f>
        <v>7047</v>
      </c>
      <c r="E2860" s="29"/>
    </row>
    <row r="2861" spans="1:5" ht="12" customHeight="1">
      <c r="A2861" s="155" t="str">
        <f>"320606 3"</f>
        <v>320606 3</v>
      </c>
      <c r="B2861" s="153" t="s">
        <v>41</v>
      </c>
      <c r="C2861" s="156" t="str">
        <f>IF(OR($A2861="",ISERROR(VALUE(LEFT($A2861,6)))),"",IF(LEN($A2861)=2,"WOJ. ",IF(LEN($A2861)=4,IF(VALUE(RIGHT($A2861,2))&gt;60,"","Powiat "),IF(VALUE(RIGHT($A2861,1))=1,"m. ",IF(VALUE(RIGHT($A2861,1))=2,"gm. w. ",IF(VALUE(RIGHT($A2861,1))=8,"dz. ","gm. m.-w. ")))))&amp;IF(LEN($A2861)=2,TRIM(UPPER(VLOOKUP($A2861,GUS_tabl_1!$A$7:$B$22,2,FALSE))),IF(ISERROR(FIND("..",TRIM(VLOOKUP(IF(AND(LEN($A2861)=4,VALUE(RIGHT($A2861,2))&gt;60),$A2861&amp;"01 1",$A2861),IF(AND(LEN($A2861)=4,VALUE(RIGHT($A2861,2))&lt;60),GUS_tabl_2!$A$8:$B$464,GUS_tabl_21!$A$5:$B$4886),2,FALSE)))),TRIM(VLOOKUP(IF(AND(LEN($A2861)=4,VALUE(RIGHT($A2861,2))&gt;60),$A2861&amp;"01 1",$A2861),IF(AND(LEN($A2861)=4,VALUE(RIGHT($A2861,2))&lt;60),GUS_tabl_2!$A$8:$B$464,GUS_tabl_21!$A$5:$B$4886),2,FALSE)),LEFT(TRIM(VLOOKUP(IF(AND(LEN($A2861)=4,VALUE(RIGHT($A2861,2))&gt;60),$A2861&amp;"01 1",$A2861),IF(AND(LEN($A2861)=4,VALUE(RIGHT($A2861,2))&lt;60),GUS_tabl_2!$A$8:$B$464,GUS_tabl_21!$A$5:$B$4886),2,FALSE)),SUM(FIND("..",TRIM(VLOOKUP(IF(AND(LEN($A2861)=4,VALUE(RIGHT($A2861,2))&gt;60),$A2861&amp;"01 1",$A2861),IF(AND(LEN($A2861)=4,VALUE(RIGHT($A2861,2))&lt;60),GUS_tabl_2!$A$8:$B$464,GUS_tabl_21!$A$5:$B$4886),2,FALSE))),-1)))))</f>
        <v>gm. m.-w. Moryń</v>
      </c>
      <c r="D2861" s="141">
        <f>IF(OR($A2861="",ISERROR(VALUE(LEFT($A2861,6)))),"",IF(LEN($A2861)=2,SUMIF($A2862:$A$2965,$A2861&amp;"??",$D2862:$D$2965),IF(AND(LEN($A2861)=4,VALUE(RIGHT($A2861,2))&lt;=60),SUMIF($A2862:$A$2965,$A2861&amp;"????",$D2862:$D$2965),VLOOKUP(IF(LEN($A2861)=4,$A2861&amp;"01 1",$A2861),GUS_tabl_21!$A$5:$F$4886,6,FALSE))))</f>
        <v>4267</v>
      </c>
      <c r="E2861" s="29"/>
    </row>
    <row r="2862" spans="1:5" ht="12" customHeight="1">
      <c r="A2862" s="155" t="str">
        <f>"320607 2"</f>
        <v>320607 2</v>
      </c>
      <c r="B2862" s="153" t="s">
        <v>41</v>
      </c>
      <c r="C2862" s="156" t="str">
        <f>IF(OR($A2862="",ISERROR(VALUE(LEFT($A2862,6)))),"",IF(LEN($A2862)=2,"WOJ. ",IF(LEN($A2862)=4,IF(VALUE(RIGHT($A2862,2))&gt;60,"","Powiat "),IF(VALUE(RIGHT($A2862,1))=1,"m. ",IF(VALUE(RIGHT($A2862,1))=2,"gm. w. ",IF(VALUE(RIGHT($A2862,1))=8,"dz. ","gm. m.-w. ")))))&amp;IF(LEN($A2862)=2,TRIM(UPPER(VLOOKUP($A2862,GUS_tabl_1!$A$7:$B$22,2,FALSE))),IF(ISERROR(FIND("..",TRIM(VLOOKUP(IF(AND(LEN($A2862)=4,VALUE(RIGHT($A2862,2))&gt;60),$A2862&amp;"01 1",$A2862),IF(AND(LEN($A2862)=4,VALUE(RIGHT($A2862,2))&lt;60),GUS_tabl_2!$A$8:$B$464,GUS_tabl_21!$A$5:$B$4886),2,FALSE)))),TRIM(VLOOKUP(IF(AND(LEN($A2862)=4,VALUE(RIGHT($A2862,2))&gt;60),$A2862&amp;"01 1",$A2862),IF(AND(LEN($A2862)=4,VALUE(RIGHT($A2862,2))&lt;60),GUS_tabl_2!$A$8:$B$464,GUS_tabl_21!$A$5:$B$4886),2,FALSE)),LEFT(TRIM(VLOOKUP(IF(AND(LEN($A2862)=4,VALUE(RIGHT($A2862,2))&gt;60),$A2862&amp;"01 1",$A2862),IF(AND(LEN($A2862)=4,VALUE(RIGHT($A2862,2))&lt;60),GUS_tabl_2!$A$8:$B$464,GUS_tabl_21!$A$5:$B$4886),2,FALSE)),SUM(FIND("..",TRIM(VLOOKUP(IF(AND(LEN($A2862)=4,VALUE(RIGHT($A2862,2))&gt;60),$A2862&amp;"01 1",$A2862),IF(AND(LEN($A2862)=4,VALUE(RIGHT($A2862,2))&lt;60),GUS_tabl_2!$A$8:$B$464,GUS_tabl_21!$A$5:$B$4886),2,FALSE))),-1)))))</f>
        <v>gm. w. Stare Czarnowo</v>
      </c>
      <c r="D2862" s="141">
        <f>IF(OR($A2862="",ISERROR(VALUE(LEFT($A2862,6)))),"",IF(LEN($A2862)=2,SUMIF($A2863:$A$2965,$A2862&amp;"??",$D2863:$D$2965),IF(AND(LEN($A2862)=4,VALUE(RIGHT($A2862,2))&lt;=60),SUMIF($A2863:$A$2965,$A2862&amp;"????",$D2863:$D$2965),VLOOKUP(IF(LEN($A2862)=4,$A2862&amp;"01 1",$A2862),GUS_tabl_21!$A$5:$F$4886,6,FALSE))))</f>
        <v>3828</v>
      </c>
      <c r="E2862" s="29"/>
    </row>
    <row r="2863" spans="1:5" ht="12" customHeight="1">
      <c r="A2863" s="155" t="str">
        <f>"320608 3"</f>
        <v>320608 3</v>
      </c>
      <c r="B2863" s="153" t="s">
        <v>41</v>
      </c>
      <c r="C2863" s="156" t="str">
        <f>IF(OR($A2863="",ISERROR(VALUE(LEFT($A2863,6)))),"",IF(LEN($A2863)=2,"WOJ. ",IF(LEN($A2863)=4,IF(VALUE(RIGHT($A2863,2))&gt;60,"","Powiat "),IF(VALUE(RIGHT($A2863,1))=1,"m. ",IF(VALUE(RIGHT($A2863,1))=2,"gm. w. ",IF(VALUE(RIGHT($A2863,1))=8,"dz. ","gm. m.-w. ")))))&amp;IF(LEN($A2863)=2,TRIM(UPPER(VLOOKUP($A2863,GUS_tabl_1!$A$7:$B$22,2,FALSE))),IF(ISERROR(FIND("..",TRIM(VLOOKUP(IF(AND(LEN($A2863)=4,VALUE(RIGHT($A2863,2))&gt;60),$A2863&amp;"01 1",$A2863),IF(AND(LEN($A2863)=4,VALUE(RIGHT($A2863,2))&lt;60),GUS_tabl_2!$A$8:$B$464,GUS_tabl_21!$A$5:$B$4886),2,FALSE)))),TRIM(VLOOKUP(IF(AND(LEN($A2863)=4,VALUE(RIGHT($A2863,2))&gt;60),$A2863&amp;"01 1",$A2863),IF(AND(LEN($A2863)=4,VALUE(RIGHT($A2863,2))&lt;60),GUS_tabl_2!$A$8:$B$464,GUS_tabl_21!$A$5:$B$4886),2,FALSE)),LEFT(TRIM(VLOOKUP(IF(AND(LEN($A2863)=4,VALUE(RIGHT($A2863,2))&gt;60),$A2863&amp;"01 1",$A2863),IF(AND(LEN($A2863)=4,VALUE(RIGHT($A2863,2))&lt;60),GUS_tabl_2!$A$8:$B$464,GUS_tabl_21!$A$5:$B$4886),2,FALSE)),SUM(FIND("..",TRIM(VLOOKUP(IF(AND(LEN($A2863)=4,VALUE(RIGHT($A2863,2))&gt;60),$A2863&amp;"01 1",$A2863),IF(AND(LEN($A2863)=4,VALUE(RIGHT($A2863,2))&lt;60),GUS_tabl_2!$A$8:$B$464,GUS_tabl_21!$A$5:$B$4886),2,FALSE))),-1)))))</f>
        <v>gm. m.-w. Trzcińsko-Zdrój</v>
      </c>
      <c r="D2863" s="141">
        <f>IF(OR($A2863="",ISERROR(VALUE(LEFT($A2863,6)))),"",IF(LEN($A2863)=2,SUMIF($A2864:$A$2965,$A2863&amp;"??",$D2864:$D$2965),IF(AND(LEN($A2863)=4,VALUE(RIGHT($A2863,2))&lt;=60),SUMIF($A2864:$A$2965,$A2863&amp;"????",$D2864:$D$2965),VLOOKUP(IF(LEN($A2863)=4,$A2863&amp;"01 1",$A2863),GUS_tabl_21!$A$5:$F$4886,6,FALSE))))</f>
        <v>5271</v>
      </c>
      <c r="E2863" s="29"/>
    </row>
    <row r="2864" spans="1:5" ht="12" customHeight="1">
      <c r="A2864" s="155" t="str">
        <f>"320609 2"</f>
        <v>320609 2</v>
      </c>
      <c r="B2864" s="153" t="s">
        <v>41</v>
      </c>
      <c r="C2864" s="156" t="str">
        <f>IF(OR($A2864="",ISERROR(VALUE(LEFT($A2864,6)))),"",IF(LEN($A2864)=2,"WOJ. ",IF(LEN($A2864)=4,IF(VALUE(RIGHT($A2864,2))&gt;60,"","Powiat "),IF(VALUE(RIGHT($A2864,1))=1,"m. ",IF(VALUE(RIGHT($A2864,1))=2,"gm. w. ",IF(VALUE(RIGHT($A2864,1))=8,"dz. ","gm. m.-w. ")))))&amp;IF(LEN($A2864)=2,TRIM(UPPER(VLOOKUP($A2864,GUS_tabl_1!$A$7:$B$22,2,FALSE))),IF(ISERROR(FIND("..",TRIM(VLOOKUP(IF(AND(LEN($A2864)=4,VALUE(RIGHT($A2864,2))&gt;60),$A2864&amp;"01 1",$A2864),IF(AND(LEN($A2864)=4,VALUE(RIGHT($A2864,2))&lt;60),GUS_tabl_2!$A$8:$B$464,GUS_tabl_21!$A$5:$B$4886),2,FALSE)))),TRIM(VLOOKUP(IF(AND(LEN($A2864)=4,VALUE(RIGHT($A2864,2))&gt;60),$A2864&amp;"01 1",$A2864),IF(AND(LEN($A2864)=4,VALUE(RIGHT($A2864,2))&lt;60),GUS_tabl_2!$A$8:$B$464,GUS_tabl_21!$A$5:$B$4886),2,FALSE)),LEFT(TRIM(VLOOKUP(IF(AND(LEN($A2864)=4,VALUE(RIGHT($A2864,2))&gt;60),$A2864&amp;"01 1",$A2864),IF(AND(LEN($A2864)=4,VALUE(RIGHT($A2864,2))&lt;60),GUS_tabl_2!$A$8:$B$464,GUS_tabl_21!$A$5:$B$4886),2,FALSE)),SUM(FIND("..",TRIM(VLOOKUP(IF(AND(LEN($A2864)=4,VALUE(RIGHT($A2864,2))&gt;60),$A2864&amp;"01 1",$A2864),IF(AND(LEN($A2864)=4,VALUE(RIGHT($A2864,2))&lt;60),GUS_tabl_2!$A$8:$B$464,GUS_tabl_21!$A$5:$B$4886),2,FALSE))),-1)))))</f>
        <v>gm. w. Widuchowa</v>
      </c>
      <c r="D2864" s="141">
        <f>IF(OR($A2864="",ISERROR(VALUE(LEFT($A2864,6)))),"",IF(LEN($A2864)=2,SUMIF($A2865:$A$2965,$A2864&amp;"??",$D2865:$D$2965),IF(AND(LEN($A2864)=4,VALUE(RIGHT($A2864,2))&lt;=60),SUMIF($A2865:$A$2965,$A2864&amp;"????",$D2865:$D$2965),VLOOKUP(IF(LEN($A2864)=4,$A2864&amp;"01 1",$A2864),GUS_tabl_21!$A$5:$F$4886,6,FALSE))))</f>
        <v>5407</v>
      </c>
      <c r="E2864" s="29"/>
    </row>
    <row r="2865" spans="1:5" ht="12" customHeight="1">
      <c r="A2865" s="152" t="str">
        <f>"3207"</f>
        <v>3207</v>
      </c>
      <c r="B2865" s="153" t="s">
        <v>41</v>
      </c>
      <c r="C2865" s="154" t="str">
        <f>IF(OR($A2865="",ISERROR(VALUE(LEFT($A2865,6)))),"",IF(LEN($A2865)=2,"WOJ. ",IF(LEN($A2865)=4,IF(VALUE(RIGHT($A2865,2))&gt;60,"","Powiat "),IF(VALUE(RIGHT($A2865,1))=1,"m. ",IF(VALUE(RIGHT($A2865,1))=2,"gm. w. ",IF(VALUE(RIGHT($A2865,1))=8,"dz. ","gm. m.-w. ")))))&amp;IF(LEN($A2865)=2,TRIM(UPPER(VLOOKUP($A2865,GUS_tabl_1!$A$7:$B$22,2,FALSE))),IF(ISERROR(FIND("..",TRIM(VLOOKUP(IF(AND(LEN($A2865)=4,VALUE(RIGHT($A2865,2))&gt;60),$A2865&amp;"01 1",$A2865),IF(AND(LEN($A2865)=4,VALUE(RIGHT($A2865,2))&lt;60),GUS_tabl_2!$A$8:$B$464,GUS_tabl_21!$A$5:$B$4886),2,FALSE)))),TRIM(VLOOKUP(IF(AND(LEN($A2865)=4,VALUE(RIGHT($A2865,2))&gt;60),$A2865&amp;"01 1",$A2865),IF(AND(LEN($A2865)=4,VALUE(RIGHT($A2865,2))&lt;60),GUS_tabl_2!$A$8:$B$464,GUS_tabl_21!$A$5:$B$4886),2,FALSE)),LEFT(TRIM(VLOOKUP(IF(AND(LEN($A2865)=4,VALUE(RIGHT($A2865,2))&gt;60),$A2865&amp;"01 1",$A2865),IF(AND(LEN($A2865)=4,VALUE(RIGHT($A2865,2))&lt;60),GUS_tabl_2!$A$8:$B$464,GUS_tabl_21!$A$5:$B$4886),2,FALSE)),SUM(FIND("..",TRIM(VLOOKUP(IF(AND(LEN($A2865)=4,VALUE(RIGHT($A2865,2))&gt;60),$A2865&amp;"01 1",$A2865),IF(AND(LEN($A2865)=4,VALUE(RIGHT($A2865,2))&lt;60),GUS_tabl_2!$A$8:$B$464,GUS_tabl_21!$A$5:$B$4886),2,FALSE))),-1)))))</f>
        <v>Powiat kamieński</v>
      </c>
      <c r="D2865" s="140">
        <f>IF(OR($A2865="",ISERROR(VALUE(LEFT($A2865,6)))),"",IF(LEN($A2865)=2,SUMIF($A2866:$A$2965,$A2865&amp;"??",$D2866:$D$2965),IF(AND(LEN($A2865)=4,VALUE(RIGHT($A2865,2))&lt;=60),SUMIF($A2866:$A$2965,$A2865&amp;"????",$D2866:$D$2965),VLOOKUP(IF(LEN($A2865)=4,$A2865&amp;"01 1",$A2865),GUS_tabl_21!$A$5:$F$4886,6,FALSE))))</f>
        <v>46999</v>
      </c>
      <c r="E2865" s="29"/>
    </row>
    <row r="2866" spans="1:5" ht="12" customHeight="1">
      <c r="A2866" s="155" t="str">
        <f>"320701 3"</f>
        <v>320701 3</v>
      </c>
      <c r="B2866" s="153" t="s">
        <v>41</v>
      </c>
      <c r="C2866" s="156" t="str">
        <f>IF(OR($A2866="",ISERROR(VALUE(LEFT($A2866,6)))),"",IF(LEN($A2866)=2,"WOJ. ",IF(LEN($A2866)=4,IF(VALUE(RIGHT($A2866,2))&gt;60,"","Powiat "),IF(VALUE(RIGHT($A2866,1))=1,"m. ",IF(VALUE(RIGHT($A2866,1))=2,"gm. w. ",IF(VALUE(RIGHT($A2866,1))=8,"dz. ","gm. m.-w. ")))))&amp;IF(LEN($A2866)=2,TRIM(UPPER(VLOOKUP($A2866,GUS_tabl_1!$A$7:$B$22,2,FALSE))),IF(ISERROR(FIND("..",TRIM(VLOOKUP(IF(AND(LEN($A2866)=4,VALUE(RIGHT($A2866,2))&gt;60),$A2866&amp;"01 1",$A2866),IF(AND(LEN($A2866)=4,VALUE(RIGHT($A2866,2))&lt;60),GUS_tabl_2!$A$8:$B$464,GUS_tabl_21!$A$5:$B$4886),2,FALSE)))),TRIM(VLOOKUP(IF(AND(LEN($A2866)=4,VALUE(RIGHT($A2866,2))&gt;60),$A2866&amp;"01 1",$A2866),IF(AND(LEN($A2866)=4,VALUE(RIGHT($A2866,2))&lt;60),GUS_tabl_2!$A$8:$B$464,GUS_tabl_21!$A$5:$B$4886),2,FALSE)),LEFT(TRIM(VLOOKUP(IF(AND(LEN($A2866)=4,VALUE(RIGHT($A2866,2))&gt;60),$A2866&amp;"01 1",$A2866),IF(AND(LEN($A2866)=4,VALUE(RIGHT($A2866,2))&lt;60),GUS_tabl_2!$A$8:$B$464,GUS_tabl_21!$A$5:$B$4886),2,FALSE)),SUM(FIND("..",TRIM(VLOOKUP(IF(AND(LEN($A2866)=4,VALUE(RIGHT($A2866,2))&gt;60),$A2866&amp;"01 1",$A2866),IF(AND(LEN($A2866)=4,VALUE(RIGHT($A2866,2))&lt;60),GUS_tabl_2!$A$8:$B$464,GUS_tabl_21!$A$5:$B$4886),2,FALSE))),-1)))))</f>
        <v>gm. m.-w. Dziwnów</v>
      </c>
      <c r="D2866" s="141">
        <f>IF(OR($A2866="",ISERROR(VALUE(LEFT($A2866,6)))),"",IF(LEN($A2866)=2,SUMIF($A2867:$A$2965,$A2866&amp;"??",$D2867:$D$2965),IF(AND(LEN($A2866)=4,VALUE(RIGHT($A2866,2))&lt;=60),SUMIF($A2867:$A$2965,$A2866&amp;"????",$D2867:$D$2965),VLOOKUP(IF(LEN($A2866)=4,$A2866&amp;"01 1",$A2866),GUS_tabl_21!$A$5:$F$4886,6,FALSE))))</f>
        <v>3957</v>
      </c>
      <c r="E2866" s="29"/>
    </row>
    <row r="2867" spans="1:5" ht="12" customHeight="1">
      <c r="A2867" s="155" t="str">
        <f>"320702 3"</f>
        <v>320702 3</v>
      </c>
      <c r="B2867" s="153" t="s">
        <v>41</v>
      </c>
      <c r="C2867" s="156" t="str">
        <f>IF(OR($A2867="",ISERROR(VALUE(LEFT($A2867,6)))),"",IF(LEN($A2867)=2,"WOJ. ",IF(LEN($A2867)=4,IF(VALUE(RIGHT($A2867,2))&gt;60,"","Powiat "),IF(VALUE(RIGHT($A2867,1))=1,"m. ",IF(VALUE(RIGHT($A2867,1))=2,"gm. w. ",IF(VALUE(RIGHT($A2867,1))=8,"dz. ","gm. m.-w. ")))))&amp;IF(LEN($A2867)=2,TRIM(UPPER(VLOOKUP($A2867,GUS_tabl_1!$A$7:$B$22,2,FALSE))),IF(ISERROR(FIND("..",TRIM(VLOOKUP(IF(AND(LEN($A2867)=4,VALUE(RIGHT($A2867,2))&gt;60),$A2867&amp;"01 1",$A2867),IF(AND(LEN($A2867)=4,VALUE(RIGHT($A2867,2))&lt;60),GUS_tabl_2!$A$8:$B$464,GUS_tabl_21!$A$5:$B$4886),2,FALSE)))),TRIM(VLOOKUP(IF(AND(LEN($A2867)=4,VALUE(RIGHT($A2867,2))&gt;60),$A2867&amp;"01 1",$A2867),IF(AND(LEN($A2867)=4,VALUE(RIGHT($A2867,2))&lt;60),GUS_tabl_2!$A$8:$B$464,GUS_tabl_21!$A$5:$B$4886),2,FALSE)),LEFT(TRIM(VLOOKUP(IF(AND(LEN($A2867)=4,VALUE(RIGHT($A2867,2))&gt;60),$A2867&amp;"01 1",$A2867),IF(AND(LEN($A2867)=4,VALUE(RIGHT($A2867,2))&lt;60),GUS_tabl_2!$A$8:$B$464,GUS_tabl_21!$A$5:$B$4886),2,FALSE)),SUM(FIND("..",TRIM(VLOOKUP(IF(AND(LEN($A2867)=4,VALUE(RIGHT($A2867,2))&gt;60),$A2867&amp;"01 1",$A2867),IF(AND(LEN($A2867)=4,VALUE(RIGHT($A2867,2))&lt;60),GUS_tabl_2!$A$8:$B$464,GUS_tabl_21!$A$5:$B$4886),2,FALSE))),-1)))))</f>
        <v>gm. m.-w. Golczewo</v>
      </c>
      <c r="D2867" s="141">
        <f>IF(OR($A2867="",ISERROR(VALUE(LEFT($A2867,6)))),"",IF(LEN($A2867)=2,SUMIF($A2868:$A$2965,$A2867&amp;"??",$D2868:$D$2965),IF(AND(LEN($A2867)=4,VALUE(RIGHT($A2867,2))&lt;=60),SUMIF($A2868:$A$2965,$A2867&amp;"????",$D2868:$D$2965),VLOOKUP(IF(LEN($A2867)=4,$A2867&amp;"01 1",$A2867),GUS_tabl_21!$A$5:$F$4886,6,FALSE))))</f>
        <v>5871</v>
      </c>
      <c r="E2867" s="29"/>
    </row>
    <row r="2868" spans="1:5" ht="12" customHeight="1">
      <c r="A2868" s="155" t="str">
        <f>"320703 3"</f>
        <v>320703 3</v>
      </c>
      <c r="B2868" s="153" t="s">
        <v>41</v>
      </c>
      <c r="C2868" s="156" t="str">
        <f>IF(OR($A2868="",ISERROR(VALUE(LEFT($A2868,6)))),"",IF(LEN($A2868)=2,"WOJ. ",IF(LEN($A2868)=4,IF(VALUE(RIGHT($A2868,2))&gt;60,"","Powiat "),IF(VALUE(RIGHT($A2868,1))=1,"m. ",IF(VALUE(RIGHT($A2868,1))=2,"gm. w. ",IF(VALUE(RIGHT($A2868,1))=8,"dz. ","gm. m.-w. ")))))&amp;IF(LEN($A2868)=2,TRIM(UPPER(VLOOKUP($A2868,GUS_tabl_1!$A$7:$B$22,2,FALSE))),IF(ISERROR(FIND("..",TRIM(VLOOKUP(IF(AND(LEN($A2868)=4,VALUE(RIGHT($A2868,2))&gt;60),$A2868&amp;"01 1",$A2868),IF(AND(LEN($A2868)=4,VALUE(RIGHT($A2868,2))&lt;60),GUS_tabl_2!$A$8:$B$464,GUS_tabl_21!$A$5:$B$4886),2,FALSE)))),TRIM(VLOOKUP(IF(AND(LEN($A2868)=4,VALUE(RIGHT($A2868,2))&gt;60),$A2868&amp;"01 1",$A2868),IF(AND(LEN($A2868)=4,VALUE(RIGHT($A2868,2))&lt;60),GUS_tabl_2!$A$8:$B$464,GUS_tabl_21!$A$5:$B$4886),2,FALSE)),LEFT(TRIM(VLOOKUP(IF(AND(LEN($A2868)=4,VALUE(RIGHT($A2868,2))&gt;60),$A2868&amp;"01 1",$A2868),IF(AND(LEN($A2868)=4,VALUE(RIGHT($A2868,2))&lt;60),GUS_tabl_2!$A$8:$B$464,GUS_tabl_21!$A$5:$B$4886),2,FALSE)),SUM(FIND("..",TRIM(VLOOKUP(IF(AND(LEN($A2868)=4,VALUE(RIGHT($A2868,2))&gt;60),$A2868&amp;"01 1",$A2868),IF(AND(LEN($A2868)=4,VALUE(RIGHT($A2868,2))&lt;60),GUS_tabl_2!$A$8:$B$464,GUS_tabl_21!$A$5:$B$4886),2,FALSE))),-1)))))</f>
        <v>gm. m.-w. Kamień Pomorski</v>
      </c>
      <c r="D2868" s="141">
        <f>IF(OR($A2868="",ISERROR(VALUE(LEFT($A2868,6)))),"",IF(LEN($A2868)=2,SUMIF($A2869:$A$2965,$A2868&amp;"??",$D2869:$D$2965),IF(AND(LEN($A2868)=4,VALUE(RIGHT($A2868,2))&lt;=60),SUMIF($A2869:$A$2965,$A2868&amp;"????",$D2869:$D$2965),VLOOKUP(IF(LEN($A2868)=4,$A2868&amp;"01 1",$A2868),GUS_tabl_21!$A$5:$F$4886,6,FALSE))))</f>
        <v>14377</v>
      </c>
      <c r="E2868" s="29"/>
    </row>
    <row r="2869" spans="1:5" ht="12" customHeight="1">
      <c r="A2869" s="155" t="str">
        <f>"320704 3"</f>
        <v>320704 3</v>
      </c>
      <c r="B2869" s="153" t="s">
        <v>41</v>
      </c>
      <c r="C2869" s="156" t="str">
        <f>IF(OR($A2869="",ISERROR(VALUE(LEFT($A2869,6)))),"",IF(LEN($A2869)=2,"WOJ. ",IF(LEN($A2869)=4,IF(VALUE(RIGHT($A2869,2))&gt;60,"","Powiat "),IF(VALUE(RIGHT($A2869,1))=1,"m. ",IF(VALUE(RIGHT($A2869,1))=2,"gm. w. ",IF(VALUE(RIGHT($A2869,1))=8,"dz. ","gm. m.-w. ")))))&amp;IF(LEN($A2869)=2,TRIM(UPPER(VLOOKUP($A2869,GUS_tabl_1!$A$7:$B$22,2,FALSE))),IF(ISERROR(FIND("..",TRIM(VLOOKUP(IF(AND(LEN($A2869)=4,VALUE(RIGHT($A2869,2))&gt;60),$A2869&amp;"01 1",$A2869),IF(AND(LEN($A2869)=4,VALUE(RIGHT($A2869,2))&lt;60),GUS_tabl_2!$A$8:$B$464,GUS_tabl_21!$A$5:$B$4886),2,FALSE)))),TRIM(VLOOKUP(IF(AND(LEN($A2869)=4,VALUE(RIGHT($A2869,2))&gt;60),$A2869&amp;"01 1",$A2869),IF(AND(LEN($A2869)=4,VALUE(RIGHT($A2869,2))&lt;60),GUS_tabl_2!$A$8:$B$464,GUS_tabl_21!$A$5:$B$4886),2,FALSE)),LEFT(TRIM(VLOOKUP(IF(AND(LEN($A2869)=4,VALUE(RIGHT($A2869,2))&gt;60),$A2869&amp;"01 1",$A2869),IF(AND(LEN($A2869)=4,VALUE(RIGHT($A2869,2))&lt;60),GUS_tabl_2!$A$8:$B$464,GUS_tabl_21!$A$5:$B$4886),2,FALSE)),SUM(FIND("..",TRIM(VLOOKUP(IF(AND(LEN($A2869)=4,VALUE(RIGHT($A2869,2))&gt;60),$A2869&amp;"01 1",$A2869),IF(AND(LEN($A2869)=4,VALUE(RIGHT($A2869,2))&lt;60),GUS_tabl_2!$A$8:$B$464,GUS_tabl_21!$A$5:$B$4886),2,FALSE))),-1)))))</f>
        <v>gm. m.-w. Międzyzdroje</v>
      </c>
      <c r="D2869" s="141">
        <f>IF(OR($A2869="",ISERROR(VALUE(LEFT($A2869,6)))),"",IF(LEN($A2869)=2,SUMIF($A2870:$A$2965,$A2869&amp;"??",$D2870:$D$2965),IF(AND(LEN($A2869)=4,VALUE(RIGHT($A2869,2))&lt;=60),SUMIF($A2870:$A$2965,$A2869&amp;"????",$D2870:$D$2965),VLOOKUP(IF(LEN($A2869)=4,$A2869&amp;"01 1",$A2869),GUS_tabl_21!$A$5:$F$4886,6,FALSE))))</f>
        <v>6452</v>
      </c>
      <c r="E2869" s="29"/>
    </row>
    <row r="2870" spans="1:5" ht="12" customHeight="1">
      <c r="A2870" s="155" t="str">
        <f>"320705 2"</f>
        <v>320705 2</v>
      </c>
      <c r="B2870" s="153" t="s">
        <v>41</v>
      </c>
      <c r="C2870" s="156" t="str">
        <f>IF(OR($A2870="",ISERROR(VALUE(LEFT($A2870,6)))),"",IF(LEN($A2870)=2,"WOJ. ",IF(LEN($A2870)=4,IF(VALUE(RIGHT($A2870,2))&gt;60,"","Powiat "),IF(VALUE(RIGHT($A2870,1))=1,"m. ",IF(VALUE(RIGHT($A2870,1))=2,"gm. w. ",IF(VALUE(RIGHT($A2870,1))=8,"dz. ","gm. m.-w. ")))))&amp;IF(LEN($A2870)=2,TRIM(UPPER(VLOOKUP($A2870,GUS_tabl_1!$A$7:$B$22,2,FALSE))),IF(ISERROR(FIND("..",TRIM(VLOOKUP(IF(AND(LEN($A2870)=4,VALUE(RIGHT($A2870,2))&gt;60),$A2870&amp;"01 1",$A2870),IF(AND(LEN($A2870)=4,VALUE(RIGHT($A2870,2))&lt;60),GUS_tabl_2!$A$8:$B$464,GUS_tabl_21!$A$5:$B$4886),2,FALSE)))),TRIM(VLOOKUP(IF(AND(LEN($A2870)=4,VALUE(RIGHT($A2870,2))&gt;60),$A2870&amp;"01 1",$A2870),IF(AND(LEN($A2870)=4,VALUE(RIGHT($A2870,2))&lt;60),GUS_tabl_2!$A$8:$B$464,GUS_tabl_21!$A$5:$B$4886),2,FALSE)),LEFT(TRIM(VLOOKUP(IF(AND(LEN($A2870)=4,VALUE(RIGHT($A2870,2))&gt;60),$A2870&amp;"01 1",$A2870),IF(AND(LEN($A2870)=4,VALUE(RIGHT($A2870,2))&lt;60),GUS_tabl_2!$A$8:$B$464,GUS_tabl_21!$A$5:$B$4886),2,FALSE)),SUM(FIND("..",TRIM(VLOOKUP(IF(AND(LEN($A2870)=4,VALUE(RIGHT($A2870,2))&gt;60),$A2870&amp;"01 1",$A2870),IF(AND(LEN($A2870)=4,VALUE(RIGHT($A2870,2))&lt;60),GUS_tabl_2!$A$8:$B$464,GUS_tabl_21!$A$5:$B$4886),2,FALSE))),-1)))))</f>
        <v>gm. w. Świerzno</v>
      </c>
      <c r="D2870" s="141">
        <f>IF(OR($A2870="",ISERROR(VALUE(LEFT($A2870,6)))),"",IF(LEN($A2870)=2,SUMIF($A2871:$A$2965,$A2870&amp;"??",$D2871:$D$2965),IF(AND(LEN($A2870)=4,VALUE(RIGHT($A2870,2))&lt;=60),SUMIF($A2871:$A$2965,$A2870&amp;"????",$D2871:$D$2965),VLOOKUP(IF(LEN($A2870)=4,$A2870&amp;"01 1",$A2870),GUS_tabl_21!$A$5:$F$4886,6,FALSE))))</f>
        <v>4227</v>
      </c>
      <c r="E2870" s="29"/>
    </row>
    <row r="2871" spans="1:5" ht="12" customHeight="1">
      <c r="A2871" s="155" t="str">
        <f>"320706 3"</f>
        <v>320706 3</v>
      </c>
      <c r="B2871" s="153" t="s">
        <v>41</v>
      </c>
      <c r="C2871" s="156" t="str">
        <f>IF(OR($A2871="",ISERROR(VALUE(LEFT($A2871,6)))),"",IF(LEN($A2871)=2,"WOJ. ",IF(LEN($A2871)=4,IF(VALUE(RIGHT($A2871,2))&gt;60,"","Powiat "),IF(VALUE(RIGHT($A2871,1))=1,"m. ",IF(VALUE(RIGHT($A2871,1))=2,"gm. w. ",IF(VALUE(RIGHT($A2871,1))=8,"dz. ","gm. m.-w. ")))))&amp;IF(LEN($A2871)=2,TRIM(UPPER(VLOOKUP($A2871,GUS_tabl_1!$A$7:$B$22,2,FALSE))),IF(ISERROR(FIND("..",TRIM(VLOOKUP(IF(AND(LEN($A2871)=4,VALUE(RIGHT($A2871,2))&gt;60),$A2871&amp;"01 1",$A2871),IF(AND(LEN($A2871)=4,VALUE(RIGHT($A2871,2))&lt;60),GUS_tabl_2!$A$8:$B$464,GUS_tabl_21!$A$5:$B$4886),2,FALSE)))),TRIM(VLOOKUP(IF(AND(LEN($A2871)=4,VALUE(RIGHT($A2871,2))&gt;60),$A2871&amp;"01 1",$A2871),IF(AND(LEN($A2871)=4,VALUE(RIGHT($A2871,2))&lt;60),GUS_tabl_2!$A$8:$B$464,GUS_tabl_21!$A$5:$B$4886),2,FALSE)),LEFT(TRIM(VLOOKUP(IF(AND(LEN($A2871)=4,VALUE(RIGHT($A2871,2))&gt;60),$A2871&amp;"01 1",$A2871),IF(AND(LEN($A2871)=4,VALUE(RIGHT($A2871,2))&lt;60),GUS_tabl_2!$A$8:$B$464,GUS_tabl_21!$A$5:$B$4886),2,FALSE)),SUM(FIND("..",TRIM(VLOOKUP(IF(AND(LEN($A2871)=4,VALUE(RIGHT($A2871,2))&gt;60),$A2871&amp;"01 1",$A2871),IF(AND(LEN($A2871)=4,VALUE(RIGHT($A2871,2))&lt;60),GUS_tabl_2!$A$8:$B$464,GUS_tabl_21!$A$5:$B$4886),2,FALSE))),-1)))))</f>
        <v>gm. m.-w. Wolin</v>
      </c>
      <c r="D2871" s="141">
        <f>IF(OR($A2871="",ISERROR(VALUE(LEFT($A2871,6)))),"",IF(LEN($A2871)=2,SUMIF($A2872:$A$2965,$A2871&amp;"??",$D2872:$D$2965),IF(AND(LEN($A2871)=4,VALUE(RIGHT($A2871,2))&lt;=60),SUMIF($A2872:$A$2965,$A2871&amp;"????",$D2872:$D$2965),VLOOKUP(IF(LEN($A2871)=4,$A2871&amp;"01 1",$A2871),GUS_tabl_21!$A$5:$F$4886,6,FALSE))))</f>
        <v>12115</v>
      </c>
      <c r="E2871" s="29"/>
    </row>
    <row r="2872" spans="1:5" ht="12" customHeight="1">
      <c r="A2872" s="152" t="str">
        <f>"3208"</f>
        <v>3208</v>
      </c>
      <c r="B2872" s="153" t="s">
        <v>41</v>
      </c>
      <c r="C2872" s="154" t="str">
        <f>IF(OR($A2872="",ISERROR(VALUE(LEFT($A2872,6)))),"",IF(LEN($A2872)=2,"WOJ. ",IF(LEN($A2872)=4,IF(VALUE(RIGHT($A2872,2))&gt;60,"","Powiat "),IF(VALUE(RIGHT($A2872,1))=1,"m. ",IF(VALUE(RIGHT($A2872,1))=2,"gm. w. ",IF(VALUE(RIGHT($A2872,1))=8,"dz. ","gm. m.-w. ")))))&amp;IF(LEN($A2872)=2,TRIM(UPPER(VLOOKUP($A2872,GUS_tabl_1!$A$7:$B$22,2,FALSE))),IF(ISERROR(FIND("..",TRIM(VLOOKUP(IF(AND(LEN($A2872)=4,VALUE(RIGHT($A2872,2))&gt;60),$A2872&amp;"01 1",$A2872),IF(AND(LEN($A2872)=4,VALUE(RIGHT($A2872,2))&lt;60),GUS_tabl_2!$A$8:$B$464,GUS_tabl_21!$A$5:$B$4886),2,FALSE)))),TRIM(VLOOKUP(IF(AND(LEN($A2872)=4,VALUE(RIGHT($A2872,2))&gt;60),$A2872&amp;"01 1",$A2872),IF(AND(LEN($A2872)=4,VALUE(RIGHT($A2872,2))&lt;60),GUS_tabl_2!$A$8:$B$464,GUS_tabl_21!$A$5:$B$4886),2,FALSE)),LEFT(TRIM(VLOOKUP(IF(AND(LEN($A2872)=4,VALUE(RIGHT($A2872,2))&gt;60),$A2872&amp;"01 1",$A2872),IF(AND(LEN($A2872)=4,VALUE(RIGHT($A2872,2))&lt;60),GUS_tabl_2!$A$8:$B$464,GUS_tabl_21!$A$5:$B$4886),2,FALSE)),SUM(FIND("..",TRIM(VLOOKUP(IF(AND(LEN($A2872)=4,VALUE(RIGHT($A2872,2))&gt;60),$A2872&amp;"01 1",$A2872),IF(AND(LEN($A2872)=4,VALUE(RIGHT($A2872,2))&lt;60),GUS_tabl_2!$A$8:$B$464,GUS_tabl_21!$A$5:$B$4886),2,FALSE))),-1)))))</f>
        <v>Powiat kołobrzeski</v>
      </c>
      <c r="D2872" s="140">
        <f>IF(OR($A2872="",ISERROR(VALUE(LEFT($A2872,6)))),"",IF(LEN($A2872)=2,SUMIF($A2873:$A$2965,$A2872&amp;"??",$D2873:$D$2965),IF(AND(LEN($A2872)=4,VALUE(RIGHT($A2872,2))&lt;=60),SUMIF($A2873:$A$2965,$A2872&amp;"????",$D2873:$D$2965),VLOOKUP(IF(LEN($A2872)=4,$A2872&amp;"01 1",$A2872),GUS_tabl_21!$A$5:$F$4886,6,FALSE))))</f>
        <v>79438</v>
      </c>
      <c r="E2872" s="29"/>
    </row>
    <row r="2873" spans="1:5" ht="12" customHeight="1">
      <c r="A2873" s="155" t="str">
        <f>"320801 1"</f>
        <v>320801 1</v>
      </c>
      <c r="B2873" s="153" t="s">
        <v>41</v>
      </c>
      <c r="C2873" s="156" t="str">
        <f>IF(OR($A2873="",ISERROR(VALUE(LEFT($A2873,6)))),"",IF(LEN($A2873)=2,"WOJ. ",IF(LEN($A2873)=4,IF(VALUE(RIGHT($A2873,2))&gt;60,"","Powiat "),IF(VALUE(RIGHT($A2873,1))=1,"m. ",IF(VALUE(RIGHT($A2873,1))=2,"gm. w. ",IF(VALUE(RIGHT($A2873,1))=8,"dz. ","gm. m.-w. ")))))&amp;IF(LEN($A2873)=2,TRIM(UPPER(VLOOKUP($A2873,GUS_tabl_1!$A$7:$B$22,2,FALSE))),IF(ISERROR(FIND("..",TRIM(VLOOKUP(IF(AND(LEN($A2873)=4,VALUE(RIGHT($A2873,2))&gt;60),$A2873&amp;"01 1",$A2873),IF(AND(LEN($A2873)=4,VALUE(RIGHT($A2873,2))&lt;60),GUS_tabl_2!$A$8:$B$464,GUS_tabl_21!$A$5:$B$4886),2,FALSE)))),TRIM(VLOOKUP(IF(AND(LEN($A2873)=4,VALUE(RIGHT($A2873,2))&gt;60),$A2873&amp;"01 1",$A2873),IF(AND(LEN($A2873)=4,VALUE(RIGHT($A2873,2))&lt;60),GUS_tabl_2!$A$8:$B$464,GUS_tabl_21!$A$5:$B$4886),2,FALSE)),LEFT(TRIM(VLOOKUP(IF(AND(LEN($A2873)=4,VALUE(RIGHT($A2873,2))&gt;60),$A2873&amp;"01 1",$A2873),IF(AND(LEN($A2873)=4,VALUE(RIGHT($A2873,2))&lt;60),GUS_tabl_2!$A$8:$B$464,GUS_tabl_21!$A$5:$B$4886),2,FALSE)),SUM(FIND("..",TRIM(VLOOKUP(IF(AND(LEN($A2873)=4,VALUE(RIGHT($A2873,2))&gt;60),$A2873&amp;"01 1",$A2873),IF(AND(LEN($A2873)=4,VALUE(RIGHT($A2873,2))&lt;60),GUS_tabl_2!$A$8:$B$464,GUS_tabl_21!$A$5:$B$4886),2,FALSE))),-1)))))</f>
        <v>m. Kołobrzeg (b)</v>
      </c>
      <c r="D2873" s="141">
        <f>IF(OR($A2873="",ISERROR(VALUE(LEFT($A2873,6)))),"",IF(LEN($A2873)=2,SUMIF($A2874:$A$2965,$A2873&amp;"??",$D2874:$D$2965),IF(AND(LEN($A2873)=4,VALUE(RIGHT($A2873,2))&lt;=60),SUMIF($A2874:$A$2965,$A2873&amp;"????",$D2874:$D$2965),VLOOKUP(IF(LEN($A2873)=4,$A2873&amp;"01 1",$A2873),GUS_tabl_21!$A$5:$F$4886,6,FALSE))))</f>
        <v>46259</v>
      </c>
      <c r="E2873" s="29"/>
    </row>
    <row r="2874" spans="1:5" ht="12" customHeight="1">
      <c r="A2874" s="155" t="str">
        <f>"320802 2"</f>
        <v>320802 2</v>
      </c>
      <c r="B2874" s="153" t="s">
        <v>41</v>
      </c>
      <c r="C2874" s="156" t="str">
        <f>IF(OR($A2874="",ISERROR(VALUE(LEFT($A2874,6)))),"",IF(LEN($A2874)=2,"WOJ. ",IF(LEN($A2874)=4,IF(VALUE(RIGHT($A2874,2))&gt;60,"","Powiat "),IF(VALUE(RIGHT($A2874,1))=1,"m. ",IF(VALUE(RIGHT($A2874,1))=2,"gm. w. ",IF(VALUE(RIGHT($A2874,1))=8,"dz. ","gm. m.-w. ")))))&amp;IF(LEN($A2874)=2,TRIM(UPPER(VLOOKUP($A2874,GUS_tabl_1!$A$7:$B$22,2,FALSE))),IF(ISERROR(FIND("..",TRIM(VLOOKUP(IF(AND(LEN($A2874)=4,VALUE(RIGHT($A2874,2))&gt;60),$A2874&amp;"01 1",$A2874),IF(AND(LEN($A2874)=4,VALUE(RIGHT($A2874,2))&lt;60),GUS_tabl_2!$A$8:$B$464,GUS_tabl_21!$A$5:$B$4886),2,FALSE)))),TRIM(VLOOKUP(IF(AND(LEN($A2874)=4,VALUE(RIGHT($A2874,2))&gt;60),$A2874&amp;"01 1",$A2874),IF(AND(LEN($A2874)=4,VALUE(RIGHT($A2874,2))&lt;60),GUS_tabl_2!$A$8:$B$464,GUS_tabl_21!$A$5:$B$4886),2,FALSE)),LEFT(TRIM(VLOOKUP(IF(AND(LEN($A2874)=4,VALUE(RIGHT($A2874,2))&gt;60),$A2874&amp;"01 1",$A2874),IF(AND(LEN($A2874)=4,VALUE(RIGHT($A2874,2))&lt;60),GUS_tabl_2!$A$8:$B$464,GUS_tabl_21!$A$5:$B$4886),2,FALSE)),SUM(FIND("..",TRIM(VLOOKUP(IF(AND(LEN($A2874)=4,VALUE(RIGHT($A2874,2))&gt;60),$A2874&amp;"01 1",$A2874),IF(AND(LEN($A2874)=4,VALUE(RIGHT($A2874,2))&lt;60),GUS_tabl_2!$A$8:$B$464,GUS_tabl_21!$A$5:$B$4886),2,FALSE))),-1)))))</f>
        <v>gm. w. Dygowo</v>
      </c>
      <c r="D2874" s="141">
        <f>IF(OR($A2874="",ISERROR(VALUE(LEFT($A2874,6)))),"",IF(LEN($A2874)=2,SUMIF($A2875:$A$2965,$A2874&amp;"??",$D2875:$D$2965),IF(AND(LEN($A2874)=4,VALUE(RIGHT($A2874,2))&lt;=60),SUMIF($A2875:$A$2965,$A2874&amp;"????",$D2875:$D$2965),VLOOKUP(IF(LEN($A2874)=4,$A2874&amp;"01 1",$A2874),GUS_tabl_21!$A$5:$F$4886,6,FALSE))))</f>
        <v>5592</v>
      </c>
      <c r="E2874" s="29"/>
    </row>
    <row r="2875" spans="1:5" ht="12" customHeight="1">
      <c r="A2875" s="155" t="str">
        <f>"320803 3"</f>
        <v>320803 3</v>
      </c>
      <c r="B2875" s="153" t="s">
        <v>41</v>
      </c>
      <c r="C2875" s="156" t="str">
        <f>IF(OR($A2875="",ISERROR(VALUE(LEFT($A2875,6)))),"",IF(LEN($A2875)=2,"WOJ. ",IF(LEN($A2875)=4,IF(VALUE(RIGHT($A2875,2))&gt;60,"","Powiat "),IF(VALUE(RIGHT($A2875,1))=1,"m. ",IF(VALUE(RIGHT($A2875,1))=2,"gm. w. ",IF(VALUE(RIGHT($A2875,1))=8,"dz. ","gm. m.-w. ")))))&amp;IF(LEN($A2875)=2,TRIM(UPPER(VLOOKUP($A2875,GUS_tabl_1!$A$7:$B$22,2,FALSE))),IF(ISERROR(FIND("..",TRIM(VLOOKUP(IF(AND(LEN($A2875)=4,VALUE(RIGHT($A2875,2))&gt;60),$A2875&amp;"01 1",$A2875),IF(AND(LEN($A2875)=4,VALUE(RIGHT($A2875,2))&lt;60),GUS_tabl_2!$A$8:$B$464,GUS_tabl_21!$A$5:$B$4886),2,FALSE)))),TRIM(VLOOKUP(IF(AND(LEN($A2875)=4,VALUE(RIGHT($A2875,2))&gt;60),$A2875&amp;"01 1",$A2875),IF(AND(LEN($A2875)=4,VALUE(RIGHT($A2875,2))&lt;60),GUS_tabl_2!$A$8:$B$464,GUS_tabl_21!$A$5:$B$4886),2,FALSE)),LEFT(TRIM(VLOOKUP(IF(AND(LEN($A2875)=4,VALUE(RIGHT($A2875,2))&gt;60),$A2875&amp;"01 1",$A2875),IF(AND(LEN($A2875)=4,VALUE(RIGHT($A2875,2))&lt;60),GUS_tabl_2!$A$8:$B$464,GUS_tabl_21!$A$5:$B$4886),2,FALSE)),SUM(FIND("..",TRIM(VLOOKUP(IF(AND(LEN($A2875)=4,VALUE(RIGHT($A2875,2))&gt;60),$A2875&amp;"01 1",$A2875),IF(AND(LEN($A2875)=4,VALUE(RIGHT($A2875,2))&lt;60),GUS_tabl_2!$A$8:$B$464,GUS_tabl_21!$A$5:$B$4886),2,FALSE))),-1)))))</f>
        <v>gm. m.-w. Gościno</v>
      </c>
      <c r="D2875" s="141">
        <f>IF(OR($A2875="",ISERROR(VALUE(LEFT($A2875,6)))),"",IF(LEN($A2875)=2,SUMIF($A2876:$A$2965,$A2875&amp;"??",$D2876:$D$2965),IF(AND(LEN($A2875)=4,VALUE(RIGHT($A2875,2))&lt;=60),SUMIF($A2876:$A$2965,$A2875&amp;"????",$D2876:$D$2965),VLOOKUP(IF(LEN($A2875)=4,$A2875&amp;"01 1",$A2875),GUS_tabl_21!$A$5:$F$4886,6,FALSE))))</f>
        <v>5138</v>
      </c>
      <c r="E2875" s="29"/>
    </row>
    <row r="2876" spans="1:5" ht="12" customHeight="1">
      <c r="A2876" s="155" t="str">
        <f>"320804 2"</f>
        <v>320804 2</v>
      </c>
      <c r="B2876" s="153" t="s">
        <v>41</v>
      </c>
      <c r="C2876" s="156" t="str">
        <f>IF(OR($A2876="",ISERROR(VALUE(LEFT($A2876,6)))),"",IF(LEN($A2876)=2,"WOJ. ",IF(LEN($A2876)=4,IF(VALUE(RIGHT($A2876,2))&gt;60,"","Powiat "),IF(VALUE(RIGHT($A2876,1))=1,"m. ",IF(VALUE(RIGHT($A2876,1))=2,"gm. w. ",IF(VALUE(RIGHT($A2876,1))=8,"dz. ","gm. m.-w. ")))))&amp;IF(LEN($A2876)=2,TRIM(UPPER(VLOOKUP($A2876,GUS_tabl_1!$A$7:$B$22,2,FALSE))),IF(ISERROR(FIND("..",TRIM(VLOOKUP(IF(AND(LEN($A2876)=4,VALUE(RIGHT($A2876,2))&gt;60),$A2876&amp;"01 1",$A2876),IF(AND(LEN($A2876)=4,VALUE(RIGHT($A2876,2))&lt;60),GUS_tabl_2!$A$8:$B$464,GUS_tabl_21!$A$5:$B$4886),2,FALSE)))),TRIM(VLOOKUP(IF(AND(LEN($A2876)=4,VALUE(RIGHT($A2876,2))&gt;60),$A2876&amp;"01 1",$A2876),IF(AND(LEN($A2876)=4,VALUE(RIGHT($A2876,2))&lt;60),GUS_tabl_2!$A$8:$B$464,GUS_tabl_21!$A$5:$B$4886),2,FALSE)),LEFT(TRIM(VLOOKUP(IF(AND(LEN($A2876)=4,VALUE(RIGHT($A2876,2))&gt;60),$A2876&amp;"01 1",$A2876),IF(AND(LEN($A2876)=4,VALUE(RIGHT($A2876,2))&lt;60),GUS_tabl_2!$A$8:$B$464,GUS_tabl_21!$A$5:$B$4886),2,FALSE)),SUM(FIND("..",TRIM(VLOOKUP(IF(AND(LEN($A2876)=4,VALUE(RIGHT($A2876,2))&gt;60),$A2876&amp;"01 1",$A2876),IF(AND(LEN($A2876)=4,VALUE(RIGHT($A2876,2))&lt;60),GUS_tabl_2!$A$8:$B$464,GUS_tabl_21!$A$5:$B$4886),2,FALSE))),-1)))))</f>
        <v>gm. w. Kołobrzeg</v>
      </c>
      <c r="D2876" s="141">
        <f>IF(OR($A2876="",ISERROR(VALUE(LEFT($A2876,6)))),"",IF(LEN($A2876)=2,SUMIF($A2877:$A$2965,$A2876&amp;"??",$D2877:$D$2965),IF(AND(LEN($A2876)=4,VALUE(RIGHT($A2876,2))&lt;=60),SUMIF($A2877:$A$2965,$A2876&amp;"????",$D2877:$D$2965),VLOOKUP(IF(LEN($A2876)=4,$A2876&amp;"01 1",$A2876),GUS_tabl_21!$A$5:$F$4886,6,FALSE))))</f>
        <v>10982</v>
      </c>
      <c r="E2876" s="29"/>
    </row>
    <row r="2877" spans="1:5" ht="12" customHeight="1">
      <c r="A2877" s="155" t="str">
        <f>"320805 2"</f>
        <v>320805 2</v>
      </c>
      <c r="B2877" s="153" t="s">
        <v>41</v>
      </c>
      <c r="C2877" s="156" t="str">
        <f>IF(OR($A2877="",ISERROR(VALUE(LEFT($A2877,6)))),"",IF(LEN($A2877)=2,"WOJ. ",IF(LEN($A2877)=4,IF(VALUE(RIGHT($A2877,2))&gt;60,"","Powiat "),IF(VALUE(RIGHT($A2877,1))=1,"m. ",IF(VALUE(RIGHT($A2877,1))=2,"gm. w. ",IF(VALUE(RIGHT($A2877,1))=8,"dz. ","gm. m.-w. ")))))&amp;IF(LEN($A2877)=2,TRIM(UPPER(VLOOKUP($A2877,GUS_tabl_1!$A$7:$B$22,2,FALSE))),IF(ISERROR(FIND("..",TRIM(VLOOKUP(IF(AND(LEN($A2877)=4,VALUE(RIGHT($A2877,2))&gt;60),$A2877&amp;"01 1",$A2877),IF(AND(LEN($A2877)=4,VALUE(RIGHT($A2877,2))&lt;60),GUS_tabl_2!$A$8:$B$464,GUS_tabl_21!$A$5:$B$4886),2,FALSE)))),TRIM(VLOOKUP(IF(AND(LEN($A2877)=4,VALUE(RIGHT($A2877,2))&gt;60),$A2877&amp;"01 1",$A2877),IF(AND(LEN($A2877)=4,VALUE(RIGHT($A2877,2))&lt;60),GUS_tabl_2!$A$8:$B$464,GUS_tabl_21!$A$5:$B$4886),2,FALSE)),LEFT(TRIM(VLOOKUP(IF(AND(LEN($A2877)=4,VALUE(RIGHT($A2877,2))&gt;60),$A2877&amp;"01 1",$A2877),IF(AND(LEN($A2877)=4,VALUE(RIGHT($A2877,2))&lt;60),GUS_tabl_2!$A$8:$B$464,GUS_tabl_21!$A$5:$B$4886),2,FALSE)),SUM(FIND("..",TRIM(VLOOKUP(IF(AND(LEN($A2877)=4,VALUE(RIGHT($A2877,2))&gt;60),$A2877&amp;"01 1",$A2877),IF(AND(LEN($A2877)=4,VALUE(RIGHT($A2877,2))&lt;60),GUS_tabl_2!$A$8:$B$464,GUS_tabl_21!$A$5:$B$4886),2,FALSE))),-1)))))</f>
        <v>gm. w. Rymań</v>
      </c>
      <c r="D2877" s="141">
        <f>IF(OR($A2877="",ISERROR(VALUE(LEFT($A2877,6)))),"",IF(LEN($A2877)=2,SUMIF($A2878:$A$2965,$A2877&amp;"??",$D2878:$D$2965),IF(AND(LEN($A2877)=4,VALUE(RIGHT($A2877,2))&lt;=60),SUMIF($A2878:$A$2965,$A2877&amp;"????",$D2878:$D$2965),VLOOKUP(IF(LEN($A2877)=4,$A2877&amp;"01 1",$A2877),GUS_tabl_21!$A$5:$F$4886,6,FALSE))))</f>
        <v>3929</v>
      </c>
      <c r="E2877" s="29"/>
    </row>
    <row r="2878" spans="1:5" ht="12" customHeight="1">
      <c r="A2878" s="155" t="str">
        <f>"320806 2"</f>
        <v>320806 2</v>
      </c>
      <c r="B2878" s="153" t="s">
        <v>41</v>
      </c>
      <c r="C2878" s="156" t="str">
        <f>IF(OR($A2878="",ISERROR(VALUE(LEFT($A2878,6)))),"",IF(LEN($A2878)=2,"WOJ. ",IF(LEN($A2878)=4,IF(VALUE(RIGHT($A2878,2))&gt;60,"","Powiat "),IF(VALUE(RIGHT($A2878,1))=1,"m. ",IF(VALUE(RIGHT($A2878,1))=2,"gm. w. ",IF(VALUE(RIGHT($A2878,1))=8,"dz. ","gm. m.-w. ")))))&amp;IF(LEN($A2878)=2,TRIM(UPPER(VLOOKUP($A2878,GUS_tabl_1!$A$7:$B$22,2,FALSE))),IF(ISERROR(FIND("..",TRIM(VLOOKUP(IF(AND(LEN($A2878)=4,VALUE(RIGHT($A2878,2))&gt;60),$A2878&amp;"01 1",$A2878),IF(AND(LEN($A2878)=4,VALUE(RIGHT($A2878,2))&lt;60),GUS_tabl_2!$A$8:$B$464,GUS_tabl_21!$A$5:$B$4886),2,FALSE)))),TRIM(VLOOKUP(IF(AND(LEN($A2878)=4,VALUE(RIGHT($A2878,2))&gt;60),$A2878&amp;"01 1",$A2878),IF(AND(LEN($A2878)=4,VALUE(RIGHT($A2878,2))&lt;60),GUS_tabl_2!$A$8:$B$464,GUS_tabl_21!$A$5:$B$4886),2,FALSE)),LEFT(TRIM(VLOOKUP(IF(AND(LEN($A2878)=4,VALUE(RIGHT($A2878,2))&gt;60),$A2878&amp;"01 1",$A2878),IF(AND(LEN($A2878)=4,VALUE(RIGHT($A2878,2))&lt;60),GUS_tabl_2!$A$8:$B$464,GUS_tabl_21!$A$5:$B$4886),2,FALSE)),SUM(FIND("..",TRIM(VLOOKUP(IF(AND(LEN($A2878)=4,VALUE(RIGHT($A2878,2))&gt;60),$A2878&amp;"01 1",$A2878),IF(AND(LEN($A2878)=4,VALUE(RIGHT($A2878,2))&lt;60),GUS_tabl_2!$A$8:$B$464,GUS_tabl_21!$A$5:$B$4886),2,FALSE))),-1)))))</f>
        <v>gm. w. Siemyśl</v>
      </c>
      <c r="D2878" s="141">
        <f>IF(OR($A2878="",ISERROR(VALUE(LEFT($A2878,6)))),"",IF(LEN($A2878)=2,SUMIF($A2879:$A$2965,$A2878&amp;"??",$D2879:$D$2965),IF(AND(LEN($A2878)=4,VALUE(RIGHT($A2878,2))&lt;=60),SUMIF($A2879:$A$2965,$A2878&amp;"????",$D2879:$D$2965),VLOOKUP(IF(LEN($A2878)=4,$A2878&amp;"01 1",$A2878),GUS_tabl_21!$A$5:$F$4886,6,FALSE))))</f>
        <v>3853</v>
      </c>
      <c r="E2878" s="29"/>
    </row>
    <row r="2879" spans="1:5" ht="12" customHeight="1">
      <c r="A2879" s="155" t="str">
        <f>"320807 2"</f>
        <v>320807 2</v>
      </c>
      <c r="B2879" s="153" t="s">
        <v>41</v>
      </c>
      <c r="C2879" s="156" t="str">
        <f>IF(OR($A2879="",ISERROR(VALUE(LEFT($A2879,6)))),"",IF(LEN($A2879)=2,"WOJ. ",IF(LEN($A2879)=4,IF(VALUE(RIGHT($A2879,2))&gt;60,"","Powiat "),IF(VALUE(RIGHT($A2879,1))=1,"m. ",IF(VALUE(RIGHT($A2879,1))=2,"gm. w. ",IF(VALUE(RIGHT($A2879,1))=8,"dz. ","gm. m.-w. ")))))&amp;IF(LEN($A2879)=2,TRIM(UPPER(VLOOKUP($A2879,GUS_tabl_1!$A$7:$B$22,2,FALSE))),IF(ISERROR(FIND("..",TRIM(VLOOKUP(IF(AND(LEN($A2879)=4,VALUE(RIGHT($A2879,2))&gt;60),$A2879&amp;"01 1",$A2879),IF(AND(LEN($A2879)=4,VALUE(RIGHT($A2879,2))&lt;60),GUS_tabl_2!$A$8:$B$464,GUS_tabl_21!$A$5:$B$4886),2,FALSE)))),TRIM(VLOOKUP(IF(AND(LEN($A2879)=4,VALUE(RIGHT($A2879,2))&gt;60),$A2879&amp;"01 1",$A2879),IF(AND(LEN($A2879)=4,VALUE(RIGHT($A2879,2))&lt;60),GUS_tabl_2!$A$8:$B$464,GUS_tabl_21!$A$5:$B$4886),2,FALSE)),LEFT(TRIM(VLOOKUP(IF(AND(LEN($A2879)=4,VALUE(RIGHT($A2879,2))&gt;60),$A2879&amp;"01 1",$A2879),IF(AND(LEN($A2879)=4,VALUE(RIGHT($A2879,2))&lt;60),GUS_tabl_2!$A$8:$B$464,GUS_tabl_21!$A$5:$B$4886),2,FALSE)),SUM(FIND("..",TRIM(VLOOKUP(IF(AND(LEN($A2879)=4,VALUE(RIGHT($A2879,2))&gt;60),$A2879&amp;"01 1",$A2879),IF(AND(LEN($A2879)=4,VALUE(RIGHT($A2879,2))&lt;60),GUS_tabl_2!$A$8:$B$464,GUS_tabl_21!$A$5:$B$4886),2,FALSE))),-1)))))</f>
        <v>gm. w. Ustronie Morskie</v>
      </c>
      <c r="D2879" s="141">
        <f>IF(OR($A2879="",ISERROR(VALUE(LEFT($A2879,6)))),"",IF(LEN($A2879)=2,SUMIF($A2880:$A$2965,$A2879&amp;"??",$D2880:$D$2965),IF(AND(LEN($A2879)=4,VALUE(RIGHT($A2879,2))&lt;=60),SUMIF($A2880:$A$2965,$A2879&amp;"????",$D2880:$D$2965),VLOOKUP(IF(LEN($A2879)=4,$A2879&amp;"01 1",$A2879),GUS_tabl_21!$A$5:$F$4886,6,FALSE))))</f>
        <v>3685</v>
      </c>
      <c r="E2879" s="29"/>
    </row>
    <row r="2880" spans="1:5" ht="12" customHeight="1">
      <c r="A2880" s="152" t="str">
        <f>"3209"</f>
        <v>3209</v>
      </c>
      <c r="B2880" s="153" t="s">
        <v>41</v>
      </c>
      <c r="C2880" s="154" t="str">
        <f>IF(OR($A2880="",ISERROR(VALUE(LEFT($A2880,6)))),"",IF(LEN($A2880)=2,"WOJ. ",IF(LEN($A2880)=4,IF(VALUE(RIGHT($A2880,2))&gt;60,"","Powiat "),IF(VALUE(RIGHT($A2880,1))=1,"m. ",IF(VALUE(RIGHT($A2880,1))=2,"gm. w. ",IF(VALUE(RIGHT($A2880,1))=8,"dz. ","gm. m.-w. ")))))&amp;IF(LEN($A2880)=2,TRIM(UPPER(VLOOKUP($A2880,GUS_tabl_1!$A$7:$B$22,2,FALSE))),IF(ISERROR(FIND("..",TRIM(VLOOKUP(IF(AND(LEN($A2880)=4,VALUE(RIGHT($A2880,2))&gt;60),$A2880&amp;"01 1",$A2880),IF(AND(LEN($A2880)=4,VALUE(RIGHT($A2880,2))&lt;60),GUS_tabl_2!$A$8:$B$464,GUS_tabl_21!$A$5:$B$4886),2,FALSE)))),TRIM(VLOOKUP(IF(AND(LEN($A2880)=4,VALUE(RIGHT($A2880,2))&gt;60),$A2880&amp;"01 1",$A2880),IF(AND(LEN($A2880)=4,VALUE(RIGHT($A2880,2))&lt;60),GUS_tabl_2!$A$8:$B$464,GUS_tabl_21!$A$5:$B$4886),2,FALSE)),LEFT(TRIM(VLOOKUP(IF(AND(LEN($A2880)=4,VALUE(RIGHT($A2880,2))&gt;60),$A2880&amp;"01 1",$A2880),IF(AND(LEN($A2880)=4,VALUE(RIGHT($A2880,2))&lt;60),GUS_tabl_2!$A$8:$B$464,GUS_tabl_21!$A$5:$B$4886),2,FALSE)),SUM(FIND("..",TRIM(VLOOKUP(IF(AND(LEN($A2880)=4,VALUE(RIGHT($A2880,2))&gt;60),$A2880&amp;"01 1",$A2880),IF(AND(LEN($A2880)=4,VALUE(RIGHT($A2880,2))&lt;60),GUS_tabl_2!$A$8:$B$464,GUS_tabl_21!$A$5:$B$4886),2,FALSE))),-1)))))</f>
        <v>Powiat koszaliński</v>
      </c>
      <c r="D2880" s="140">
        <f>IF(OR($A2880="",ISERROR(VALUE(LEFT($A2880,6)))),"",IF(LEN($A2880)=2,SUMIF($A2881:$A$2965,$A2880&amp;"??",$D2881:$D$2965),IF(AND(LEN($A2880)=4,VALUE(RIGHT($A2880,2))&lt;=60),SUMIF($A2881:$A$2965,$A2880&amp;"????",$D2881:$D$2965),VLOOKUP(IF(LEN($A2880)=4,$A2880&amp;"01 1",$A2880),GUS_tabl_21!$A$5:$F$4886,6,FALSE))))</f>
        <v>66480</v>
      </c>
      <c r="E2880" s="29"/>
    </row>
    <row r="2881" spans="1:5" ht="12" customHeight="1">
      <c r="A2881" s="155" t="str">
        <f>"320901 2"</f>
        <v>320901 2</v>
      </c>
      <c r="B2881" s="153" t="s">
        <v>41</v>
      </c>
      <c r="C2881" s="156" t="str">
        <f>IF(OR($A2881="",ISERROR(VALUE(LEFT($A2881,6)))),"",IF(LEN($A2881)=2,"WOJ. ",IF(LEN($A2881)=4,IF(VALUE(RIGHT($A2881,2))&gt;60,"","Powiat "),IF(VALUE(RIGHT($A2881,1))=1,"m. ",IF(VALUE(RIGHT($A2881,1))=2,"gm. w. ",IF(VALUE(RIGHT($A2881,1))=8,"dz. ","gm. m.-w. ")))))&amp;IF(LEN($A2881)=2,TRIM(UPPER(VLOOKUP($A2881,GUS_tabl_1!$A$7:$B$22,2,FALSE))),IF(ISERROR(FIND("..",TRIM(VLOOKUP(IF(AND(LEN($A2881)=4,VALUE(RIGHT($A2881,2))&gt;60),$A2881&amp;"01 1",$A2881),IF(AND(LEN($A2881)=4,VALUE(RIGHT($A2881,2))&lt;60),GUS_tabl_2!$A$8:$B$464,GUS_tabl_21!$A$5:$B$4886),2,FALSE)))),TRIM(VLOOKUP(IF(AND(LEN($A2881)=4,VALUE(RIGHT($A2881,2))&gt;60),$A2881&amp;"01 1",$A2881),IF(AND(LEN($A2881)=4,VALUE(RIGHT($A2881,2))&lt;60),GUS_tabl_2!$A$8:$B$464,GUS_tabl_21!$A$5:$B$4886),2,FALSE)),LEFT(TRIM(VLOOKUP(IF(AND(LEN($A2881)=4,VALUE(RIGHT($A2881,2))&gt;60),$A2881&amp;"01 1",$A2881),IF(AND(LEN($A2881)=4,VALUE(RIGHT($A2881,2))&lt;60),GUS_tabl_2!$A$8:$B$464,GUS_tabl_21!$A$5:$B$4886),2,FALSE)),SUM(FIND("..",TRIM(VLOOKUP(IF(AND(LEN($A2881)=4,VALUE(RIGHT($A2881,2))&gt;60),$A2881&amp;"01 1",$A2881),IF(AND(LEN($A2881)=4,VALUE(RIGHT($A2881,2))&lt;60),GUS_tabl_2!$A$8:$B$464,GUS_tabl_21!$A$5:$B$4886),2,FALSE))),-1)))))</f>
        <v>gm. w. Będzino</v>
      </c>
      <c r="D2881" s="141">
        <f>IF(OR($A2881="",ISERROR(VALUE(LEFT($A2881,6)))),"",IF(LEN($A2881)=2,SUMIF($A2882:$A$2965,$A2881&amp;"??",$D2882:$D$2965),IF(AND(LEN($A2881)=4,VALUE(RIGHT($A2881,2))&lt;=60),SUMIF($A2882:$A$2965,$A2881&amp;"????",$D2882:$D$2965),VLOOKUP(IF(LEN($A2881)=4,$A2881&amp;"01 1",$A2881),GUS_tabl_21!$A$5:$F$4886,6,FALSE))))</f>
        <v>8659</v>
      </c>
      <c r="E2881" s="29"/>
    </row>
    <row r="2882" spans="1:5" ht="12" customHeight="1">
      <c r="A2882" s="155" t="str">
        <f>"320902 2"</f>
        <v>320902 2</v>
      </c>
      <c r="B2882" s="153" t="s">
        <v>41</v>
      </c>
      <c r="C2882" s="156" t="str">
        <f>IF(OR($A2882="",ISERROR(VALUE(LEFT($A2882,6)))),"",IF(LEN($A2882)=2,"WOJ. ",IF(LEN($A2882)=4,IF(VALUE(RIGHT($A2882,2))&gt;60,"","Powiat "),IF(VALUE(RIGHT($A2882,1))=1,"m. ",IF(VALUE(RIGHT($A2882,1))=2,"gm. w. ",IF(VALUE(RIGHT($A2882,1))=8,"dz. ","gm. m.-w. ")))))&amp;IF(LEN($A2882)=2,TRIM(UPPER(VLOOKUP($A2882,GUS_tabl_1!$A$7:$B$22,2,FALSE))),IF(ISERROR(FIND("..",TRIM(VLOOKUP(IF(AND(LEN($A2882)=4,VALUE(RIGHT($A2882,2))&gt;60),$A2882&amp;"01 1",$A2882),IF(AND(LEN($A2882)=4,VALUE(RIGHT($A2882,2))&lt;60),GUS_tabl_2!$A$8:$B$464,GUS_tabl_21!$A$5:$B$4886),2,FALSE)))),TRIM(VLOOKUP(IF(AND(LEN($A2882)=4,VALUE(RIGHT($A2882,2))&gt;60),$A2882&amp;"01 1",$A2882),IF(AND(LEN($A2882)=4,VALUE(RIGHT($A2882,2))&lt;60),GUS_tabl_2!$A$8:$B$464,GUS_tabl_21!$A$5:$B$4886),2,FALSE)),LEFT(TRIM(VLOOKUP(IF(AND(LEN($A2882)=4,VALUE(RIGHT($A2882,2))&gt;60),$A2882&amp;"01 1",$A2882),IF(AND(LEN($A2882)=4,VALUE(RIGHT($A2882,2))&lt;60),GUS_tabl_2!$A$8:$B$464,GUS_tabl_21!$A$5:$B$4886),2,FALSE)),SUM(FIND("..",TRIM(VLOOKUP(IF(AND(LEN($A2882)=4,VALUE(RIGHT($A2882,2))&gt;60),$A2882&amp;"01 1",$A2882),IF(AND(LEN($A2882)=4,VALUE(RIGHT($A2882,2))&lt;60),GUS_tabl_2!$A$8:$B$464,GUS_tabl_21!$A$5:$B$4886),2,FALSE))),-1)))))</f>
        <v>gm. w. Biesiekierz</v>
      </c>
      <c r="D2882" s="141">
        <f>IF(OR($A2882="",ISERROR(VALUE(LEFT($A2882,6)))),"",IF(LEN($A2882)=2,SUMIF($A2883:$A$2965,$A2882&amp;"??",$D2883:$D$2965),IF(AND(LEN($A2882)=4,VALUE(RIGHT($A2882,2))&lt;=60),SUMIF($A2883:$A$2965,$A2882&amp;"????",$D2883:$D$2965),VLOOKUP(IF(LEN($A2882)=4,$A2882&amp;"01 1",$A2882),GUS_tabl_21!$A$5:$F$4886,6,FALSE))))</f>
        <v>7154</v>
      </c>
      <c r="E2882" s="29"/>
    </row>
    <row r="2883" spans="1:5" ht="12" customHeight="1">
      <c r="A2883" s="155" t="str">
        <f>"320903 3"</f>
        <v>320903 3</v>
      </c>
      <c r="B2883" s="153" t="s">
        <v>41</v>
      </c>
      <c r="C2883" s="156" t="str">
        <f>IF(OR($A2883="",ISERROR(VALUE(LEFT($A2883,6)))),"",IF(LEN($A2883)=2,"WOJ. ",IF(LEN($A2883)=4,IF(VALUE(RIGHT($A2883,2))&gt;60,"","Powiat "),IF(VALUE(RIGHT($A2883,1))=1,"m. ",IF(VALUE(RIGHT($A2883,1))=2,"gm. w. ",IF(VALUE(RIGHT($A2883,1))=8,"dz. ","gm. m.-w. ")))))&amp;IF(LEN($A2883)=2,TRIM(UPPER(VLOOKUP($A2883,GUS_tabl_1!$A$7:$B$22,2,FALSE))),IF(ISERROR(FIND("..",TRIM(VLOOKUP(IF(AND(LEN($A2883)=4,VALUE(RIGHT($A2883,2))&gt;60),$A2883&amp;"01 1",$A2883),IF(AND(LEN($A2883)=4,VALUE(RIGHT($A2883,2))&lt;60),GUS_tabl_2!$A$8:$B$464,GUS_tabl_21!$A$5:$B$4886),2,FALSE)))),TRIM(VLOOKUP(IF(AND(LEN($A2883)=4,VALUE(RIGHT($A2883,2))&gt;60),$A2883&amp;"01 1",$A2883),IF(AND(LEN($A2883)=4,VALUE(RIGHT($A2883,2))&lt;60),GUS_tabl_2!$A$8:$B$464,GUS_tabl_21!$A$5:$B$4886),2,FALSE)),LEFT(TRIM(VLOOKUP(IF(AND(LEN($A2883)=4,VALUE(RIGHT($A2883,2))&gt;60),$A2883&amp;"01 1",$A2883),IF(AND(LEN($A2883)=4,VALUE(RIGHT($A2883,2))&lt;60),GUS_tabl_2!$A$8:$B$464,GUS_tabl_21!$A$5:$B$4886),2,FALSE)),SUM(FIND("..",TRIM(VLOOKUP(IF(AND(LEN($A2883)=4,VALUE(RIGHT($A2883,2))&gt;60),$A2883&amp;"01 1",$A2883),IF(AND(LEN($A2883)=4,VALUE(RIGHT($A2883,2))&lt;60),GUS_tabl_2!$A$8:$B$464,GUS_tabl_21!$A$5:$B$4886),2,FALSE))),-1)))))</f>
        <v>gm. m.-w. Bobolice</v>
      </c>
      <c r="D2883" s="141">
        <f>IF(OR($A2883="",ISERROR(VALUE(LEFT($A2883,6)))),"",IF(LEN($A2883)=2,SUMIF($A2884:$A$2965,$A2883&amp;"??",$D2884:$D$2965),IF(AND(LEN($A2883)=4,VALUE(RIGHT($A2883,2))&lt;=60),SUMIF($A2884:$A$2965,$A2883&amp;"????",$D2884:$D$2965),VLOOKUP(IF(LEN($A2883)=4,$A2883&amp;"01 1",$A2883),GUS_tabl_21!$A$5:$F$4886,6,FALSE))))</f>
        <v>8898</v>
      </c>
      <c r="E2883" s="29"/>
    </row>
    <row r="2884" spans="1:5" ht="12" customHeight="1">
      <c r="A2884" s="155" t="str">
        <f>"320904 2"</f>
        <v>320904 2</v>
      </c>
      <c r="B2884" s="153" t="s">
        <v>41</v>
      </c>
      <c r="C2884" s="156" t="str">
        <f>IF(OR($A2884="",ISERROR(VALUE(LEFT($A2884,6)))),"",IF(LEN($A2884)=2,"WOJ. ",IF(LEN($A2884)=4,IF(VALUE(RIGHT($A2884,2))&gt;60,"","Powiat "),IF(VALUE(RIGHT($A2884,1))=1,"m. ",IF(VALUE(RIGHT($A2884,1))=2,"gm. w. ",IF(VALUE(RIGHT($A2884,1))=8,"dz. ","gm. m.-w. ")))))&amp;IF(LEN($A2884)=2,TRIM(UPPER(VLOOKUP($A2884,GUS_tabl_1!$A$7:$B$22,2,FALSE))),IF(ISERROR(FIND("..",TRIM(VLOOKUP(IF(AND(LEN($A2884)=4,VALUE(RIGHT($A2884,2))&gt;60),$A2884&amp;"01 1",$A2884),IF(AND(LEN($A2884)=4,VALUE(RIGHT($A2884,2))&lt;60),GUS_tabl_2!$A$8:$B$464,GUS_tabl_21!$A$5:$B$4886),2,FALSE)))),TRIM(VLOOKUP(IF(AND(LEN($A2884)=4,VALUE(RIGHT($A2884,2))&gt;60),$A2884&amp;"01 1",$A2884),IF(AND(LEN($A2884)=4,VALUE(RIGHT($A2884,2))&lt;60),GUS_tabl_2!$A$8:$B$464,GUS_tabl_21!$A$5:$B$4886),2,FALSE)),LEFT(TRIM(VLOOKUP(IF(AND(LEN($A2884)=4,VALUE(RIGHT($A2884,2))&gt;60),$A2884&amp;"01 1",$A2884),IF(AND(LEN($A2884)=4,VALUE(RIGHT($A2884,2))&lt;60),GUS_tabl_2!$A$8:$B$464,GUS_tabl_21!$A$5:$B$4886),2,FALSE)),SUM(FIND("..",TRIM(VLOOKUP(IF(AND(LEN($A2884)=4,VALUE(RIGHT($A2884,2))&gt;60),$A2884&amp;"01 1",$A2884),IF(AND(LEN($A2884)=4,VALUE(RIGHT($A2884,2))&lt;60),GUS_tabl_2!$A$8:$B$464,GUS_tabl_21!$A$5:$B$4886),2,FALSE))),-1)))))</f>
        <v>gm. w. Manowo</v>
      </c>
      <c r="D2884" s="141">
        <f>IF(OR($A2884="",ISERROR(VALUE(LEFT($A2884,6)))),"",IF(LEN($A2884)=2,SUMIF($A2885:$A$2965,$A2884&amp;"??",$D2885:$D$2965),IF(AND(LEN($A2884)=4,VALUE(RIGHT($A2884,2))&lt;=60),SUMIF($A2885:$A$2965,$A2884&amp;"????",$D2885:$D$2965),VLOOKUP(IF(LEN($A2884)=4,$A2884&amp;"01 1",$A2884),GUS_tabl_21!$A$5:$F$4886,6,FALSE))))</f>
        <v>6948</v>
      </c>
      <c r="E2884" s="29"/>
    </row>
    <row r="2885" spans="1:5" ht="12" customHeight="1">
      <c r="A2885" s="155" t="str">
        <f>"320905 3"</f>
        <v>320905 3</v>
      </c>
      <c r="B2885" s="153" t="s">
        <v>41</v>
      </c>
      <c r="C2885" s="159" t="str">
        <f>IF(OR($A2885="",ISERROR(VALUE(LEFT($A2885,6)))),"",IF(LEN($A2885)=2,"WOJ. ",IF(LEN($A2885)=4,IF(VALUE(RIGHT($A2885,2))&gt;60,"","Powiat "),IF(VALUE(RIGHT($A2885,1))=1,"m. ",IF(VALUE(RIGHT($A2885,1))=2,"gm. w. ",IF(VALUE(RIGHT($A2885,1))=8,"dz. ","gm. m.-w. ")))))&amp;IF(LEN($A2885)=2,TRIM(UPPER(VLOOKUP($A2885,GUS_tabl_1!$A$7:$B$22,2,FALSE))),IF(ISERROR(FIND("..",TRIM(VLOOKUP(IF(AND(LEN($A2885)=4,VALUE(RIGHT($A2885,2))&gt;60),$A2885&amp;"01 1",$A2885),IF(AND(LEN($A2885)=4,VALUE(RIGHT($A2885,2))&lt;60),GUS_tabl_2!$A$8:$B$464,GUS_tabl_21!$A$5:$B$4886),2,FALSE)))),TRIM(VLOOKUP(IF(AND(LEN($A2885)=4,VALUE(RIGHT($A2885,2))&gt;60),$A2885&amp;"01 1",$A2885),IF(AND(LEN($A2885)=4,VALUE(RIGHT($A2885,2))&lt;60),GUS_tabl_2!$A$8:$B$464,GUS_tabl_21!$A$5:$B$4886),2,FALSE)),LEFT(TRIM(VLOOKUP(IF(AND(LEN($A2885)=4,VALUE(RIGHT($A2885,2))&gt;60),$A2885&amp;"01 1",$A2885),IF(AND(LEN($A2885)=4,VALUE(RIGHT($A2885,2))&lt;60),GUS_tabl_2!$A$8:$B$464,GUS_tabl_21!$A$5:$B$4886),2,FALSE)),SUM(FIND("..",TRIM(VLOOKUP(IF(AND(LEN($A2885)=4,VALUE(RIGHT($A2885,2))&gt;60),$A2885&amp;"01 1",$A2885),IF(AND(LEN($A2885)=4,VALUE(RIGHT($A2885,2))&lt;60),GUS_tabl_2!$A$8:$B$464,GUS_tabl_21!$A$5:$B$4886),2,FALSE))),-1)))))</f>
        <v>gm. m.-w. Mielno</v>
      </c>
      <c r="D2885" s="141">
        <f>IF(OR($A2885="",ISERROR(VALUE(LEFT($A2885,6)))),"",IF(LEN($A2885)=2,SUMIF($A2886:$A$2965,$A2885&amp;"??",$D2886:$D$2965),IF(AND(LEN($A2885)=4,VALUE(RIGHT($A2885,2))&lt;=60),SUMIF($A2886:$A$2965,$A2885&amp;"????",$D2886:$D$2965),VLOOKUP(IF(LEN($A2885)=4,$A2885&amp;"01 1",$A2885),GUS_tabl_21!$A$5:$F$4886,6,FALSE))))</f>
        <v>4888</v>
      </c>
      <c r="E2885" s="29"/>
    </row>
    <row r="2886" spans="1:5" ht="12" customHeight="1">
      <c r="A2886" s="155" t="str">
        <f>"320906 3"</f>
        <v>320906 3</v>
      </c>
      <c r="B2886" s="153" t="s">
        <v>41</v>
      </c>
      <c r="C2886" s="156" t="str">
        <f>IF(OR($A2886="",ISERROR(VALUE(LEFT($A2886,6)))),"",IF(LEN($A2886)=2,"WOJ. ",IF(LEN($A2886)=4,IF(VALUE(RIGHT($A2886,2))&gt;60,"","Powiat "),IF(VALUE(RIGHT($A2886,1))=1,"m. ",IF(VALUE(RIGHT($A2886,1))=2,"gm. w. ",IF(VALUE(RIGHT($A2886,1))=8,"dz. ","gm. m.-w. ")))))&amp;IF(LEN($A2886)=2,TRIM(UPPER(VLOOKUP($A2886,GUS_tabl_1!$A$7:$B$22,2,FALSE))),IF(ISERROR(FIND("..",TRIM(VLOOKUP(IF(AND(LEN($A2886)=4,VALUE(RIGHT($A2886,2))&gt;60),$A2886&amp;"01 1",$A2886),IF(AND(LEN($A2886)=4,VALUE(RIGHT($A2886,2))&lt;60),GUS_tabl_2!$A$8:$B$464,GUS_tabl_21!$A$5:$B$4886),2,FALSE)))),TRIM(VLOOKUP(IF(AND(LEN($A2886)=4,VALUE(RIGHT($A2886,2))&gt;60),$A2886&amp;"01 1",$A2886),IF(AND(LEN($A2886)=4,VALUE(RIGHT($A2886,2))&lt;60),GUS_tabl_2!$A$8:$B$464,GUS_tabl_21!$A$5:$B$4886),2,FALSE)),LEFT(TRIM(VLOOKUP(IF(AND(LEN($A2886)=4,VALUE(RIGHT($A2886,2))&gt;60),$A2886&amp;"01 1",$A2886),IF(AND(LEN($A2886)=4,VALUE(RIGHT($A2886,2))&lt;60),GUS_tabl_2!$A$8:$B$464,GUS_tabl_21!$A$5:$B$4886),2,FALSE)),SUM(FIND("..",TRIM(VLOOKUP(IF(AND(LEN($A2886)=4,VALUE(RIGHT($A2886,2))&gt;60),$A2886&amp;"01 1",$A2886),IF(AND(LEN($A2886)=4,VALUE(RIGHT($A2886,2))&lt;60),GUS_tabl_2!$A$8:$B$464,GUS_tabl_21!$A$5:$B$4886),2,FALSE))),-1)))))</f>
        <v>gm. m.-w. Polanów</v>
      </c>
      <c r="D2886" s="141">
        <f>IF(OR($A2886="",ISERROR(VALUE(LEFT($A2886,6)))),"",IF(LEN($A2886)=2,SUMIF($A2887:$A$2965,$A2886&amp;"??",$D2887:$D$2965),IF(AND(LEN($A2886)=4,VALUE(RIGHT($A2886,2))&lt;=60),SUMIF($A2887:$A$2965,$A2886&amp;"????",$D2887:$D$2965),VLOOKUP(IF(LEN($A2886)=4,$A2886&amp;"01 1",$A2886),GUS_tabl_21!$A$5:$F$4886,6,FALSE))))</f>
        <v>8610</v>
      </c>
      <c r="E2886" s="29"/>
    </row>
    <row r="2887" spans="1:5" ht="12" customHeight="1">
      <c r="A2887" s="155" t="str">
        <f>"320907 3"</f>
        <v>320907 3</v>
      </c>
      <c r="B2887" s="153" t="s">
        <v>41</v>
      </c>
      <c r="C2887" s="156" t="str">
        <f>IF(OR($A2887="",ISERROR(VALUE(LEFT($A2887,6)))),"",IF(LEN($A2887)=2,"WOJ. ",IF(LEN($A2887)=4,IF(VALUE(RIGHT($A2887,2))&gt;60,"","Powiat "),IF(VALUE(RIGHT($A2887,1))=1,"m. ",IF(VALUE(RIGHT($A2887,1))=2,"gm. w. ",IF(VALUE(RIGHT($A2887,1))=8,"dz. ","gm. m.-w. ")))))&amp;IF(LEN($A2887)=2,TRIM(UPPER(VLOOKUP($A2887,GUS_tabl_1!$A$7:$B$22,2,FALSE))),IF(ISERROR(FIND("..",TRIM(VLOOKUP(IF(AND(LEN($A2887)=4,VALUE(RIGHT($A2887,2))&gt;60),$A2887&amp;"01 1",$A2887),IF(AND(LEN($A2887)=4,VALUE(RIGHT($A2887,2))&lt;60),GUS_tabl_2!$A$8:$B$464,GUS_tabl_21!$A$5:$B$4886),2,FALSE)))),TRIM(VLOOKUP(IF(AND(LEN($A2887)=4,VALUE(RIGHT($A2887,2))&gt;60),$A2887&amp;"01 1",$A2887),IF(AND(LEN($A2887)=4,VALUE(RIGHT($A2887,2))&lt;60),GUS_tabl_2!$A$8:$B$464,GUS_tabl_21!$A$5:$B$4886),2,FALSE)),LEFT(TRIM(VLOOKUP(IF(AND(LEN($A2887)=4,VALUE(RIGHT($A2887,2))&gt;60),$A2887&amp;"01 1",$A2887),IF(AND(LEN($A2887)=4,VALUE(RIGHT($A2887,2))&lt;60),GUS_tabl_2!$A$8:$B$464,GUS_tabl_21!$A$5:$B$4886),2,FALSE)),SUM(FIND("..",TRIM(VLOOKUP(IF(AND(LEN($A2887)=4,VALUE(RIGHT($A2887,2))&gt;60),$A2887&amp;"01 1",$A2887),IF(AND(LEN($A2887)=4,VALUE(RIGHT($A2887,2))&lt;60),GUS_tabl_2!$A$8:$B$464,GUS_tabl_21!$A$5:$B$4886),2,FALSE))),-1)))))</f>
        <v>gm. m.-w. Sianów</v>
      </c>
      <c r="D2887" s="141">
        <f>IF(OR($A2887="",ISERROR(VALUE(LEFT($A2887,6)))),"",IF(LEN($A2887)=2,SUMIF($A2888:$A$2965,$A2887&amp;"??",$D2888:$D$2965),IF(AND(LEN($A2887)=4,VALUE(RIGHT($A2887,2))&lt;=60),SUMIF($A2888:$A$2965,$A2887&amp;"????",$D2888:$D$2965),VLOOKUP(IF(LEN($A2887)=4,$A2887&amp;"01 1",$A2887),GUS_tabl_21!$A$5:$F$4886,6,FALSE))))</f>
        <v>13853</v>
      </c>
      <c r="E2887" s="29"/>
    </row>
    <row r="2888" spans="1:5" ht="12" customHeight="1">
      <c r="A2888" s="155" t="str">
        <f>"320908 2"</f>
        <v>320908 2</v>
      </c>
      <c r="B2888" s="153" t="s">
        <v>41</v>
      </c>
      <c r="C2888" s="156" t="str">
        <f>IF(OR($A2888="",ISERROR(VALUE(LEFT($A2888,6)))),"",IF(LEN($A2888)=2,"WOJ. ",IF(LEN($A2888)=4,IF(VALUE(RIGHT($A2888,2))&gt;60,"","Powiat "),IF(VALUE(RIGHT($A2888,1))=1,"m. ",IF(VALUE(RIGHT($A2888,1))=2,"gm. w. ",IF(VALUE(RIGHT($A2888,1))=8,"dz. ","gm. m.-w. ")))))&amp;IF(LEN($A2888)=2,TRIM(UPPER(VLOOKUP($A2888,GUS_tabl_1!$A$7:$B$22,2,FALSE))),IF(ISERROR(FIND("..",TRIM(VLOOKUP(IF(AND(LEN($A2888)=4,VALUE(RIGHT($A2888,2))&gt;60),$A2888&amp;"01 1",$A2888),IF(AND(LEN($A2888)=4,VALUE(RIGHT($A2888,2))&lt;60),GUS_tabl_2!$A$8:$B$464,GUS_tabl_21!$A$5:$B$4886),2,FALSE)))),TRIM(VLOOKUP(IF(AND(LEN($A2888)=4,VALUE(RIGHT($A2888,2))&gt;60),$A2888&amp;"01 1",$A2888),IF(AND(LEN($A2888)=4,VALUE(RIGHT($A2888,2))&lt;60),GUS_tabl_2!$A$8:$B$464,GUS_tabl_21!$A$5:$B$4886),2,FALSE)),LEFT(TRIM(VLOOKUP(IF(AND(LEN($A2888)=4,VALUE(RIGHT($A2888,2))&gt;60),$A2888&amp;"01 1",$A2888),IF(AND(LEN($A2888)=4,VALUE(RIGHT($A2888,2))&lt;60),GUS_tabl_2!$A$8:$B$464,GUS_tabl_21!$A$5:$B$4886),2,FALSE)),SUM(FIND("..",TRIM(VLOOKUP(IF(AND(LEN($A2888)=4,VALUE(RIGHT($A2888,2))&gt;60),$A2888&amp;"01 1",$A2888),IF(AND(LEN($A2888)=4,VALUE(RIGHT($A2888,2))&lt;60),GUS_tabl_2!$A$8:$B$464,GUS_tabl_21!$A$5:$B$4886),2,FALSE))),-1)))))</f>
        <v>gm. w. Świeszyno</v>
      </c>
      <c r="D2888" s="141">
        <f>IF(OR($A2888="",ISERROR(VALUE(LEFT($A2888,6)))),"",IF(LEN($A2888)=2,SUMIF($A2889:$A$2965,$A2888&amp;"??",$D2889:$D$2965),IF(AND(LEN($A2888)=4,VALUE(RIGHT($A2888,2))&lt;=60),SUMIF($A2889:$A$2965,$A2888&amp;"????",$D2889:$D$2965),VLOOKUP(IF(LEN($A2888)=4,$A2888&amp;"01 1",$A2888),GUS_tabl_21!$A$5:$F$4886,6,FALSE))))</f>
        <v>7470</v>
      </c>
      <c r="E2888" s="29"/>
    </row>
    <row r="2889" spans="1:5" ht="12" customHeight="1">
      <c r="A2889" s="152" t="str">
        <f>"3218"</f>
        <v>3218</v>
      </c>
      <c r="B2889" s="153" t="s">
        <v>41</v>
      </c>
      <c r="C2889" s="154" t="str">
        <f>IF(OR($A2889="",ISERROR(VALUE(LEFT($A2889,6)))),"",IF(LEN($A2889)=2,"WOJ. ",IF(LEN($A2889)=4,IF(VALUE(RIGHT($A2889,2))&gt;60,"","Powiat "),IF(VALUE(RIGHT($A2889,1))=1,"m. ",IF(VALUE(RIGHT($A2889,1))=2,"gm. w. ",IF(VALUE(RIGHT($A2889,1))=8,"dz. ","gm. m.-w. ")))))&amp;IF(LEN($A2889)=2,TRIM(UPPER(VLOOKUP($A2889,GUS_tabl_1!$A$7:$B$22,2,FALSE))),IF(ISERROR(FIND("..",TRIM(VLOOKUP(IF(AND(LEN($A2889)=4,VALUE(RIGHT($A2889,2))&gt;60),$A2889&amp;"01 1",$A2889),IF(AND(LEN($A2889)=4,VALUE(RIGHT($A2889,2))&lt;60),GUS_tabl_2!$A$8:$B$464,GUS_tabl_21!$A$5:$B$4886),2,FALSE)))),TRIM(VLOOKUP(IF(AND(LEN($A2889)=4,VALUE(RIGHT($A2889,2))&gt;60),$A2889&amp;"01 1",$A2889),IF(AND(LEN($A2889)=4,VALUE(RIGHT($A2889,2))&lt;60),GUS_tabl_2!$A$8:$B$464,GUS_tabl_21!$A$5:$B$4886),2,FALSE)),LEFT(TRIM(VLOOKUP(IF(AND(LEN($A2889)=4,VALUE(RIGHT($A2889,2))&gt;60),$A2889&amp;"01 1",$A2889),IF(AND(LEN($A2889)=4,VALUE(RIGHT($A2889,2))&lt;60),GUS_tabl_2!$A$8:$B$464,GUS_tabl_21!$A$5:$B$4886),2,FALSE)),SUM(FIND("..",TRIM(VLOOKUP(IF(AND(LEN($A2889)=4,VALUE(RIGHT($A2889,2))&gt;60),$A2889&amp;"01 1",$A2889),IF(AND(LEN($A2889)=4,VALUE(RIGHT($A2889,2))&lt;60),GUS_tabl_2!$A$8:$B$464,GUS_tabl_21!$A$5:$B$4886),2,FALSE))),-1)))))</f>
        <v>Powiat łobeski</v>
      </c>
      <c r="D2889" s="140">
        <f>IF(OR($A2889="",ISERROR(VALUE(LEFT($A2889,6)))),"",IF(LEN($A2889)=2,SUMIF($A2890:$A$2965,$A2889&amp;"??",$D2890:$D$2965),IF(AND(LEN($A2889)=4,VALUE(RIGHT($A2889,2))&lt;=60),SUMIF($A2890:$A$2965,$A2889&amp;"????",$D2890:$D$2965),VLOOKUP(IF(LEN($A2889)=4,$A2889&amp;"01 1",$A2889),GUS_tabl_21!$A$5:$F$4886,6,FALSE))))</f>
        <v>36696</v>
      </c>
      <c r="E2889" s="29"/>
    </row>
    <row r="2890" spans="1:5" ht="12" customHeight="1">
      <c r="A2890" s="155" t="str">
        <f>"321801 3"</f>
        <v>321801 3</v>
      </c>
      <c r="B2890" s="153" t="s">
        <v>41</v>
      </c>
      <c r="C2890" s="156" t="str">
        <f>IF(OR($A2890="",ISERROR(VALUE(LEFT($A2890,6)))),"",IF(LEN($A2890)=2,"WOJ. ",IF(LEN($A2890)=4,IF(VALUE(RIGHT($A2890,2))&gt;60,"","Powiat "),IF(VALUE(RIGHT($A2890,1))=1,"m. ",IF(VALUE(RIGHT($A2890,1))=2,"gm. w. ",IF(VALUE(RIGHT($A2890,1))=8,"dz. ","gm. m.-w. ")))))&amp;IF(LEN($A2890)=2,TRIM(UPPER(VLOOKUP($A2890,GUS_tabl_1!$A$7:$B$22,2,FALSE))),IF(ISERROR(FIND("..",TRIM(VLOOKUP(IF(AND(LEN($A2890)=4,VALUE(RIGHT($A2890,2))&gt;60),$A2890&amp;"01 1",$A2890),IF(AND(LEN($A2890)=4,VALUE(RIGHT($A2890,2))&lt;60),GUS_tabl_2!$A$8:$B$464,GUS_tabl_21!$A$5:$B$4886),2,FALSE)))),TRIM(VLOOKUP(IF(AND(LEN($A2890)=4,VALUE(RIGHT($A2890,2))&gt;60),$A2890&amp;"01 1",$A2890),IF(AND(LEN($A2890)=4,VALUE(RIGHT($A2890,2))&lt;60),GUS_tabl_2!$A$8:$B$464,GUS_tabl_21!$A$5:$B$4886),2,FALSE)),LEFT(TRIM(VLOOKUP(IF(AND(LEN($A2890)=4,VALUE(RIGHT($A2890,2))&gt;60),$A2890&amp;"01 1",$A2890),IF(AND(LEN($A2890)=4,VALUE(RIGHT($A2890,2))&lt;60),GUS_tabl_2!$A$8:$B$464,GUS_tabl_21!$A$5:$B$4886),2,FALSE)),SUM(FIND("..",TRIM(VLOOKUP(IF(AND(LEN($A2890)=4,VALUE(RIGHT($A2890,2))&gt;60),$A2890&amp;"01 1",$A2890),IF(AND(LEN($A2890)=4,VALUE(RIGHT($A2890,2))&lt;60),GUS_tabl_2!$A$8:$B$464,GUS_tabl_21!$A$5:$B$4886),2,FALSE))),-1)))))</f>
        <v>gm. m.-w. Dobra</v>
      </c>
      <c r="D2890" s="141">
        <f>IF(OR($A2890="",ISERROR(VALUE(LEFT($A2890,6)))),"",IF(LEN($A2890)=2,SUMIF($A2891:$A$2965,$A2890&amp;"??",$D2891:$D$2965),IF(AND(LEN($A2890)=4,VALUE(RIGHT($A2890,2))&lt;=60),SUMIF($A2891:$A$2965,$A2890&amp;"????",$D2891:$D$2965),VLOOKUP(IF(LEN($A2890)=4,$A2890&amp;"01 1",$A2890),GUS_tabl_21!$A$5:$F$4886,6,FALSE))))</f>
        <v>4363</v>
      </c>
      <c r="E2890" s="29"/>
    </row>
    <row r="2891" spans="1:5" ht="12" customHeight="1">
      <c r="A2891" s="155" t="str">
        <f>"321802 3"</f>
        <v>321802 3</v>
      </c>
      <c r="B2891" s="153" t="s">
        <v>41</v>
      </c>
      <c r="C2891" s="156" t="str">
        <f>IF(OR($A2891="",ISERROR(VALUE(LEFT($A2891,6)))),"",IF(LEN($A2891)=2,"WOJ. ",IF(LEN($A2891)=4,IF(VALUE(RIGHT($A2891,2))&gt;60,"","Powiat "),IF(VALUE(RIGHT($A2891,1))=1,"m. ",IF(VALUE(RIGHT($A2891,1))=2,"gm. w. ",IF(VALUE(RIGHT($A2891,1))=8,"dz. ","gm. m.-w. ")))))&amp;IF(LEN($A2891)=2,TRIM(UPPER(VLOOKUP($A2891,GUS_tabl_1!$A$7:$B$22,2,FALSE))),IF(ISERROR(FIND("..",TRIM(VLOOKUP(IF(AND(LEN($A2891)=4,VALUE(RIGHT($A2891,2))&gt;60),$A2891&amp;"01 1",$A2891),IF(AND(LEN($A2891)=4,VALUE(RIGHT($A2891,2))&lt;60),GUS_tabl_2!$A$8:$B$464,GUS_tabl_21!$A$5:$B$4886),2,FALSE)))),TRIM(VLOOKUP(IF(AND(LEN($A2891)=4,VALUE(RIGHT($A2891,2))&gt;60),$A2891&amp;"01 1",$A2891),IF(AND(LEN($A2891)=4,VALUE(RIGHT($A2891,2))&lt;60),GUS_tabl_2!$A$8:$B$464,GUS_tabl_21!$A$5:$B$4886),2,FALSE)),LEFT(TRIM(VLOOKUP(IF(AND(LEN($A2891)=4,VALUE(RIGHT($A2891,2))&gt;60),$A2891&amp;"01 1",$A2891),IF(AND(LEN($A2891)=4,VALUE(RIGHT($A2891,2))&lt;60),GUS_tabl_2!$A$8:$B$464,GUS_tabl_21!$A$5:$B$4886),2,FALSE)),SUM(FIND("..",TRIM(VLOOKUP(IF(AND(LEN($A2891)=4,VALUE(RIGHT($A2891,2))&gt;60),$A2891&amp;"01 1",$A2891),IF(AND(LEN($A2891)=4,VALUE(RIGHT($A2891,2))&lt;60),GUS_tabl_2!$A$8:$B$464,GUS_tabl_21!$A$5:$B$4886),2,FALSE))),-1)))))</f>
        <v>gm. m.-w. Łobez</v>
      </c>
      <c r="D2891" s="141">
        <f>IF(OR($A2891="",ISERROR(VALUE(LEFT($A2891,6)))),"",IF(LEN($A2891)=2,SUMIF($A2892:$A$2965,$A2891&amp;"??",$D2892:$D$2965),IF(AND(LEN($A2891)=4,VALUE(RIGHT($A2891,2))&lt;=60),SUMIF($A2892:$A$2965,$A2891&amp;"????",$D2892:$D$2965),VLOOKUP(IF(LEN($A2891)=4,$A2891&amp;"01 1",$A2891),GUS_tabl_21!$A$5:$F$4886,6,FALSE))))</f>
        <v>13863</v>
      </c>
      <c r="E2891" s="29"/>
    </row>
    <row r="2892" spans="1:5" ht="12" customHeight="1">
      <c r="A2892" s="155" t="str">
        <f>"321803 2"</f>
        <v>321803 2</v>
      </c>
      <c r="B2892" s="153" t="s">
        <v>41</v>
      </c>
      <c r="C2892" s="156" t="str">
        <f>IF(OR($A2892="",ISERROR(VALUE(LEFT($A2892,6)))),"",IF(LEN($A2892)=2,"WOJ. ",IF(LEN($A2892)=4,IF(VALUE(RIGHT($A2892,2))&gt;60,"","Powiat "),IF(VALUE(RIGHT($A2892,1))=1,"m. ",IF(VALUE(RIGHT($A2892,1))=2,"gm. w. ",IF(VALUE(RIGHT($A2892,1))=8,"dz. ","gm. m.-w. ")))))&amp;IF(LEN($A2892)=2,TRIM(UPPER(VLOOKUP($A2892,GUS_tabl_1!$A$7:$B$22,2,FALSE))),IF(ISERROR(FIND("..",TRIM(VLOOKUP(IF(AND(LEN($A2892)=4,VALUE(RIGHT($A2892,2))&gt;60),$A2892&amp;"01 1",$A2892),IF(AND(LEN($A2892)=4,VALUE(RIGHT($A2892,2))&lt;60),GUS_tabl_2!$A$8:$B$464,GUS_tabl_21!$A$5:$B$4886),2,FALSE)))),TRIM(VLOOKUP(IF(AND(LEN($A2892)=4,VALUE(RIGHT($A2892,2))&gt;60),$A2892&amp;"01 1",$A2892),IF(AND(LEN($A2892)=4,VALUE(RIGHT($A2892,2))&lt;60),GUS_tabl_2!$A$8:$B$464,GUS_tabl_21!$A$5:$B$4886),2,FALSE)),LEFT(TRIM(VLOOKUP(IF(AND(LEN($A2892)=4,VALUE(RIGHT($A2892,2))&gt;60),$A2892&amp;"01 1",$A2892),IF(AND(LEN($A2892)=4,VALUE(RIGHT($A2892,2))&lt;60),GUS_tabl_2!$A$8:$B$464,GUS_tabl_21!$A$5:$B$4886),2,FALSE)),SUM(FIND("..",TRIM(VLOOKUP(IF(AND(LEN($A2892)=4,VALUE(RIGHT($A2892,2))&gt;60),$A2892&amp;"01 1",$A2892),IF(AND(LEN($A2892)=4,VALUE(RIGHT($A2892,2))&lt;60),GUS_tabl_2!$A$8:$B$464,GUS_tabl_21!$A$5:$B$4886),2,FALSE))),-1)))))</f>
        <v>gm. w. Radowo Małe</v>
      </c>
      <c r="D2892" s="141">
        <f>IF(OR($A2892="",ISERROR(VALUE(LEFT($A2892,6)))),"",IF(LEN($A2892)=2,SUMIF($A2893:$A$2965,$A2892&amp;"??",$D2893:$D$2965),IF(AND(LEN($A2892)=4,VALUE(RIGHT($A2892,2))&lt;=60),SUMIF($A2893:$A$2965,$A2892&amp;"????",$D2893:$D$2965),VLOOKUP(IF(LEN($A2892)=4,$A2892&amp;"01 1",$A2892),GUS_tabl_21!$A$5:$F$4886,6,FALSE))))</f>
        <v>3592</v>
      </c>
      <c r="E2892" s="29"/>
    </row>
    <row r="2893" spans="1:5" ht="12" customHeight="1">
      <c r="A2893" s="155" t="str">
        <f>"321804 3"</f>
        <v>321804 3</v>
      </c>
      <c r="B2893" s="153" t="s">
        <v>41</v>
      </c>
      <c r="C2893" s="156" t="str">
        <f>IF(OR($A2893="",ISERROR(VALUE(LEFT($A2893,6)))),"",IF(LEN($A2893)=2,"WOJ. ",IF(LEN($A2893)=4,IF(VALUE(RIGHT($A2893,2))&gt;60,"","Powiat "),IF(VALUE(RIGHT($A2893,1))=1,"m. ",IF(VALUE(RIGHT($A2893,1))=2,"gm. w. ",IF(VALUE(RIGHT($A2893,1))=8,"dz. ","gm. m.-w. ")))))&amp;IF(LEN($A2893)=2,TRIM(UPPER(VLOOKUP($A2893,GUS_tabl_1!$A$7:$B$22,2,FALSE))),IF(ISERROR(FIND("..",TRIM(VLOOKUP(IF(AND(LEN($A2893)=4,VALUE(RIGHT($A2893,2))&gt;60),$A2893&amp;"01 1",$A2893),IF(AND(LEN($A2893)=4,VALUE(RIGHT($A2893,2))&lt;60),GUS_tabl_2!$A$8:$B$464,GUS_tabl_21!$A$5:$B$4886),2,FALSE)))),TRIM(VLOOKUP(IF(AND(LEN($A2893)=4,VALUE(RIGHT($A2893,2))&gt;60),$A2893&amp;"01 1",$A2893),IF(AND(LEN($A2893)=4,VALUE(RIGHT($A2893,2))&lt;60),GUS_tabl_2!$A$8:$B$464,GUS_tabl_21!$A$5:$B$4886),2,FALSE)),LEFT(TRIM(VLOOKUP(IF(AND(LEN($A2893)=4,VALUE(RIGHT($A2893,2))&gt;60),$A2893&amp;"01 1",$A2893),IF(AND(LEN($A2893)=4,VALUE(RIGHT($A2893,2))&lt;60),GUS_tabl_2!$A$8:$B$464,GUS_tabl_21!$A$5:$B$4886),2,FALSE)),SUM(FIND("..",TRIM(VLOOKUP(IF(AND(LEN($A2893)=4,VALUE(RIGHT($A2893,2))&gt;60),$A2893&amp;"01 1",$A2893),IF(AND(LEN($A2893)=4,VALUE(RIGHT($A2893,2))&lt;60),GUS_tabl_2!$A$8:$B$464,GUS_tabl_21!$A$5:$B$4886),2,FALSE))),-1)))))</f>
        <v>gm. m.-w. Resko</v>
      </c>
      <c r="D2893" s="141">
        <f>IF(OR($A2893="",ISERROR(VALUE(LEFT($A2893,6)))),"",IF(LEN($A2893)=2,SUMIF($A2894:$A$2965,$A2893&amp;"??",$D2894:$D$2965),IF(AND(LEN($A2893)=4,VALUE(RIGHT($A2893,2))&lt;=60),SUMIF($A2894:$A$2965,$A2893&amp;"????",$D2894:$D$2965),VLOOKUP(IF(LEN($A2893)=4,$A2893&amp;"01 1",$A2893),GUS_tabl_21!$A$5:$F$4886,6,FALSE))))</f>
        <v>7988</v>
      </c>
      <c r="E2893" s="29"/>
    </row>
    <row r="2894" spans="1:5" ht="12" customHeight="1">
      <c r="A2894" s="155" t="str">
        <f>"321805 3"</f>
        <v>321805 3</v>
      </c>
      <c r="B2894" s="153" t="s">
        <v>41</v>
      </c>
      <c r="C2894" s="156" t="str">
        <f>IF(OR($A2894="",ISERROR(VALUE(LEFT($A2894,6)))),"",IF(LEN($A2894)=2,"WOJ. ",IF(LEN($A2894)=4,IF(VALUE(RIGHT($A2894,2))&gt;60,"","Powiat "),IF(VALUE(RIGHT($A2894,1))=1,"m. ",IF(VALUE(RIGHT($A2894,1))=2,"gm. w. ",IF(VALUE(RIGHT($A2894,1))=8,"dz. ","gm. m.-w. ")))))&amp;IF(LEN($A2894)=2,TRIM(UPPER(VLOOKUP($A2894,GUS_tabl_1!$A$7:$B$22,2,FALSE))),IF(ISERROR(FIND("..",TRIM(VLOOKUP(IF(AND(LEN($A2894)=4,VALUE(RIGHT($A2894,2))&gt;60),$A2894&amp;"01 1",$A2894),IF(AND(LEN($A2894)=4,VALUE(RIGHT($A2894,2))&lt;60),GUS_tabl_2!$A$8:$B$464,GUS_tabl_21!$A$5:$B$4886),2,FALSE)))),TRIM(VLOOKUP(IF(AND(LEN($A2894)=4,VALUE(RIGHT($A2894,2))&gt;60),$A2894&amp;"01 1",$A2894),IF(AND(LEN($A2894)=4,VALUE(RIGHT($A2894,2))&lt;60),GUS_tabl_2!$A$8:$B$464,GUS_tabl_21!$A$5:$B$4886),2,FALSE)),LEFT(TRIM(VLOOKUP(IF(AND(LEN($A2894)=4,VALUE(RIGHT($A2894,2))&gt;60),$A2894&amp;"01 1",$A2894),IF(AND(LEN($A2894)=4,VALUE(RIGHT($A2894,2))&lt;60),GUS_tabl_2!$A$8:$B$464,GUS_tabl_21!$A$5:$B$4886),2,FALSE)),SUM(FIND("..",TRIM(VLOOKUP(IF(AND(LEN($A2894)=4,VALUE(RIGHT($A2894,2))&gt;60),$A2894&amp;"01 1",$A2894),IF(AND(LEN($A2894)=4,VALUE(RIGHT($A2894,2))&lt;60),GUS_tabl_2!$A$8:$B$464,GUS_tabl_21!$A$5:$B$4886),2,FALSE))),-1)))))</f>
        <v>gm. m.-w. Węgorzyno</v>
      </c>
      <c r="D2894" s="141">
        <f>IF(OR($A2894="",ISERROR(VALUE(LEFT($A2894,6)))),"",IF(LEN($A2894)=2,SUMIF($A2895:$A$2965,$A2894&amp;"??",$D2895:$D$2965),IF(AND(LEN($A2894)=4,VALUE(RIGHT($A2894,2))&lt;=60),SUMIF($A2895:$A$2965,$A2894&amp;"????",$D2895:$D$2965),VLOOKUP(IF(LEN($A2894)=4,$A2894&amp;"01 1",$A2894),GUS_tabl_21!$A$5:$F$4886,6,FALSE))))</f>
        <v>6890</v>
      </c>
      <c r="E2894" s="29"/>
    </row>
    <row r="2895" spans="1:5" ht="12" customHeight="1">
      <c r="A2895" s="152" t="str">
        <f>"3210"</f>
        <v>3210</v>
      </c>
      <c r="B2895" s="153" t="s">
        <v>41</v>
      </c>
      <c r="C2895" s="154" t="str">
        <f>IF(OR($A2895="",ISERROR(VALUE(LEFT($A2895,6)))),"",IF(LEN($A2895)=2,"WOJ. ",IF(LEN($A2895)=4,IF(VALUE(RIGHT($A2895,2))&gt;60,"","Powiat "),IF(VALUE(RIGHT($A2895,1))=1,"m. ",IF(VALUE(RIGHT($A2895,1))=2,"gm. w. ",IF(VALUE(RIGHT($A2895,1))=8,"dz. ","gm. m.-w. ")))))&amp;IF(LEN($A2895)=2,TRIM(UPPER(VLOOKUP($A2895,GUS_tabl_1!$A$7:$B$22,2,FALSE))),IF(ISERROR(FIND("..",TRIM(VLOOKUP(IF(AND(LEN($A2895)=4,VALUE(RIGHT($A2895,2))&gt;60),$A2895&amp;"01 1",$A2895),IF(AND(LEN($A2895)=4,VALUE(RIGHT($A2895,2))&lt;60),GUS_tabl_2!$A$8:$B$464,GUS_tabl_21!$A$5:$B$4886),2,FALSE)))),TRIM(VLOOKUP(IF(AND(LEN($A2895)=4,VALUE(RIGHT($A2895,2))&gt;60),$A2895&amp;"01 1",$A2895),IF(AND(LEN($A2895)=4,VALUE(RIGHT($A2895,2))&lt;60),GUS_tabl_2!$A$8:$B$464,GUS_tabl_21!$A$5:$B$4886),2,FALSE)),LEFT(TRIM(VLOOKUP(IF(AND(LEN($A2895)=4,VALUE(RIGHT($A2895,2))&gt;60),$A2895&amp;"01 1",$A2895),IF(AND(LEN($A2895)=4,VALUE(RIGHT($A2895,2))&lt;60),GUS_tabl_2!$A$8:$B$464,GUS_tabl_21!$A$5:$B$4886),2,FALSE)),SUM(FIND("..",TRIM(VLOOKUP(IF(AND(LEN($A2895)=4,VALUE(RIGHT($A2895,2))&gt;60),$A2895&amp;"01 1",$A2895),IF(AND(LEN($A2895)=4,VALUE(RIGHT($A2895,2))&lt;60),GUS_tabl_2!$A$8:$B$464,GUS_tabl_21!$A$5:$B$4886),2,FALSE))),-1)))))</f>
        <v>Powiat myśliborski</v>
      </c>
      <c r="D2895" s="140">
        <f>IF(OR($A2895="",ISERROR(VALUE(LEFT($A2895,6)))),"",IF(LEN($A2895)=2,SUMIF($A2896:$A$2965,$A2895&amp;"??",$D2896:$D$2965),IF(AND(LEN($A2895)=4,VALUE(RIGHT($A2895,2))&lt;=60),SUMIF($A2896:$A$2965,$A2895&amp;"????",$D2896:$D$2965),VLOOKUP(IF(LEN($A2895)=4,$A2895&amp;"01 1",$A2895),GUS_tabl_21!$A$5:$F$4886,6,FALSE))))</f>
        <v>65638</v>
      </c>
      <c r="E2895" s="29"/>
    </row>
    <row r="2896" spans="1:5" ht="12" customHeight="1">
      <c r="A2896" s="155" t="str">
        <f>"321001 3"</f>
        <v>321001 3</v>
      </c>
      <c r="B2896" s="153" t="s">
        <v>41</v>
      </c>
      <c r="C2896" s="156" t="str">
        <f>IF(OR($A2896="",ISERROR(VALUE(LEFT($A2896,6)))),"",IF(LEN($A2896)=2,"WOJ. ",IF(LEN($A2896)=4,IF(VALUE(RIGHT($A2896,2))&gt;60,"","Powiat "),IF(VALUE(RIGHT($A2896,1))=1,"m. ",IF(VALUE(RIGHT($A2896,1))=2,"gm. w. ",IF(VALUE(RIGHT($A2896,1))=8,"dz. ","gm. m.-w. ")))))&amp;IF(LEN($A2896)=2,TRIM(UPPER(VLOOKUP($A2896,GUS_tabl_1!$A$7:$B$22,2,FALSE))),IF(ISERROR(FIND("..",TRIM(VLOOKUP(IF(AND(LEN($A2896)=4,VALUE(RIGHT($A2896,2))&gt;60),$A2896&amp;"01 1",$A2896),IF(AND(LEN($A2896)=4,VALUE(RIGHT($A2896,2))&lt;60),GUS_tabl_2!$A$8:$B$464,GUS_tabl_21!$A$5:$B$4886),2,FALSE)))),TRIM(VLOOKUP(IF(AND(LEN($A2896)=4,VALUE(RIGHT($A2896,2))&gt;60),$A2896&amp;"01 1",$A2896),IF(AND(LEN($A2896)=4,VALUE(RIGHT($A2896,2))&lt;60),GUS_tabl_2!$A$8:$B$464,GUS_tabl_21!$A$5:$B$4886),2,FALSE)),LEFT(TRIM(VLOOKUP(IF(AND(LEN($A2896)=4,VALUE(RIGHT($A2896,2))&gt;60),$A2896&amp;"01 1",$A2896),IF(AND(LEN($A2896)=4,VALUE(RIGHT($A2896,2))&lt;60),GUS_tabl_2!$A$8:$B$464,GUS_tabl_21!$A$5:$B$4886),2,FALSE)),SUM(FIND("..",TRIM(VLOOKUP(IF(AND(LEN($A2896)=4,VALUE(RIGHT($A2896,2))&gt;60),$A2896&amp;"01 1",$A2896),IF(AND(LEN($A2896)=4,VALUE(RIGHT($A2896,2))&lt;60),GUS_tabl_2!$A$8:$B$464,GUS_tabl_21!$A$5:$B$4886),2,FALSE))),-1)))))</f>
        <v>gm. m.-w. Barlinek</v>
      </c>
      <c r="D2896" s="141">
        <f>IF(OR($A2896="",ISERROR(VALUE(LEFT($A2896,6)))),"",IF(LEN($A2896)=2,SUMIF($A2897:$A$2965,$A2896&amp;"??",$D2897:$D$2965),IF(AND(LEN($A2896)=4,VALUE(RIGHT($A2896,2))&lt;=60),SUMIF($A2897:$A$2965,$A2896&amp;"????",$D2897:$D$2965),VLOOKUP(IF(LEN($A2896)=4,$A2896&amp;"01 1",$A2896),GUS_tabl_21!$A$5:$F$4886,6,FALSE))))</f>
        <v>19244</v>
      </c>
      <c r="E2896" s="29"/>
    </row>
    <row r="2897" spans="1:5" ht="12" customHeight="1">
      <c r="A2897" s="155" t="str">
        <f>"321002 2"</f>
        <v>321002 2</v>
      </c>
      <c r="B2897" s="153" t="s">
        <v>41</v>
      </c>
      <c r="C2897" s="156" t="str">
        <f>IF(OR($A2897="",ISERROR(VALUE(LEFT($A2897,6)))),"",IF(LEN($A2897)=2,"WOJ. ",IF(LEN($A2897)=4,IF(VALUE(RIGHT($A2897,2))&gt;60,"","Powiat "),IF(VALUE(RIGHT($A2897,1))=1,"m. ",IF(VALUE(RIGHT($A2897,1))=2,"gm. w. ",IF(VALUE(RIGHT($A2897,1))=8,"dz. ","gm. m.-w. ")))))&amp;IF(LEN($A2897)=2,TRIM(UPPER(VLOOKUP($A2897,GUS_tabl_1!$A$7:$B$22,2,FALSE))),IF(ISERROR(FIND("..",TRIM(VLOOKUP(IF(AND(LEN($A2897)=4,VALUE(RIGHT($A2897,2))&gt;60),$A2897&amp;"01 1",$A2897),IF(AND(LEN($A2897)=4,VALUE(RIGHT($A2897,2))&lt;60),GUS_tabl_2!$A$8:$B$464,GUS_tabl_21!$A$5:$B$4886),2,FALSE)))),TRIM(VLOOKUP(IF(AND(LEN($A2897)=4,VALUE(RIGHT($A2897,2))&gt;60),$A2897&amp;"01 1",$A2897),IF(AND(LEN($A2897)=4,VALUE(RIGHT($A2897,2))&lt;60),GUS_tabl_2!$A$8:$B$464,GUS_tabl_21!$A$5:$B$4886),2,FALSE)),LEFT(TRIM(VLOOKUP(IF(AND(LEN($A2897)=4,VALUE(RIGHT($A2897,2))&gt;60),$A2897&amp;"01 1",$A2897),IF(AND(LEN($A2897)=4,VALUE(RIGHT($A2897,2))&lt;60),GUS_tabl_2!$A$8:$B$464,GUS_tabl_21!$A$5:$B$4886),2,FALSE)),SUM(FIND("..",TRIM(VLOOKUP(IF(AND(LEN($A2897)=4,VALUE(RIGHT($A2897,2))&gt;60),$A2897&amp;"01 1",$A2897),IF(AND(LEN($A2897)=4,VALUE(RIGHT($A2897,2))&lt;60),GUS_tabl_2!$A$8:$B$464,GUS_tabl_21!$A$5:$B$4886),2,FALSE))),-1)))))</f>
        <v>gm. w. Boleszkowice</v>
      </c>
      <c r="D2897" s="141">
        <f>IF(OR($A2897="",ISERROR(VALUE(LEFT($A2897,6)))),"",IF(LEN($A2897)=2,SUMIF($A2898:$A$2965,$A2897&amp;"??",$D2898:$D$2965),IF(AND(LEN($A2897)=4,VALUE(RIGHT($A2897,2))&lt;=60),SUMIF($A2898:$A$2965,$A2897&amp;"????",$D2898:$D$2965),VLOOKUP(IF(LEN($A2897)=4,$A2897&amp;"01 1",$A2897),GUS_tabl_21!$A$5:$F$4886,6,FALSE))))</f>
        <v>2849</v>
      </c>
      <c r="E2897" s="29"/>
    </row>
    <row r="2898" spans="1:5" ht="12" customHeight="1">
      <c r="A2898" s="155" t="str">
        <f>"321003 3"</f>
        <v>321003 3</v>
      </c>
      <c r="B2898" s="153" t="s">
        <v>41</v>
      </c>
      <c r="C2898" s="156" t="str">
        <f>IF(OR($A2898="",ISERROR(VALUE(LEFT($A2898,6)))),"",IF(LEN($A2898)=2,"WOJ. ",IF(LEN($A2898)=4,IF(VALUE(RIGHT($A2898,2))&gt;60,"","Powiat "),IF(VALUE(RIGHT($A2898,1))=1,"m. ",IF(VALUE(RIGHT($A2898,1))=2,"gm. w. ",IF(VALUE(RIGHT($A2898,1))=8,"dz. ","gm. m.-w. ")))))&amp;IF(LEN($A2898)=2,TRIM(UPPER(VLOOKUP($A2898,GUS_tabl_1!$A$7:$B$22,2,FALSE))),IF(ISERROR(FIND("..",TRIM(VLOOKUP(IF(AND(LEN($A2898)=4,VALUE(RIGHT($A2898,2))&gt;60),$A2898&amp;"01 1",$A2898),IF(AND(LEN($A2898)=4,VALUE(RIGHT($A2898,2))&lt;60),GUS_tabl_2!$A$8:$B$464,GUS_tabl_21!$A$5:$B$4886),2,FALSE)))),TRIM(VLOOKUP(IF(AND(LEN($A2898)=4,VALUE(RIGHT($A2898,2))&gt;60),$A2898&amp;"01 1",$A2898),IF(AND(LEN($A2898)=4,VALUE(RIGHT($A2898,2))&lt;60),GUS_tabl_2!$A$8:$B$464,GUS_tabl_21!$A$5:$B$4886),2,FALSE)),LEFT(TRIM(VLOOKUP(IF(AND(LEN($A2898)=4,VALUE(RIGHT($A2898,2))&gt;60),$A2898&amp;"01 1",$A2898),IF(AND(LEN($A2898)=4,VALUE(RIGHT($A2898,2))&lt;60),GUS_tabl_2!$A$8:$B$464,GUS_tabl_21!$A$5:$B$4886),2,FALSE)),SUM(FIND("..",TRIM(VLOOKUP(IF(AND(LEN($A2898)=4,VALUE(RIGHT($A2898,2))&gt;60),$A2898&amp;"01 1",$A2898),IF(AND(LEN($A2898)=4,VALUE(RIGHT($A2898,2))&lt;60),GUS_tabl_2!$A$8:$B$464,GUS_tabl_21!$A$5:$B$4886),2,FALSE))),-1)))))</f>
        <v>gm. m.-w. Dębno</v>
      </c>
      <c r="D2898" s="141">
        <f>IF(OR($A2898="",ISERROR(VALUE(LEFT($A2898,6)))),"",IF(LEN($A2898)=2,SUMIF($A2899:$A$2965,$A2898&amp;"??",$D2899:$D$2965),IF(AND(LEN($A2898)=4,VALUE(RIGHT($A2898,2))&lt;=60),SUMIF($A2899:$A$2965,$A2898&amp;"????",$D2899:$D$2965),VLOOKUP(IF(LEN($A2898)=4,$A2898&amp;"01 1",$A2898),GUS_tabl_21!$A$5:$F$4886,6,FALSE))))</f>
        <v>20486</v>
      </c>
      <c r="E2898" s="29"/>
    </row>
    <row r="2899" spans="1:5" ht="12" customHeight="1">
      <c r="A2899" s="155" t="str">
        <f>"321004 3"</f>
        <v>321004 3</v>
      </c>
      <c r="B2899" s="153" t="s">
        <v>41</v>
      </c>
      <c r="C2899" s="156" t="str">
        <f>IF(OR($A2899="",ISERROR(VALUE(LEFT($A2899,6)))),"",IF(LEN($A2899)=2,"WOJ. ",IF(LEN($A2899)=4,IF(VALUE(RIGHT($A2899,2))&gt;60,"","Powiat "),IF(VALUE(RIGHT($A2899,1))=1,"m. ",IF(VALUE(RIGHT($A2899,1))=2,"gm. w. ",IF(VALUE(RIGHT($A2899,1))=8,"dz. ","gm. m.-w. ")))))&amp;IF(LEN($A2899)=2,TRIM(UPPER(VLOOKUP($A2899,GUS_tabl_1!$A$7:$B$22,2,FALSE))),IF(ISERROR(FIND("..",TRIM(VLOOKUP(IF(AND(LEN($A2899)=4,VALUE(RIGHT($A2899,2))&gt;60),$A2899&amp;"01 1",$A2899),IF(AND(LEN($A2899)=4,VALUE(RIGHT($A2899,2))&lt;60),GUS_tabl_2!$A$8:$B$464,GUS_tabl_21!$A$5:$B$4886),2,FALSE)))),TRIM(VLOOKUP(IF(AND(LEN($A2899)=4,VALUE(RIGHT($A2899,2))&gt;60),$A2899&amp;"01 1",$A2899),IF(AND(LEN($A2899)=4,VALUE(RIGHT($A2899,2))&lt;60),GUS_tabl_2!$A$8:$B$464,GUS_tabl_21!$A$5:$B$4886),2,FALSE)),LEFT(TRIM(VLOOKUP(IF(AND(LEN($A2899)=4,VALUE(RIGHT($A2899,2))&gt;60),$A2899&amp;"01 1",$A2899),IF(AND(LEN($A2899)=4,VALUE(RIGHT($A2899,2))&lt;60),GUS_tabl_2!$A$8:$B$464,GUS_tabl_21!$A$5:$B$4886),2,FALSE)),SUM(FIND("..",TRIM(VLOOKUP(IF(AND(LEN($A2899)=4,VALUE(RIGHT($A2899,2))&gt;60),$A2899&amp;"01 1",$A2899),IF(AND(LEN($A2899)=4,VALUE(RIGHT($A2899,2))&lt;60),GUS_tabl_2!$A$8:$B$464,GUS_tabl_21!$A$5:$B$4886),2,FALSE))),-1)))))</f>
        <v>gm. m.-w. Myślibórz</v>
      </c>
      <c r="D2899" s="141">
        <f>IF(OR($A2899="",ISERROR(VALUE(LEFT($A2899,6)))),"",IF(LEN($A2899)=2,SUMIF($A2900:$A$2965,$A2899&amp;"??",$D2900:$D$2965),IF(AND(LEN($A2899)=4,VALUE(RIGHT($A2899,2))&lt;=60),SUMIF($A2900:$A$2965,$A2899&amp;"????",$D2900:$D$2965),VLOOKUP(IF(LEN($A2899)=4,$A2899&amp;"01 1",$A2899),GUS_tabl_21!$A$5:$F$4886,6,FALSE))))</f>
        <v>19702</v>
      </c>
      <c r="E2899" s="29"/>
    </row>
    <row r="2900" spans="1:5" ht="12" customHeight="1">
      <c r="A2900" s="155" t="str">
        <f>"321005 2"</f>
        <v>321005 2</v>
      </c>
      <c r="B2900" s="153" t="s">
        <v>41</v>
      </c>
      <c r="C2900" s="156" t="str">
        <f>IF(OR($A2900="",ISERROR(VALUE(LEFT($A2900,6)))),"",IF(LEN($A2900)=2,"WOJ. ",IF(LEN($A2900)=4,IF(VALUE(RIGHT($A2900,2))&gt;60,"","Powiat "),IF(VALUE(RIGHT($A2900,1))=1,"m. ",IF(VALUE(RIGHT($A2900,1))=2,"gm. w. ",IF(VALUE(RIGHT($A2900,1))=8,"dz. ","gm. m.-w. ")))))&amp;IF(LEN($A2900)=2,TRIM(UPPER(VLOOKUP($A2900,GUS_tabl_1!$A$7:$B$22,2,FALSE))),IF(ISERROR(FIND("..",TRIM(VLOOKUP(IF(AND(LEN($A2900)=4,VALUE(RIGHT($A2900,2))&gt;60),$A2900&amp;"01 1",$A2900),IF(AND(LEN($A2900)=4,VALUE(RIGHT($A2900,2))&lt;60),GUS_tabl_2!$A$8:$B$464,GUS_tabl_21!$A$5:$B$4886),2,FALSE)))),TRIM(VLOOKUP(IF(AND(LEN($A2900)=4,VALUE(RIGHT($A2900,2))&gt;60),$A2900&amp;"01 1",$A2900),IF(AND(LEN($A2900)=4,VALUE(RIGHT($A2900,2))&lt;60),GUS_tabl_2!$A$8:$B$464,GUS_tabl_21!$A$5:$B$4886),2,FALSE)),LEFT(TRIM(VLOOKUP(IF(AND(LEN($A2900)=4,VALUE(RIGHT($A2900,2))&gt;60),$A2900&amp;"01 1",$A2900),IF(AND(LEN($A2900)=4,VALUE(RIGHT($A2900,2))&lt;60),GUS_tabl_2!$A$8:$B$464,GUS_tabl_21!$A$5:$B$4886),2,FALSE)),SUM(FIND("..",TRIM(VLOOKUP(IF(AND(LEN($A2900)=4,VALUE(RIGHT($A2900,2))&gt;60),$A2900&amp;"01 1",$A2900),IF(AND(LEN($A2900)=4,VALUE(RIGHT($A2900,2))&lt;60),GUS_tabl_2!$A$8:$B$464,GUS_tabl_21!$A$5:$B$4886),2,FALSE))),-1)))))</f>
        <v>gm. w. Nowogródek Pomorski</v>
      </c>
      <c r="D2900" s="141">
        <f>IF(OR($A2900="",ISERROR(VALUE(LEFT($A2900,6)))),"",IF(LEN($A2900)=2,SUMIF($A2901:$A$2965,$A2900&amp;"??",$D2901:$D$2965),IF(AND(LEN($A2900)=4,VALUE(RIGHT($A2900,2))&lt;=60),SUMIF($A2901:$A$2965,$A2900&amp;"????",$D2901:$D$2965),VLOOKUP(IF(LEN($A2900)=4,$A2900&amp;"01 1",$A2900),GUS_tabl_21!$A$5:$F$4886,6,FALSE))))</f>
        <v>3357</v>
      </c>
      <c r="E2900" s="29"/>
    </row>
    <row r="2901" spans="1:5" ht="12" customHeight="1">
      <c r="A2901" s="152" t="str">
        <f>"3211"</f>
        <v>3211</v>
      </c>
      <c r="B2901" s="153" t="s">
        <v>41</v>
      </c>
      <c r="C2901" s="154" t="str">
        <f>IF(OR($A2901="",ISERROR(VALUE(LEFT($A2901,6)))),"",IF(LEN($A2901)=2,"WOJ. ",IF(LEN($A2901)=4,IF(VALUE(RIGHT($A2901,2))&gt;60,"","Powiat "),IF(VALUE(RIGHT($A2901,1))=1,"m. ",IF(VALUE(RIGHT($A2901,1))=2,"gm. w. ",IF(VALUE(RIGHT($A2901,1))=8,"dz. ","gm. m.-w. ")))))&amp;IF(LEN($A2901)=2,TRIM(UPPER(VLOOKUP($A2901,GUS_tabl_1!$A$7:$B$22,2,FALSE))),IF(ISERROR(FIND("..",TRIM(VLOOKUP(IF(AND(LEN($A2901)=4,VALUE(RIGHT($A2901,2))&gt;60),$A2901&amp;"01 1",$A2901),IF(AND(LEN($A2901)=4,VALUE(RIGHT($A2901,2))&lt;60),GUS_tabl_2!$A$8:$B$464,GUS_tabl_21!$A$5:$B$4886),2,FALSE)))),TRIM(VLOOKUP(IF(AND(LEN($A2901)=4,VALUE(RIGHT($A2901,2))&gt;60),$A2901&amp;"01 1",$A2901),IF(AND(LEN($A2901)=4,VALUE(RIGHT($A2901,2))&lt;60),GUS_tabl_2!$A$8:$B$464,GUS_tabl_21!$A$5:$B$4886),2,FALSE)),LEFT(TRIM(VLOOKUP(IF(AND(LEN($A2901)=4,VALUE(RIGHT($A2901,2))&gt;60),$A2901&amp;"01 1",$A2901),IF(AND(LEN($A2901)=4,VALUE(RIGHT($A2901,2))&lt;60),GUS_tabl_2!$A$8:$B$464,GUS_tabl_21!$A$5:$B$4886),2,FALSE)),SUM(FIND("..",TRIM(VLOOKUP(IF(AND(LEN($A2901)=4,VALUE(RIGHT($A2901,2))&gt;60),$A2901&amp;"01 1",$A2901),IF(AND(LEN($A2901)=4,VALUE(RIGHT($A2901,2))&lt;60),GUS_tabl_2!$A$8:$B$464,GUS_tabl_21!$A$5:$B$4886),2,FALSE))),-1)))))</f>
        <v>Powiat policki</v>
      </c>
      <c r="D2901" s="140">
        <f>IF(OR($A2901="",ISERROR(VALUE(LEFT($A2901,6)))),"",IF(LEN($A2901)=2,SUMIF($A2902:$A$2965,$A2901&amp;"??",$D2902:$D$2965),IF(AND(LEN($A2901)=4,VALUE(RIGHT($A2901,2))&lt;=60),SUMIF($A2902:$A$2965,$A2901&amp;"????",$D2902:$D$2965),VLOOKUP(IF(LEN($A2901)=4,$A2901&amp;"01 1",$A2901),GUS_tabl_21!$A$5:$F$4886,6,FALSE))))</f>
        <v>80652</v>
      </c>
      <c r="E2901" s="29"/>
    </row>
    <row r="2902" spans="1:5" ht="12" customHeight="1">
      <c r="A2902" s="155" t="str">
        <f>"321101 2"</f>
        <v>321101 2</v>
      </c>
      <c r="B2902" s="153" t="s">
        <v>41</v>
      </c>
      <c r="C2902" s="156" t="str">
        <f>IF(OR($A2902="",ISERROR(VALUE(LEFT($A2902,6)))),"",IF(LEN($A2902)=2,"WOJ. ",IF(LEN($A2902)=4,IF(VALUE(RIGHT($A2902,2))&gt;60,"","Powiat "),IF(VALUE(RIGHT($A2902,1))=1,"m. ",IF(VALUE(RIGHT($A2902,1))=2,"gm. w. ",IF(VALUE(RIGHT($A2902,1))=8,"dz. ","gm. m.-w. ")))))&amp;IF(LEN($A2902)=2,TRIM(UPPER(VLOOKUP($A2902,GUS_tabl_1!$A$7:$B$22,2,FALSE))),IF(ISERROR(FIND("..",TRIM(VLOOKUP(IF(AND(LEN($A2902)=4,VALUE(RIGHT($A2902,2))&gt;60),$A2902&amp;"01 1",$A2902),IF(AND(LEN($A2902)=4,VALUE(RIGHT($A2902,2))&lt;60),GUS_tabl_2!$A$8:$B$464,GUS_tabl_21!$A$5:$B$4886),2,FALSE)))),TRIM(VLOOKUP(IF(AND(LEN($A2902)=4,VALUE(RIGHT($A2902,2))&gt;60),$A2902&amp;"01 1",$A2902),IF(AND(LEN($A2902)=4,VALUE(RIGHT($A2902,2))&lt;60),GUS_tabl_2!$A$8:$B$464,GUS_tabl_21!$A$5:$B$4886),2,FALSE)),LEFT(TRIM(VLOOKUP(IF(AND(LEN($A2902)=4,VALUE(RIGHT($A2902,2))&gt;60),$A2902&amp;"01 1",$A2902),IF(AND(LEN($A2902)=4,VALUE(RIGHT($A2902,2))&lt;60),GUS_tabl_2!$A$8:$B$464,GUS_tabl_21!$A$5:$B$4886),2,FALSE)),SUM(FIND("..",TRIM(VLOOKUP(IF(AND(LEN($A2902)=4,VALUE(RIGHT($A2902,2))&gt;60),$A2902&amp;"01 1",$A2902),IF(AND(LEN($A2902)=4,VALUE(RIGHT($A2902,2))&lt;60),GUS_tabl_2!$A$8:$B$464,GUS_tabl_21!$A$5:$B$4886),2,FALSE))),-1)))))</f>
        <v>gm. w. Dobra (Szczecińska)</v>
      </c>
      <c r="D2902" s="141">
        <f>IF(OR($A2902="",ISERROR(VALUE(LEFT($A2902,6)))),"",IF(LEN($A2902)=2,SUMIF($A2903:$A$2965,$A2902&amp;"??",$D2903:$D$2965),IF(AND(LEN($A2902)=4,VALUE(RIGHT($A2902,2))&lt;=60),SUMIF($A2903:$A$2965,$A2902&amp;"????",$D2903:$D$2965),VLOOKUP(IF(LEN($A2902)=4,$A2902&amp;"01 1",$A2902),GUS_tabl_21!$A$5:$F$4886,6,FALSE))))</f>
        <v>24292</v>
      </c>
      <c r="E2902" s="29"/>
    </row>
    <row r="2903" spans="1:5" ht="12" customHeight="1">
      <c r="A2903" s="155" t="str">
        <f>"321102 2"</f>
        <v>321102 2</v>
      </c>
      <c r="B2903" s="153" t="s">
        <v>41</v>
      </c>
      <c r="C2903" s="156" t="str">
        <f>IF(OR($A2903="",ISERROR(VALUE(LEFT($A2903,6)))),"",IF(LEN($A2903)=2,"WOJ. ",IF(LEN($A2903)=4,IF(VALUE(RIGHT($A2903,2))&gt;60,"","Powiat "),IF(VALUE(RIGHT($A2903,1))=1,"m. ",IF(VALUE(RIGHT($A2903,1))=2,"gm. w. ",IF(VALUE(RIGHT($A2903,1))=8,"dz. ","gm. m.-w. ")))))&amp;IF(LEN($A2903)=2,TRIM(UPPER(VLOOKUP($A2903,GUS_tabl_1!$A$7:$B$22,2,FALSE))),IF(ISERROR(FIND("..",TRIM(VLOOKUP(IF(AND(LEN($A2903)=4,VALUE(RIGHT($A2903,2))&gt;60),$A2903&amp;"01 1",$A2903),IF(AND(LEN($A2903)=4,VALUE(RIGHT($A2903,2))&lt;60),GUS_tabl_2!$A$8:$B$464,GUS_tabl_21!$A$5:$B$4886),2,FALSE)))),TRIM(VLOOKUP(IF(AND(LEN($A2903)=4,VALUE(RIGHT($A2903,2))&gt;60),$A2903&amp;"01 1",$A2903),IF(AND(LEN($A2903)=4,VALUE(RIGHT($A2903,2))&lt;60),GUS_tabl_2!$A$8:$B$464,GUS_tabl_21!$A$5:$B$4886),2,FALSE)),LEFT(TRIM(VLOOKUP(IF(AND(LEN($A2903)=4,VALUE(RIGHT($A2903,2))&gt;60),$A2903&amp;"01 1",$A2903),IF(AND(LEN($A2903)=4,VALUE(RIGHT($A2903,2))&lt;60),GUS_tabl_2!$A$8:$B$464,GUS_tabl_21!$A$5:$B$4886),2,FALSE)),SUM(FIND("..",TRIM(VLOOKUP(IF(AND(LEN($A2903)=4,VALUE(RIGHT($A2903,2))&gt;60),$A2903&amp;"01 1",$A2903),IF(AND(LEN($A2903)=4,VALUE(RIGHT($A2903,2))&lt;60),GUS_tabl_2!$A$8:$B$464,GUS_tabl_21!$A$5:$B$4886),2,FALSE))),-1)))))</f>
        <v>gm. w. Kołbaskowo</v>
      </c>
      <c r="D2903" s="141">
        <f>IF(OR($A2903="",ISERROR(VALUE(LEFT($A2903,6)))),"",IF(LEN($A2903)=2,SUMIF($A2904:$A$2965,$A2903&amp;"??",$D2904:$D$2965),IF(AND(LEN($A2903)=4,VALUE(RIGHT($A2903,2))&lt;=60),SUMIF($A2904:$A$2965,$A2903&amp;"????",$D2904:$D$2965),VLOOKUP(IF(LEN($A2903)=4,$A2903&amp;"01 1",$A2903),GUS_tabl_21!$A$5:$F$4886,6,FALSE))))</f>
        <v>13436</v>
      </c>
      <c r="E2903" s="29"/>
    </row>
    <row r="2904" spans="1:5" ht="12" customHeight="1">
      <c r="A2904" s="155" t="str">
        <f>"321103 3"</f>
        <v>321103 3</v>
      </c>
      <c r="B2904" s="153" t="s">
        <v>41</v>
      </c>
      <c r="C2904" s="156" t="str">
        <f>IF(OR($A2904="",ISERROR(VALUE(LEFT($A2904,6)))),"",IF(LEN($A2904)=2,"WOJ. ",IF(LEN($A2904)=4,IF(VALUE(RIGHT($A2904,2))&gt;60,"","Powiat "),IF(VALUE(RIGHT($A2904,1))=1,"m. ",IF(VALUE(RIGHT($A2904,1))=2,"gm. w. ",IF(VALUE(RIGHT($A2904,1))=8,"dz. ","gm. m.-w. ")))))&amp;IF(LEN($A2904)=2,TRIM(UPPER(VLOOKUP($A2904,GUS_tabl_1!$A$7:$B$22,2,FALSE))),IF(ISERROR(FIND("..",TRIM(VLOOKUP(IF(AND(LEN($A2904)=4,VALUE(RIGHT($A2904,2))&gt;60),$A2904&amp;"01 1",$A2904),IF(AND(LEN($A2904)=4,VALUE(RIGHT($A2904,2))&lt;60),GUS_tabl_2!$A$8:$B$464,GUS_tabl_21!$A$5:$B$4886),2,FALSE)))),TRIM(VLOOKUP(IF(AND(LEN($A2904)=4,VALUE(RIGHT($A2904,2))&gt;60),$A2904&amp;"01 1",$A2904),IF(AND(LEN($A2904)=4,VALUE(RIGHT($A2904,2))&lt;60),GUS_tabl_2!$A$8:$B$464,GUS_tabl_21!$A$5:$B$4886),2,FALSE)),LEFT(TRIM(VLOOKUP(IF(AND(LEN($A2904)=4,VALUE(RIGHT($A2904,2))&gt;60),$A2904&amp;"01 1",$A2904),IF(AND(LEN($A2904)=4,VALUE(RIGHT($A2904,2))&lt;60),GUS_tabl_2!$A$8:$B$464,GUS_tabl_21!$A$5:$B$4886),2,FALSE)),SUM(FIND("..",TRIM(VLOOKUP(IF(AND(LEN($A2904)=4,VALUE(RIGHT($A2904,2))&gt;60),$A2904&amp;"01 1",$A2904),IF(AND(LEN($A2904)=4,VALUE(RIGHT($A2904,2))&lt;60),GUS_tabl_2!$A$8:$B$464,GUS_tabl_21!$A$5:$B$4886),2,FALSE))),-1)))))</f>
        <v>gm. m.-w. Nowe Warpno</v>
      </c>
      <c r="D2904" s="141">
        <f>IF(OR($A2904="",ISERROR(VALUE(LEFT($A2904,6)))),"",IF(LEN($A2904)=2,SUMIF($A2905:$A$2965,$A2904&amp;"??",$D2905:$D$2965),IF(AND(LEN($A2904)=4,VALUE(RIGHT($A2904,2))&lt;=60),SUMIF($A2905:$A$2965,$A2904&amp;"????",$D2905:$D$2965),VLOOKUP(IF(LEN($A2904)=4,$A2904&amp;"01 1",$A2904),GUS_tabl_21!$A$5:$F$4886,6,FALSE))))</f>
        <v>1636</v>
      </c>
      <c r="E2904" s="29"/>
    </row>
    <row r="2905" spans="1:5" ht="12" customHeight="1">
      <c r="A2905" s="155" t="str">
        <f>"321104 3"</f>
        <v>321104 3</v>
      </c>
      <c r="B2905" s="153" t="s">
        <v>41</v>
      </c>
      <c r="C2905" s="156" t="str">
        <f>IF(OR($A2905="",ISERROR(VALUE(LEFT($A2905,6)))),"",IF(LEN($A2905)=2,"WOJ. ",IF(LEN($A2905)=4,IF(VALUE(RIGHT($A2905,2))&gt;60,"","Powiat "),IF(VALUE(RIGHT($A2905,1))=1,"m. ",IF(VALUE(RIGHT($A2905,1))=2,"gm. w. ",IF(VALUE(RIGHT($A2905,1))=8,"dz. ","gm. m.-w. ")))))&amp;IF(LEN($A2905)=2,TRIM(UPPER(VLOOKUP($A2905,GUS_tabl_1!$A$7:$B$22,2,FALSE))),IF(ISERROR(FIND("..",TRIM(VLOOKUP(IF(AND(LEN($A2905)=4,VALUE(RIGHT($A2905,2))&gt;60),$A2905&amp;"01 1",$A2905),IF(AND(LEN($A2905)=4,VALUE(RIGHT($A2905,2))&lt;60),GUS_tabl_2!$A$8:$B$464,GUS_tabl_21!$A$5:$B$4886),2,FALSE)))),TRIM(VLOOKUP(IF(AND(LEN($A2905)=4,VALUE(RIGHT($A2905,2))&gt;60),$A2905&amp;"01 1",$A2905),IF(AND(LEN($A2905)=4,VALUE(RIGHT($A2905,2))&lt;60),GUS_tabl_2!$A$8:$B$464,GUS_tabl_21!$A$5:$B$4886),2,FALSE)),LEFT(TRIM(VLOOKUP(IF(AND(LEN($A2905)=4,VALUE(RIGHT($A2905,2))&gt;60),$A2905&amp;"01 1",$A2905),IF(AND(LEN($A2905)=4,VALUE(RIGHT($A2905,2))&lt;60),GUS_tabl_2!$A$8:$B$464,GUS_tabl_21!$A$5:$B$4886),2,FALSE)),SUM(FIND("..",TRIM(VLOOKUP(IF(AND(LEN($A2905)=4,VALUE(RIGHT($A2905,2))&gt;60),$A2905&amp;"01 1",$A2905),IF(AND(LEN($A2905)=4,VALUE(RIGHT($A2905,2))&lt;60),GUS_tabl_2!$A$8:$B$464,GUS_tabl_21!$A$5:$B$4886),2,FALSE))),-1)))))</f>
        <v>gm. m.-w. Police</v>
      </c>
      <c r="D2905" s="141">
        <f>IF(OR($A2905="",ISERROR(VALUE(LEFT($A2905,6)))),"",IF(LEN($A2905)=2,SUMIF($A2906:$A$2965,$A2905&amp;"??",$D2906:$D$2965),IF(AND(LEN($A2905)=4,VALUE(RIGHT($A2905,2))&lt;=60),SUMIF($A2906:$A$2965,$A2905&amp;"????",$D2906:$D$2965),VLOOKUP(IF(LEN($A2905)=4,$A2905&amp;"01 1",$A2905),GUS_tabl_21!$A$5:$F$4886,6,FALSE))))</f>
        <v>41288</v>
      </c>
      <c r="E2905" s="29"/>
    </row>
    <row r="2906" spans="1:5" ht="12" customHeight="1">
      <c r="A2906" s="152" t="str">
        <f>"3212"</f>
        <v>3212</v>
      </c>
      <c r="B2906" s="153" t="s">
        <v>41</v>
      </c>
      <c r="C2906" s="154" t="str">
        <f>IF(OR($A2906="",ISERROR(VALUE(LEFT($A2906,6)))),"",IF(LEN($A2906)=2,"WOJ. ",IF(LEN($A2906)=4,IF(VALUE(RIGHT($A2906,2))&gt;60,"","Powiat "),IF(VALUE(RIGHT($A2906,1))=1,"m. ",IF(VALUE(RIGHT($A2906,1))=2,"gm. w. ",IF(VALUE(RIGHT($A2906,1))=8,"dz. ","gm. m.-w. ")))))&amp;IF(LEN($A2906)=2,TRIM(UPPER(VLOOKUP($A2906,GUS_tabl_1!$A$7:$B$22,2,FALSE))),IF(ISERROR(FIND("..",TRIM(VLOOKUP(IF(AND(LEN($A2906)=4,VALUE(RIGHT($A2906,2))&gt;60),$A2906&amp;"01 1",$A2906),IF(AND(LEN($A2906)=4,VALUE(RIGHT($A2906,2))&lt;60),GUS_tabl_2!$A$8:$B$464,GUS_tabl_21!$A$5:$B$4886),2,FALSE)))),TRIM(VLOOKUP(IF(AND(LEN($A2906)=4,VALUE(RIGHT($A2906,2))&gt;60),$A2906&amp;"01 1",$A2906),IF(AND(LEN($A2906)=4,VALUE(RIGHT($A2906,2))&lt;60),GUS_tabl_2!$A$8:$B$464,GUS_tabl_21!$A$5:$B$4886),2,FALSE)),LEFT(TRIM(VLOOKUP(IF(AND(LEN($A2906)=4,VALUE(RIGHT($A2906,2))&gt;60),$A2906&amp;"01 1",$A2906),IF(AND(LEN($A2906)=4,VALUE(RIGHT($A2906,2))&lt;60),GUS_tabl_2!$A$8:$B$464,GUS_tabl_21!$A$5:$B$4886),2,FALSE)),SUM(FIND("..",TRIM(VLOOKUP(IF(AND(LEN($A2906)=4,VALUE(RIGHT($A2906,2))&gt;60),$A2906&amp;"01 1",$A2906),IF(AND(LEN($A2906)=4,VALUE(RIGHT($A2906,2))&lt;60),GUS_tabl_2!$A$8:$B$464,GUS_tabl_21!$A$5:$B$4886),2,FALSE))),-1)))))</f>
        <v>Powiat pyrzycki</v>
      </c>
      <c r="D2906" s="140">
        <f>IF(OR($A2906="",ISERROR(VALUE(LEFT($A2906,6)))),"",IF(LEN($A2906)=2,SUMIF($A2907:$A$2965,$A2906&amp;"??",$D2907:$D$2965),IF(AND(LEN($A2906)=4,VALUE(RIGHT($A2906,2))&lt;=60),SUMIF($A2907:$A$2965,$A2906&amp;"????",$D2907:$D$2965),VLOOKUP(IF(LEN($A2906)=4,$A2906&amp;"01 1",$A2906),GUS_tabl_21!$A$5:$F$4886,6,FALSE))))</f>
        <v>39336</v>
      </c>
      <c r="E2906" s="29"/>
    </row>
    <row r="2907" spans="1:5" ht="12" customHeight="1">
      <c r="A2907" s="155" t="str">
        <f>"321201 2"</f>
        <v>321201 2</v>
      </c>
      <c r="B2907" s="153" t="s">
        <v>41</v>
      </c>
      <c r="C2907" s="156" t="str">
        <f>IF(OR($A2907="",ISERROR(VALUE(LEFT($A2907,6)))),"",IF(LEN($A2907)=2,"WOJ. ",IF(LEN($A2907)=4,IF(VALUE(RIGHT($A2907,2))&gt;60,"","Powiat "),IF(VALUE(RIGHT($A2907,1))=1,"m. ",IF(VALUE(RIGHT($A2907,1))=2,"gm. w. ",IF(VALUE(RIGHT($A2907,1))=8,"dz. ","gm. m.-w. ")))))&amp;IF(LEN($A2907)=2,TRIM(UPPER(VLOOKUP($A2907,GUS_tabl_1!$A$7:$B$22,2,FALSE))),IF(ISERROR(FIND("..",TRIM(VLOOKUP(IF(AND(LEN($A2907)=4,VALUE(RIGHT($A2907,2))&gt;60),$A2907&amp;"01 1",$A2907),IF(AND(LEN($A2907)=4,VALUE(RIGHT($A2907,2))&lt;60),GUS_tabl_2!$A$8:$B$464,GUS_tabl_21!$A$5:$B$4886),2,FALSE)))),TRIM(VLOOKUP(IF(AND(LEN($A2907)=4,VALUE(RIGHT($A2907,2))&gt;60),$A2907&amp;"01 1",$A2907),IF(AND(LEN($A2907)=4,VALUE(RIGHT($A2907,2))&lt;60),GUS_tabl_2!$A$8:$B$464,GUS_tabl_21!$A$5:$B$4886),2,FALSE)),LEFT(TRIM(VLOOKUP(IF(AND(LEN($A2907)=4,VALUE(RIGHT($A2907,2))&gt;60),$A2907&amp;"01 1",$A2907),IF(AND(LEN($A2907)=4,VALUE(RIGHT($A2907,2))&lt;60),GUS_tabl_2!$A$8:$B$464,GUS_tabl_21!$A$5:$B$4886),2,FALSE)),SUM(FIND("..",TRIM(VLOOKUP(IF(AND(LEN($A2907)=4,VALUE(RIGHT($A2907,2))&gt;60),$A2907&amp;"01 1",$A2907),IF(AND(LEN($A2907)=4,VALUE(RIGHT($A2907,2))&lt;60),GUS_tabl_2!$A$8:$B$464,GUS_tabl_21!$A$5:$B$4886),2,FALSE))),-1)))))</f>
        <v>gm. w. Bielice</v>
      </c>
      <c r="D2907" s="141">
        <f>IF(OR($A2907="",ISERROR(VALUE(LEFT($A2907,6)))),"",IF(LEN($A2907)=2,SUMIF($A2908:$A$2965,$A2907&amp;"??",$D2908:$D$2965),IF(AND(LEN($A2907)=4,VALUE(RIGHT($A2907,2))&lt;=60),SUMIF($A2908:$A$2965,$A2907&amp;"????",$D2908:$D$2965),VLOOKUP(IF(LEN($A2907)=4,$A2907&amp;"01 1",$A2907),GUS_tabl_21!$A$5:$F$4886,6,FALSE))))</f>
        <v>3122</v>
      </c>
      <c r="E2907" s="29"/>
    </row>
    <row r="2908" spans="1:5" ht="12" customHeight="1">
      <c r="A2908" s="155" t="str">
        <f>"321202 2"</f>
        <v>321202 2</v>
      </c>
      <c r="B2908" s="153" t="s">
        <v>41</v>
      </c>
      <c r="C2908" s="156" t="str">
        <f>IF(OR($A2908="",ISERROR(VALUE(LEFT($A2908,6)))),"",IF(LEN($A2908)=2,"WOJ. ",IF(LEN($A2908)=4,IF(VALUE(RIGHT($A2908,2))&gt;60,"","Powiat "),IF(VALUE(RIGHT($A2908,1))=1,"m. ",IF(VALUE(RIGHT($A2908,1))=2,"gm. w. ",IF(VALUE(RIGHT($A2908,1))=8,"dz. ","gm. m.-w. ")))))&amp;IF(LEN($A2908)=2,TRIM(UPPER(VLOOKUP($A2908,GUS_tabl_1!$A$7:$B$22,2,FALSE))),IF(ISERROR(FIND("..",TRIM(VLOOKUP(IF(AND(LEN($A2908)=4,VALUE(RIGHT($A2908,2))&gt;60),$A2908&amp;"01 1",$A2908),IF(AND(LEN($A2908)=4,VALUE(RIGHT($A2908,2))&lt;60),GUS_tabl_2!$A$8:$B$464,GUS_tabl_21!$A$5:$B$4886),2,FALSE)))),TRIM(VLOOKUP(IF(AND(LEN($A2908)=4,VALUE(RIGHT($A2908,2))&gt;60),$A2908&amp;"01 1",$A2908),IF(AND(LEN($A2908)=4,VALUE(RIGHT($A2908,2))&lt;60),GUS_tabl_2!$A$8:$B$464,GUS_tabl_21!$A$5:$B$4886),2,FALSE)),LEFT(TRIM(VLOOKUP(IF(AND(LEN($A2908)=4,VALUE(RIGHT($A2908,2))&gt;60),$A2908&amp;"01 1",$A2908),IF(AND(LEN($A2908)=4,VALUE(RIGHT($A2908,2))&lt;60),GUS_tabl_2!$A$8:$B$464,GUS_tabl_21!$A$5:$B$4886),2,FALSE)),SUM(FIND("..",TRIM(VLOOKUP(IF(AND(LEN($A2908)=4,VALUE(RIGHT($A2908,2))&gt;60),$A2908&amp;"01 1",$A2908),IF(AND(LEN($A2908)=4,VALUE(RIGHT($A2908,2))&lt;60),GUS_tabl_2!$A$8:$B$464,GUS_tabl_21!$A$5:$B$4886),2,FALSE))),-1)))))</f>
        <v>gm. w. Kozielice</v>
      </c>
      <c r="D2908" s="141">
        <f>IF(OR($A2908="",ISERROR(VALUE(LEFT($A2908,6)))),"",IF(LEN($A2908)=2,SUMIF($A2909:$A$2965,$A2908&amp;"??",$D2909:$D$2965),IF(AND(LEN($A2908)=4,VALUE(RIGHT($A2908,2))&lt;=60),SUMIF($A2909:$A$2965,$A2908&amp;"????",$D2909:$D$2965),VLOOKUP(IF(LEN($A2908)=4,$A2908&amp;"01 1",$A2908),GUS_tabl_21!$A$5:$F$4886,6,FALSE))))</f>
        <v>2477</v>
      </c>
      <c r="E2908" s="29"/>
    </row>
    <row r="2909" spans="1:5" ht="12" customHeight="1">
      <c r="A2909" s="155" t="str">
        <f>"321203 3"</f>
        <v>321203 3</v>
      </c>
      <c r="B2909" s="153" t="s">
        <v>41</v>
      </c>
      <c r="C2909" s="156" t="str">
        <f>IF(OR($A2909="",ISERROR(VALUE(LEFT($A2909,6)))),"",IF(LEN($A2909)=2,"WOJ. ",IF(LEN($A2909)=4,IF(VALUE(RIGHT($A2909,2))&gt;60,"","Powiat "),IF(VALUE(RIGHT($A2909,1))=1,"m. ",IF(VALUE(RIGHT($A2909,1))=2,"gm. w. ",IF(VALUE(RIGHT($A2909,1))=8,"dz. ","gm. m.-w. ")))))&amp;IF(LEN($A2909)=2,TRIM(UPPER(VLOOKUP($A2909,GUS_tabl_1!$A$7:$B$22,2,FALSE))),IF(ISERROR(FIND("..",TRIM(VLOOKUP(IF(AND(LEN($A2909)=4,VALUE(RIGHT($A2909,2))&gt;60),$A2909&amp;"01 1",$A2909),IF(AND(LEN($A2909)=4,VALUE(RIGHT($A2909,2))&lt;60),GUS_tabl_2!$A$8:$B$464,GUS_tabl_21!$A$5:$B$4886),2,FALSE)))),TRIM(VLOOKUP(IF(AND(LEN($A2909)=4,VALUE(RIGHT($A2909,2))&gt;60),$A2909&amp;"01 1",$A2909),IF(AND(LEN($A2909)=4,VALUE(RIGHT($A2909,2))&lt;60),GUS_tabl_2!$A$8:$B$464,GUS_tabl_21!$A$5:$B$4886),2,FALSE)),LEFT(TRIM(VLOOKUP(IF(AND(LEN($A2909)=4,VALUE(RIGHT($A2909,2))&gt;60),$A2909&amp;"01 1",$A2909),IF(AND(LEN($A2909)=4,VALUE(RIGHT($A2909,2))&lt;60),GUS_tabl_2!$A$8:$B$464,GUS_tabl_21!$A$5:$B$4886),2,FALSE)),SUM(FIND("..",TRIM(VLOOKUP(IF(AND(LEN($A2909)=4,VALUE(RIGHT($A2909,2))&gt;60),$A2909&amp;"01 1",$A2909),IF(AND(LEN($A2909)=4,VALUE(RIGHT($A2909,2))&lt;60),GUS_tabl_2!$A$8:$B$464,GUS_tabl_21!$A$5:$B$4886),2,FALSE))),-1)))))</f>
        <v>gm. m.-w. Lipiany</v>
      </c>
      <c r="D2909" s="141">
        <f>IF(OR($A2909="",ISERROR(VALUE(LEFT($A2909,6)))),"",IF(LEN($A2909)=2,SUMIF($A2910:$A$2965,$A2909&amp;"??",$D2910:$D$2965),IF(AND(LEN($A2909)=4,VALUE(RIGHT($A2909,2))&lt;=60),SUMIF($A2910:$A$2965,$A2909&amp;"????",$D2910:$D$2965),VLOOKUP(IF(LEN($A2909)=4,$A2909&amp;"01 1",$A2909),GUS_tabl_21!$A$5:$F$4886,6,FALSE))))</f>
        <v>5832</v>
      </c>
      <c r="E2909" s="29"/>
    </row>
    <row r="2910" spans="1:5" ht="12" customHeight="1">
      <c r="A2910" s="155" t="str">
        <f>"321204 2"</f>
        <v>321204 2</v>
      </c>
      <c r="B2910" s="153" t="s">
        <v>41</v>
      </c>
      <c r="C2910" s="156" t="str">
        <f>IF(OR($A2910="",ISERROR(VALUE(LEFT($A2910,6)))),"",IF(LEN($A2910)=2,"WOJ. ",IF(LEN($A2910)=4,IF(VALUE(RIGHT($A2910,2))&gt;60,"","Powiat "),IF(VALUE(RIGHT($A2910,1))=1,"m. ",IF(VALUE(RIGHT($A2910,1))=2,"gm. w. ",IF(VALUE(RIGHT($A2910,1))=8,"dz. ","gm. m.-w. ")))))&amp;IF(LEN($A2910)=2,TRIM(UPPER(VLOOKUP($A2910,GUS_tabl_1!$A$7:$B$22,2,FALSE))),IF(ISERROR(FIND("..",TRIM(VLOOKUP(IF(AND(LEN($A2910)=4,VALUE(RIGHT($A2910,2))&gt;60),$A2910&amp;"01 1",$A2910),IF(AND(LEN($A2910)=4,VALUE(RIGHT($A2910,2))&lt;60),GUS_tabl_2!$A$8:$B$464,GUS_tabl_21!$A$5:$B$4886),2,FALSE)))),TRIM(VLOOKUP(IF(AND(LEN($A2910)=4,VALUE(RIGHT($A2910,2))&gt;60),$A2910&amp;"01 1",$A2910),IF(AND(LEN($A2910)=4,VALUE(RIGHT($A2910,2))&lt;60),GUS_tabl_2!$A$8:$B$464,GUS_tabl_21!$A$5:$B$4886),2,FALSE)),LEFT(TRIM(VLOOKUP(IF(AND(LEN($A2910)=4,VALUE(RIGHT($A2910,2))&gt;60),$A2910&amp;"01 1",$A2910),IF(AND(LEN($A2910)=4,VALUE(RIGHT($A2910,2))&lt;60),GUS_tabl_2!$A$8:$B$464,GUS_tabl_21!$A$5:$B$4886),2,FALSE)),SUM(FIND("..",TRIM(VLOOKUP(IF(AND(LEN($A2910)=4,VALUE(RIGHT($A2910,2))&gt;60),$A2910&amp;"01 1",$A2910),IF(AND(LEN($A2910)=4,VALUE(RIGHT($A2910,2))&lt;60),GUS_tabl_2!$A$8:$B$464,GUS_tabl_21!$A$5:$B$4886),2,FALSE))),-1)))))</f>
        <v>gm. w. Przelewice</v>
      </c>
      <c r="D2910" s="141">
        <f>IF(OR($A2910="",ISERROR(VALUE(LEFT($A2910,6)))),"",IF(LEN($A2910)=2,SUMIF($A2911:$A$2965,$A2910&amp;"??",$D2911:$D$2965),IF(AND(LEN($A2910)=4,VALUE(RIGHT($A2910,2))&lt;=60),SUMIF($A2911:$A$2965,$A2910&amp;"????",$D2911:$D$2965),VLOOKUP(IF(LEN($A2910)=4,$A2910&amp;"01 1",$A2910),GUS_tabl_21!$A$5:$F$4886,6,FALSE))))</f>
        <v>5129</v>
      </c>
      <c r="E2910" s="29"/>
    </row>
    <row r="2911" spans="1:5" ht="12" customHeight="1">
      <c r="A2911" s="155" t="str">
        <f>"321205 3"</f>
        <v>321205 3</v>
      </c>
      <c r="B2911" s="153" t="s">
        <v>41</v>
      </c>
      <c r="C2911" s="156" t="str">
        <f>IF(OR($A2911="",ISERROR(VALUE(LEFT($A2911,6)))),"",IF(LEN($A2911)=2,"WOJ. ",IF(LEN($A2911)=4,IF(VALUE(RIGHT($A2911,2))&gt;60,"","Powiat "),IF(VALUE(RIGHT($A2911,1))=1,"m. ",IF(VALUE(RIGHT($A2911,1))=2,"gm. w. ",IF(VALUE(RIGHT($A2911,1))=8,"dz. ","gm. m.-w. ")))))&amp;IF(LEN($A2911)=2,TRIM(UPPER(VLOOKUP($A2911,GUS_tabl_1!$A$7:$B$22,2,FALSE))),IF(ISERROR(FIND("..",TRIM(VLOOKUP(IF(AND(LEN($A2911)=4,VALUE(RIGHT($A2911,2))&gt;60),$A2911&amp;"01 1",$A2911),IF(AND(LEN($A2911)=4,VALUE(RIGHT($A2911,2))&lt;60),GUS_tabl_2!$A$8:$B$464,GUS_tabl_21!$A$5:$B$4886),2,FALSE)))),TRIM(VLOOKUP(IF(AND(LEN($A2911)=4,VALUE(RIGHT($A2911,2))&gt;60),$A2911&amp;"01 1",$A2911),IF(AND(LEN($A2911)=4,VALUE(RIGHT($A2911,2))&lt;60),GUS_tabl_2!$A$8:$B$464,GUS_tabl_21!$A$5:$B$4886),2,FALSE)),LEFT(TRIM(VLOOKUP(IF(AND(LEN($A2911)=4,VALUE(RIGHT($A2911,2))&gt;60),$A2911&amp;"01 1",$A2911),IF(AND(LEN($A2911)=4,VALUE(RIGHT($A2911,2))&lt;60),GUS_tabl_2!$A$8:$B$464,GUS_tabl_21!$A$5:$B$4886),2,FALSE)),SUM(FIND("..",TRIM(VLOOKUP(IF(AND(LEN($A2911)=4,VALUE(RIGHT($A2911,2))&gt;60),$A2911&amp;"01 1",$A2911),IF(AND(LEN($A2911)=4,VALUE(RIGHT($A2911,2))&lt;60),GUS_tabl_2!$A$8:$B$464,GUS_tabl_21!$A$5:$B$4886),2,FALSE))),-1)))))</f>
        <v>gm. m.-w. Pyrzyce</v>
      </c>
      <c r="D2911" s="141">
        <f>IF(OR($A2911="",ISERROR(VALUE(LEFT($A2911,6)))),"",IF(LEN($A2911)=2,SUMIF($A2912:$A$2965,$A2911&amp;"??",$D2912:$D$2965),IF(AND(LEN($A2911)=4,VALUE(RIGHT($A2911,2))&lt;=60),SUMIF($A2912:$A$2965,$A2911&amp;"????",$D2912:$D$2965),VLOOKUP(IF(LEN($A2911)=4,$A2911&amp;"01 1",$A2911),GUS_tabl_21!$A$5:$F$4886,6,FALSE))))</f>
        <v>19313</v>
      </c>
      <c r="E2911" s="29"/>
    </row>
    <row r="2912" spans="1:5" ht="12" customHeight="1">
      <c r="A2912" s="155" t="str">
        <f>"321206 2"</f>
        <v>321206 2</v>
      </c>
      <c r="B2912" s="153" t="s">
        <v>41</v>
      </c>
      <c r="C2912" s="156" t="str">
        <f>IF(OR($A2912="",ISERROR(VALUE(LEFT($A2912,6)))),"",IF(LEN($A2912)=2,"WOJ. ",IF(LEN($A2912)=4,IF(VALUE(RIGHT($A2912,2))&gt;60,"","Powiat "),IF(VALUE(RIGHT($A2912,1))=1,"m. ",IF(VALUE(RIGHT($A2912,1))=2,"gm. w. ",IF(VALUE(RIGHT($A2912,1))=8,"dz. ","gm. m.-w. ")))))&amp;IF(LEN($A2912)=2,TRIM(UPPER(VLOOKUP($A2912,GUS_tabl_1!$A$7:$B$22,2,FALSE))),IF(ISERROR(FIND("..",TRIM(VLOOKUP(IF(AND(LEN($A2912)=4,VALUE(RIGHT($A2912,2))&gt;60),$A2912&amp;"01 1",$A2912),IF(AND(LEN($A2912)=4,VALUE(RIGHT($A2912,2))&lt;60),GUS_tabl_2!$A$8:$B$464,GUS_tabl_21!$A$5:$B$4886),2,FALSE)))),TRIM(VLOOKUP(IF(AND(LEN($A2912)=4,VALUE(RIGHT($A2912,2))&gt;60),$A2912&amp;"01 1",$A2912),IF(AND(LEN($A2912)=4,VALUE(RIGHT($A2912,2))&lt;60),GUS_tabl_2!$A$8:$B$464,GUS_tabl_21!$A$5:$B$4886),2,FALSE)),LEFT(TRIM(VLOOKUP(IF(AND(LEN($A2912)=4,VALUE(RIGHT($A2912,2))&gt;60),$A2912&amp;"01 1",$A2912),IF(AND(LEN($A2912)=4,VALUE(RIGHT($A2912,2))&lt;60),GUS_tabl_2!$A$8:$B$464,GUS_tabl_21!$A$5:$B$4886),2,FALSE)),SUM(FIND("..",TRIM(VLOOKUP(IF(AND(LEN($A2912)=4,VALUE(RIGHT($A2912,2))&gt;60),$A2912&amp;"01 1",$A2912),IF(AND(LEN($A2912)=4,VALUE(RIGHT($A2912,2))&lt;60),GUS_tabl_2!$A$8:$B$464,GUS_tabl_21!$A$5:$B$4886),2,FALSE))),-1)))))</f>
        <v>gm. w. Warnice</v>
      </c>
      <c r="D2912" s="141">
        <f>IF(OR($A2912="",ISERROR(VALUE(LEFT($A2912,6)))),"",IF(LEN($A2912)=2,SUMIF($A2913:$A$2965,$A2912&amp;"??",$D2913:$D$2965),IF(AND(LEN($A2912)=4,VALUE(RIGHT($A2912,2))&lt;=60),SUMIF($A2913:$A$2965,$A2912&amp;"????",$D2913:$D$2965),VLOOKUP(IF(LEN($A2912)=4,$A2912&amp;"01 1",$A2912),GUS_tabl_21!$A$5:$F$4886,6,FALSE))))</f>
        <v>3463</v>
      </c>
      <c r="E2912" s="29"/>
    </row>
    <row r="2913" spans="1:5" ht="12" customHeight="1">
      <c r="A2913" s="152" t="str">
        <f>"3213"</f>
        <v>3213</v>
      </c>
      <c r="B2913" s="153" t="s">
        <v>41</v>
      </c>
      <c r="C2913" s="154" t="str">
        <f>IF(OR($A2913="",ISERROR(VALUE(LEFT($A2913,6)))),"",IF(LEN($A2913)=2,"WOJ. ",IF(LEN($A2913)=4,IF(VALUE(RIGHT($A2913,2))&gt;60,"","Powiat "),IF(VALUE(RIGHT($A2913,1))=1,"m. ",IF(VALUE(RIGHT($A2913,1))=2,"gm. w. ",IF(VALUE(RIGHT($A2913,1))=8,"dz. ","gm. m.-w. ")))))&amp;IF(LEN($A2913)=2,TRIM(UPPER(VLOOKUP($A2913,GUS_tabl_1!$A$7:$B$22,2,FALSE))),IF(ISERROR(FIND("..",TRIM(VLOOKUP(IF(AND(LEN($A2913)=4,VALUE(RIGHT($A2913,2))&gt;60),$A2913&amp;"01 1",$A2913),IF(AND(LEN($A2913)=4,VALUE(RIGHT($A2913,2))&lt;60),GUS_tabl_2!$A$8:$B$464,GUS_tabl_21!$A$5:$B$4886),2,FALSE)))),TRIM(VLOOKUP(IF(AND(LEN($A2913)=4,VALUE(RIGHT($A2913,2))&gt;60),$A2913&amp;"01 1",$A2913),IF(AND(LEN($A2913)=4,VALUE(RIGHT($A2913,2))&lt;60),GUS_tabl_2!$A$8:$B$464,GUS_tabl_21!$A$5:$B$4886),2,FALSE)),LEFT(TRIM(VLOOKUP(IF(AND(LEN($A2913)=4,VALUE(RIGHT($A2913,2))&gt;60),$A2913&amp;"01 1",$A2913),IF(AND(LEN($A2913)=4,VALUE(RIGHT($A2913,2))&lt;60),GUS_tabl_2!$A$8:$B$464,GUS_tabl_21!$A$5:$B$4886),2,FALSE)),SUM(FIND("..",TRIM(VLOOKUP(IF(AND(LEN($A2913)=4,VALUE(RIGHT($A2913,2))&gt;60),$A2913&amp;"01 1",$A2913),IF(AND(LEN($A2913)=4,VALUE(RIGHT($A2913,2))&lt;60),GUS_tabl_2!$A$8:$B$464,GUS_tabl_21!$A$5:$B$4886),2,FALSE))),-1)))))</f>
        <v>Powiat sławieński</v>
      </c>
      <c r="D2913" s="140">
        <f>IF(OR($A2913="",ISERROR(VALUE(LEFT($A2913,6)))),"",IF(LEN($A2913)=2,SUMIF($A2914:$A$2965,$A2913&amp;"??",$D2914:$D$2965),IF(AND(LEN($A2913)=4,VALUE(RIGHT($A2913,2))&lt;=60),SUMIF($A2914:$A$2965,$A2913&amp;"????",$D2914:$D$2965),VLOOKUP(IF(LEN($A2913)=4,$A2913&amp;"01 1",$A2913),GUS_tabl_21!$A$5:$F$4886,6,FALSE))))</f>
        <v>56134</v>
      </c>
      <c r="E2913" s="29"/>
    </row>
    <row r="2914" spans="1:5" ht="12" customHeight="1">
      <c r="A2914" s="155" t="str">
        <f>"321301 1"</f>
        <v>321301 1</v>
      </c>
      <c r="B2914" s="153" t="s">
        <v>41</v>
      </c>
      <c r="C2914" s="156" t="str">
        <f>IF(OR($A2914="",ISERROR(VALUE(LEFT($A2914,6)))),"",IF(LEN($A2914)=2,"WOJ. ",IF(LEN($A2914)=4,IF(VALUE(RIGHT($A2914,2))&gt;60,"","Powiat "),IF(VALUE(RIGHT($A2914,1))=1,"m. ",IF(VALUE(RIGHT($A2914,1))=2,"gm. w. ",IF(VALUE(RIGHT($A2914,1))=8,"dz. ","gm. m.-w. ")))))&amp;IF(LEN($A2914)=2,TRIM(UPPER(VLOOKUP($A2914,GUS_tabl_1!$A$7:$B$22,2,FALSE))),IF(ISERROR(FIND("..",TRIM(VLOOKUP(IF(AND(LEN($A2914)=4,VALUE(RIGHT($A2914,2))&gt;60),$A2914&amp;"01 1",$A2914),IF(AND(LEN($A2914)=4,VALUE(RIGHT($A2914,2))&lt;60),GUS_tabl_2!$A$8:$B$464,GUS_tabl_21!$A$5:$B$4886),2,FALSE)))),TRIM(VLOOKUP(IF(AND(LEN($A2914)=4,VALUE(RIGHT($A2914,2))&gt;60),$A2914&amp;"01 1",$A2914),IF(AND(LEN($A2914)=4,VALUE(RIGHT($A2914,2))&lt;60),GUS_tabl_2!$A$8:$B$464,GUS_tabl_21!$A$5:$B$4886),2,FALSE)),LEFT(TRIM(VLOOKUP(IF(AND(LEN($A2914)=4,VALUE(RIGHT($A2914,2))&gt;60),$A2914&amp;"01 1",$A2914),IF(AND(LEN($A2914)=4,VALUE(RIGHT($A2914,2))&lt;60),GUS_tabl_2!$A$8:$B$464,GUS_tabl_21!$A$5:$B$4886),2,FALSE)),SUM(FIND("..",TRIM(VLOOKUP(IF(AND(LEN($A2914)=4,VALUE(RIGHT($A2914,2))&gt;60),$A2914&amp;"01 1",$A2914),IF(AND(LEN($A2914)=4,VALUE(RIGHT($A2914,2))&lt;60),GUS_tabl_2!$A$8:$B$464,GUS_tabl_21!$A$5:$B$4886),2,FALSE))),-1)))))</f>
        <v>m. Darłowo (b)</v>
      </c>
      <c r="D2914" s="141">
        <f>IF(OR($A2914="",ISERROR(VALUE(LEFT($A2914,6)))),"",IF(LEN($A2914)=2,SUMIF($A2915:$A$2965,$A2914&amp;"??",$D2915:$D$2965),IF(AND(LEN($A2914)=4,VALUE(RIGHT($A2914,2))&lt;=60),SUMIF($A2915:$A$2965,$A2914&amp;"????",$D2915:$D$2965),VLOOKUP(IF(LEN($A2914)=4,$A2914&amp;"01 1",$A2914),GUS_tabl_21!$A$5:$F$4886,6,FALSE))))</f>
        <v>13695</v>
      </c>
      <c r="E2914" s="29"/>
    </row>
    <row r="2915" spans="1:5" ht="12" customHeight="1">
      <c r="A2915" s="155" t="str">
        <f>"321302 1"</f>
        <v>321302 1</v>
      </c>
      <c r="B2915" s="153" t="s">
        <v>41</v>
      </c>
      <c r="C2915" s="156" t="str">
        <f>IF(OR($A2915="",ISERROR(VALUE(LEFT($A2915,6)))),"",IF(LEN($A2915)=2,"WOJ. ",IF(LEN($A2915)=4,IF(VALUE(RIGHT($A2915,2))&gt;60,"","Powiat "),IF(VALUE(RIGHT($A2915,1))=1,"m. ",IF(VALUE(RIGHT($A2915,1))=2,"gm. w. ",IF(VALUE(RIGHT($A2915,1))=8,"dz. ","gm. m.-w. ")))))&amp;IF(LEN($A2915)=2,TRIM(UPPER(VLOOKUP($A2915,GUS_tabl_1!$A$7:$B$22,2,FALSE))),IF(ISERROR(FIND("..",TRIM(VLOOKUP(IF(AND(LEN($A2915)=4,VALUE(RIGHT($A2915,2))&gt;60),$A2915&amp;"01 1",$A2915),IF(AND(LEN($A2915)=4,VALUE(RIGHT($A2915,2))&lt;60),GUS_tabl_2!$A$8:$B$464,GUS_tabl_21!$A$5:$B$4886),2,FALSE)))),TRIM(VLOOKUP(IF(AND(LEN($A2915)=4,VALUE(RIGHT($A2915,2))&gt;60),$A2915&amp;"01 1",$A2915),IF(AND(LEN($A2915)=4,VALUE(RIGHT($A2915,2))&lt;60),GUS_tabl_2!$A$8:$B$464,GUS_tabl_21!$A$5:$B$4886),2,FALSE)),LEFT(TRIM(VLOOKUP(IF(AND(LEN($A2915)=4,VALUE(RIGHT($A2915,2))&gt;60),$A2915&amp;"01 1",$A2915),IF(AND(LEN($A2915)=4,VALUE(RIGHT($A2915,2))&lt;60),GUS_tabl_2!$A$8:$B$464,GUS_tabl_21!$A$5:$B$4886),2,FALSE)),SUM(FIND("..",TRIM(VLOOKUP(IF(AND(LEN($A2915)=4,VALUE(RIGHT($A2915,2))&gt;60),$A2915&amp;"01 1",$A2915),IF(AND(LEN($A2915)=4,VALUE(RIGHT($A2915,2))&lt;60),GUS_tabl_2!$A$8:$B$464,GUS_tabl_21!$A$5:$B$4886),2,FALSE))),-1)))))</f>
        <v>m. Sławno</v>
      </c>
      <c r="D2915" s="141">
        <f>IF(OR($A2915="",ISERROR(VALUE(LEFT($A2915,6)))),"",IF(LEN($A2915)=2,SUMIF($A2916:$A$2965,$A2915&amp;"??",$D2916:$D$2965),IF(AND(LEN($A2915)=4,VALUE(RIGHT($A2915,2))&lt;=60),SUMIF($A2916:$A$2965,$A2915&amp;"????",$D2916:$D$2965),VLOOKUP(IF(LEN($A2915)=4,$A2915&amp;"01 1",$A2915),GUS_tabl_21!$A$5:$F$4886,6,FALSE))))</f>
        <v>12468</v>
      </c>
      <c r="E2915" s="29"/>
    </row>
    <row r="2916" spans="1:5" ht="12" customHeight="1">
      <c r="A2916" s="155" t="str">
        <f>"321303 2"</f>
        <v>321303 2</v>
      </c>
      <c r="B2916" s="153" t="s">
        <v>41</v>
      </c>
      <c r="C2916" s="156" t="str">
        <f>IF(OR($A2916="",ISERROR(VALUE(LEFT($A2916,6)))),"",IF(LEN($A2916)=2,"WOJ. ",IF(LEN($A2916)=4,IF(VALUE(RIGHT($A2916,2))&gt;60,"","Powiat "),IF(VALUE(RIGHT($A2916,1))=1,"m. ",IF(VALUE(RIGHT($A2916,1))=2,"gm. w. ",IF(VALUE(RIGHT($A2916,1))=8,"dz. ","gm. m.-w. ")))))&amp;IF(LEN($A2916)=2,TRIM(UPPER(VLOOKUP($A2916,GUS_tabl_1!$A$7:$B$22,2,FALSE))),IF(ISERROR(FIND("..",TRIM(VLOOKUP(IF(AND(LEN($A2916)=4,VALUE(RIGHT($A2916,2))&gt;60),$A2916&amp;"01 1",$A2916),IF(AND(LEN($A2916)=4,VALUE(RIGHT($A2916,2))&lt;60),GUS_tabl_2!$A$8:$B$464,GUS_tabl_21!$A$5:$B$4886),2,FALSE)))),TRIM(VLOOKUP(IF(AND(LEN($A2916)=4,VALUE(RIGHT($A2916,2))&gt;60),$A2916&amp;"01 1",$A2916),IF(AND(LEN($A2916)=4,VALUE(RIGHT($A2916,2))&lt;60),GUS_tabl_2!$A$8:$B$464,GUS_tabl_21!$A$5:$B$4886),2,FALSE)),LEFT(TRIM(VLOOKUP(IF(AND(LEN($A2916)=4,VALUE(RIGHT($A2916,2))&gt;60),$A2916&amp;"01 1",$A2916),IF(AND(LEN($A2916)=4,VALUE(RIGHT($A2916,2))&lt;60),GUS_tabl_2!$A$8:$B$464,GUS_tabl_21!$A$5:$B$4886),2,FALSE)),SUM(FIND("..",TRIM(VLOOKUP(IF(AND(LEN($A2916)=4,VALUE(RIGHT($A2916,2))&gt;60),$A2916&amp;"01 1",$A2916),IF(AND(LEN($A2916)=4,VALUE(RIGHT($A2916,2))&lt;60),GUS_tabl_2!$A$8:$B$464,GUS_tabl_21!$A$5:$B$4886),2,FALSE))),-1)))))</f>
        <v>gm. w. Darłowo</v>
      </c>
      <c r="D2916" s="141">
        <f>IF(OR($A2916="",ISERROR(VALUE(LEFT($A2916,6)))),"",IF(LEN($A2916)=2,SUMIF($A2917:$A$2965,$A2916&amp;"??",$D2917:$D$2965),IF(AND(LEN($A2916)=4,VALUE(RIGHT($A2916,2))&lt;=60),SUMIF($A2917:$A$2965,$A2916&amp;"????",$D2917:$D$2965),VLOOKUP(IF(LEN($A2916)=4,$A2916&amp;"01 1",$A2916),GUS_tabl_21!$A$5:$F$4886,6,FALSE))))</f>
        <v>7949</v>
      </c>
      <c r="E2916" s="29"/>
    </row>
    <row r="2917" spans="1:5" ht="12" customHeight="1">
      <c r="A2917" s="155" t="str">
        <f>"321304 2"</f>
        <v>321304 2</v>
      </c>
      <c r="B2917" s="153" t="s">
        <v>41</v>
      </c>
      <c r="C2917" s="156" t="str">
        <f>IF(OR($A2917="",ISERROR(VALUE(LEFT($A2917,6)))),"",IF(LEN($A2917)=2,"WOJ. ",IF(LEN($A2917)=4,IF(VALUE(RIGHT($A2917,2))&gt;60,"","Powiat "),IF(VALUE(RIGHT($A2917,1))=1,"m. ",IF(VALUE(RIGHT($A2917,1))=2,"gm. w. ",IF(VALUE(RIGHT($A2917,1))=8,"dz. ","gm. m.-w. ")))))&amp;IF(LEN($A2917)=2,TRIM(UPPER(VLOOKUP($A2917,GUS_tabl_1!$A$7:$B$22,2,FALSE))),IF(ISERROR(FIND("..",TRIM(VLOOKUP(IF(AND(LEN($A2917)=4,VALUE(RIGHT($A2917,2))&gt;60),$A2917&amp;"01 1",$A2917),IF(AND(LEN($A2917)=4,VALUE(RIGHT($A2917,2))&lt;60),GUS_tabl_2!$A$8:$B$464,GUS_tabl_21!$A$5:$B$4886),2,FALSE)))),TRIM(VLOOKUP(IF(AND(LEN($A2917)=4,VALUE(RIGHT($A2917,2))&gt;60),$A2917&amp;"01 1",$A2917),IF(AND(LEN($A2917)=4,VALUE(RIGHT($A2917,2))&lt;60),GUS_tabl_2!$A$8:$B$464,GUS_tabl_21!$A$5:$B$4886),2,FALSE)),LEFT(TRIM(VLOOKUP(IF(AND(LEN($A2917)=4,VALUE(RIGHT($A2917,2))&gt;60),$A2917&amp;"01 1",$A2917),IF(AND(LEN($A2917)=4,VALUE(RIGHT($A2917,2))&lt;60),GUS_tabl_2!$A$8:$B$464,GUS_tabl_21!$A$5:$B$4886),2,FALSE)),SUM(FIND("..",TRIM(VLOOKUP(IF(AND(LEN($A2917)=4,VALUE(RIGHT($A2917,2))&gt;60),$A2917&amp;"01 1",$A2917),IF(AND(LEN($A2917)=4,VALUE(RIGHT($A2917,2))&lt;60),GUS_tabl_2!$A$8:$B$464,GUS_tabl_21!$A$5:$B$4886),2,FALSE))),-1)))))</f>
        <v>gm. w. Malechowo</v>
      </c>
      <c r="D2917" s="141">
        <f>IF(OR($A2917="",ISERROR(VALUE(LEFT($A2917,6)))),"",IF(LEN($A2917)=2,SUMIF($A2918:$A$2965,$A2917&amp;"??",$D2918:$D$2965),IF(AND(LEN($A2917)=4,VALUE(RIGHT($A2917,2))&lt;=60),SUMIF($A2918:$A$2965,$A2917&amp;"????",$D2918:$D$2965),VLOOKUP(IF(LEN($A2917)=4,$A2917&amp;"01 1",$A2917),GUS_tabl_21!$A$5:$F$4886,6,FALSE))))</f>
        <v>6264</v>
      </c>
      <c r="E2917" s="29"/>
    </row>
    <row r="2918" spans="1:5" ht="12" customHeight="1">
      <c r="A2918" s="155" t="str">
        <f>"321305 2"</f>
        <v>321305 2</v>
      </c>
      <c r="B2918" s="153" t="s">
        <v>41</v>
      </c>
      <c r="C2918" s="156" t="str">
        <f>IF(OR($A2918="",ISERROR(VALUE(LEFT($A2918,6)))),"",IF(LEN($A2918)=2,"WOJ. ",IF(LEN($A2918)=4,IF(VALUE(RIGHT($A2918,2))&gt;60,"","Powiat "),IF(VALUE(RIGHT($A2918,1))=1,"m. ",IF(VALUE(RIGHT($A2918,1))=2,"gm. w. ",IF(VALUE(RIGHT($A2918,1))=8,"dz. ","gm. m.-w. ")))))&amp;IF(LEN($A2918)=2,TRIM(UPPER(VLOOKUP($A2918,GUS_tabl_1!$A$7:$B$22,2,FALSE))),IF(ISERROR(FIND("..",TRIM(VLOOKUP(IF(AND(LEN($A2918)=4,VALUE(RIGHT($A2918,2))&gt;60),$A2918&amp;"01 1",$A2918),IF(AND(LEN($A2918)=4,VALUE(RIGHT($A2918,2))&lt;60),GUS_tabl_2!$A$8:$B$464,GUS_tabl_21!$A$5:$B$4886),2,FALSE)))),TRIM(VLOOKUP(IF(AND(LEN($A2918)=4,VALUE(RIGHT($A2918,2))&gt;60),$A2918&amp;"01 1",$A2918),IF(AND(LEN($A2918)=4,VALUE(RIGHT($A2918,2))&lt;60),GUS_tabl_2!$A$8:$B$464,GUS_tabl_21!$A$5:$B$4886),2,FALSE)),LEFT(TRIM(VLOOKUP(IF(AND(LEN($A2918)=4,VALUE(RIGHT($A2918,2))&gt;60),$A2918&amp;"01 1",$A2918),IF(AND(LEN($A2918)=4,VALUE(RIGHT($A2918,2))&lt;60),GUS_tabl_2!$A$8:$B$464,GUS_tabl_21!$A$5:$B$4886),2,FALSE)),SUM(FIND("..",TRIM(VLOOKUP(IF(AND(LEN($A2918)=4,VALUE(RIGHT($A2918,2))&gt;60),$A2918&amp;"01 1",$A2918),IF(AND(LEN($A2918)=4,VALUE(RIGHT($A2918,2))&lt;60),GUS_tabl_2!$A$8:$B$464,GUS_tabl_21!$A$5:$B$4886),2,FALSE))),-1)))))</f>
        <v>gm. w. Postomino</v>
      </c>
      <c r="D2918" s="141">
        <f>IF(OR($A2918="",ISERROR(VALUE(LEFT($A2918,6)))),"",IF(LEN($A2918)=2,SUMIF($A2919:$A$2965,$A2918&amp;"??",$D2919:$D$2965),IF(AND(LEN($A2918)=4,VALUE(RIGHT($A2918,2))&lt;=60),SUMIF($A2919:$A$2965,$A2918&amp;"????",$D2919:$D$2965),VLOOKUP(IF(LEN($A2918)=4,$A2918&amp;"01 1",$A2918),GUS_tabl_21!$A$5:$F$4886,6,FALSE))))</f>
        <v>6891</v>
      </c>
      <c r="E2918" s="29"/>
    </row>
    <row r="2919" spans="1:5" ht="12" customHeight="1">
      <c r="A2919" s="155" t="str">
        <f>"321306 2"</f>
        <v>321306 2</v>
      </c>
      <c r="B2919" s="153" t="s">
        <v>41</v>
      </c>
      <c r="C2919" s="156" t="str">
        <f>IF(OR($A2919="",ISERROR(VALUE(LEFT($A2919,6)))),"",IF(LEN($A2919)=2,"WOJ. ",IF(LEN($A2919)=4,IF(VALUE(RIGHT($A2919,2))&gt;60,"","Powiat "),IF(VALUE(RIGHT($A2919,1))=1,"m. ",IF(VALUE(RIGHT($A2919,1))=2,"gm. w. ",IF(VALUE(RIGHT($A2919,1))=8,"dz. ","gm. m.-w. ")))))&amp;IF(LEN($A2919)=2,TRIM(UPPER(VLOOKUP($A2919,GUS_tabl_1!$A$7:$B$22,2,FALSE))),IF(ISERROR(FIND("..",TRIM(VLOOKUP(IF(AND(LEN($A2919)=4,VALUE(RIGHT($A2919,2))&gt;60),$A2919&amp;"01 1",$A2919),IF(AND(LEN($A2919)=4,VALUE(RIGHT($A2919,2))&lt;60),GUS_tabl_2!$A$8:$B$464,GUS_tabl_21!$A$5:$B$4886),2,FALSE)))),TRIM(VLOOKUP(IF(AND(LEN($A2919)=4,VALUE(RIGHT($A2919,2))&gt;60),$A2919&amp;"01 1",$A2919),IF(AND(LEN($A2919)=4,VALUE(RIGHT($A2919,2))&lt;60),GUS_tabl_2!$A$8:$B$464,GUS_tabl_21!$A$5:$B$4886),2,FALSE)),LEFT(TRIM(VLOOKUP(IF(AND(LEN($A2919)=4,VALUE(RIGHT($A2919,2))&gt;60),$A2919&amp;"01 1",$A2919),IF(AND(LEN($A2919)=4,VALUE(RIGHT($A2919,2))&lt;60),GUS_tabl_2!$A$8:$B$464,GUS_tabl_21!$A$5:$B$4886),2,FALSE)),SUM(FIND("..",TRIM(VLOOKUP(IF(AND(LEN($A2919)=4,VALUE(RIGHT($A2919,2))&gt;60),$A2919&amp;"01 1",$A2919),IF(AND(LEN($A2919)=4,VALUE(RIGHT($A2919,2))&lt;60),GUS_tabl_2!$A$8:$B$464,GUS_tabl_21!$A$5:$B$4886),2,FALSE))),-1)))))</f>
        <v>gm. w. Sławno</v>
      </c>
      <c r="D2919" s="141">
        <f>IF(OR($A2919="",ISERROR(VALUE(LEFT($A2919,6)))),"",IF(LEN($A2919)=2,SUMIF($A2920:$A$2965,$A2919&amp;"??",$D2920:$D$2965),IF(AND(LEN($A2919)=4,VALUE(RIGHT($A2919,2))&lt;=60),SUMIF($A2920:$A$2965,$A2919&amp;"????",$D2920:$D$2965),VLOOKUP(IF(LEN($A2919)=4,$A2919&amp;"01 1",$A2919),GUS_tabl_21!$A$5:$F$4886,6,FALSE))))</f>
        <v>8867</v>
      </c>
      <c r="E2919" s="29"/>
    </row>
    <row r="2920" spans="1:5" ht="12" customHeight="1">
      <c r="A2920" s="152" t="str">
        <f>"3214"</f>
        <v>3214</v>
      </c>
      <c r="B2920" s="153" t="s">
        <v>41</v>
      </c>
      <c r="C2920" s="154" t="str">
        <f>IF(OR($A2920="",ISERROR(VALUE(LEFT($A2920,6)))),"",IF(LEN($A2920)=2,"WOJ. ",IF(LEN($A2920)=4,IF(VALUE(RIGHT($A2920,2))&gt;60,"","Powiat "),IF(VALUE(RIGHT($A2920,1))=1,"m. ",IF(VALUE(RIGHT($A2920,1))=2,"gm. w. ",IF(VALUE(RIGHT($A2920,1))=8,"dz. ","gm. m.-w. ")))))&amp;IF(LEN($A2920)=2,TRIM(UPPER(VLOOKUP($A2920,GUS_tabl_1!$A$7:$B$22,2,FALSE))),IF(ISERROR(FIND("..",TRIM(VLOOKUP(IF(AND(LEN($A2920)=4,VALUE(RIGHT($A2920,2))&gt;60),$A2920&amp;"01 1",$A2920),IF(AND(LEN($A2920)=4,VALUE(RIGHT($A2920,2))&lt;60),GUS_tabl_2!$A$8:$B$464,GUS_tabl_21!$A$5:$B$4886),2,FALSE)))),TRIM(VLOOKUP(IF(AND(LEN($A2920)=4,VALUE(RIGHT($A2920,2))&gt;60),$A2920&amp;"01 1",$A2920),IF(AND(LEN($A2920)=4,VALUE(RIGHT($A2920,2))&lt;60),GUS_tabl_2!$A$8:$B$464,GUS_tabl_21!$A$5:$B$4886),2,FALSE)),LEFT(TRIM(VLOOKUP(IF(AND(LEN($A2920)=4,VALUE(RIGHT($A2920,2))&gt;60),$A2920&amp;"01 1",$A2920),IF(AND(LEN($A2920)=4,VALUE(RIGHT($A2920,2))&lt;60),GUS_tabl_2!$A$8:$B$464,GUS_tabl_21!$A$5:$B$4886),2,FALSE)),SUM(FIND("..",TRIM(VLOOKUP(IF(AND(LEN($A2920)=4,VALUE(RIGHT($A2920,2))&gt;60),$A2920&amp;"01 1",$A2920),IF(AND(LEN($A2920)=4,VALUE(RIGHT($A2920,2))&lt;60),GUS_tabl_2!$A$8:$B$464,GUS_tabl_21!$A$5:$B$4886),2,FALSE))),-1)))))</f>
        <v>Powiat stargardzki</v>
      </c>
      <c r="D2920" s="140">
        <f>IF(OR($A2920="",ISERROR(VALUE(LEFT($A2920,6)))),"",IF(LEN($A2920)=2,SUMIF($A2921:$A$2965,$A2920&amp;"??",$D2921:$D$2965),IF(AND(LEN($A2920)=4,VALUE(RIGHT($A2920,2))&lt;=60),SUMIF($A2921:$A$2965,$A2920&amp;"????",$D2921:$D$2965),VLOOKUP(IF(LEN($A2920)=4,$A2920&amp;"01 1",$A2920),GUS_tabl_21!$A$5:$F$4886,6,FALSE))))</f>
        <v>120186</v>
      </c>
      <c r="E2920" s="29"/>
    </row>
    <row r="2921" spans="1:5" ht="12" customHeight="1">
      <c r="A2921" s="155" t="str">
        <f>"321401 1"</f>
        <v>321401 1</v>
      </c>
      <c r="B2921" s="153" t="s">
        <v>41</v>
      </c>
      <c r="C2921" s="156" t="str">
        <f>IF(OR($A2921="",ISERROR(VALUE(LEFT($A2921,6)))),"",IF(LEN($A2921)=2,"WOJ. ",IF(LEN($A2921)=4,IF(VALUE(RIGHT($A2921,2))&gt;60,"","Powiat "),IF(VALUE(RIGHT($A2921,1))=1,"m. ",IF(VALUE(RIGHT($A2921,1))=2,"gm. w. ",IF(VALUE(RIGHT($A2921,1))=8,"dz. ","gm. m.-w. ")))))&amp;IF(LEN($A2921)=2,TRIM(UPPER(VLOOKUP($A2921,GUS_tabl_1!$A$7:$B$22,2,FALSE))),IF(ISERROR(FIND("..",TRIM(VLOOKUP(IF(AND(LEN($A2921)=4,VALUE(RIGHT($A2921,2))&gt;60),$A2921&amp;"01 1",$A2921),IF(AND(LEN($A2921)=4,VALUE(RIGHT($A2921,2))&lt;60),GUS_tabl_2!$A$8:$B$464,GUS_tabl_21!$A$5:$B$4886),2,FALSE)))),TRIM(VLOOKUP(IF(AND(LEN($A2921)=4,VALUE(RIGHT($A2921,2))&gt;60),$A2921&amp;"01 1",$A2921),IF(AND(LEN($A2921)=4,VALUE(RIGHT($A2921,2))&lt;60),GUS_tabl_2!$A$8:$B$464,GUS_tabl_21!$A$5:$B$4886),2,FALSE)),LEFT(TRIM(VLOOKUP(IF(AND(LEN($A2921)=4,VALUE(RIGHT($A2921,2))&gt;60),$A2921&amp;"01 1",$A2921),IF(AND(LEN($A2921)=4,VALUE(RIGHT($A2921,2))&lt;60),GUS_tabl_2!$A$8:$B$464,GUS_tabl_21!$A$5:$B$4886),2,FALSE)),SUM(FIND("..",TRIM(VLOOKUP(IF(AND(LEN($A2921)=4,VALUE(RIGHT($A2921,2))&gt;60),$A2921&amp;"01 1",$A2921),IF(AND(LEN($A2921)=4,VALUE(RIGHT($A2921,2))&lt;60),GUS_tabl_2!$A$8:$B$464,GUS_tabl_21!$A$5:$B$4886),2,FALSE))),-1)))))</f>
        <v>m. Stargard</v>
      </c>
      <c r="D2921" s="141">
        <f>IF(OR($A2921="",ISERROR(VALUE(LEFT($A2921,6)))),"",IF(LEN($A2921)=2,SUMIF($A2922:$A$2965,$A2921&amp;"??",$D2922:$D$2965),IF(AND(LEN($A2921)=4,VALUE(RIGHT($A2921,2))&lt;=60),SUMIF($A2922:$A$2965,$A2921&amp;"????",$D2922:$D$2965),VLOOKUP(IF(LEN($A2921)=4,$A2921&amp;"01 1",$A2921),GUS_tabl_21!$A$5:$F$4886,6,FALSE))))</f>
        <v>67837</v>
      </c>
      <c r="E2921" s="29"/>
    </row>
    <row r="2922" spans="1:5" ht="12" customHeight="1">
      <c r="A2922" s="155" t="str">
        <f>"321402 3"</f>
        <v>321402 3</v>
      </c>
      <c r="B2922" s="153" t="s">
        <v>41</v>
      </c>
      <c r="C2922" s="156" t="str">
        <f>IF(OR($A2922="",ISERROR(VALUE(LEFT($A2922,6)))),"",IF(LEN($A2922)=2,"WOJ. ",IF(LEN($A2922)=4,IF(VALUE(RIGHT($A2922,2))&gt;60,"","Powiat "),IF(VALUE(RIGHT($A2922,1))=1,"m. ",IF(VALUE(RIGHT($A2922,1))=2,"gm. w. ",IF(VALUE(RIGHT($A2922,1))=8,"dz. ","gm. m.-w. ")))))&amp;IF(LEN($A2922)=2,TRIM(UPPER(VLOOKUP($A2922,GUS_tabl_1!$A$7:$B$22,2,FALSE))),IF(ISERROR(FIND("..",TRIM(VLOOKUP(IF(AND(LEN($A2922)=4,VALUE(RIGHT($A2922,2))&gt;60),$A2922&amp;"01 1",$A2922),IF(AND(LEN($A2922)=4,VALUE(RIGHT($A2922,2))&lt;60),GUS_tabl_2!$A$8:$B$464,GUS_tabl_21!$A$5:$B$4886),2,FALSE)))),TRIM(VLOOKUP(IF(AND(LEN($A2922)=4,VALUE(RIGHT($A2922,2))&gt;60),$A2922&amp;"01 1",$A2922),IF(AND(LEN($A2922)=4,VALUE(RIGHT($A2922,2))&lt;60),GUS_tabl_2!$A$8:$B$464,GUS_tabl_21!$A$5:$B$4886),2,FALSE)),LEFT(TRIM(VLOOKUP(IF(AND(LEN($A2922)=4,VALUE(RIGHT($A2922,2))&gt;60),$A2922&amp;"01 1",$A2922),IF(AND(LEN($A2922)=4,VALUE(RIGHT($A2922,2))&lt;60),GUS_tabl_2!$A$8:$B$464,GUS_tabl_21!$A$5:$B$4886),2,FALSE)),SUM(FIND("..",TRIM(VLOOKUP(IF(AND(LEN($A2922)=4,VALUE(RIGHT($A2922,2))&gt;60),$A2922&amp;"01 1",$A2922),IF(AND(LEN($A2922)=4,VALUE(RIGHT($A2922,2))&lt;60),GUS_tabl_2!$A$8:$B$464,GUS_tabl_21!$A$5:$B$4886),2,FALSE))),-1)))))</f>
        <v>gm. m.-w. Chociwel</v>
      </c>
      <c r="D2922" s="141">
        <f>IF(OR($A2922="",ISERROR(VALUE(LEFT($A2922,6)))),"",IF(LEN($A2922)=2,SUMIF($A2923:$A$2965,$A2922&amp;"??",$D2923:$D$2965),IF(AND(LEN($A2922)=4,VALUE(RIGHT($A2922,2))&lt;=60),SUMIF($A2923:$A$2965,$A2922&amp;"????",$D2923:$D$2965),VLOOKUP(IF(LEN($A2922)=4,$A2922&amp;"01 1",$A2922),GUS_tabl_21!$A$5:$F$4886,6,FALSE))))</f>
        <v>5804</v>
      </c>
      <c r="E2922" s="29"/>
    </row>
    <row r="2923" spans="1:5" ht="12" customHeight="1">
      <c r="A2923" s="155" t="str">
        <f>"321403 3"</f>
        <v>321403 3</v>
      </c>
      <c r="B2923" s="153" t="s">
        <v>41</v>
      </c>
      <c r="C2923" s="156" t="str">
        <f>IF(OR($A2923="",ISERROR(VALUE(LEFT($A2923,6)))),"",IF(LEN($A2923)=2,"WOJ. ",IF(LEN($A2923)=4,IF(VALUE(RIGHT($A2923,2))&gt;60,"","Powiat "),IF(VALUE(RIGHT($A2923,1))=1,"m. ",IF(VALUE(RIGHT($A2923,1))=2,"gm. w. ",IF(VALUE(RIGHT($A2923,1))=8,"dz. ","gm. m.-w. ")))))&amp;IF(LEN($A2923)=2,TRIM(UPPER(VLOOKUP($A2923,GUS_tabl_1!$A$7:$B$22,2,FALSE))),IF(ISERROR(FIND("..",TRIM(VLOOKUP(IF(AND(LEN($A2923)=4,VALUE(RIGHT($A2923,2))&gt;60),$A2923&amp;"01 1",$A2923),IF(AND(LEN($A2923)=4,VALUE(RIGHT($A2923,2))&lt;60),GUS_tabl_2!$A$8:$B$464,GUS_tabl_21!$A$5:$B$4886),2,FALSE)))),TRIM(VLOOKUP(IF(AND(LEN($A2923)=4,VALUE(RIGHT($A2923,2))&gt;60),$A2923&amp;"01 1",$A2923),IF(AND(LEN($A2923)=4,VALUE(RIGHT($A2923,2))&lt;60),GUS_tabl_2!$A$8:$B$464,GUS_tabl_21!$A$5:$B$4886),2,FALSE)),LEFT(TRIM(VLOOKUP(IF(AND(LEN($A2923)=4,VALUE(RIGHT($A2923,2))&gt;60),$A2923&amp;"01 1",$A2923),IF(AND(LEN($A2923)=4,VALUE(RIGHT($A2923,2))&lt;60),GUS_tabl_2!$A$8:$B$464,GUS_tabl_21!$A$5:$B$4886),2,FALSE)),SUM(FIND("..",TRIM(VLOOKUP(IF(AND(LEN($A2923)=4,VALUE(RIGHT($A2923,2))&gt;60),$A2923&amp;"01 1",$A2923),IF(AND(LEN($A2923)=4,VALUE(RIGHT($A2923,2))&lt;60),GUS_tabl_2!$A$8:$B$464,GUS_tabl_21!$A$5:$B$4886),2,FALSE))),-1)))))</f>
        <v>gm. m.-w. Dobrzany</v>
      </c>
      <c r="D2923" s="141">
        <f>IF(OR($A2923="",ISERROR(VALUE(LEFT($A2923,6)))),"",IF(LEN($A2923)=2,SUMIF($A2924:$A$2965,$A2923&amp;"??",$D2924:$D$2965),IF(AND(LEN($A2923)=4,VALUE(RIGHT($A2923,2))&lt;=60),SUMIF($A2924:$A$2965,$A2923&amp;"????",$D2924:$D$2965),VLOOKUP(IF(LEN($A2923)=4,$A2923&amp;"01 1",$A2923),GUS_tabl_21!$A$5:$F$4886,6,FALSE))))</f>
        <v>4800</v>
      </c>
      <c r="E2923" s="29"/>
    </row>
    <row r="2924" spans="1:5" ht="12" customHeight="1">
      <c r="A2924" s="155" t="str">
        <f>"321404 2"</f>
        <v>321404 2</v>
      </c>
      <c r="B2924" s="153" t="s">
        <v>41</v>
      </c>
      <c r="C2924" s="156" t="str">
        <f>IF(OR($A2924="",ISERROR(VALUE(LEFT($A2924,6)))),"",IF(LEN($A2924)=2,"WOJ. ",IF(LEN($A2924)=4,IF(VALUE(RIGHT($A2924,2))&gt;60,"","Powiat "),IF(VALUE(RIGHT($A2924,1))=1,"m. ",IF(VALUE(RIGHT($A2924,1))=2,"gm. w. ",IF(VALUE(RIGHT($A2924,1))=8,"dz. ","gm. m.-w. ")))))&amp;IF(LEN($A2924)=2,TRIM(UPPER(VLOOKUP($A2924,GUS_tabl_1!$A$7:$B$22,2,FALSE))),IF(ISERROR(FIND("..",TRIM(VLOOKUP(IF(AND(LEN($A2924)=4,VALUE(RIGHT($A2924,2))&gt;60),$A2924&amp;"01 1",$A2924),IF(AND(LEN($A2924)=4,VALUE(RIGHT($A2924,2))&lt;60),GUS_tabl_2!$A$8:$B$464,GUS_tabl_21!$A$5:$B$4886),2,FALSE)))),TRIM(VLOOKUP(IF(AND(LEN($A2924)=4,VALUE(RIGHT($A2924,2))&gt;60),$A2924&amp;"01 1",$A2924),IF(AND(LEN($A2924)=4,VALUE(RIGHT($A2924,2))&lt;60),GUS_tabl_2!$A$8:$B$464,GUS_tabl_21!$A$5:$B$4886),2,FALSE)),LEFT(TRIM(VLOOKUP(IF(AND(LEN($A2924)=4,VALUE(RIGHT($A2924,2))&gt;60),$A2924&amp;"01 1",$A2924),IF(AND(LEN($A2924)=4,VALUE(RIGHT($A2924,2))&lt;60),GUS_tabl_2!$A$8:$B$464,GUS_tabl_21!$A$5:$B$4886),2,FALSE)),SUM(FIND("..",TRIM(VLOOKUP(IF(AND(LEN($A2924)=4,VALUE(RIGHT($A2924,2))&gt;60),$A2924&amp;"01 1",$A2924),IF(AND(LEN($A2924)=4,VALUE(RIGHT($A2924,2))&lt;60),GUS_tabl_2!$A$8:$B$464,GUS_tabl_21!$A$5:$B$4886),2,FALSE))),-1)))))</f>
        <v>gm. w. Dolice</v>
      </c>
      <c r="D2924" s="141">
        <f>IF(OR($A2924="",ISERROR(VALUE(LEFT($A2924,6)))),"",IF(LEN($A2924)=2,SUMIF($A2925:$A$2965,$A2924&amp;"??",$D2925:$D$2965),IF(AND(LEN($A2924)=4,VALUE(RIGHT($A2924,2))&lt;=60),SUMIF($A2925:$A$2965,$A2924&amp;"????",$D2925:$D$2965),VLOOKUP(IF(LEN($A2924)=4,$A2924&amp;"01 1",$A2924),GUS_tabl_21!$A$5:$F$4886,6,FALSE))))</f>
        <v>7802</v>
      </c>
      <c r="E2924" s="29"/>
    </row>
    <row r="2925" spans="1:5" ht="12" customHeight="1">
      <c r="A2925" s="155" t="str">
        <f>"321405 3"</f>
        <v>321405 3</v>
      </c>
      <c r="B2925" s="153" t="s">
        <v>41</v>
      </c>
      <c r="C2925" s="156" t="str">
        <f>IF(OR($A2925="",ISERROR(VALUE(LEFT($A2925,6)))),"",IF(LEN($A2925)=2,"WOJ. ",IF(LEN($A2925)=4,IF(VALUE(RIGHT($A2925,2))&gt;60,"","Powiat "),IF(VALUE(RIGHT($A2925,1))=1,"m. ",IF(VALUE(RIGHT($A2925,1))=2,"gm. w. ",IF(VALUE(RIGHT($A2925,1))=8,"dz. ","gm. m.-w. ")))))&amp;IF(LEN($A2925)=2,TRIM(UPPER(VLOOKUP($A2925,GUS_tabl_1!$A$7:$B$22,2,FALSE))),IF(ISERROR(FIND("..",TRIM(VLOOKUP(IF(AND(LEN($A2925)=4,VALUE(RIGHT($A2925,2))&gt;60),$A2925&amp;"01 1",$A2925),IF(AND(LEN($A2925)=4,VALUE(RIGHT($A2925,2))&lt;60),GUS_tabl_2!$A$8:$B$464,GUS_tabl_21!$A$5:$B$4886),2,FALSE)))),TRIM(VLOOKUP(IF(AND(LEN($A2925)=4,VALUE(RIGHT($A2925,2))&gt;60),$A2925&amp;"01 1",$A2925),IF(AND(LEN($A2925)=4,VALUE(RIGHT($A2925,2))&lt;60),GUS_tabl_2!$A$8:$B$464,GUS_tabl_21!$A$5:$B$4886),2,FALSE)),LEFT(TRIM(VLOOKUP(IF(AND(LEN($A2925)=4,VALUE(RIGHT($A2925,2))&gt;60),$A2925&amp;"01 1",$A2925),IF(AND(LEN($A2925)=4,VALUE(RIGHT($A2925,2))&lt;60),GUS_tabl_2!$A$8:$B$464,GUS_tabl_21!$A$5:$B$4886),2,FALSE)),SUM(FIND("..",TRIM(VLOOKUP(IF(AND(LEN($A2925)=4,VALUE(RIGHT($A2925,2))&gt;60),$A2925&amp;"01 1",$A2925),IF(AND(LEN($A2925)=4,VALUE(RIGHT($A2925,2))&lt;60),GUS_tabl_2!$A$8:$B$464,GUS_tabl_21!$A$5:$B$4886),2,FALSE))),-1)))))</f>
        <v>gm. m.-w. Ińsko</v>
      </c>
      <c r="D2925" s="141">
        <f>IF(OR($A2925="",ISERROR(VALUE(LEFT($A2925,6)))),"",IF(LEN($A2925)=2,SUMIF($A2926:$A$2965,$A2925&amp;"??",$D2926:$D$2965),IF(AND(LEN($A2925)=4,VALUE(RIGHT($A2925,2))&lt;=60),SUMIF($A2926:$A$2965,$A2925&amp;"????",$D2926:$D$2965),VLOOKUP(IF(LEN($A2925)=4,$A2925&amp;"01 1",$A2925),GUS_tabl_21!$A$5:$F$4886,6,FALSE))))</f>
        <v>3346</v>
      </c>
      <c r="E2925" s="29"/>
    </row>
    <row r="2926" spans="1:5" ht="12" customHeight="1">
      <c r="A2926" s="155" t="str">
        <f>"321406 2"</f>
        <v>321406 2</v>
      </c>
      <c r="B2926" s="153" t="s">
        <v>41</v>
      </c>
      <c r="C2926" s="156" t="str">
        <f>IF(OR($A2926="",ISERROR(VALUE(LEFT($A2926,6)))),"",IF(LEN($A2926)=2,"WOJ. ",IF(LEN($A2926)=4,IF(VALUE(RIGHT($A2926,2))&gt;60,"","Powiat "),IF(VALUE(RIGHT($A2926,1))=1,"m. ",IF(VALUE(RIGHT($A2926,1))=2,"gm. w. ",IF(VALUE(RIGHT($A2926,1))=8,"dz. ","gm. m.-w. ")))))&amp;IF(LEN($A2926)=2,TRIM(UPPER(VLOOKUP($A2926,GUS_tabl_1!$A$7:$B$22,2,FALSE))),IF(ISERROR(FIND("..",TRIM(VLOOKUP(IF(AND(LEN($A2926)=4,VALUE(RIGHT($A2926,2))&gt;60),$A2926&amp;"01 1",$A2926),IF(AND(LEN($A2926)=4,VALUE(RIGHT($A2926,2))&lt;60),GUS_tabl_2!$A$8:$B$464,GUS_tabl_21!$A$5:$B$4886),2,FALSE)))),TRIM(VLOOKUP(IF(AND(LEN($A2926)=4,VALUE(RIGHT($A2926,2))&gt;60),$A2926&amp;"01 1",$A2926),IF(AND(LEN($A2926)=4,VALUE(RIGHT($A2926,2))&lt;60),GUS_tabl_2!$A$8:$B$464,GUS_tabl_21!$A$5:$B$4886),2,FALSE)),LEFT(TRIM(VLOOKUP(IF(AND(LEN($A2926)=4,VALUE(RIGHT($A2926,2))&gt;60),$A2926&amp;"01 1",$A2926),IF(AND(LEN($A2926)=4,VALUE(RIGHT($A2926,2))&lt;60),GUS_tabl_2!$A$8:$B$464,GUS_tabl_21!$A$5:$B$4886),2,FALSE)),SUM(FIND("..",TRIM(VLOOKUP(IF(AND(LEN($A2926)=4,VALUE(RIGHT($A2926,2))&gt;60),$A2926&amp;"01 1",$A2926),IF(AND(LEN($A2926)=4,VALUE(RIGHT($A2926,2))&lt;60),GUS_tabl_2!$A$8:$B$464,GUS_tabl_21!$A$5:$B$4886),2,FALSE))),-1)))))</f>
        <v>gm. w. Kobylanka</v>
      </c>
      <c r="D2926" s="141">
        <f>IF(OR($A2926="",ISERROR(VALUE(LEFT($A2926,6)))),"",IF(LEN($A2926)=2,SUMIF($A2927:$A$2965,$A2926&amp;"??",$D2927:$D$2965),IF(AND(LEN($A2926)=4,VALUE(RIGHT($A2926,2))&lt;=60),SUMIF($A2927:$A$2965,$A2926&amp;"????",$D2927:$D$2965),VLOOKUP(IF(LEN($A2926)=4,$A2926&amp;"01 1",$A2926),GUS_tabl_21!$A$5:$F$4886,6,FALSE))))</f>
        <v>5714</v>
      </c>
      <c r="E2926" s="29"/>
    </row>
    <row r="2927" spans="1:5" ht="12" customHeight="1">
      <c r="A2927" s="155" t="str">
        <f>"321408 2"</f>
        <v>321408 2</v>
      </c>
      <c r="B2927" s="153" t="s">
        <v>41</v>
      </c>
      <c r="C2927" s="156" t="str">
        <f>IF(OR($A2927="",ISERROR(VALUE(LEFT($A2927,6)))),"",IF(LEN($A2927)=2,"WOJ. ",IF(LEN($A2927)=4,IF(VALUE(RIGHT($A2927,2))&gt;60,"","Powiat "),IF(VALUE(RIGHT($A2927,1))=1,"m. ",IF(VALUE(RIGHT($A2927,1))=2,"gm. w. ",IF(VALUE(RIGHT($A2927,1))=8,"dz. ","gm. m.-w. ")))))&amp;IF(LEN($A2927)=2,TRIM(UPPER(VLOOKUP($A2927,GUS_tabl_1!$A$7:$B$22,2,FALSE))),IF(ISERROR(FIND("..",TRIM(VLOOKUP(IF(AND(LEN($A2927)=4,VALUE(RIGHT($A2927,2))&gt;60),$A2927&amp;"01 1",$A2927),IF(AND(LEN($A2927)=4,VALUE(RIGHT($A2927,2))&lt;60),GUS_tabl_2!$A$8:$B$464,GUS_tabl_21!$A$5:$B$4886),2,FALSE)))),TRIM(VLOOKUP(IF(AND(LEN($A2927)=4,VALUE(RIGHT($A2927,2))&gt;60),$A2927&amp;"01 1",$A2927),IF(AND(LEN($A2927)=4,VALUE(RIGHT($A2927,2))&lt;60),GUS_tabl_2!$A$8:$B$464,GUS_tabl_21!$A$5:$B$4886),2,FALSE)),LEFT(TRIM(VLOOKUP(IF(AND(LEN($A2927)=4,VALUE(RIGHT($A2927,2))&gt;60),$A2927&amp;"01 1",$A2927),IF(AND(LEN($A2927)=4,VALUE(RIGHT($A2927,2))&lt;60),GUS_tabl_2!$A$8:$B$464,GUS_tabl_21!$A$5:$B$4886),2,FALSE)),SUM(FIND("..",TRIM(VLOOKUP(IF(AND(LEN($A2927)=4,VALUE(RIGHT($A2927,2))&gt;60),$A2927&amp;"01 1",$A2927),IF(AND(LEN($A2927)=4,VALUE(RIGHT($A2927,2))&lt;60),GUS_tabl_2!$A$8:$B$464,GUS_tabl_21!$A$5:$B$4886),2,FALSE))),-1)))))</f>
        <v>gm. w. Marianowo</v>
      </c>
      <c r="D2927" s="141">
        <f>IF(OR($A2927="",ISERROR(VALUE(LEFT($A2927,6)))),"",IF(LEN($A2927)=2,SUMIF($A2928:$A$2965,$A2927&amp;"??",$D2928:$D$2965),IF(AND(LEN($A2927)=4,VALUE(RIGHT($A2927,2))&lt;=60),SUMIF($A2928:$A$2965,$A2927&amp;"????",$D2928:$D$2965),VLOOKUP(IF(LEN($A2927)=4,$A2927&amp;"01 1",$A2927),GUS_tabl_21!$A$5:$F$4886,6,FALSE))))</f>
        <v>3113</v>
      </c>
      <c r="E2927" s="29"/>
    </row>
    <row r="2928" spans="1:5" ht="12" customHeight="1">
      <c r="A2928" s="155" t="str">
        <f>"321409 2"</f>
        <v>321409 2</v>
      </c>
      <c r="B2928" s="153" t="s">
        <v>41</v>
      </c>
      <c r="C2928" s="156" t="str">
        <f>IF(OR($A2928="",ISERROR(VALUE(LEFT($A2928,6)))),"",IF(LEN($A2928)=2,"WOJ. ",IF(LEN($A2928)=4,IF(VALUE(RIGHT($A2928,2))&gt;60,"","Powiat "),IF(VALUE(RIGHT($A2928,1))=1,"m. ",IF(VALUE(RIGHT($A2928,1))=2,"gm. w. ",IF(VALUE(RIGHT($A2928,1))=8,"dz. ","gm. m.-w. ")))))&amp;IF(LEN($A2928)=2,TRIM(UPPER(VLOOKUP($A2928,GUS_tabl_1!$A$7:$B$22,2,FALSE))),IF(ISERROR(FIND("..",TRIM(VLOOKUP(IF(AND(LEN($A2928)=4,VALUE(RIGHT($A2928,2))&gt;60),$A2928&amp;"01 1",$A2928),IF(AND(LEN($A2928)=4,VALUE(RIGHT($A2928,2))&lt;60),GUS_tabl_2!$A$8:$B$464,GUS_tabl_21!$A$5:$B$4886),2,FALSE)))),TRIM(VLOOKUP(IF(AND(LEN($A2928)=4,VALUE(RIGHT($A2928,2))&gt;60),$A2928&amp;"01 1",$A2928),IF(AND(LEN($A2928)=4,VALUE(RIGHT($A2928,2))&lt;60),GUS_tabl_2!$A$8:$B$464,GUS_tabl_21!$A$5:$B$4886),2,FALSE)),LEFT(TRIM(VLOOKUP(IF(AND(LEN($A2928)=4,VALUE(RIGHT($A2928,2))&gt;60),$A2928&amp;"01 1",$A2928),IF(AND(LEN($A2928)=4,VALUE(RIGHT($A2928,2))&lt;60),GUS_tabl_2!$A$8:$B$464,GUS_tabl_21!$A$5:$B$4886),2,FALSE)),SUM(FIND("..",TRIM(VLOOKUP(IF(AND(LEN($A2928)=4,VALUE(RIGHT($A2928,2))&gt;60),$A2928&amp;"01 1",$A2928),IF(AND(LEN($A2928)=4,VALUE(RIGHT($A2928,2))&lt;60),GUS_tabl_2!$A$8:$B$464,GUS_tabl_21!$A$5:$B$4886),2,FALSE))),-1)))))</f>
        <v>gm. w. Stara Dąbrowa</v>
      </c>
      <c r="D2928" s="141">
        <f>IF(OR($A2928="",ISERROR(VALUE(LEFT($A2928,6)))),"",IF(LEN($A2928)=2,SUMIF($A2929:$A$2965,$A2928&amp;"??",$D2929:$D$2965),IF(AND(LEN($A2928)=4,VALUE(RIGHT($A2928,2))&lt;=60),SUMIF($A2929:$A$2965,$A2928&amp;"????",$D2929:$D$2965),VLOOKUP(IF(LEN($A2928)=4,$A2928&amp;"01 1",$A2928),GUS_tabl_21!$A$5:$F$4886,6,FALSE))))</f>
        <v>3720</v>
      </c>
      <c r="E2928" s="29"/>
    </row>
    <row r="2929" spans="1:5" ht="12" customHeight="1">
      <c r="A2929" s="155" t="str">
        <f>"321410 2"</f>
        <v>321410 2</v>
      </c>
      <c r="B2929" s="153" t="s">
        <v>41</v>
      </c>
      <c r="C2929" s="156" t="str">
        <f>IF(OR($A2929="",ISERROR(VALUE(LEFT($A2929,6)))),"",IF(LEN($A2929)=2,"WOJ. ",IF(LEN($A2929)=4,IF(VALUE(RIGHT($A2929,2))&gt;60,"","Powiat "),IF(VALUE(RIGHT($A2929,1))=1,"m. ",IF(VALUE(RIGHT($A2929,1))=2,"gm. w. ",IF(VALUE(RIGHT($A2929,1))=8,"dz. ","gm. m.-w. ")))))&amp;IF(LEN($A2929)=2,TRIM(UPPER(VLOOKUP($A2929,GUS_tabl_1!$A$7:$B$22,2,FALSE))),IF(ISERROR(FIND("..",TRIM(VLOOKUP(IF(AND(LEN($A2929)=4,VALUE(RIGHT($A2929,2))&gt;60),$A2929&amp;"01 1",$A2929),IF(AND(LEN($A2929)=4,VALUE(RIGHT($A2929,2))&lt;60),GUS_tabl_2!$A$8:$B$464,GUS_tabl_21!$A$5:$B$4886),2,FALSE)))),TRIM(VLOOKUP(IF(AND(LEN($A2929)=4,VALUE(RIGHT($A2929,2))&gt;60),$A2929&amp;"01 1",$A2929),IF(AND(LEN($A2929)=4,VALUE(RIGHT($A2929,2))&lt;60),GUS_tabl_2!$A$8:$B$464,GUS_tabl_21!$A$5:$B$4886),2,FALSE)),LEFT(TRIM(VLOOKUP(IF(AND(LEN($A2929)=4,VALUE(RIGHT($A2929,2))&gt;60),$A2929&amp;"01 1",$A2929),IF(AND(LEN($A2929)=4,VALUE(RIGHT($A2929,2))&lt;60),GUS_tabl_2!$A$8:$B$464,GUS_tabl_21!$A$5:$B$4886),2,FALSE)),SUM(FIND("..",TRIM(VLOOKUP(IF(AND(LEN($A2929)=4,VALUE(RIGHT($A2929,2))&gt;60),$A2929&amp;"01 1",$A2929),IF(AND(LEN($A2929)=4,VALUE(RIGHT($A2929,2))&lt;60),GUS_tabl_2!$A$8:$B$464,GUS_tabl_21!$A$5:$B$4886),2,FALSE))),-1)))))</f>
        <v>gm. w. Stargard</v>
      </c>
      <c r="D2929" s="141">
        <f>IF(OR($A2929="",ISERROR(VALUE(LEFT($A2929,6)))),"",IF(LEN($A2929)=2,SUMIF($A2930:$A$2965,$A2929&amp;"??",$D2930:$D$2965),IF(AND(LEN($A2929)=4,VALUE(RIGHT($A2929,2))&lt;=60),SUMIF($A2930:$A$2965,$A2929&amp;"????",$D2930:$D$2965),VLOOKUP(IF(LEN($A2929)=4,$A2929&amp;"01 1",$A2929),GUS_tabl_21!$A$5:$F$4886,6,FALSE))))</f>
        <v>13752</v>
      </c>
      <c r="E2929" s="29"/>
    </row>
    <row r="2930" spans="1:5" ht="12" customHeight="1">
      <c r="A2930" s="155" t="str">
        <f>"321411 3"</f>
        <v>321411 3</v>
      </c>
      <c r="B2930" s="153" t="s">
        <v>41</v>
      </c>
      <c r="C2930" s="156" t="str">
        <f>IF(OR($A2930="",ISERROR(VALUE(LEFT($A2930,6)))),"",IF(LEN($A2930)=2,"WOJ. ",IF(LEN($A2930)=4,IF(VALUE(RIGHT($A2930,2))&gt;60,"","Powiat "),IF(VALUE(RIGHT($A2930,1))=1,"m. ",IF(VALUE(RIGHT($A2930,1))=2,"gm. w. ",IF(VALUE(RIGHT($A2930,1))=8,"dz. ","gm. m.-w. ")))))&amp;IF(LEN($A2930)=2,TRIM(UPPER(VLOOKUP($A2930,GUS_tabl_1!$A$7:$B$22,2,FALSE))),IF(ISERROR(FIND("..",TRIM(VLOOKUP(IF(AND(LEN($A2930)=4,VALUE(RIGHT($A2930,2))&gt;60),$A2930&amp;"01 1",$A2930),IF(AND(LEN($A2930)=4,VALUE(RIGHT($A2930,2))&lt;60),GUS_tabl_2!$A$8:$B$464,GUS_tabl_21!$A$5:$B$4886),2,FALSE)))),TRIM(VLOOKUP(IF(AND(LEN($A2930)=4,VALUE(RIGHT($A2930,2))&gt;60),$A2930&amp;"01 1",$A2930),IF(AND(LEN($A2930)=4,VALUE(RIGHT($A2930,2))&lt;60),GUS_tabl_2!$A$8:$B$464,GUS_tabl_21!$A$5:$B$4886),2,FALSE)),LEFT(TRIM(VLOOKUP(IF(AND(LEN($A2930)=4,VALUE(RIGHT($A2930,2))&gt;60),$A2930&amp;"01 1",$A2930),IF(AND(LEN($A2930)=4,VALUE(RIGHT($A2930,2))&lt;60),GUS_tabl_2!$A$8:$B$464,GUS_tabl_21!$A$5:$B$4886),2,FALSE)),SUM(FIND("..",TRIM(VLOOKUP(IF(AND(LEN($A2930)=4,VALUE(RIGHT($A2930,2))&gt;60),$A2930&amp;"01 1",$A2930),IF(AND(LEN($A2930)=4,VALUE(RIGHT($A2930,2))&lt;60),GUS_tabl_2!$A$8:$B$464,GUS_tabl_21!$A$5:$B$4886),2,FALSE))),-1)))))</f>
        <v>gm. m.-w. Suchań</v>
      </c>
      <c r="D2930" s="141">
        <f>IF(OR($A2930="",ISERROR(VALUE(LEFT($A2930,6)))),"",IF(LEN($A2930)=2,SUMIF($A2931:$A$2965,$A2930&amp;"??",$D2931:$D$2965),IF(AND(LEN($A2930)=4,VALUE(RIGHT($A2930,2))&lt;=60),SUMIF($A2931:$A$2965,$A2930&amp;"????",$D2931:$D$2965),VLOOKUP(IF(LEN($A2930)=4,$A2930&amp;"01 1",$A2930),GUS_tabl_21!$A$5:$F$4886,6,FALSE))))</f>
        <v>4298</v>
      </c>
      <c r="E2930" s="29"/>
    </row>
    <row r="2931" spans="1:5" ht="12" customHeight="1">
      <c r="A2931" s="152" t="str">
        <f>"3215"</f>
        <v>3215</v>
      </c>
      <c r="B2931" s="153" t="s">
        <v>41</v>
      </c>
      <c r="C2931" s="154" t="str">
        <f>IF(OR($A2931="",ISERROR(VALUE(LEFT($A2931,6)))),"",IF(LEN($A2931)=2,"WOJ. ",IF(LEN($A2931)=4,IF(VALUE(RIGHT($A2931,2))&gt;60,"","Powiat "),IF(VALUE(RIGHT($A2931,1))=1,"m. ",IF(VALUE(RIGHT($A2931,1))=2,"gm. w. ",IF(VALUE(RIGHT($A2931,1))=8,"dz. ","gm. m.-w. ")))))&amp;IF(LEN($A2931)=2,TRIM(UPPER(VLOOKUP($A2931,GUS_tabl_1!$A$7:$B$22,2,FALSE))),IF(ISERROR(FIND("..",TRIM(VLOOKUP(IF(AND(LEN($A2931)=4,VALUE(RIGHT($A2931,2))&gt;60),$A2931&amp;"01 1",$A2931),IF(AND(LEN($A2931)=4,VALUE(RIGHT($A2931,2))&lt;60),GUS_tabl_2!$A$8:$B$464,GUS_tabl_21!$A$5:$B$4886),2,FALSE)))),TRIM(VLOOKUP(IF(AND(LEN($A2931)=4,VALUE(RIGHT($A2931,2))&gt;60),$A2931&amp;"01 1",$A2931),IF(AND(LEN($A2931)=4,VALUE(RIGHT($A2931,2))&lt;60),GUS_tabl_2!$A$8:$B$464,GUS_tabl_21!$A$5:$B$4886),2,FALSE)),LEFT(TRIM(VLOOKUP(IF(AND(LEN($A2931)=4,VALUE(RIGHT($A2931,2))&gt;60),$A2931&amp;"01 1",$A2931),IF(AND(LEN($A2931)=4,VALUE(RIGHT($A2931,2))&lt;60),GUS_tabl_2!$A$8:$B$464,GUS_tabl_21!$A$5:$B$4886),2,FALSE)),SUM(FIND("..",TRIM(VLOOKUP(IF(AND(LEN($A2931)=4,VALUE(RIGHT($A2931,2))&gt;60),$A2931&amp;"01 1",$A2931),IF(AND(LEN($A2931)=4,VALUE(RIGHT($A2931,2))&lt;60),GUS_tabl_2!$A$8:$B$464,GUS_tabl_21!$A$5:$B$4886),2,FALSE))),-1)))))</f>
        <v>Powiat szczecinecki</v>
      </c>
      <c r="D2931" s="140">
        <f>IF(OR($A2931="",ISERROR(VALUE(LEFT($A2931,6)))),"",IF(LEN($A2931)=2,SUMIF($A2932:$A$2965,$A2931&amp;"??",$D2932:$D$2965),IF(AND(LEN($A2931)=4,VALUE(RIGHT($A2931,2))&lt;=60),SUMIF($A2932:$A$2965,$A2931&amp;"????",$D2932:$D$2965),VLOOKUP(IF(LEN($A2931)=4,$A2931&amp;"01 1",$A2931),GUS_tabl_21!$A$5:$F$4886,6,FALSE))))</f>
        <v>77630</v>
      </c>
      <c r="E2931" s="29"/>
    </row>
    <row r="2932" spans="1:5" ht="12" customHeight="1">
      <c r="A2932" s="155" t="str">
        <f>"321501 1"</f>
        <v>321501 1</v>
      </c>
      <c r="B2932" s="153" t="s">
        <v>41</v>
      </c>
      <c r="C2932" s="156" t="str">
        <f>IF(OR($A2932="",ISERROR(VALUE(LEFT($A2932,6)))),"",IF(LEN($A2932)=2,"WOJ. ",IF(LEN($A2932)=4,IF(VALUE(RIGHT($A2932,2))&gt;60,"","Powiat "),IF(VALUE(RIGHT($A2932,1))=1,"m. ",IF(VALUE(RIGHT($A2932,1))=2,"gm. w. ",IF(VALUE(RIGHT($A2932,1))=8,"dz. ","gm. m.-w. ")))))&amp;IF(LEN($A2932)=2,TRIM(UPPER(VLOOKUP($A2932,GUS_tabl_1!$A$7:$B$22,2,FALSE))),IF(ISERROR(FIND("..",TRIM(VLOOKUP(IF(AND(LEN($A2932)=4,VALUE(RIGHT($A2932,2))&gt;60),$A2932&amp;"01 1",$A2932),IF(AND(LEN($A2932)=4,VALUE(RIGHT($A2932,2))&lt;60),GUS_tabl_2!$A$8:$B$464,GUS_tabl_21!$A$5:$B$4886),2,FALSE)))),TRIM(VLOOKUP(IF(AND(LEN($A2932)=4,VALUE(RIGHT($A2932,2))&gt;60),$A2932&amp;"01 1",$A2932),IF(AND(LEN($A2932)=4,VALUE(RIGHT($A2932,2))&lt;60),GUS_tabl_2!$A$8:$B$464,GUS_tabl_21!$A$5:$B$4886),2,FALSE)),LEFT(TRIM(VLOOKUP(IF(AND(LEN($A2932)=4,VALUE(RIGHT($A2932,2))&gt;60),$A2932&amp;"01 1",$A2932),IF(AND(LEN($A2932)=4,VALUE(RIGHT($A2932,2))&lt;60),GUS_tabl_2!$A$8:$B$464,GUS_tabl_21!$A$5:$B$4886),2,FALSE)),SUM(FIND("..",TRIM(VLOOKUP(IF(AND(LEN($A2932)=4,VALUE(RIGHT($A2932,2))&gt;60),$A2932&amp;"01 1",$A2932),IF(AND(LEN($A2932)=4,VALUE(RIGHT($A2932,2))&lt;60),GUS_tabl_2!$A$8:$B$464,GUS_tabl_21!$A$5:$B$4886),2,FALSE))),-1)))))</f>
        <v>m. Szczecinek</v>
      </c>
      <c r="D2932" s="141">
        <f>IF(OR($A2932="",ISERROR(VALUE(LEFT($A2932,6)))),"",IF(LEN($A2932)=2,SUMIF($A2933:$A$2965,$A2932&amp;"??",$D2933:$D$2965),IF(AND(LEN($A2932)=4,VALUE(RIGHT($A2932,2))&lt;=60),SUMIF($A2933:$A$2965,$A2932&amp;"????",$D2933:$D$2965),VLOOKUP(IF(LEN($A2932)=4,$A2932&amp;"01 1",$A2932),GUS_tabl_21!$A$5:$F$4886,6,FALSE))))</f>
        <v>40043</v>
      </c>
      <c r="E2932" s="29"/>
    </row>
    <row r="2933" spans="1:5" ht="12" customHeight="1">
      <c r="A2933" s="155" t="str">
        <f>"321502 3"</f>
        <v>321502 3</v>
      </c>
      <c r="B2933" s="153" t="s">
        <v>41</v>
      </c>
      <c r="C2933" s="156" t="str">
        <f>IF(OR($A2933="",ISERROR(VALUE(LEFT($A2933,6)))),"",IF(LEN($A2933)=2,"WOJ. ",IF(LEN($A2933)=4,IF(VALUE(RIGHT($A2933,2))&gt;60,"","Powiat "),IF(VALUE(RIGHT($A2933,1))=1,"m. ",IF(VALUE(RIGHT($A2933,1))=2,"gm. w. ",IF(VALUE(RIGHT($A2933,1))=8,"dz. ","gm. m.-w. ")))))&amp;IF(LEN($A2933)=2,TRIM(UPPER(VLOOKUP($A2933,GUS_tabl_1!$A$7:$B$22,2,FALSE))),IF(ISERROR(FIND("..",TRIM(VLOOKUP(IF(AND(LEN($A2933)=4,VALUE(RIGHT($A2933,2))&gt;60),$A2933&amp;"01 1",$A2933),IF(AND(LEN($A2933)=4,VALUE(RIGHT($A2933,2))&lt;60),GUS_tabl_2!$A$8:$B$464,GUS_tabl_21!$A$5:$B$4886),2,FALSE)))),TRIM(VLOOKUP(IF(AND(LEN($A2933)=4,VALUE(RIGHT($A2933,2))&gt;60),$A2933&amp;"01 1",$A2933),IF(AND(LEN($A2933)=4,VALUE(RIGHT($A2933,2))&lt;60),GUS_tabl_2!$A$8:$B$464,GUS_tabl_21!$A$5:$B$4886),2,FALSE)),LEFT(TRIM(VLOOKUP(IF(AND(LEN($A2933)=4,VALUE(RIGHT($A2933,2))&gt;60),$A2933&amp;"01 1",$A2933),IF(AND(LEN($A2933)=4,VALUE(RIGHT($A2933,2))&lt;60),GUS_tabl_2!$A$8:$B$464,GUS_tabl_21!$A$5:$B$4886),2,FALSE)),SUM(FIND("..",TRIM(VLOOKUP(IF(AND(LEN($A2933)=4,VALUE(RIGHT($A2933,2))&gt;60),$A2933&amp;"01 1",$A2933),IF(AND(LEN($A2933)=4,VALUE(RIGHT($A2933,2))&lt;60),GUS_tabl_2!$A$8:$B$464,GUS_tabl_21!$A$5:$B$4886),2,FALSE))),-1)))))</f>
        <v>gm. m.-w. Barwice</v>
      </c>
      <c r="D2933" s="141">
        <f>IF(OR($A2933="",ISERROR(VALUE(LEFT($A2933,6)))),"",IF(LEN($A2933)=2,SUMIF($A2934:$A$2965,$A2933&amp;"??",$D2934:$D$2965),IF(AND(LEN($A2933)=4,VALUE(RIGHT($A2933,2))&lt;=60),SUMIF($A2934:$A$2965,$A2933&amp;"????",$D2934:$D$2965),VLOOKUP(IF(LEN($A2933)=4,$A2933&amp;"01 1",$A2933),GUS_tabl_21!$A$5:$F$4886,6,FALSE))))</f>
        <v>8478</v>
      </c>
      <c r="E2933" s="29"/>
    </row>
    <row r="2934" spans="1:5" ht="12" customHeight="1">
      <c r="A2934" s="155" t="str">
        <f>"321503 3"</f>
        <v>321503 3</v>
      </c>
      <c r="B2934" s="153" t="s">
        <v>41</v>
      </c>
      <c r="C2934" s="156" t="str">
        <f>IF(OR($A2934="",ISERROR(VALUE(LEFT($A2934,6)))),"",IF(LEN($A2934)=2,"WOJ. ",IF(LEN($A2934)=4,IF(VALUE(RIGHT($A2934,2))&gt;60,"","Powiat "),IF(VALUE(RIGHT($A2934,1))=1,"m. ",IF(VALUE(RIGHT($A2934,1))=2,"gm. w. ",IF(VALUE(RIGHT($A2934,1))=8,"dz. ","gm. m.-w. ")))))&amp;IF(LEN($A2934)=2,TRIM(UPPER(VLOOKUP($A2934,GUS_tabl_1!$A$7:$B$22,2,FALSE))),IF(ISERROR(FIND("..",TRIM(VLOOKUP(IF(AND(LEN($A2934)=4,VALUE(RIGHT($A2934,2))&gt;60),$A2934&amp;"01 1",$A2934),IF(AND(LEN($A2934)=4,VALUE(RIGHT($A2934,2))&lt;60),GUS_tabl_2!$A$8:$B$464,GUS_tabl_21!$A$5:$B$4886),2,FALSE)))),TRIM(VLOOKUP(IF(AND(LEN($A2934)=4,VALUE(RIGHT($A2934,2))&gt;60),$A2934&amp;"01 1",$A2934),IF(AND(LEN($A2934)=4,VALUE(RIGHT($A2934,2))&lt;60),GUS_tabl_2!$A$8:$B$464,GUS_tabl_21!$A$5:$B$4886),2,FALSE)),LEFT(TRIM(VLOOKUP(IF(AND(LEN($A2934)=4,VALUE(RIGHT($A2934,2))&gt;60),$A2934&amp;"01 1",$A2934),IF(AND(LEN($A2934)=4,VALUE(RIGHT($A2934,2))&lt;60),GUS_tabl_2!$A$8:$B$464,GUS_tabl_21!$A$5:$B$4886),2,FALSE)),SUM(FIND("..",TRIM(VLOOKUP(IF(AND(LEN($A2934)=4,VALUE(RIGHT($A2934,2))&gt;60),$A2934&amp;"01 1",$A2934),IF(AND(LEN($A2934)=4,VALUE(RIGHT($A2934,2))&lt;60),GUS_tabl_2!$A$8:$B$464,GUS_tabl_21!$A$5:$B$4886),2,FALSE))),-1)))))</f>
        <v>gm. m.-w. Biały Bór</v>
      </c>
      <c r="D2934" s="141">
        <f>IF(OR($A2934="",ISERROR(VALUE(LEFT($A2934,6)))),"",IF(LEN($A2934)=2,SUMIF($A2935:$A$2965,$A2934&amp;"??",$D2935:$D$2965),IF(AND(LEN($A2934)=4,VALUE(RIGHT($A2934,2))&lt;=60),SUMIF($A2935:$A$2965,$A2934&amp;"????",$D2935:$D$2965),VLOOKUP(IF(LEN($A2934)=4,$A2934&amp;"01 1",$A2934),GUS_tabl_21!$A$5:$F$4886,6,FALSE))))</f>
        <v>5294</v>
      </c>
      <c r="E2934" s="29"/>
    </row>
    <row r="2935" spans="1:5" ht="12" customHeight="1">
      <c r="A2935" s="155" t="str">
        <f>"321504 3"</f>
        <v>321504 3</v>
      </c>
      <c r="B2935" s="153" t="s">
        <v>41</v>
      </c>
      <c r="C2935" s="156" t="str">
        <f>IF(OR($A2935="",ISERROR(VALUE(LEFT($A2935,6)))),"",IF(LEN($A2935)=2,"WOJ. ",IF(LEN($A2935)=4,IF(VALUE(RIGHT($A2935,2))&gt;60,"","Powiat "),IF(VALUE(RIGHT($A2935,1))=1,"m. ",IF(VALUE(RIGHT($A2935,1))=2,"gm. w. ",IF(VALUE(RIGHT($A2935,1))=8,"dz. ","gm. m.-w. ")))))&amp;IF(LEN($A2935)=2,TRIM(UPPER(VLOOKUP($A2935,GUS_tabl_1!$A$7:$B$22,2,FALSE))),IF(ISERROR(FIND("..",TRIM(VLOOKUP(IF(AND(LEN($A2935)=4,VALUE(RIGHT($A2935,2))&gt;60),$A2935&amp;"01 1",$A2935),IF(AND(LEN($A2935)=4,VALUE(RIGHT($A2935,2))&lt;60),GUS_tabl_2!$A$8:$B$464,GUS_tabl_21!$A$5:$B$4886),2,FALSE)))),TRIM(VLOOKUP(IF(AND(LEN($A2935)=4,VALUE(RIGHT($A2935,2))&gt;60),$A2935&amp;"01 1",$A2935),IF(AND(LEN($A2935)=4,VALUE(RIGHT($A2935,2))&lt;60),GUS_tabl_2!$A$8:$B$464,GUS_tabl_21!$A$5:$B$4886),2,FALSE)),LEFT(TRIM(VLOOKUP(IF(AND(LEN($A2935)=4,VALUE(RIGHT($A2935,2))&gt;60),$A2935&amp;"01 1",$A2935),IF(AND(LEN($A2935)=4,VALUE(RIGHT($A2935,2))&lt;60),GUS_tabl_2!$A$8:$B$464,GUS_tabl_21!$A$5:$B$4886),2,FALSE)),SUM(FIND("..",TRIM(VLOOKUP(IF(AND(LEN($A2935)=4,VALUE(RIGHT($A2935,2))&gt;60),$A2935&amp;"01 1",$A2935),IF(AND(LEN($A2935)=4,VALUE(RIGHT($A2935,2))&lt;60),GUS_tabl_2!$A$8:$B$464,GUS_tabl_21!$A$5:$B$4886),2,FALSE))),-1)))))</f>
        <v>gm. m.-w. Borne Sulinowo</v>
      </c>
      <c r="D2935" s="141">
        <f>IF(OR($A2935="",ISERROR(VALUE(LEFT($A2935,6)))),"",IF(LEN($A2935)=2,SUMIF($A2936:$A$2965,$A2935&amp;"??",$D2936:$D$2965),IF(AND(LEN($A2935)=4,VALUE(RIGHT($A2935,2))&lt;=60),SUMIF($A2936:$A$2965,$A2935&amp;"????",$D2936:$D$2965),VLOOKUP(IF(LEN($A2935)=4,$A2935&amp;"01 1",$A2935),GUS_tabl_21!$A$5:$F$4886,6,FALSE))))</f>
        <v>9935</v>
      </c>
      <c r="E2935" s="29"/>
    </row>
    <row r="2936" spans="1:5" ht="12" customHeight="1">
      <c r="A2936" s="155" t="str">
        <f>"321505 2"</f>
        <v>321505 2</v>
      </c>
      <c r="B2936" s="153" t="s">
        <v>41</v>
      </c>
      <c r="C2936" s="156" t="str">
        <f>IF(OR($A2936="",ISERROR(VALUE(LEFT($A2936,6)))),"",IF(LEN($A2936)=2,"WOJ. ",IF(LEN($A2936)=4,IF(VALUE(RIGHT($A2936,2))&gt;60,"","Powiat "),IF(VALUE(RIGHT($A2936,1))=1,"m. ",IF(VALUE(RIGHT($A2936,1))=2,"gm. w. ",IF(VALUE(RIGHT($A2936,1))=8,"dz. ","gm. m.-w. ")))))&amp;IF(LEN($A2936)=2,TRIM(UPPER(VLOOKUP($A2936,GUS_tabl_1!$A$7:$B$22,2,FALSE))),IF(ISERROR(FIND("..",TRIM(VLOOKUP(IF(AND(LEN($A2936)=4,VALUE(RIGHT($A2936,2))&gt;60),$A2936&amp;"01 1",$A2936),IF(AND(LEN($A2936)=4,VALUE(RIGHT($A2936,2))&lt;60),GUS_tabl_2!$A$8:$B$464,GUS_tabl_21!$A$5:$B$4886),2,FALSE)))),TRIM(VLOOKUP(IF(AND(LEN($A2936)=4,VALUE(RIGHT($A2936,2))&gt;60),$A2936&amp;"01 1",$A2936),IF(AND(LEN($A2936)=4,VALUE(RIGHT($A2936,2))&lt;60),GUS_tabl_2!$A$8:$B$464,GUS_tabl_21!$A$5:$B$4886),2,FALSE)),LEFT(TRIM(VLOOKUP(IF(AND(LEN($A2936)=4,VALUE(RIGHT($A2936,2))&gt;60),$A2936&amp;"01 1",$A2936),IF(AND(LEN($A2936)=4,VALUE(RIGHT($A2936,2))&lt;60),GUS_tabl_2!$A$8:$B$464,GUS_tabl_21!$A$5:$B$4886),2,FALSE)),SUM(FIND("..",TRIM(VLOOKUP(IF(AND(LEN($A2936)=4,VALUE(RIGHT($A2936,2))&gt;60),$A2936&amp;"01 1",$A2936),IF(AND(LEN($A2936)=4,VALUE(RIGHT($A2936,2))&lt;60),GUS_tabl_2!$A$8:$B$464,GUS_tabl_21!$A$5:$B$4886),2,FALSE))),-1)))))</f>
        <v>gm. w. Grzmiąca</v>
      </c>
      <c r="D2936" s="141">
        <f>IF(OR($A2936="",ISERROR(VALUE(LEFT($A2936,6)))),"",IF(LEN($A2936)=2,SUMIF($A2937:$A$2965,$A2936&amp;"??",$D2937:$D$2965),IF(AND(LEN($A2936)=4,VALUE(RIGHT($A2936,2))&lt;=60),SUMIF($A2937:$A$2965,$A2936&amp;"????",$D2937:$D$2965),VLOOKUP(IF(LEN($A2936)=4,$A2936&amp;"01 1",$A2936),GUS_tabl_21!$A$5:$F$4886,6,FALSE))))</f>
        <v>4665</v>
      </c>
      <c r="E2936" s="29"/>
    </row>
    <row r="2937" spans="1:5" ht="12" customHeight="1">
      <c r="A2937" s="155" t="str">
        <f>"321506 2"</f>
        <v>321506 2</v>
      </c>
      <c r="B2937" s="153" t="s">
        <v>41</v>
      </c>
      <c r="C2937" s="156" t="str">
        <f>IF(OR($A2937="",ISERROR(VALUE(LEFT($A2937,6)))),"",IF(LEN($A2937)=2,"WOJ. ",IF(LEN($A2937)=4,IF(VALUE(RIGHT($A2937,2))&gt;60,"","Powiat "),IF(VALUE(RIGHT($A2937,1))=1,"m. ",IF(VALUE(RIGHT($A2937,1))=2,"gm. w. ",IF(VALUE(RIGHT($A2937,1))=8,"dz. ","gm. m.-w. ")))))&amp;IF(LEN($A2937)=2,TRIM(UPPER(VLOOKUP($A2937,GUS_tabl_1!$A$7:$B$22,2,FALSE))),IF(ISERROR(FIND("..",TRIM(VLOOKUP(IF(AND(LEN($A2937)=4,VALUE(RIGHT($A2937,2))&gt;60),$A2937&amp;"01 1",$A2937),IF(AND(LEN($A2937)=4,VALUE(RIGHT($A2937,2))&lt;60),GUS_tabl_2!$A$8:$B$464,GUS_tabl_21!$A$5:$B$4886),2,FALSE)))),TRIM(VLOOKUP(IF(AND(LEN($A2937)=4,VALUE(RIGHT($A2937,2))&gt;60),$A2937&amp;"01 1",$A2937),IF(AND(LEN($A2937)=4,VALUE(RIGHT($A2937,2))&lt;60),GUS_tabl_2!$A$8:$B$464,GUS_tabl_21!$A$5:$B$4886),2,FALSE)),LEFT(TRIM(VLOOKUP(IF(AND(LEN($A2937)=4,VALUE(RIGHT($A2937,2))&gt;60),$A2937&amp;"01 1",$A2937),IF(AND(LEN($A2937)=4,VALUE(RIGHT($A2937,2))&lt;60),GUS_tabl_2!$A$8:$B$464,GUS_tabl_21!$A$5:$B$4886),2,FALSE)),SUM(FIND("..",TRIM(VLOOKUP(IF(AND(LEN($A2937)=4,VALUE(RIGHT($A2937,2))&gt;60),$A2937&amp;"01 1",$A2937),IF(AND(LEN($A2937)=4,VALUE(RIGHT($A2937,2))&lt;60),GUS_tabl_2!$A$8:$B$464,GUS_tabl_21!$A$5:$B$4886),2,FALSE))),-1)))))</f>
        <v>gm. w. Szczecinek</v>
      </c>
      <c r="D2937" s="141">
        <f>IF(OR($A2937="",ISERROR(VALUE(LEFT($A2937,6)))),"",IF(LEN($A2937)=2,SUMIF($A2938:$A$2965,$A2937&amp;"??",$D2938:$D$2965),IF(AND(LEN($A2937)=4,VALUE(RIGHT($A2937,2))&lt;=60),SUMIF($A2938:$A$2965,$A2937&amp;"????",$D2938:$D$2965),VLOOKUP(IF(LEN($A2937)=4,$A2937&amp;"01 1",$A2937),GUS_tabl_21!$A$5:$F$4886,6,FALSE))))</f>
        <v>9215</v>
      </c>
      <c r="E2937" s="29"/>
    </row>
    <row r="2938" spans="1:5" ht="12" customHeight="1">
      <c r="A2938" s="152" t="str">
        <f>"3216"</f>
        <v>3216</v>
      </c>
      <c r="B2938" s="153" t="s">
        <v>41</v>
      </c>
      <c r="C2938" s="154" t="str">
        <f>IF(OR($A2938="",ISERROR(VALUE(LEFT($A2938,6)))),"",IF(LEN($A2938)=2,"WOJ. ",IF(LEN($A2938)=4,IF(VALUE(RIGHT($A2938,2))&gt;60,"","Powiat "),IF(VALUE(RIGHT($A2938,1))=1,"m. ",IF(VALUE(RIGHT($A2938,1))=2,"gm. w. ",IF(VALUE(RIGHT($A2938,1))=8,"dz. ","gm. m.-w. ")))))&amp;IF(LEN($A2938)=2,TRIM(UPPER(VLOOKUP($A2938,GUS_tabl_1!$A$7:$B$22,2,FALSE))),IF(ISERROR(FIND("..",TRIM(VLOOKUP(IF(AND(LEN($A2938)=4,VALUE(RIGHT($A2938,2))&gt;60),$A2938&amp;"01 1",$A2938),IF(AND(LEN($A2938)=4,VALUE(RIGHT($A2938,2))&lt;60),GUS_tabl_2!$A$8:$B$464,GUS_tabl_21!$A$5:$B$4886),2,FALSE)))),TRIM(VLOOKUP(IF(AND(LEN($A2938)=4,VALUE(RIGHT($A2938,2))&gt;60),$A2938&amp;"01 1",$A2938),IF(AND(LEN($A2938)=4,VALUE(RIGHT($A2938,2))&lt;60),GUS_tabl_2!$A$8:$B$464,GUS_tabl_21!$A$5:$B$4886),2,FALSE)),LEFT(TRIM(VLOOKUP(IF(AND(LEN($A2938)=4,VALUE(RIGHT($A2938,2))&gt;60),$A2938&amp;"01 1",$A2938),IF(AND(LEN($A2938)=4,VALUE(RIGHT($A2938,2))&lt;60),GUS_tabl_2!$A$8:$B$464,GUS_tabl_21!$A$5:$B$4886),2,FALSE)),SUM(FIND("..",TRIM(VLOOKUP(IF(AND(LEN($A2938)=4,VALUE(RIGHT($A2938,2))&gt;60),$A2938&amp;"01 1",$A2938),IF(AND(LEN($A2938)=4,VALUE(RIGHT($A2938,2))&lt;60),GUS_tabl_2!$A$8:$B$464,GUS_tabl_21!$A$5:$B$4886),2,FALSE))),-1)))))</f>
        <v>Powiat świdwiński</v>
      </c>
      <c r="D2938" s="140">
        <f>IF(OR($A2938="",ISERROR(VALUE(LEFT($A2938,6)))),"",IF(LEN($A2938)=2,SUMIF($A2939:$A$2965,$A2938&amp;"??",$D2939:$D$2965),IF(AND(LEN($A2938)=4,VALUE(RIGHT($A2938,2))&lt;=60),SUMIF($A2939:$A$2965,$A2938&amp;"????",$D2939:$D$2965),VLOOKUP(IF(LEN($A2938)=4,$A2938&amp;"01 1",$A2938),GUS_tabl_21!$A$5:$F$4886,6,FALSE))))</f>
        <v>46724</v>
      </c>
      <c r="E2938" s="29"/>
    </row>
    <row r="2939" spans="1:5" ht="12" customHeight="1">
      <c r="A2939" s="155" t="str">
        <f>"321601 1"</f>
        <v>321601 1</v>
      </c>
      <c r="B2939" s="153" t="s">
        <v>41</v>
      </c>
      <c r="C2939" s="156" t="str">
        <f>IF(OR($A2939="",ISERROR(VALUE(LEFT($A2939,6)))),"",IF(LEN($A2939)=2,"WOJ. ",IF(LEN($A2939)=4,IF(VALUE(RIGHT($A2939,2))&gt;60,"","Powiat "),IF(VALUE(RIGHT($A2939,1))=1,"m. ",IF(VALUE(RIGHT($A2939,1))=2,"gm. w. ",IF(VALUE(RIGHT($A2939,1))=8,"dz. ","gm. m.-w. ")))))&amp;IF(LEN($A2939)=2,TRIM(UPPER(VLOOKUP($A2939,GUS_tabl_1!$A$7:$B$22,2,FALSE))),IF(ISERROR(FIND("..",TRIM(VLOOKUP(IF(AND(LEN($A2939)=4,VALUE(RIGHT($A2939,2))&gt;60),$A2939&amp;"01 1",$A2939),IF(AND(LEN($A2939)=4,VALUE(RIGHT($A2939,2))&lt;60),GUS_tabl_2!$A$8:$B$464,GUS_tabl_21!$A$5:$B$4886),2,FALSE)))),TRIM(VLOOKUP(IF(AND(LEN($A2939)=4,VALUE(RIGHT($A2939,2))&gt;60),$A2939&amp;"01 1",$A2939),IF(AND(LEN($A2939)=4,VALUE(RIGHT($A2939,2))&lt;60),GUS_tabl_2!$A$8:$B$464,GUS_tabl_21!$A$5:$B$4886),2,FALSE)),LEFT(TRIM(VLOOKUP(IF(AND(LEN($A2939)=4,VALUE(RIGHT($A2939,2))&gt;60),$A2939&amp;"01 1",$A2939),IF(AND(LEN($A2939)=4,VALUE(RIGHT($A2939,2))&lt;60),GUS_tabl_2!$A$8:$B$464,GUS_tabl_21!$A$5:$B$4886),2,FALSE)),SUM(FIND("..",TRIM(VLOOKUP(IF(AND(LEN($A2939)=4,VALUE(RIGHT($A2939,2))&gt;60),$A2939&amp;"01 1",$A2939),IF(AND(LEN($A2939)=4,VALUE(RIGHT($A2939,2))&lt;60),GUS_tabl_2!$A$8:$B$464,GUS_tabl_21!$A$5:$B$4886),2,FALSE))),-1)))))</f>
        <v>m. Świdwin</v>
      </c>
      <c r="D2939" s="141">
        <f>IF(OR($A2939="",ISERROR(VALUE(LEFT($A2939,6)))),"",IF(LEN($A2939)=2,SUMIF($A2940:$A$2965,$A2939&amp;"??",$D2940:$D$2965),IF(AND(LEN($A2939)=4,VALUE(RIGHT($A2939,2))&lt;=60),SUMIF($A2940:$A$2965,$A2939&amp;"????",$D2940:$D$2965),VLOOKUP(IF(LEN($A2939)=4,$A2939&amp;"01 1",$A2939),GUS_tabl_21!$A$5:$F$4886,6,FALSE))))</f>
        <v>15468</v>
      </c>
      <c r="E2939" s="29"/>
    </row>
    <row r="2940" spans="1:5" ht="12" customHeight="1">
      <c r="A2940" s="155" t="str">
        <f>"321602 2"</f>
        <v>321602 2</v>
      </c>
      <c r="B2940" s="153" t="s">
        <v>41</v>
      </c>
      <c r="C2940" s="156" t="str">
        <f>IF(OR($A2940="",ISERROR(VALUE(LEFT($A2940,6)))),"",IF(LEN($A2940)=2,"WOJ. ",IF(LEN($A2940)=4,IF(VALUE(RIGHT($A2940,2))&gt;60,"","Powiat "),IF(VALUE(RIGHT($A2940,1))=1,"m. ",IF(VALUE(RIGHT($A2940,1))=2,"gm. w. ",IF(VALUE(RIGHT($A2940,1))=8,"dz. ","gm. m.-w. ")))))&amp;IF(LEN($A2940)=2,TRIM(UPPER(VLOOKUP($A2940,GUS_tabl_1!$A$7:$B$22,2,FALSE))),IF(ISERROR(FIND("..",TRIM(VLOOKUP(IF(AND(LEN($A2940)=4,VALUE(RIGHT($A2940,2))&gt;60),$A2940&amp;"01 1",$A2940),IF(AND(LEN($A2940)=4,VALUE(RIGHT($A2940,2))&lt;60),GUS_tabl_2!$A$8:$B$464,GUS_tabl_21!$A$5:$B$4886),2,FALSE)))),TRIM(VLOOKUP(IF(AND(LEN($A2940)=4,VALUE(RIGHT($A2940,2))&gt;60),$A2940&amp;"01 1",$A2940),IF(AND(LEN($A2940)=4,VALUE(RIGHT($A2940,2))&lt;60),GUS_tabl_2!$A$8:$B$464,GUS_tabl_21!$A$5:$B$4886),2,FALSE)),LEFT(TRIM(VLOOKUP(IF(AND(LEN($A2940)=4,VALUE(RIGHT($A2940,2))&gt;60),$A2940&amp;"01 1",$A2940),IF(AND(LEN($A2940)=4,VALUE(RIGHT($A2940,2))&lt;60),GUS_tabl_2!$A$8:$B$464,GUS_tabl_21!$A$5:$B$4886),2,FALSE)),SUM(FIND("..",TRIM(VLOOKUP(IF(AND(LEN($A2940)=4,VALUE(RIGHT($A2940,2))&gt;60),$A2940&amp;"01 1",$A2940),IF(AND(LEN($A2940)=4,VALUE(RIGHT($A2940,2))&lt;60),GUS_tabl_2!$A$8:$B$464,GUS_tabl_21!$A$5:$B$4886),2,FALSE))),-1)))))</f>
        <v>gm. w. Brzeżno</v>
      </c>
      <c r="D2940" s="141">
        <f>IF(OR($A2940="",ISERROR(VALUE(LEFT($A2940,6)))),"",IF(LEN($A2940)=2,SUMIF($A2941:$A$2965,$A2940&amp;"??",$D2941:$D$2965),IF(AND(LEN($A2940)=4,VALUE(RIGHT($A2940,2))&lt;=60),SUMIF($A2941:$A$2965,$A2940&amp;"????",$D2941:$D$2965),VLOOKUP(IF(LEN($A2940)=4,$A2940&amp;"01 1",$A2940),GUS_tabl_21!$A$5:$F$4886,6,FALSE))))</f>
        <v>2766</v>
      </c>
      <c r="E2940" s="29"/>
    </row>
    <row r="2941" spans="1:5" ht="12" customHeight="1">
      <c r="A2941" s="155" t="str">
        <f>"321603 3"</f>
        <v>321603 3</v>
      </c>
      <c r="B2941" s="153" t="s">
        <v>41</v>
      </c>
      <c r="C2941" s="156" t="str">
        <f>IF(OR($A2941="",ISERROR(VALUE(LEFT($A2941,6)))),"",IF(LEN($A2941)=2,"WOJ. ",IF(LEN($A2941)=4,IF(VALUE(RIGHT($A2941,2))&gt;60,"","Powiat "),IF(VALUE(RIGHT($A2941,1))=1,"m. ",IF(VALUE(RIGHT($A2941,1))=2,"gm. w. ",IF(VALUE(RIGHT($A2941,1))=8,"dz. ","gm. m.-w. ")))))&amp;IF(LEN($A2941)=2,TRIM(UPPER(VLOOKUP($A2941,GUS_tabl_1!$A$7:$B$22,2,FALSE))),IF(ISERROR(FIND("..",TRIM(VLOOKUP(IF(AND(LEN($A2941)=4,VALUE(RIGHT($A2941,2))&gt;60),$A2941&amp;"01 1",$A2941),IF(AND(LEN($A2941)=4,VALUE(RIGHT($A2941,2))&lt;60),GUS_tabl_2!$A$8:$B$464,GUS_tabl_21!$A$5:$B$4886),2,FALSE)))),TRIM(VLOOKUP(IF(AND(LEN($A2941)=4,VALUE(RIGHT($A2941,2))&gt;60),$A2941&amp;"01 1",$A2941),IF(AND(LEN($A2941)=4,VALUE(RIGHT($A2941,2))&lt;60),GUS_tabl_2!$A$8:$B$464,GUS_tabl_21!$A$5:$B$4886),2,FALSE)),LEFT(TRIM(VLOOKUP(IF(AND(LEN($A2941)=4,VALUE(RIGHT($A2941,2))&gt;60),$A2941&amp;"01 1",$A2941),IF(AND(LEN($A2941)=4,VALUE(RIGHT($A2941,2))&lt;60),GUS_tabl_2!$A$8:$B$464,GUS_tabl_21!$A$5:$B$4886),2,FALSE)),SUM(FIND("..",TRIM(VLOOKUP(IF(AND(LEN($A2941)=4,VALUE(RIGHT($A2941,2))&gt;60),$A2941&amp;"01 1",$A2941),IF(AND(LEN($A2941)=4,VALUE(RIGHT($A2941,2))&lt;60),GUS_tabl_2!$A$8:$B$464,GUS_tabl_21!$A$5:$B$4886),2,FALSE))),-1)))))</f>
        <v>gm. m.-w. Połczyn-Zdrój</v>
      </c>
      <c r="D2941" s="141">
        <f>IF(OR($A2941="",ISERROR(VALUE(LEFT($A2941,6)))),"",IF(LEN($A2941)=2,SUMIF($A2942:$A$2965,$A2941&amp;"??",$D2942:$D$2965),IF(AND(LEN($A2941)=4,VALUE(RIGHT($A2941,2))&lt;=60),SUMIF($A2942:$A$2965,$A2941&amp;"????",$D2942:$D$2965),VLOOKUP(IF(LEN($A2941)=4,$A2941&amp;"01 1",$A2941),GUS_tabl_21!$A$5:$F$4886,6,FALSE))))</f>
        <v>15118</v>
      </c>
      <c r="E2941" s="29"/>
    </row>
    <row r="2942" spans="1:5" ht="12" customHeight="1">
      <c r="A2942" s="155" t="str">
        <f>"321604 2"</f>
        <v>321604 2</v>
      </c>
      <c r="B2942" s="153" t="s">
        <v>41</v>
      </c>
      <c r="C2942" s="156" t="str">
        <f>IF(OR($A2942="",ISERROR(VALUE(LEFT($A2942,6)))),"",IF(LEN($A2942)=2,"WOJ. ",IF(LEN($A2942)=4,IF(VALUE(RIGHT($A2942,2))&gt;60,"","Powiat "),IF(VALUE(RIGHT($A2942,1))=1,"m. ",IF(VALUE(RIGHT($A2942,1))=2,"gm. w. ",IF(VALUE(RIGHT($A2942,1))=8,"dz. ","gm. m.-w. ")))))&amp;IF(LEN($A2942)=2,TRIM(UPPER(VLOOKUP($A2942,GUS_tabl_1!$A$7:$B$22,2,FALSE))),IF(ISERROR(FIND("..",TRIM(VLOOKUP(IF(AND(LEN($A2942)=4,VALUE(RIGHT($A2942,2))&gt;60),$A2942&amp;"01 1",$A2942),IF(AND(LEN($A2942)=4,VALUE(RIGHT($A2942,2))&lt;60),GUS_tabl_2!$A$8:$B$464,GUS_tabl_21!$A$5:$B$4886),2,FALSE)))),TRIM(VLOOKUP(IF(AND(LEN($A2942)=4,VALUE(RIGHT($A2942,2))&gt;60),$A2942&amp;"01 1",$A2942),IF(AND(LEN($A2942)=4,VALUE(RIGHT($A2942,2))&lt;60),GUS_tabl_2!$A$8:$B$464,GUS_tabl_21!$A$5:$B$4886),2,FALSE)),LEFT(TRIM(VLOOKUP(IF(AND(LEN($A2942)=4,VALUE(RIGHT($A2942,2))&gt;60),$A2942&amp;"01 1",$A2942),IF(AND(LEN($A2942)=4,VALUE(RIGHT($A2942,2))&lt;60),GUS_tabl_2!$A$8:$B$464,GUS_tabl_21!$A$5:$B$4886),2,FALSE)),SUM(FIND("..",TRIM(VLOOKUP(IF(AND(LEN($A2942)=4,VALUE(RIGHT($A2942,2))&gt;60),$A2942&amp;"01 1",$A2942),IF(AND(LEN($A2942)=4,VALUE(RIGHT($A2942,2))&lt;60),GUS_tabl_2!$A$8:$B$464,GUS_tabl_21!$A$5:$B$4886),2,FALSE))),-1)))))</f>
        <v>gm. w. Rąbino</v>
      </c>
      <c r="D2942" s="141">
        <f>IF(OR($A2942="",ISERROR(VALUE(LEFT($A2942,6)))),"",IF(LEN($A2942)=2,SUMIF($A2943:$A$2965,$A2942&amp;"??",$D2943:$D$2965),IF(AND(LEN($A2942)=4,VALUE(RIGHT($A2942,2))&lt;=60),SUMIF($A2943:$A$2965,$A2942&amp;"????",$D2943:$D$2965),VLOOKUP(IF(LEN($A2942)=4,$A2942&amp;"01 1",$A2942),GUS_tabl_21!$A$5:$F$4886,6,FALSE))))</f>
        <v>3560</v>
      </c>
      <c r="E2942" s="29"/>
    </row>
    <row r="2943" spans="1:5" ht="12" customHeight="1">
      <c r="A2943" s="155" t="str">
        <f>"321605 2"</f>
        <v>321605 2</v>
      </c>
      <c r="B2943" s="153" t="s">
        <v>41</v>
      </c>
      <c r="C2943" s="156" t="str">
        <f>IF(OR($A2943="",ISERROR(VALUE(LEFT($A2943,6)))),"",IF(LEN($A2943)=2,"WOJ. ",IF(LEN($A2943)=4,IF(VALUE(RIGHT($A2943,2))&gt;60,"","Powiat "),IF(VALUE(RIGHT($A2943,1))=1,"m. ",IF(VALUE(RIGHT($A2943,1))=2,"gm. w. ",IF(VALUE(RIGHT($A2943,1))=8,"dz. ","gm. m.-w. ")))))&amp;IF(LEN($A2943)=2,TRIM(UPPER(VLOOKUP($A2943,GUS_tabl_1!$A$7:$B$22,2,FALSE))),IF(ISERROR(FIND("..",TRIM(VLOOKUP(IF(AND(LEN($A2943)=4,VALUE(RIGHT($A2943,2))&gt;60),$A2943&amp;"01 1",$A2943),IF(AND(LEN($A2943)=4,VALUE(RIGHT($A2943,2))&lt;60),GUS_tabl_2!$A$8:$B$464,GUS_tabl_21!$A$5:$B$4886),2,FALSE)))),TRIM(VLOOKUP(IF(AND(LEN($A2943)=4,VALUE(RIGHT($A2943,2))&gt;60),$A2943&amp;"01 1",$A2943),IF(AND(LEN($A2943)=4,VALUE(RIGHT($A2943,2))&lt;60),GUS_tabl_2!$A$8:$B$464,GUS_tabl_21!$A$5:$B$4886),2,FALSE)),LEFT(TRIM(VLOOKUP(IF(AND(LEN($A2943)=4,VALUE(RIGHT($A2943,2))&gt;60),$A2943&amp;"01 1",$A2943),IF(AND(LEN($A2943)=4,VALUE(RIGHT($A2943,2))&lt;60),GUS_tabl_2!$A$8:$B$464,GUS_tabl_21!$A$5:$B$4886),2,FALSE)),SUM(FIND("..",TRIM(VLOOKUP(IF(AND(LEN($A2943)=4,VALUE(RIGHT($A2943,2))&gt;60),$A2943&amp;"01 1",$A2943),IF(AND(LEN($A2943)=4,VALUE(RIGHT($A2943,2))&lt;60),GUS_tabl_2!$A$8:$B$464,GUS_tabl_21!$A$5:$B$4886),2,FALSE))),-1)))))</f>
        <v>gm. w. Sławoborze</v>
      </c>
      <c r="D2943" s="141">
        <f>IF(OR($A2943="",ISERROR(VALUE(LEFT($A2943,6)))),"",IF(LEN($A2943)=2,SUMIF($A2944:$A$2965,$A2943&amp;"??",$D2944:$D$2965),IF(AND(LEN($A2943)=4,VALUE(RIGHT($A2943,2))&lt;=60),SUMIF($A2944:$A$2965,$A2943&amp;"????",$D2944:$D$2965),VLOOKUP(IF(LEN($A2943)=4,$A2943&amp;"01 1",$A2943),GUS_tabl_21!$A$5:$F$4886,6,FALSE))))</f>
        <v>3994</v>
      </c>
      <c r="E2943" s="29"/>
    </row>
    <row r="2944" spans="1:5" ht="12" customHeight="1">
      <c r="A2944" s="155" t="str">
        <f>"321606 2"</f>
        <v>321606 2</v>
      </c>
      <c r="B2944" s="153" t="s">
        <v>41</v>
      </c>
      <c r="C2944" s="156" t="str">
        <f>IF(OR($A2944="",ISERROR(VALUE(LEFT($A2944,6)))),"",IF(LEN($A2944)=2,"WOJ. ",IF(LEN($A2944)=4,IF(VALUE(RIGHT($A2944,2))&gt;60,"","Powiat "),IF(VALUE(RIGHT($A2944,1))=1,"m. ",IF(VALUE(RIGHT($A2944,1))=2,"gm. w. ",IF(VALUE(RIGHT($A2944,1))=8,"dz. ","gm. m.-w. ")))))&amp;IF(LEN($A2944)=2,TRIM(UPPER(VLOOKUP($A2944,GUS_tabl_1!$A$7:$B$22,2,FALSE))),IF(ISERROR(FIND("..",TRIM(VLOOKUP(IF(AND(LEN($A2944)=4,VALUE(RIGHT($A2944,2))&gt;60),$A2944&amp;"01 1",$A2944),IF(AND(LEN($A2944)=4,VALUE(RIGHT($A2944,2))&lt;60),GUS_tabl_2!$A$8:$B$464,GUS_tabl_21!$A$5:$B$4886),2,FALSE)))),TRIM(VLOOKUP(IF(AND(LEN($A2944)=4,VALUE(RIGHT($A2944,2))&gt;60),$A2944&amp;"01 1",$A2944),IF(AND(LEN($A2944)=4,VALUE(RIGHT($A2944,2))&lt;60),GUS_tabl_2!$A$8:$B$464,GUS_tabl_21!$A$5:$B$4886),2,FALSE)),LEFT(TRIM(VLOOKUP(IF(AND(LEN($A2944)=4,VALUE(RIGHT($A2944,2))&gt;60),$A2944&amp;"01 1",$A2944),IF(AND(LEN($A2944)=4,VALUE(RIGHT($A2944,2))&lt;60),GUS_tabl_2!$A$8:$B$464,GUS_tabl_21!$A$5:$B$4886),2,FALSE)),SUM(FIND("..",TRIM(VLOOKUP(IF(AND(LEN($A2944)=4,VALUE(RIGHT($A2944,2))&gt;60),$A2944&amp;"01 1",$A2944),IF(AND(LEN($A2944)=4,VALUE(RIGHT($A2944,2))&lt;60),GUS_tabl_2!$A$8:$B$464,GUS_tabl_21!$A$5:$B$4886),2,FALSE))),-1)))))</f>
        <v>gm. w. Świdwin</v>
      </c>
      <c r="D2944" s="141">
        <f>IF(OR($A2944="",ISERROR(VALUE(LEFT($A2944,6)))),"",IF(LEN($A2944)=2,SUMIF($A2945:$A$2965,$A2944&amp;"??",$D2945:$D$2965),IF(AND(LEN($A2944)=4,VALUE(RIGHT($A2944,2))&lt;=60),SUMIF($A2945:$A$2965,$A2944&amp;"????",$D2945:$D$2965),VLOOKUP(IF(LEN($A2944)=4,$A2944&amp;"01 1",$A2944),GUS_tabl_21!$A$5:$F$4886,6,FALSE))))</f>
        <v>5818</v>
      </c>
      <c r="E2944" s="29"/>
    </row>
    <row r="2945" spans="1:7" ht="12" customHeight="1">
      <c r="A2945" s="152" t="str">
        <f>"3217"</f>
        <v>3217</v>
      </c>
      <c r="B2945" s="153" t="s">
        <v>41</v>
      </c>
      <c r="C2945" s="154" t="str">
        <f>IF(OR($A2945="",ISERROR(VALUE(LEFT($A2945,6)))),"",IF(LEN($A2945)=2,"WOJ. ",IF(LEN($A2945)=4,IF(VALUE(RIGHT($A2945,2))&gt;60,"","Powiat "),IF(VALUE(RIGHT($A2945,1))=1,"m. ",IF(VALUE(RIGHT($A2945,1))=2,"gm. w. ",IF(VALUE(RIGHT($A2945,1))=8,"dz. ","gm. m.-w. ")))))&amp;IF(LEN($A2945)=2,TRIM(UPPER(VLOOKUP($A2945,GUS_tabl_1!$A$7:$B$22,2,FALSE))),IF(ISERROR(FIND("..",TRIM(VLOOKUP(IF(AND(LEN($A2945)=4,VALUE(RIGHT($A2945,2))&gt;60),$A2945&amp;"01 1",$A2945),IF(AND(LEN($A2945)=4,VALUE(RIGHT($A2945,2))&lt;60),GUS_tabl_2!$A$8:$B$464,GUS_tabl_21!$A$5:$B$4886),2,FALSE)))),TRIM(VLOOKUP(IF(AND(LEN($A2945)=4,VALUE(RIGHT($A2945,2))&gt;60),$A2945&amp;"01 1",$A2945),IF(AND(LEN($A2945)=4,VALUE(RIGHT($A2945,2))&lt;60),GUS_tabl_2!$A$8:$B$464,GUS_tabl_21!$A$5:$B$4886),2,FALSE)),LEFT(TRIM(VLOOKUP(IF(AND(LEN($A2945)=4,VALUE(RIGHT($A2945,2))&gt;60),$A2945&amp;"01 1",$A2945),IF(AND(LEN($A2945)=4,VALUE(RIGHT($A2945,2))&lt;60),GUS_tabl_2!$A$8:$B$464,GUS_tabl_21!$A$5:$B$4886),2,FALSE)),SUM(FIND("..",TRIM(VLOOKUP(IF(AND(LEN($A2945)=4,VALUE(RIGHT($A2945,2))&gt;60),$A2945&amp;"01 1",$A2945),IF(AND(LEN($A2945)=4,VALUE(RIGHT($A2945,2))&lt;60),GUS_tabl_2!$A$8:$B$464,GUS_tabl_21!$A$5:$B$4886),2,FALSE))),-1)))))</f>
        <v>Powiat wałecki</v>
      </c>
      <c r="D2945" s="140">
        <f>IF(OR($A2945="",ISERROR(VALUE(LEFT($A2945,6)))),"",IF(LEN($A2945)=2,SUMIF($A2946:$A$2965,$A2945&amp;"??",$D2946:$D$2965),IF(AND(LEN($A2945)=4,VALUE(RIGHT($A2945,2))&lt;=60),SUMIF($A2946:$A$2965,$A2945&amp;"????",$D2946:$D$2965),VLOOKUP(IF(LEN($A2945)=4,$A2945&amp;"01 1",$A2945),GUS_tabl_21!$A$5:$F$4886,6,FALSE))))</f>
        <v>53039</v>
      </c>
      <c r="E2945" s="29"/>
    </row>
    <row r="2946" spans="1:7" ht="12" customHeight="1">
      <c r="A2946" s="155" t="str">
        <f>"321701 1"</f>
        <v>321701 1</v>
      </c>
      <c r="B2946" s="153" t="s">
        <v>41</v>
      </c>
      <c r="C2946" s="156" t="str">
        <f>IF(OR($A2946="",ISERROR(VALUE(LEFT($A2946,6)))),"",IF(LEN($A2946)=2,"WOJ. ",IF(LEN($A2946)=4,IF(VALUE(RIGHT($A2946,2))&gt;60,"","Powiat "),IF(VALUE(RIGHT($A2946,1))=1,"m. ",IF(VALUE(RIGHT($A2946,1))=2,"gm. w. ",IF(VALUE(RIGHT($A2946,1))=8,"dz. ","gm. m.-w. ")))))&amp;IF(LEN($A2946)=2,TRIM(UPPER(VLOOKUP($A2946,GUS_tabl_1!$A$7:$B$22,2,FALSE))),IF(ISERROR(FIND("..",TRIM(VLOOKUP(IF(AND(LEN($A2946)=4,VALUE(RIGHT($A2946,2))&gt;60),$A2946&amp;"01 1",$A2946),IF(AND(LEN($A2946)=4,VALUE(RIGHT($A2946,2))&lt;60),GUS_tabl_2!$A$8:$B$464,GUS_tabl_21!$A$5:$B$4886),2,FALSE)))),TRIM(VLOOKUP(IF(AND(LEN($A2946)=4,VALUE(RIGHT($A2946,2))&gt;60),$A2946&amp;"01 1",$A2946),IF(AND(LEN($A2946)=4,VALUE(RIGHT($A2946,2))&lt;60),GUS_tabl_2!$A$8:$B$464,GUS_tabl_21!$A$5:$B$4886),2,FALSE)),LEFT(TRIM(VLOOKUP(IF(AND(LEN($A2946)=4,VALUE(RIGHT($A2946,2))&gt;60),$A2946&amp;"01 1",$A2946),IF(AND(LEN($A2946)=4,VALUE(RIGHT($A2946,2))&lt;60),GUS_tabl_2!$A$8:$B$464,GUS_tabl_21!$A$5:$B$4886),2,FALSE)),SUM(FIND("..",TRIM(VLOOKUP(IF(AND(LEN($A2946)=4,VALUE(RIGHT($A2946,2))&gt;60),$A2946&amp;"01 1",$A2946),IF(AND(LEN($A2946)=4,VALUE(RIGHT($A2946,2))&lt;60),GUS_tabl_2!$A$8:$B$464,GUS_tabl_21!$A$5:$B$4886),2,FALSE))),-1)))))</f>
        <v>m. Wałcz</v>
      </c>
      <c r="D2946" s="141">
        <f>IF(OR($A2946="",ISERROR(VALUE(LEFT($A2946,6)))),"",IF(LEN($A2946)=2,SUMIF($A2947:$A$2965,$A2946&amp;"??",$D2947:$D$2965),IF(AND(LEN($A2946)=4,VALUE(RIGHT($A2946,2))&lt;=60),SUMIF($A2947:$A$2965,$A2946&amp;"????",$D2947:$D$2965),VLOOKUP(IF(LEN($A2946)=4,$A2946&amp;"01 1",$A2946),GUS_tabl_21!$A$5:$F$4886,6,FALSE))))</f>
        <v>25179</v>
      </c>
      <c r="E2946" s="29"/>
    </row>
    <row r="2947" spans="1:7" ht="12" customHeight="1">
      <c r="A2947" s="155" t="str">
        <f>"321702 3"</f>
        <v>321702 3</v>
      </c>
      <c r="B2947" s="153" t="s">
        <v>41</v>
      </c>
      <c r="C2947" s="156" t="str">
        <f>IF(OR($A2947="",ISERROR(VALUE(LEFT($A2947,6)))),"",IF(LEN($A2947)=2,"WOJ. ",IF(LEN($A2947)=4,IF(VALUE(RIGHT($A2947,2))&gt;60,"","Powiat "),IF(VALUE(RIGHT($A2947,1))=1,"m. ",IF(VALUE(RIGHT($A2947,1))=2,"gm. w. ",IF(VALUE(RIGHT($A2947,1))=8,"dz. ","gm. m.-w. ")))))&amp;IF(LEN($A2947)=2,TRIM(UPPER(VLOOKUP($A2947,GUS_tabl_1!$A$7:$B$22,2,FALSE))),IF(ISERROR(FIND("..",TRIM(VLOOKUP(IF(AND(LEN($A2947)=4,VALUE(RIGHT($A2947,2))&gt;60),$A2947&amp;"01 1",$A2947),IF(AND(LEN($A2947)=4,VALUE(RIGHT($A2947,2))&lt;60),GUS_tabl_2!$A$8:$B$464,GUS_tabl_21!$A$5:$B$4886),2,FALSE)))),TRIM(VLOOKUP(IF(AND(LEN($A2947)=4,VALUE(RIGHT($A2947,2))&gt;60),$A2947&amp;"01 1",$A2947),IF(AND(LEN($A2947)=4,VALUE(RIGHT($A2947,2))&lt;60),GUS_tabl_2!$A$8:$B$464,GUS_tabl_21!$A$5:$B$4886),2,FALSE)),LEFT(TRIM(VLOOKUP(IF(AND(LEN($A2947)=4,VALUE(RIGHT($A2947,2))&gt;60),$A2947&amp;"01 1",$A2947),IF(AND(LEN($A2947)=4,VALUE(RIGHT($A2947,2))&lt;60),GUS_tabl_2!$A$8:$B$464,GUS_tabl_21!$A$5:$B$4886),2,FALSE)),SUM(FIND("..",TRIM(VLOOKUP(IF(AND(LEN($A2947)=4,VALUE(RIGHT($A2947,2))&gt;60),$A2947&amp;"01 1",$A2947),IF(AND(LEN($A2947)=4,VALUE(RIGHT($A2947,2))&lt;60),GUS_tabl_2!$A$8:$B$464,GUS_tabl_21!$A$5:$B$4886),2,FALSE))),-1)))))</f>
        <v>gm. m.-w. Człopa</v>
      </c>
      <c r="D2947" s="141">
        <f>IF(OR($A2947="",ISERROR(VALUE(LEFT($A2947,6)))),"",IF(LEN($A2947)=2,SUMIF($A2948:$A$2965,$A2947&amp;"??",$D2948:$D$2965),IF(AND(LEN($A2947)=4,VALUE(RIGHT($A2947,2))&lt;=60),SUMIF($A2948:$A$2965,$A2947&amp;"????",$D2948:$D$2965),VLOOKUP(IF(LEN($A2947)=4,$A2947&amp;"01 1",$A2947),GUS_tabl_21!$A$5:$F$4886,6,FALSE))))</f>
        <v>4891</v>
      </c>
      <c r="E2947" s="29"/>
    </row>
    <row r="2948" spans="1:7" ht="12" customHeight="1">
      <c r="A2948" s="155" t="str">
        <f>"321703 3"</f>
        <v>321703 3</v>
      </c>
      <c r="B2948" s="153" t="s">
        <v>41</v>
      </c>
      <c r="C2948" s="156" t="str">
        <f>IF(OR($A2948="",ISERROR(VALUE(LEFT($A2948,6)))),"",IF(LEN($A2948)=2,"WOJ. ",IF(LEN($A2948)=4,IF(VALUE(RIGHT($A2948,2))&gt;60,"","Powiat "),IF(VALUE(RIGHT($A2948,1))=1,"m. ",IF(VALUE(RIGHT($A2948,1))=2,"gm. w. ",IF(VALUE(RIGHT($A2948,1))=8,"dz. ","gm. m.-w. ")))))&amp;IF(LEN($A2948)=2,TRIM(UPPER(VLOOKUP($A2948,GUS_tabl_1!$A$7:$B$22,2,FALSE))),IF(ISERROR(FIND("..",TRIM(VLOOKUP(IF(AND(LEN($A2948)=4,VALUE(RIGHT($A2948,2))&gt;60),$A2948&amp;"01 1",$A2948),IF(AND(LEN($A2948)=4,VALUE(RIGHT($A2948,2))&lt;60),GUS_tabl_2!$A$8:$B$464,GUS_tabl_21!$A$5:$B$4886),2,FALSE)))),TRIM(VLOOKUP(IF(AND(LEN($A2948)=4,VALUE(RIGHT($A2948,2))&gt;60),$A2948&amp;"01 1",$A2948),IF(AND(LEN($A2948)=4,VALUE(RIGHT($A2948,2))&lt;60),GUS_tabl_2!$A$8:$B$464,GUS_tabl_21!$A$5:$B$4886),2,FALSE)),LEFT(TRIM(VLOOKUP(IF(AND(LEN($A2948)=4,VALUE(RIGHT($A2948,2))&gt;60),$A2948&amp;"01 1",$A2948),IF(AND(LEN($A2948)=4,VALUE(RIGHT($A2948,2))&lt;60),GUS_tabl_2!$A$8:$B$464,GUS_tabl_21!$A$5:$B$4886),2,FALSE)),SUM(FIND("..",TRIM(VLOOKUP(IF(AND(LEN($A2948)=4,VALUE(RIGHT($A2948,2))&gt;60),$A2948&amp;"01 1",$A2948),IF(AND(LEN($A2948)=4,VALUE(RIGHT($A2948,2))&lt;60),GUS_tabl_2!$A$8:$B$464,GUS_tabl_21!$A$5:$B$4886),2,FALSE))),-1)))))</f>
        <v>gm. m.-w. Mirosławiec</v>
      </c>
      <c r="D2948" s="141">
        <f>IF(OR($A2948="",ISERROR(VALUE(LEFT($A2948,6)))),"",IF(LEN($A2948)=2,SUMIF($A2949:$A$2965,$A2948&amp;"??",$D2949:$D$2965),IF(AND(LEN($A2948)=4,VALUE(RIGHT($A2948,2))&lt;=60),SUMIF($A2949:$A$2965,$A2948&amp;"????",$D2949:$D$2965),VLOOKUP(IF(LEN($A2948)=4,$A2948&amp;"01 1",$A2948),GUS_tabl_21!$A$5:$F$4886,6,FALSE))))</f>
        <v>5402</v>
      </c>
      <c r="E2948" s="29"/>
    </row>
    <row r="2949" spans="1:7" ht="12" customHeight="1">
      <c r="A2949" s="155" t="str">
        <f>"321704 3"</f>
        <v>321704 3</v>
      </c>
      <c r="B2949" s="153" t="s">
        <v>41</v>
      </c>
      <c r="C2949" s="156" t="str">
        <f>IF(OR($A2949="",ISERROR(VALUE(LEFT($A2949,6)))),"",IF(LEN($A2949)=2,"WOJ. ",IF(LEN($A2949)=4,IF(VALUE(RIGHT($A2949,2))&gt;60,"","Powiat "),IF(VALUE(RIGHT($A2949,1))=1,"m. ",IF(VALUE(RIGHT($A2949,1))=2,"gm. w. ",IF(VALUE(RIGHT($A2949,1))=8,"dz. ","gm. m.-w. ")))))&amp;IF(LEN($A2949)=2,TRIM(UPPER(VLOOKUP($A2949,GUS_tabl_1!$A$7:$B$22,2,FALSE))),IF(ISERROR(FIND("..",TRIM(VLOOKUP(IF(AND(LEN($A2949)=4,VALUE(RIGHT($A2949,2))&gt;60),$A2949&amp;"01 1",$A2949),IF(AND(LEN($A2949)=4,VALUE(RIGHT($A2949,2))&lt;60),GUS_tabl_2!$A$8:$B$464,GUS_tabl_21!$A$5:$B$4886),2,FALSE)))),TRIM(VLOOKUP(IF(AND(LEN($A2949)=4,VALUE(RIGHT($A2949,2))&gt;60),$A2949&amp;"01 1",$A2949),IF(AND(LEN($A2949)=4,VALUE(RIGHT($A2949,2))&lt;60),GUS_tabl_2!$A$8:$B$464,GUS_tabl_21!$A$5:$B$4886),2,FALSE)),LEFT(TRIM(VLOOKUP(IF(AND(LEN($A2949)=4,VALUE(RIGHT($A2949,2))&gt;60),$A2949&amp;"01 1",$A2949),IF(AND(LEN($A2949)=4,VALUE(RIGHT($A2949,2))&lt;60),GUS_tabl_2!$A$8:$B$464,GUS_tabl_21!$A$5:$B$4886),2,FALSE)),SUM(FIND("..",TRIM(VLOOKUP(IF(AND(LEN($A2949)=4,VALUE(RIGHT($A2949,2))&gt;60),$A2949&amp;"01 1",$A2949),IF(AND(LEN($A2949)=4,VALUE(RIGHT($A2949,2))&lt;60),GUS_tabl_2!$A$8:$B$464,GUS_tabl_21!$A$5:$B$4886),2,FALSE))),-1)))))</f>
        <v>gm. m.-w. Tuczno</v>
      </c>
      <c r="D2949" s="141">
        <f>IF(OR($A2949="",ISERROR(VALUE(LEFT($A2949,6)))),"",IF(LEN($A2949)=2,SUMIF($A2950:$A$2965,$A2949&amp;"??",$D2950:$D$2965),IF(AND(LEN($A2949)=4,VALUE(RIGHT($A2949,2))&lt;=60),SUMIF($A2950:$A$2965,$A2949&amp;"????",$D2950:$D$2965),VLOOKUP(IF(LEN($A2949)=4,$A2949&amp;"01 1",$A2949),GUS_tabl_21!$A$5:$F$4886,6,FALSE))))</f>
        <v>4890</v>
      </c>
      <c r="E2949" s="29"/>
    </row>
    <row r="2950" spans="1:7" ht="12" customHeight="1">
      <c r="A2950" s="155" t="str">
        <f>"321705 2"</f>
        <v>321705 2</v>
      </c>
      <c r="B2950" s="153" t="s">
        <v>41</v>
      </c>
      <c r="C2950" s="156" t="str">
        <f>IF(OR($A2950="",ISERROR(VALUE(LEFT($A2950,6)))),"",IF(LEN($A2950)=2,"WOJ. ",IF(LEN($A2950)=4,IF(VALUE(RIGHT($A2950,2))&gt;60,"","Powiat "),IF(VALUE(RIGHT($A2950,1))=1,"m. ",IF(VALUE(RIGHT($A2950,1))=2,"gm. w. ",IF(VALUE(RIGHT($A2950,1))=8,"dz. ","gm. m.-w. ")))))&amp;IF(LEN($A2950)=2,TRIM(UPPER(VLOOKUP($A2950,GUS_tabl_1!$A$7:$B$22,2,FALSE))),IF(ISERROR(FIND("..",TRIM(VLOOKUP(IF(AND(LEN($A2950)=4,VALUE(RIGHT($A2950,2))&gt;60),$A2950&amp;"01 1",$A2950),IF(AND(LEN($A2950)=4,VALUE(RIGHT($A2950,2))&lt;60),GUS_tabl_2!$A$8:$B$464,GUS_tabl_21!$A$5:$B$4886),2,FALSE)))),TRIM(VLOOKUP(IF(AND(LEN($A2950)=4,VALUE(RIGHT($A2950,2))&gt;60),$A2950&amp;"01 1",$A2950),IF(AND(LEN($A2950)=4,VALUE(RIGHT($A2950,2))&lt;60),GUS_tabl_2!$A$8:$B$464,GUS_tabl_21!$A$5:$B$4886),2,FALSE)),LEFT(TRIM(VLOOKUP(IF(AND(LEN($A2950)=4,VALUE(RIGHT($A2950,2))&gt;60),$A2950&amp;"01 1",$A2950),IF(AND(LEN($A2950)=4,VALUE(RIGHT($A2950,2))&lt;60),GUS_tabl_2!$A$8:$B$464,GUS_tabl_21!$A$5:$B$4886),2,FALSE)),SUM(FIND("..",TRIM(VLOOKUP(IF(AND(LEN($A2950)=4,VALUE(RIGHT($A2950,2))&gt;60),$A2950&amp;"01 1",$A2950),IF(AND(LEN($A2950)=4,VALUE(RIGHT($A2950,2))&lt;60),GUS_tabl_2!$A$8:$B$464,GUS_tabl_21!$A$5:$B$4886),2,FALSE))),-1)))))</f>
        <v>gm. w. Wałcz</v>
      </c>
      <c r="D2950" s="141">
        <f>IF(OR($A2950="",ISERROR(VALUE(LEFT($A2950,6)))),"",IF(LEN($A2950)=2,SUMIF($A2951:$A$2965,$A2950&amp;"??",$D2951:$D$2965),IF(AND(LEN($A2950)=4,VALUE(RIGHT($A2950,2))&lt;=60),SUMIF($A2951:$A$2965,$A2950&amp;"????",$D2951:$D$2965),VLOOKUP(IF(LEN($A2950)=4,$A2950&amp;"01 1",$A2950),GUS_tabl_21!$A$5:$F$4886,6,FALSE))))</f>
        <v>12677</v>
      </c>
      <c r="E2950" s="29"/>
    </row>
    <row r="2951" spans="1:7" ht="12" customHeight="1">
      <c r="A2951" s="152"/>
      <c r="B2951" s="153" t="s">
        <v>41</v>
      </c>
      <c r="C2951" s="154" t="s">
        <v>0</v>
      </c>
      <c r="D2951" s="140" t="str">
        <f>IF(OR($A2951="",ISERROR(VALUE(LEFT($A2951,6)))),"",IF(LEN($A2951)=2,SUMIF($A2952:$A$2965,$A2951&amp;"??",$D2952:$D$2965),IF(AND(LEN($A2951)=4,VALUE(RIGHT($A2951,2))&lt;=60),SUMIF($A2952:$A$2965,$A2951&amp;"????",$D2952:$D$2965),VLOOKUP(IF(LEN($A2951)=4,$A2951&amp;"01 1",$A2951),GUS_tabl_21!$A$5:$F$4886,6,FALSE))))</f>
        <v/>
      </c>
      <c r="E2951" s="29"/>
    </row>
    <row r="2952" spans="1:7" ht="12" customHeight="1">
      <c r="A2952" s="152"/>
      <c r="B2952" s="153" t="s">
        <v>41</v>
      </c>
      <c r="C2952" s="162" t="s">
        <v>1</v>
      </c>
      <c r="D2952" s="140" t="str">
        <f>IF(OR($A2952="",ISERROR(VALUE(LEFT($A2952,6)))),"",IF(LEN($A2952)=2,SUMIF($A2953:$A$2965,$A2952&amp;"??",$D2953:$D$2965),IF(AND(LEN($A2952)=4,VALUE(RIGHT($A2952,2))&lt;=60),SUMIF($A2953:$A$2965,$A2952&amp;"????",$D2953:$D$2965),VLOOKUP(IF(LEN($A2952)=4,$A2952&amp;"01 1",$A2952),GUS_tabl_21!$A$5:$F$4886,6,FALSE))))</f>
        <v/>
      </c>
      <c r="E2952" s="29"/>
    </row>
    <row r="2953" spans="1:7" ht="12" customHeight="1">
      <c r="A2953" s="152" t="str">
        <f>"3261"</f>
        <v>3261</v>
      </c>
      <c r="B2953" s="153" t="s">
        <v>41</v>
      </c>
      <c r="C2953" s="154" t="str">
        <f>IF(OR($A2953="",ISERROR(VALUE(LEFT($A2953,6)))),"",IF(LEN($A2953)=2,"WOJ. ",IF(LEN($A2953)=4,IF(VALUE(RIGHT($A2953,2))&gt;60,"","Powiat "),IF(VALUE(RIGHT($A2953,1))=1,"m. ",IF(VALUE(RIGHT($A2953,1))=2,"gm. w. ",IF(VALUE(RIGHT($A2953,1))=8,"dz. ","gm. m.-w. ")))))&amp;IF(LEN($A2953)=2,TRIM(UPPER(VLOOKUP($A2953,GUS_tabl_1!$A$7:$B$22,2,FALSE))),IF(ISERROR(FIND("..",TRIM(VLOOKUP(IF(AND(LEN($A2953)=4,VALUE(RIGHT($A2953,2))&gt;60),$A2953&amp;"01 1",$A2953),IF(AND(LEN($A2953)=4,VALUE(RIGHT($A2953,2))&lt;60),GUS_tabl_2!$A$8:$B$464,GUS_tabl_21!$A$5:$B$4886),2,FALSE)))),TRIM(VLOOKUP(IF(AND(LEN($A2953)=4,VALUE(RIGHT($A2953,2))&gt;60),$A2953&amp;"01 1",$A2953),IF(AND(LEN($A2953)=4,VALUE(RIGHT($A2953,2))&lt;60),GUS_tabl_2!$A$8:$B$464,GUS_tabl_21!$A$5:$B$4886),2,FALSE)),LEFT(TRIM(VLOOKUP(IF(AND(LEN($A2953)=4,VALUE(RIGHT($A2953,2))&gt;60),$A2953&amp;"01 1",$A2953),IF(AND(LEN($A2953)=4,VALUE(RIGHT($A2953,2))&lt;60),GUS_tabl_2!$A$8:$B$464,GUS_tabl_21!$A$5:$B$4886),2,FALSE)),SUM(FIND("..",TRIM(VLOOKUP(IF(AND(LEN($A2953)=4,VALUE(RIGHT($A2953,2))&gt;60),$A2953&amp;"01 1",$A2953),IF(AND(LEN($A2953)=4,VALUE(RIGHT($A2953,2))&lt;60),GUS_tabl_2!$A$8:$B$464,GUS_tabl_21!$A$5:$B$4886),2,FALSE))),-1)))))</f>
        <v>Koszalin</v>
      </c>
      <c r="D2953" s="140">
        <f>IF(OR($A2953="",ISERROR(VALUE(LEFT($A2953,6)))),"",IF(LEN($A2953)=2,SUMIF($A2954:$A$2965,$A2953&amp;"??",$D2954:$D$2965),IF(AND(LEN($A2953)=4,VALUE(RIGHT($A2953,2))&lt;=60),SUMIF($A2954:$A$2965,$A2953&amp;"????",$D2954:$D$2965),VLOOKUP(IF(LEN($A2953)=4,$A2953&amp;"01 1",$A2953),GUS_tabl_21!$A$5:$F$4886,6,FALSE))))</f>
        <v>107048</v>
      </c>
      <c r="E2953" s="29"/>
    </row>
    <row r="2954" spans="1:7" ht="12" customHeight="1">
      <c r="A2954" s="152" t="str">
        <f>"3262"</f>
        <v>3262</v>
      </c>
      <c r="B2954" s="153" t="s">
        <v>41</v>
      </c>
      <c r="C2954" s="154" t="str">
        <f>IF(OR($A2954="",ISERROR(VALUE(LEFT($A2954,6)))),"",IF(LEN($A2954)=2,"WOJ. ",IF(LEN($A2954)=4,IF(VALUE(RIGHT($A2954,2))&gt;60,"","Powiat "),IF(VALUE(RIGHT($A2954,1))=1,"m. ",IF(VALUE(RIGHT($A2954,1))=2,"gm. w. ",IF(VALUE(RIGHT($A2954,1))=8,"dz. ","gm. m.-w. ")))))&amp;IF(LEN($A2954)=2,TRIM(UPPER(VLOOKUP($A2954,GUS_tabl_1!$A$7:$B$22,2,FALSE))),IF(ISERROR(FIND("..",TRIM(VLOOKUP(IF(AND(LEN($A2954)=4,VALUE(RIGHT($A2954,2))&gt;60),$A2954&amp;"01 1",$A2954),IF(AND(LEN($A2954)=4,VALUE(RIGHT($A2954,2))&lt;60),GUS_tabl_2!$A$8:$B$464,GUS_tabl_21!$A$5:$B$4886),2,FALSE)))),TRIM(VLOOKUP(IF(AND(LEN($A2954)=4,VALUE(RIGHT($A2954,2))&gt;60),$A2954&amp;"01 1",$A2954),IF(AND(LEN($A2954)=4,VALUE(RIGHT($A2954,2))&lt;60),GUS_tabl_2!$A$8:$B$464,GUS_tabl_21!$A$5:$B$4886),2,FALSE)),LEFT(TRIM(VLOOKUP(IF(AND(LEN($A2954)=4,VALUE(RIGHT($A2954,2))&gt;60),$A2954&amp;"01 1",$A2954),IF(AND(LEN($A2954)=4,VALUE(RIGHT($A2954,2))&lt;60),GUS_tabl_2!$A$8:$B$464,GUS_tabl_21!$A$5:$B$4886),2,FALSE)),SUM(FIND("..",TRIM(VLOOKUP(IF(AND(LEN($A2954)=4,VALUE(RIGHT($A2954,2))&gt;60),$A2954&amp;"01 1",$A2954),IF(AND(LEN($A2954)=4,VALUE(RIGHT($A2954,2))&lt;60),GUS_tabl_2!$A$8:$B$464,GUS_tabl_21!$A$5:$B$4886),2,FALSE))),-1)))))</f>
        <v>Szczecin (ab)</v>
      </c>
      <c r="D2954" s="140">
        <f>IF(OR($A2954="",ISERROR(VALUE(LEFT($A2954,6)))),"",IF(LEN($A2954)=2,SUMIF($A2955:$A$2965,$A2954&amp;"??",$D2955:$D$2965),IF(AND(LEN($A2954)=4,VALUE(RIGHT($A2954,2))&lt;=60),SUMIF($A2955:$A$2965,$A2954&amp;"????",$D2955:$D$2965),VLOOKUP(IF(LEN($A2954)=4,$A2954&amp;"01 1",$A2954),GUS_tabl_21!$A$5:$F$4886,6,FALSE))))</f>
        <v>401907</v>
      </c>
      <c r="E2954" s="29"/>
    </row>
    <row r="2955" spans="1:7" ht="12" customHeight="1">
      <c r="A2955" s="152" t="str">
        <f>"3263"</f>
        <v>3263</v>
      </c>
      <c r="B2955" s="153" t="s">
        <v>41</v>
      </c>
      <c r="C2955" s="154" t="str">
        <f>IF(OR($A2955="",ISERROR(VALUE(LEFT($A2955,6)))),"",IF(LEN($A2955)=2,"WOJ. ",IF(LEN($A2955)=4,IF(VALUE(RIGHT($A2955,2))&gt;60,"","Powiat "),IF(VALUE(RIGHT($A2955,1))=1,"m. ",IF(VALUE(RIGHT($A2955,1))=2,"gm. w. ",IF(VALUE(RIGHT($A2955,1))=8,"dz. ","gm. m.-w. ")))))&amp;IF(LEN($A2955)=2,TRIM(UPPER(VLOOKUP($A2955,GUS_tabl_1!$A$7:$B$22,2,FALSE))),IF(ISERROR(FIND("..",TRIM(VLOOKUP(IF(AND(LEN($A2955)=4,VALUE(RIGHT($A2955,2))&gt;60),$A2955&amp;"01 1",$A2955),IF(AND(LEN($A2955)=4,VALUE(RIGHT($A2955,2))&lt;60),GUS_tabl_2!$A$8:$B$464,GUS_tabl_21!$A$5:$B$4886),2,FALSE)))),TRIM(VLOOKUP(IF(AND(LEN($A2955)=4,VALUE(RIGHT($A2955,2))&gt;60),$A2955&amp;"01 1",$A2955),IF(AND(LEN($A2955)=4,VALUE(RIGHT($A2955,2))&lt;60),GUS_tabl_2!$A$8:$B$464,GUS_tabl_21!$A$5:$B$4886),2,FALSE)),LEFT(TRIM(VLOOKUP(IF(AND(LEN($A2955)=4,VALUE(RIGHT($A2955,2))&gt;60),$A2955&amp;"01 1",$A2955),IF(AND(LEN($A2955)=4,VALUE(RIGHT($A2955,2))&lt;60),GUS_tabl_2!$A$8:$B$464,GUS_tabl_21!$A$5:$B$4886),2,FALSE)),SUM(FIND("..",TRIM(VLOOKUP(IF(AND(LEN($A2955)=4,VALUE(RIGHT($A2955,2))&gt;60),$A2955&amp;"01 1",$A2955),IF(AND(LEN($A2955)=4,VALUE(RIGHT($A2955,2))&lt;60),GUS_tabl_2!$A$8:$B$464,GUS_tabl_21!$A$5:$B$4886),2,FALSE))),-1)))))</f>
        <v>Świnoujście (b)</v>
      </c>
      <c r="D2955" s="140">
        <f>IF(OR($A2955="",ISERROR(VALUE(LEFT($A2955,6)))),"",IF(LEN($A2955)=2,SUMIF($A2956:$A$2965,$A2955&amp;"??",$D2956:$D$2965),IF(AND(LEN($A2955)=4,VALUE(RIGHT($A2955,2))&lt;=60),SUMIF($A2956:$A$2965,$A2955&amp;"????",$D2956:$D$2965),VLOOKUP(IF(LEN($A2955)=4,$A2955&amp;"01 1",$A2955),GUS_tabl_21!$A$5:$F$4886,6,FALSE))))</f>
        <v>40888</v>
      </c>
      <c r="E2955" s="29"/>
    </row>
    <row r="2956" spans="1:7" s="161" customFormat="1" ht="12.75">
      <c r="A2956" s="144"/>
      <c r="B2956" s="160"/>
      <c r="F2956" s="143"/>
      <c r="G2956" s="143"/>
    </row>
    <row r="2957" spans="1:7" s="161" customFormat="1" ht="12.75">
      <c r="A2957" s="144"/>
      <c r="B2957" s="160"/>
      <c r="F2957" s="143"/>
      <c r="G2957" s="143"/>
    </row>
    <row r="2958" spans="1:7" s="161" customFormat="1" ht="12.75">
      <c r="A2958" s="144"/>
      <c r="B2958" s="160"/>
      <c r="F2958" s="143"/>
      <c r="G2958" s="143"/>
    </row>
    <row r="2959" spans="1:7" s="161" customFormat="1" ht="12.75">
      <c r="A2959" s="144"/>
      <c r="B2959" s="160"/>
      <c r="F2959" s="143"/>
      <c r="G2959" s="143"/>
    </row>
    <row r="2960" spans="1:7" s="161" customFormat="1" ht="12.75">
      <c r="A2960" s="144"/>
      <c r="B2960" s="160"/>
      <c r="F2960" s="143"/>
      <c r="G2960" s="143"/>
    </row>
    <row r="2961" spans="1:7" s="161" customFormat="1" ht="12.75">
      <c r="A2961" s="144"/>
      <c r="B2961" s="160"/>
    </row>
    <row r="2962" spans="1:7" s="161" customFormat="1" ht="12.75">
      <c r="A2962" s="144"/>
      <c r="B2962" s="160"/>
      <c r="F2962" s="143"/>
      <c r="G2962" s="143"/>
    </row>
    <row r="2963" spans="1:7" s="161" customFormat="1" ht="12.75">
      <c r="A2963" s="144"/>
      <c r="B2963" s="160"/>
      <c r="F2963" s="143"/>
      <c r="G2963" s="143"/>
    </row>
    <row r="2964" spans="1:7" s="161" customFormat="1" ht="12.75">
      <c r="A2964" s="144"/>
      <c r="B2964" s="160"/>
      <c r="F2964" s="143"/>
      <c r="G2964" s="143"/>
    </row>
    <row r="2965" spans="1:7" s="161" customFormat="1" ht="12.75">
      <c r="A2965" s="144"/>
      <c r="B2965" s="160"/>
      <c r="F2965" s="29"/>
      <c r="G2965" s="29"/>
    </row>
    <row r="2966" spans="1:7" s="161" customFormat="1" ht="12.75">
      <c r="A2966" s="144"/>
      <c r="B2966" s="160"/>
      <c r="F2966" s="143"/>
      <c r="G2966" s="143"/>
    </row>
    <row r="2967" spans="1:7" s="161" customFormat="1" ht="12.75">
      <c r="A2967" s="144"/>
      <c r="B2967" s="160"/>
      <c r="F2967" s="143"/>
      <c r="G2967" s="143"/>
    </row>
    <row r="2968" spans="1:7" s="161" customFormat="1" ht="12.75">
      <c r="A2968" s="144"/>
      <c r="B2968" s="160"/>
      <c r="F2968" s="29"/>
      <c r="G2968" s="29"/>
    </row>
    <row r="2969" spans="1:7" s="161" customFormat="1" ht="12.75">
      <c r="A2969" s="144"/>
      <c r="B2969" s="160"/>
      <c r="F2969" s="143"/>
      <c r="G2969" s="143"/>
    </row>
    <row r="2970" spans="1:7" s="161" customFormat="1" ht="12.75">
      <c r="A2970" s="144"/>
      <c r="B2970" s="160"/>
      <c r="F2970" s="143"/>
      <c r="G2970" s="143"/>
    </row>
    <row r="2971" spans="1:7" s="161" customFormat="1" ht="12.75">
      <c r="A2971" s="144"/>
      <c r="B2971" s="160"/>
      <c r="F2971" s="143"/>
      <c r="G2971" s="143"/>
    </row>
    <row r="2972" spans="1:7" s="161" customFormat="1" ht="12.75">
      <c r="A2972" s="144"/>
      <c r="B2972" s="160"/>
      <c r="F2972" s="143"/>
      <c r="G2972" s="143"/>
    </row>
    <row r="2973" spans="1:7" s="161" customFormat="1" ht="12.75">
      <c r="A2973" s="144"/>
      <c r="B2973" s="160"/>
      <c r="F2973" s="29"/>
      <c r="G2973" s="29"/>
    </row>
    <row r="2974" spans="1:7" s="161" customFormat="1" ht="12.75">
      <c r="A2974" s="144"/>
      <c r="B2974" s="160"/>
      <c r="F2974" s="143"/>
      <c r="G2974" s="143"/>
    </row>
    <row r="2975" spans="1:7" s="161" customFormat="1" ht="12.75">
      <c r="A2975" s="144"/>
      <c r="B2975" s="160"/>
      <c r="F2975" s="143"/>
      <c r="G2975" s="143"/>
    </row>
    <row r="2976" spans="1:7" s="161" customFormat="1" ht="12.75">
      <c r="A2976" s="144"/>
      <c r="B2976" s="160"/>
      <c r="F2976" s="143"/>
      <c r="G2976" s="143"/>
    </row>
    <row r="2977" spans="1:7" s="161" customFormat="1" ht="12.75">
      <c r="A2977" s="144"/>
      <c r="B2977" s="160"/>
      <c r="F2977" s="143"/>
      <c r="G2977" s="143"/>
    </row>
    <row r="2978" spans="1:7" s="161" customFormat="1" ht="12.75">
      <c r="A2978" s="144"/>
      <c r="B2978" s="160"/>
      <c r="F2978" s="143"/>
      <c r="G2978" s="143"/>
    </row>
    <row r="2979" spans="1:7" s="161" customFormat="1" ht="12.75">
      <c r="A2979" s="144"/>
      <c r="B2979" s="160"/>
      <c r="F2979" s="143"/>
      <c r="G2979" s="143"/>
    </row>
    <row r="2980" spans="1:7" s="161" customFormat="1" ht="12.75">
      <c r="A2980" s="144"/>
      <c r="B2980" s="160"/>
      <c r="F2980" s="29"/>
      <c r="G2980" s="29"/>
    </row>
    <row r="2981" spans="1:7" s="161" customFormat="1" ht="12.75">
      <c r="A2981" s="144"/>
      <c r="B2981" s="160"/>
      <c r="F2981" s="143"/>
      <c r="G2981" s="143"/>
    </row>
    <row r="2982" spans="1:7" s="161" customFormat="1" ht="12.75">
      <c r="A2982" s="144"/>
      <c r="B2982" s="160"/>
      <c r="F2982" s="143"/>
      <c r="G2982" s="143"/>
    </row>
    <row r="2983" spans="1:7" s="161" customFormat="1" ht="12.75">
      <c r="A2983" s="144"/>
      <c r="B2983" s="160"/>
      <c r="F2983" s="143"/>
      <c r="G2983" s="143"/>
    </row>
    <row r="2984" spans="1:7" s="161" customFormat="1" ht="12.75">
      <c r="A2984" s="144"/>
      <c r="B2984" s="160"/>
      <c r="F2984" s="143"/>
      <c r="G2984" s="143"/>
    </row>
    <row r="2985" spans="1:7" s="161" customFormat="1" ht="12.75">
      <c r="A2985" s="144"/>
      <c r="B2985" s="160"/>
      <c r="F2985" s="143"/>
      <c r="G2985" s="143"/>
    </row>
    <row r="2986" spans="1:7" s="161" customFormat="1" ht="12.75">
      <c r="A2986" s="144"/>
      <c r="B2986" s="160"/>
      <c r="F2986" s="143"/>
      <c r="G2986" s="143"/>
    </row>
    <row r="2987" spans="1:7" s="161" customFormat="1" ht="12.75">
      <c r="A2987" s="144"/>
      <c r="B2987" s="160"/>
      <c r="F2987" s="29"/>
      <c r="G2987" s="29"/>
    </row>
    <row r="2988" spans="1:7" s="161" customFormat="1" ht="12.75">
      <c r="A2988" s="144"/>
      <c r="B2988" s="160"/>
      <c r="F2988" s="143"/>
      <c r="G2988" s="143"/>
    </row>
    <row r="2989" spans="1:7" s="161" customFormat="1" ht="12.75">
      <c r="A2989" s="144"/>
      <c r="B2989" s="160"/>
      <c r="F2989" s="143"/>
      <c r="G2989" s="143"/>
    </row>
    <row r="2990" spans="1:7" s="161" customFormat="1" ht="12.75">
      <c r="A2990" s="144"/>
      <c r="B2990" s="160"/>
      <c r="F2990" s="143"/>
      <c r="G2990" s="143"/>
    </row>
    <row r="2991" spans="1:7" s="161" customFormat="1" ht="12.75">
      <c r="A2991" s="144"/>
      <c r="B2991" s="160"/>
      <c r="F2991" s="143"/>
      <c r="G2991" s="143"/>
    </row>
    <row r="2992" spans="1:7" s="161" customFormat="1" ht="12.75">
      <c r="A2992" s="144"/>
      <c r="B2992" s="160"/>
      <c r="F2992" s="143"/>
      <c r="G2992" s="143"/>
    </row>
    <row r="2993" spans="1:7" s="161" customFormat="1" ht="12.75">
      <c r="A2993" s="144"/>
      <c r="B2993" s="160"/>
      <c r="F2993" s="143"/>
      <c r="G2993" s="143"/>
    </row>
    <row r="2994" spans="1:7" s="161" customFormat="1" ht="12.75">
      <c r="A2994" s="144"/>
      <c r="B2994" s="160"/>
      <c r="F2994" s="29"/>
      <c r="G2994" s="29"/>
    </row>
    <row r="2995" spans="1:7" s="161" customFormat="1" ht="12.75">
      <c r="A2995" s="144"/>
      <c r="B2995" s="160"/>
      <c r="F2995" s="143"/>
      <c r="G2995" s="143"/>
    </row>
    <row r="2996" spans="1:7" s="161" customFormat="1" ht="12.75">
      <c r="A2996" s="144"/>
      <c r="B2996" s="160"/>
      <c r="F2996" s="143"/>
      <c r="G2996" s="143"/>
    </row>
    <row r="2997" spans="1:7" s="161" customFormat="1" ht="12.75">
      <c r="A2997" s="144"/>
      <c r="B2997" s="160"/>
      <c r="F2997" s="143"/>
      <c r="G2997" s="143"/>
    </row>
    <row r="2998" spans="1:7" s="161" customFormat="1" ht="12.75">
      <c r="A2998" s="144"/>
      <c r="B2998" s="160"/>
      <c r="F2998" s="143"/>
      <c r="G2998" s="143"/>
    </row>
    <row r="2999" spans="1:7" s="161" customFormat="1" ht="12.75">
      <c r="A2999" s="144"/>
      <c r="B2999" s="160"/>
      <c r="F2999" s="143"/>
      <c r="G2999" s="143"/>
    </row>
    <row r="3000" spans="1:7" s="161" customFormat="1" ht="12.75">
      <c r="A3000" s="144"/>
      <c r="B3000" s="160"/>
      <c r="F3000" s="143"/>
      <c r="G3000" s="143"/>
    </row>
    <row r="3001" spans="1:7" s="161" customFormat="1" ht="12.75">
      <c r="A3001" s="144"/>
      <c r="B3001" s="160"/>
      <c r="F3001" s="29"/>
      <c r="G3001" s="29"/>
    </row>
    <row r="3002" spans="1:7" s="161" customFormat="1" ht="12.75">
      <c r="A3002" s="144"/>
      <c r="B3002" s="160"/>
      <c r="F3002" s="143"/>
      <c r="G3002" s="143"/>
    </row>
    <row r="3003" spans="1:7" s="161" customFormat="1" ht="12.75">
      <c r="A3003" s="144"/>
      <c r="B3003" s="160"/>
      <c r="F3003" s="143"/>
      <c r="G3003" s="143"/>
    </row>
    <row r="3004" spans="1:7" s="161" customFormat="1" ht="12.75">
      <c r="A3004" s="144"/>
      <c r="B3004" s="160"/>
      <c r="F3004" s="143"/>
      <c r="G3004" s="143"/>
    </row>
    <row r="3005" spans="1:7" s="161" customFormat="1" ht="12.75">
      <c r="A3005" s="144"/>
      <c r="B3005" s="160"/>
      <c r="F3005" s="143"/>
      <c r="G3005" s="143"/>
    </row>
    <row r="3006" spans="1:7" s="161" customFormat="1" ht="12.75">
      <c r="A3006" s="144"/>
      <c r="B3006" s="160"/>
      <c r="F3006" s="143"/>
      <c r="G3006" s="143"/>
    </row>
    <row r="3007" spans="1:7" s="161" customFormat="1" ht="12.75">
      <c r="A3007" s="144"/>
      <c r="B3007" s="160"/>
      <c r="F3007" s="143"/>
      <c r="G3007" s="143"/>
    </row>
    <row r="3008" spans="1:7" s="161" customFormat="1" ht="12.75">
      <c r="A3008" s="144"/>
      <c r="B3008" s="160"/>
      <c r="F3008" s="143"/>
      <c r="G3008" s="143"/>
    </row>
    <row r="3009" spans="1:7" s="161" customFormat="1" ht="12.75">
      <c r="A3009" s="144"/>
      <c r="B3009" s="160"/>
      <c r="F3009" s="143"/>
      <c r="G3009" s="143"/>
    </row>
    <row r="3010" spans="1:7" s="161" customFormat="1" ht="12.75">
      <c r="A3010" s="144"/>
      <c r="B3010" s="160"/>
      <c r="F3010" s="143"/>
      <c r="G3010" s="143"/>
    </row>
    <row r="3011" spans="1:7" s="161" customFormat="1" ht="12.75">
      <c r="A3011" s="144"/>
      <c r="B3011" s="160"/>
      <c r="F3011" s="29"/>
      <c r="G3011" s="29"/>
    </row>
    <row r="3012" spans="1:7" s="161" customFormat="1" ht="12.75">
      <c r="A3012" s="144"/>
      <c r="B3012" s="160"/>
      <c r="F3012" s="143"/>
      <c r="G3012" s="143"/>
    </row>
    <row r="3013" spans="1:7" s="161" customFormat="1" ht="12.75">
      <c r="A3013" s="144"/>
      <c r="B3013" s="160"/>
      <c r="F3013" s="143"/>
      <c r="G3013" s="143"/>
    </row>
    <row r="3014" spans="1:7" s="161" customFormat="1" ht="12.75">
      <c r="A3014" s="144"/>
      <c r="B3014" s="160"/>
      <c r="F3014" s="143"/>
      <c r="G3014" s="143"/>
    </row>
    <row r="3015" spans="1:7" s="161" customFormat="1" ht="12.75">
      <c r="A3015" s="144"/>
      <c r="B3015" s="160"/>
      <c r="F3015" s="143"/>
      <c r="G3015" s="143"/>
    </row>
    <row r="3016" spans="1:7" s="161" customFormat="1" ht="12.75">
      <c r="A3016" s="144"/>
      <c r="B3016" s="160"/>
      <c r="F3016" s="143"/>
      <c r="G3016" s="143"/>
    </row>
    <row r="3017" spans="1:7" s="161" customFormat="1" ht="12.75">
      <c r="A3017" s="144"/>
      <c r="B3017" s="160"/>
      <c r="F3017" s="143"/>
      <c r="G3017" s="143"/>
    </row>
    <row r="3018" spans="1:7" s="161" customFormat="1" ht="12.75">
      <c r="A3018" s="144"/>
      <c r="B3018" s="160"/>
      <c r="F3018" s="29"/>
      <c r="G3018" s="29"/>
    </row>
    <row r="3019" spans="1:7" s="161" customFormat="1" ht="12.75">
      <c r="A3019" s="144"/>
      <c r="B3019" s="160"/>
      <c r="F3019" s="143"/>
      <c r="G3019" s="143"/>
    </row>
    <row r="3020" spans="1:7" s="161" customFormat="1" ht="12.75">
      <c r="A3020" s="144"/>
      <c r="B3020" s="160"/>
      <c r="F3020" s="143"/>
      <c r="G3020" s="143"/>
    </row>
    <row r="3021" spans="1:7" s="161" customFormat="1" ht="12.75">
      <c r="A3021" s="144"/>
      <c r="B3021" s="160"/>
      <c r="F3021" s="143"/>
      <c r="G3021" s="143"/>
    </row>
    <row r="3022" spans="1:7" s="161" customFormat="1" ht="12.75">
      <c r="A3022" s="144"/>
      <c r="B3022" s="160"/>
      <c r="F3022" s="143"/>
      <c r="G3022" s="143"/>
    </row>
    <row r="3023" spans="1:7" s="161" customFormat="1" ht="12.75">
      <c r="A3023" s="144"/>
      <c r="B3023" s="160"/>
      <c r="F3023" s="143"/>
      <c r="G3023" s="143"/>
    </row>
    <row r="3024" spans="1:7" s="161" customFormat="1" ht="12.75">
      <c r="A3024" s="144"/>
      <c r="B3024" s="160"/>
      <c r="F3024" s="143"/>
      <c r="G3024" s="143"/>
    </row>
    <row r="3025" spans="1:7" s="161" customFormat="1" ht="12.75">
      <c r="A3025" s="144"/>
      <c r="B3025" s="160"/>
      <c r="F3025" s="143"/>
      <c r="G3025" s="143"/>
    </row>
    <row r="3026" spans="1:7" s="161" customFormat="1" ht="12.75">
      <c r="A3026" s="144"/>
      <c r="B3026" s="160"/>
      <c r="F3026" s="29"/>
      <c r="G3026" s="29"/>
    </row>
    <row r="3027" spans="1:7" s="161" customFormat="1" ht="12.75">
      <c r="A3027" s="144"/>
      <c r="B3027" s="160"/>
      <c r="F3027" s="143"/>
      <c r="G3027" s="143"/>
    </row>
    <row r="3028" spans="1:7" s="161" customFormat="1" ht="12.75">
      <c r="A3028" s="144"/>
      <c r="B3028" s="160"/>
      <c r="F3028" s="143"/>
      <c r="G3028" s="143"/>
    </row>
    <row r="3029" spans="1:7" s="161" customFormat="1" ht="12.75">
      <c r="A3029" s="144"/>
      <c r="B3029" s="160"/>
      <c r="F3029" s="143"/>
      <c r="G3029" s="143"/>
    </row>
    <row r="3030" spans="1:7" s="161" customFormat="1" ht="12.75">
      <c r="A3030" s="144"/>
      <c r="B3030" s="160"/>
      <c r="F3030" s="143"/>
      <c r="G3030" s="143"/>
    </row>
    <row r="3031" spans="1:7" s="161" customFormat="1" ht="12.75">
      <c r="A3031" s="144"/>
      <c r="B3031" s="160"/>
      <c r="F3031" s="143"/>
      <c r="G3031" s="143"/>
    </row>
    <row r="3032" spans="1:7" s="161" customFormat="1" ht="12.75">
      <c r="A3032" s="144"/>
      <c r="B3032" s="160"/>
      <c r="F3032" s="143"/>
      <c r="G3032" s="143"/>
    </row>
    <row r="3033" spans="1:7" s="161" customFormat="1" ht="12.75">
      <c r="A3033" s="144"/>
      <c r="B3033" s="160"/>
      <c r="F3033" s="143"/>
      <c r="G3033" s="143"/>
    </row>
    <row r="3034" spans="1:7" s="161" customFormat="1" ht="12.75">
      <c r="A3034" s="144"/>
      <c r="B3034" s="160"/>
      <c r="F3034" s="143"/>
      <c r="G3034" s="143"/>
    </row>
    <row r="3035" spans="1:7" s="161" customFormat="1" ht="12.75">
      <c r="A3035" s="144"/>
      <c r="B3035" s="160"/>
      <c r="F3035" s="29"/>
      <c r="G3035" s="29"/>
    </row>
    <row r="3036" spans="1:7" s="161" customFormat="1" ht="12.75">
      <c r="A3036" s="144"/>
      <c r="B3036" s="160"/>
      <c r="F3036" s="143"/>
      <c r="G3036" s="143"/>
    </row>
    <row r="3037" spans="1:7" s="161" customFormat="1" ht="12.75">
      <c r="A3037" s="144"/>
      <c r="B3037" s="160"/>
      <c r="F3037" s="143"/>
      <c r="G3037" s="143"/>
    </row>
    <row r="3038" spans="1:7" s="161" customFormat="1" ht="12.75">
      <c r="A3038" s="144"/>
      <c r="B3038" s="160"/>
      <c r="F3038" s="143"/>
      <c r="G3038" s="143"/>
    </row>
    <row r="3039" spans="1:7" s="161" customFormat="1" ht="12.75">
      <c r="A3039" s="144"/>
      <c r="B3039" s="160"/>
      <c r="F3039" s="143"/>
      <c r="G3039" s="143"/>
    </row>
    <row r="3040" spans="1:7" s="161" customFormat="1" ht="12.75">
      <c r="A3040" s="144"/>
      <c r="B3040" s="160"/>
      <c r="F3040" s="143"/>
      <c r="G3040" s="143"/>
    </row>
    <row r="3041" spans="1:7" s="161" customFormat="1" ht="12.75">
      <c r="A3041" s="144"/>
      <c r="B3041" s="160"/>
      <c r="F3041" s="29"/>
      <c r="G3041" s="29"/>
    </row>
    <row r="3042" spans="1:7" s="161" customFormat="1" ht="12.75">
      <c r="A3042" s="144"/>
      <c r="B3042" s="160"/>
      <c r="F3042" s="143"/>
      <c r="G3042" s="143"/>
    </row>
    <row r="3043" spans="1:7" s="161" customFormat="1" ht="12.75">
      <c r="A3043" s="144"/>
      <c r="B3043" s="160"/>
      <c r="F3043" s="143"/>
      <c r="G3043" s="143"/>
    </row>
    <row r="3044" spans="1:7" s="161" customFormat="1" ht="12.75">
      <c r="A3044" s="144"/>
      <c r="B3044" s="160"/>
      <c r="F3044" s="143"/>
      <c r="G3044" s="143"/>
    </row>
    <row r="3045" spans="1:7" s="161" customFormat="1" ht="12.75">
      <c r="A3045" s="144"/>
      <c r="B3045" s="160"/>
      <c r="F3045" s="143"/>
      <c r="G3045" s="143"/>
    </row>
    <row r="3046" spans="1:7" s="161" customFormat="1" ht="12.75">
      <c r="A3046" s="144"/>
      <c r="B3046" s="160"/>
      <c r="F3046" s="143"/>
      <c r="G3046" s="143"/>
    </row>
    <row r="3047" spans="1:7" s="161" customFormat="1" ht="12.75">
      <c r="A3047" s="144"/>
      <c r="B3047" s="160"/>
      <c r="F3047" s="29"/>
      <c r="G3047" s="29"/>
    </row>
    <row r="3048" spans="1:7" s="161" customFormat="1" ht="12.75">
      <c r="A3048" s="144"/>
      <c r="B3048" s="160"/>
      <c r="F3048" s="143"/>
      <c r="G3048" s="143"/>
    </row>
    <row r="3049" spans="1:7" s="161" customFormat="1" ht="12.75">
      <c r="A3049" s="144"/>
      <c r="B3049" s="160"/>
      <c r="F3049" s="143"/>
      <c r="G3049" s="143"/>
    </row>
    <row r="3050" spans="1:7" s="161" customFormat="1" ht="12.75">
      <c r="A3050" s="144"/>
      <c r="B3050" s="160"/>
      <c r="F3050" s="143"/>
      <c r="G3050" s="143"/>
    </row>
    <row r="3051" spans="1:7" s="161" customFormat="1" ht="12.75">
      <c r="A3051" s="144"/>
      <c r="B3051" s="160"/>
      <c r="F3051" s="143"/>
      <c r="G3051" s="143"/>
    </row>
    <row r="3052" spans="1:7" s="161" customFormat="1" ht="12.75">
      <c r="A3052" s="144"/>
      <c r="B3052" s="160"/>
      <c r="F3052" s="29"/>
      <c r="G3052" s="29"/>
    </row>
    <row r="3053" spans="1:7" s="161" customFormat="1" ht="12.75">
      <c r="A3053" s="144"/>
      <c r="B3053" s="160"/>
      <c r="F3053" s="143"/>
      <c r="G3053" s="143"/>
    </row>
    <row r="3054" spans="1:7" s="161" customFormat="1" ht="12.75">
      <c r="A3054" s="144"/>
      <c r="B3054" s="160"/>
      <c r="F3054" s="143"/>
      <c r="G3054" s="143"/>
    </row>
    <row r="3055" spans="1:7" s="161" customFormat="1" ht="12.75">
      <c r="A3055" s="144"/>
      <c r="B3055" s="160"/>
      <c r="F3055" s="143"/>
      <c r="G3055" s="143"/>
    </row>
    <row r="3056" spans="1:7" s="161" customFormat="1" ht="12.75">
      <c r="A3056" s="144"/>
      <c r="B3056" s="160"/>
      <c r="F3056" s="143"/>
      <c r="G3056" s="143"/>
    </row>
    <row r="3057" spans="1:7" s="161" customFormat="1" ht="12.75">
      <c r="A3057" s="144"/>
      <c r="B3057" s="160"/>
      <c r="F3057" s="143"/>
      <c r="G3057" s="143"/>
    </row>
    <row r="3058" spans="1:7" s="161" customFormat="1" ht="12.75">
      <c r="A3058" s="144"/>
      <c r="B3058" s="160"/>
      <c r="F3058" s="143"/>
      <c r="G3058" s="143"/>
    </row>
    <row r="3059" spans="1:7" s="161" customFormat="1" ht="12.75">
      <c r="A3059" s="144"/>
      <c r="B3059" s="160"/>
      <c r="F3059" s="29"/>
      <c r="G3059" s="29"/>
    </row>
    <row r="3060" spans="1:7" s="161" customFormat="1" ht="12.75">
      <c r="A3060" s="144"/>
      <c r="B3060" s="160"/>
      <c r="F3060" s="143"/>
      <c r="G3060" s="143"/>
    </row>
    <row r="3061" spans="1:7" s="161" customFormat="1" ht="12.75">
      <c r="A3061" s="144"/>
      <c r="B3061" s="160"/>
      <c r="F3061" s="143"/>
      <c r="G3061" s="143"/>
    </row>
    <row r="3062" spans="1:7" s="161" customFormat="1" ht="12.75">
      <c r="A3062" s="144"/>
      <c r="B3062" s="160"/>
      <c r="F3062" s="143"/>
      <c r="G3062" s="143"/>
    </row>
    <row r="3063" spans="1:7" s="161" customFormat="1" ht="12.75">
      <c r="A3063" s="144"/>
      <c r="B3063" s="160"/>
      <c r="F3063" s="143"/>
      <c r="G3063" s="143"/>
    </row>
    <row r="3064" spans="1:7" s="161" customFormat="1" ht="12.75">
      <c r="A3064" s="144"/>
      <c r="B3064" s="160"/>
      <c r="F3064" s="143"/>
      <c r="G3064" s="143"/>
    </row>
    <row r="3065" spans="1:7" s="161" customFormat="1" ht="12.75">
      <c r="A3065" s="144"/>
      <c r="B3065" s="160"/>
      <c r="F3065" s="143"/>
      <c r="G3065" s="143"/>
    </row>
    <row r="3066" spans="1:7" s="161" customFormat="1" ht="12.75">
      <c r="A3066" s="144"/>
      <c r="B3066" s="160"/>
      <c r="F3066" s="29"/>
      <c r="G3066" s="29"/>
    </row>
    <row r="3067" spans="1:7" s="161" customFormat="1" ht="12.75">
      <c r="A3067" s="144"/>
      <c r="B3067" s="160"/>
      <c r="F3067" s="143"/>
      <c r="G3067" s="143"/>
    </row>
    <row r="3068" spans="1:7" s="161" customFormat="1" ht="12.75">
      <c r="A3068" s="144"/>
      <c r="B3068" s="160"/>
      <c r="F3068" s="143"/>
      <c r="G3068" s="143"/>
    </row>
    <row r="3069" spans="1:7" s="161" customFormat="1" ht="12.75">
      <c r="A3069" s="144"/>
      <c r="B3069" s="160"/>
      <c r="F3069" s="143"/>
      <c r="G3069" s="143"/>
    </row>
    <row r="3070" spans="1:7" s="161" customFormat="1" ht="12.75">
      <c r="A3070" s="144"/>
      <c r="B3070" s="160"/>
      <c r="F3070" s="143"/>
      <c r="G3070" s="143"/>
    </row>
    <row r="3071" spans="1:7" s="161" customFormat="1" ht="12.75">
      <c r="A3071" s="144"/>
      <c r="B3071" s="160"/>
      <c r="F3071" s="143"/>
      <c r="G3071" s="143"/>
    </row>
    <row r="3072" spans="1:7" s="161" customFormat="1" ht="12.75">
      <c r="A3072" s="144"/>
      <c r="B3072" s="160"/>
      <c r="F3072" s="143"/>
      <c r="G3072" s="143"/>
    </row>
    <row r="3073" spans="1:7" s="161" customFormat="1" ht="12.75">
      <c r="A3073" s="144"/>
      <c r="B3073" s="160"/>
      <c r="F3073" s="143"/>
      <c r="G3073" s="143"/>
    </row>
    <row r="3074" spans="1:7" s="161" customFormat="1" ht="12.75">
      <c r="A3074" s="144"/>
      <c r="B3074" s="160"/>
      <c r="F3074" s="143"/>
      <c r="G3074" s="143"/>
    </row>
    <row r="3075" spans="1:7" s="161" customFormat="1" ht="12.75">
      <c r="A3075" s="144"/>
      <c r="B3075" s="160"/>
      <c r="F3075" s="143"/>
      <c r="G3075" s="143"/>
    </row>
    <row r="3076" spans="1:7" s="161" customFormat="1" ht="12.75">
      <c r="A3076" s="144"/>
      <c r="B3076" s="160"/>
      <c r="F3076" s="143"/>
      <c r="G3076" s="143"/>
    </row>
    <row r="3077" spans="1:7" s="161" customFormat="1" ht="12.75">
      <c r="A3077" s="144"/>
      <c r="B3077" s="160"/>
      <c r="F3077" s="29"/>
      <c r="G3077" s="29"/>
    </row>
    <row r="3078" spans="1:7" s="161" customFormat="1" ht="12.75">
      <c r="A3078" s="144"/>
      <c r="B3078" s="160"/>
      <c r="F3078" s="143"/>
      <c r="G3078" s="143"/>
    </row>
    <row r="3079" spans="1:7" s="161" customFormat="1" ht="12.75">
      <c r="A3079" s="144"/>
      <c r="B3079" s="160"/>
      <c r="F3079" s="143"/>
      <c r="G3079" s="143"/>
    </row>
    <row r="3080" spans="1:7" s="161" customFormat="1" ht="12.75">
      <c r="A3080" s="144"/>
      <c r="B3080" s="160"/>
      <c r="F3080" s="143"/>
      <c r="G3080" s="143"/>
    </row>
    <row r="3081" spans="1:7" s="161" customFormat="1" ht="12.75">
      <c r="A3081" s="144"/>
      <c r="B3081" s="160"/>
      <c r="F3081" s="143"/>
      <c r="G3081" s="143"/>
    </row>
    <row r="3082" spans="1:7" s="161" customFormat="1" ht="12.75">
      <c r="A3082" s="144"/>
      <c r="B3082" s="160"/>
      <c r="F3082" s="143"/>
      <c r="G3082" s="143"/>
    </row>
    <row r="3083" spans="1:7" s="161" customFormat="1" ht="12.75">
      <c r="A3083" s="144"/>
      <c r="B3083" s="160"/>
      <c r="F3083" s="143"/>
      <c r="G3083" s="143"/>
    </row>
    <row r="3084" spans="1:7" s="161" customFormat="1" ht="12.75">
      <c r="A3084" s="144"/>
      <c r="B3084" s="160"/>
      <c r="F3084" s="29"/>
      <c r="G3084" s="29"/>
    </row>
    <row r="3085" spans="1:7" s="161" customFormat="1" ht="12.75">
      <c r="A3085" s="144"/>
      <c r="B3085" s="160"/>
      <c r="F3085" s="143"/>
      <c r="G3085" s="143"/>
    </row>
    <row r="3086" spans="1:7" s="161" customFormat="1" ht="12.75">
      <c r="A3086" s="144"/>
      <c r="B3086" s="160"/>
      <c r="F3086" s="143"/>
      <c r="G3086" s="143"/>
    </row>
    <row r="3087" spans="1:7" s="161" customFormat="1" ht="12.75">
      <c r="A3087" s="144"/>
      <c r="B3087" s="160"/>
      <c r="F3087" s="143"/>
      <c r="G3087" s="143"/>
    </row>
    <row r="3088" spans="1:7" s="161" customFormat="1" ht="12.75">
      <c r="A3088" s="144"/>
      <c r="B3088" s="160"/>
      <c r="F3088" s="143"/>
      <c r="G3088" s="143"/>
    </row>
    <row r="3089" spans="1:7" s="161" customFormat="1" ht="12.75">
      <c r="A3089" s="144"/>
      <c r="B3089" s="160"/>
      <c r="F3089" s="143"/>
      <c r="G3089" s="143"/>
    </row>
    <row r="3090" spans="1:7" s="161" customFormat="1" ht="12.75">
      <c r="A3090" s="144"/>
      <c r="B3090" s="160"/>
      <c r="F3090" s="143"/>
      <c r="G3090" s="143"/>
    </row>
    <row r="3091" spans="1:7" s="161" customFormat="1" ht="12.75">
      <c r="A3091" s="144"/>
      <c r="B3091" s="160"/>
      <c r="F3091" s="29"/>
      <c r="G3091" s="29"/>
    </row>
    <row r="3092" spans="1:7" s="161" customFormat="1" ht="12.75">
      <c r="A3092" s="144"/>
      <c r="B3092" s="160"/>
      <c r="F3092" s="143"/>
      <c r="G3092" s="143"/>
    </row>
    <row r="3093" spans="1:7" s="161" customFormat="1" ht="12.75">
      <c r="A3093" s="144"/>
      <c r="B3093" s="160"/>
      <c r="F3093" s="143"/>
      <c r="G3093" s="143"/>
    </row>
    <row r="3094" spans="1:7" s="161" customFormat="1" ht="12.75">
      <c r="A3094" s="144"/>
      <c r="B3094" s="160"/>
      <c r="F3094" s="143"/>
      <c r="G3094" s="143"/>
    </row>
    <row r="3095" spans="1:7" s="161" customFormat="1" ht="12.75">
      <c r="A3095" s="144"/>
      <c r="B3095" s="160"/>
      <c r="F3095" s="143"/>
      <c r="G3095" s="143"/>
    </row>
    <row r="3096" spans="1:7" s="161" customFormat="1" ht="12.75">
      <c r="A3096" s="144"/>
      <c r="B3096" s="160"/>
      <c r="F3096" s="143"/>
      <c r="G3096" s="143"/>
    </row>
    <row r="3097" spans="1:7" s="161" customFormat="1" ht="12.75">
      <c r="A3097" s="144"/>
      <c r="B3097" s="160"/>
      <c r="F3097" s="143"/>
      <c r="G3097" s="143"/>
    </row>
    <row r="3098" spans="1:7" s="161" customFormat="1" ht="12.75">
      <c r="A3098" s="144"/>
      <c r="B3098" s="160"/>
      <c r="F3098" s="143"/>
      <c r="G3098" s="143"/>
    </row>
    <row r="3099" spans="1:7" s="161" customFormat="1" ht="12.75">
      <c r="A3099" s="144"/>
      <c r="B3099" s="160"/>
      <c r="F3099" s="29"/>
      <c r="G3099" s="29"/>
    </row>
    <row r="3100" spans="1:7" s="161" customFormat="1" ht="12.75">
      <c r="A3100" s="144"/>
      <c r="B3100" s="160"/>
      <c r="F3100" s="29"/>
      <c r="G3100" s="29"/>
    </row>
    <row r="3101" spans="1:7" s="161" customFormat="1" ht="12.75">
      <c r="A3101" s="144"/>
      <c r="B3101" s="160"/>
      <c r="F3101" s="29"/>
      <c r="G3101" s="29"/>
    </row>
    <row r="3102" spans="1:7" s="161" customFormat="1" ht="12.75">
      <c r="A3102" s="144"/>
      <c r="B3102" s="160"/>
    </row>
    <row r="3103" spans="1:7" s="161" customFormat="1" ht="12.75">
      <c r="A3103" s="144"/>
      <c r="B3103" s="160"/>
    </row>
    <row r="3104" spans="1:7" s="161" customFormat="1" ht="12.75">
      <c r="A3104" s="144"/>
      <c r="B3104" s="160"/>
    </row>
    <row r="3105" spans="1:2" s="161" customFormat="1" ht="12.75">
      <c r="A3105" s="144"/>
      <c r="B3105" s="160"/>
    </row>
    <row r="3106" spans="1:2" s="161" customFormat="1" ht="12.75">
      <c r="A3106" s="144"/>
      <c r="B3106" s="160"/>
    </row>
    <row r="3107" spans="1:2" s="161" customFormat="1" ht="12.75">
      <c r="A3107" s="144"/>
      <c r="B3107" s="160"/>
    </row>
    <row r="3108" spans="1:2" s="161" customFormat="1" ht="12.75">
      <c r="A3108" s="144"/>
      <c r="B3108" s="160"/>
    </row>
    <row r="3109" spans="1:2" s="161" customFormat="1" ht="12.75">
      <c r="A3109" s="144"/>
      <c r="B3109" s="160"/>
    </row>
    <row r="3110" spans="1:2" s="161" customFormat="1" ht="12.75">
      <c r="A3110" s="144"/>
      <c r="B3110" s="160"/>
    </row>
    <row r="3111" spans="1:2" s="161" customFormat="1" ht="12.75">
      <c r="A3111" s="144"/>
      <c r="B3111" s="160"/>
    </row>
    <row r="3112" spans="1:2" s="161" customFormat="1" ht="12.75">
      <c r="A3112" s="144"/>
      <c r="B3112" s="160"/>
    </row>
    <row r="3113" spans="1:2" s="161" customFormat="1" ht="12.75">
      <c r="A3113" s="144"/>
      <c r="B3113" s="160"/>
    </row>
    <row r="3114" spans="1:2" s="161" customFormat="1" ht="12.75">
      <c r="A3114" s="144"/>
      <c r="B3114" s="160"/>
    </row>
    <row r="3115" spans="1:2" s="161" customFormat="1" ht="12.75">
      <c r="A3115" s="144"/>
      <c r="B3115" s="160"/>
    </row>
    <row r="3116" spans="1:2" s="161" customFormat="1" ht="12.75">
      <c r="A3116" s="144"/>
      <c r="B3116" s="160"/>
    </row>
    <row r="3117" spans="1:2" s="161" customFormat="1" ht="12.75">
      <c r="A3117" s="144"/>
      <c r="B3117" s="160"/>
    </row>
    <row r="3118" spans="1:2" s="161" customFormat="1" ht="12.75">
      <c r="A3118" s="144"/>
      <c r="B3118" s="160"/>
    </row>
    <row r="3119" spans="1:2" s="161" customFormat="1" ht="12.75">
      <c r="A3119" s="144"/>
      <c r="B3119" s="160"/>
    </row>
    <row r="3120" spans="1:2" s="161" customFormat="1" ht="12.75">
      <c r="A3120" s="144"/>
      <c r="B3120" s="160"/>
    </row>
    <row r="3121" spans="1:2" s="161" customFormat="1" ht="12.75">
      <c r="A3121" s="144"/>
      <c r="B3121" s="160"/>
    </row>
    <row r="3122" spans="1:2" s="161" customFormat="1" ht="12.75">
      <c r="A3122" s="144"/>
      <c r="B3122" s="160"/>
    </row>
    <row r="3123" spans="1:2" s="161" customFormat="1" ht="12.75">
      <c r="A3123" s="144"/>
      <c r="B3123" s="160"/>
    </row>
    <row r="3124" spans="1:2" s="161" customFormat="1" ht="12.75">
      <c r="A3124" s="144"/>
      <c r="B3124" s="160"/>
    </row>
    <row r="3125" spans="1:2" s="161" customFormat="1" ht="12.75">
      <c r="A3125" s="144"/>
      <c r="B3125" s="160"/>
    </row>
    <row r="3126" spans="1:2" s="161" customFormat="1" ht="12.75">
      <c r="A3126" s="144"/>
      <c r="B3126" s="160"/>
    </row>
    <row r="3127" spans="1:2" s="161" customFormat="1" ht="12.75">
      <c r="A3127" s="144"/>
      <c r="B3127" s="160"/>
    </row>
    <row r="3128" spans="1:2" s="161" customFormat="1" ht="12.75">
      <c r="A3128" s="144"/>
      <c r="B3128" s="160"/>
    </row>
    <row r="3129" spans="1:2" s="161" customFormat="1" ht="12.75">
      <c r="A3129" s="144"/>
      <c r="B3129" s="160"/>
    </row>
    <row r="3130" spans="1:2" s="161" customFormat="1" ht="12.75">
      <c r="A3130" s="144"/>
      <c r="B3130" s="160"/>
    </row>
    <row r="3131" spans="1:2" s="161" customFormat="1" ht="12.75">
      <c r="A3131" s="144"/>
      <c r="B3131" s="160"/>
    </row>
    <row r="3132" spans="1:2" s="161" customFormat="1" ht="12.75">
      <c r="A3132" s="144"/>
      <c r="B3132" s="160"/>
    </row>
    <row r="3133" spans="1:2" s="161" customFormat="1" ht="12.75">
      <c r="A3133" s="144"/>
      <c r="B3133" s="160"/>
    </row>
    <row r="3134" spans="1:2" s="161" customFormat="1" ht="12.75">
      <c r="A3134" s="144"/>
      <c r="B3134" s="160"/>
    </row>
    <row r="3135" spans="1:2" s="161" customFormat="1" ht="12.75">
      <c r="A3135" s="144"/>
      <c r="B3135" s="160"/>
    </row>
    <row r="3136" spans="1:2" s="161" customFormat="1" ht="12.75">
      <c r="A3136" s="144"/>
      <c r="B3136" s="160"/>
    </row>
    <row r="3137" spans="1:2" s="161" customFormat="1" ht="12.75">
      <c r="A3137" s="144"/>
      <c r="B3137" s="160"/>
    </row>
    <row r="3138" spans="1:2" s="161" customFormat="1" ht="12.75">
      <c r="A3138" s="144"/>
      <c r="B3138" s="160"/>
    </row>
    <row r="3139" spans="1:2" s="161" customFormat="1" ht="13.5" customHeight="1">
      <c r="A3139" s="144"/>
      <c r="B3139" s="160"/>
    </row>
    <row r="3140" spans="1:2" s="161" customFormat="1" ht="12.75">
      <c r="A3140" s="144"/>
      <c r="B3140" s="160"/>
    </row>
    <row r="3141" spans="1:2" s="161" customFormat="1" ht="12.75">
      <c r="A3141" s="144"/>
      <c r="B3141" s="160"/>
    </row>
    <row r="3142" spans="1:2" s="161" customFormat="1" ht="12.75">
      <c r="A3142" s="144"/>
      <c r="B3142" s="160"/>
    </row>
    <row r="3143" spans="1:2" s="161" customFormat="1" ht="12.75">
      <c r="A3143" s="144"/>
      <c r="B3143" s="160"/>
    </row>
    <row r="3144" spans="1:2" s="161" customFormat="1" ht="12.75">
      <c r="A3144" s="144"/>
      <c r="B3144" s="160"/>
    </row>
    <row r="3145" spans="1:2" s="161" customFormat="1" ht="12.75">
      <c r="A3145" s="144"/>
      <c r="B3145" s="160"/>
    </row>
    <row r="3146" spans="1:2" s="161" customFormat="1" ht="12.75">
      <c r="A3146" s="144"/>
      <c r="B3146" s="160"/>
    </row>
    <row r="3147" spans="1:2" s="161" customFormat="1" ht="12.75">
      <c r="A3147" s="144"/>
      <c r="B3147" s="160"/>
    </row>
    <row r="3148" spans="1:2" s="161" customFormat="1" ht="12.75">
      <c r="A3148" s="144"/>
      <c r="B3148" s="160"/>
    </row>
    <row r="3149" spans="1:2" s="161" customFormat="1" ht="12.75">
      <c r="A3149" s="144"/>
      <c r="B3149" s="160"/>
    </row>
    <row r="3150" spans="1:2" s="161" customFormat="1" ht="12.75">
      <c r="A3150" s="144"/>
      <c r="B3150" s="160"/>
    </row>
    <row r="3151" spans="1:2" s="161" customFormat="1" ht="12.75">
      <c r="A3151" s="144"/>
      <c r="B3151" s="160"/>
    </row>
    <row r="3152" spans="1:2" s="161" customFormat="1" ht="12.75">
      <c r="A3152" s="144"/>
      <c r="B3152" s="160"/>
    </row>
    <row r="3153" spans="1:2" s="161" customFormat="1" ht="12.75">
      <c r="A3153" s="144"/>
      <c r="B3153" s="160"/>
    </row>
    <row r="3154" spans="1:2" s="161" customFormat="1" ht="12.75">
      <c r="A3154" s="144"/>
      <c r="B3154" s="160"/>
    </row>
    <row r="3155" spans="1:2" s="161" customFormat="1" ht="12.75">
      <c r="A3155" s="144"/>
      <c r="B3155" s="160"/>
    </row>
    <row r="3156" spans="1:2" s="161" customFormat="1" ht="12.75">
      <c r="A3156" s="144"/>
      <c r="B3156" s="160"/>
    </row>
    <row r="3157" spans="1:2" s="161" customFormat="1" ht="12.75">
      <c r="A3157" s="144"/>
      <c r="B3157" s="160"/>
    </row>
    <row r="3158" spans="1:2" s="161" customFormat="1" ht="12.75">
      <c r="A3158" s="144"/>
      <c r="B3158" s="160"/>
    </row>
    <row r="3159" spans="1:2" s="161" customFormat="1" ht="12.75">
      <c r="A3159" s="144"/>
      <c r="B3159" s="160"/>
    </row>
    <row r="3160" spans="1:2" s="161" customFormat="1" ht="12.75">
      <c r="A3160" s="144"/>
      <c r="B3160" s="160"/>
    </row>
    <row r="3161" spans="1:2" s="161" customFormat="1" ht="12.75">
      <c r="A3161" s="144"/>
      <c r="B3161" s="160"/>
    </row>
    <row r="3162" spans="1:2" s="161" customFormat="1" ht="12.75">
      <c r="A3162" s="144"/>
      <c r="B3162" s="160"/>
    </row>
    <row r="3163" spans="1:2" s="161" customFormat="1" ht="12.75">
      <c r="A3163" s="144"/>
      <c r="B3163" s="160"/>
    </row>
    <row r="3164" spans="1:2" s="161" customFormat="1" ht="12.75">
      <c r="A3164" s="144"/>
      <c r="B3164" s="160"/>
    </row>
    <row r="3165" spans="1:2" s="161" customFormat="1" ht="12.75">
      <c r="A3165" s="144"/>
      <c r="B3165" s="160"/>
    </row>
    <row r="3166" spans="1:2" s="161" customFormat="1" ht="12.75">
      <c r="A3166" s="144"/>
      <c r="B3166" s="160"/>
    </row>
    <row r="3167" spans="1:2" s="161" customFormat="1" ht="12.75">
      <c r="A3167" s="144"/>
      <c r="B3167" s="160"/>
    </row>
    <row r="3168" spans="1:2" s="161" customFormat="1" ht="12.75">
      <c r="A3168" s="144"/>
      <c r="B3168" s="160"/>
    </row>
    <row r="3169" spans="1:2" s="161" customFormat="1" ht="12.75">
      <c r="A3169" s="144"/>
      <c r="B3169" s="160"/>
    </row>
    <row r="3170" spans="1:2" s="161" customFormat="1" ht="12.75">
      <c r="A3170" s="144"/>
      <c r="B3170" s="160"/>
    </row>
    <row r="3171" spans="1:2" s="161" customFormat="1" ht="12.75">
      <c r="A3171" s="144"/>
      <c r="B3171" s="160"/>
    </row>
    <row r="3172" spans="1:2" s="161" customFormat="1" ht="12.75">
      <c r="A3172" s="144"/>
      <c r="B3172" s="160"/>
    </row>
    <row r="3173" spans="1:2" s="161" customFormat="1" ht="12.75">
      <c r="A3173" s="144"/>
      <c r="B3173" s="160"/>
    </row>
    <row r="3174" spans="1:2" s="161" customFormat="1" ht="12.75">
      <c r="A3174" s="144"/>
      <c r="B3174" s="160"/>
    </row>
    <row r="3175" spans="1:2" s="161" customFormat="1" ht="12.75">
      <c r="A3175" s="144"/>
      <c r="B3175" s="160"/>
    </row>
    <row r="3176" spans="1:2" s="161" customFormat="1" ht="12.75">
      <c r="A3176" s="144"/>
      <c r="B3176" s="160"/>
    </row>
    <row r="3177" spans="1:2" s="161" customFormat="1" ht="12.75">
      <c r="A3177" s="144"/>
      <c r="B3177" s="160"/>
    </row>
    <row r="3178" spans="1:2" s="161" customFormat="1" ht="12.75">
      <c r="A3178" s="144"/>
      <c r="B3178" s="160"/>
    </row>
    <row r="3179" spans="1:2" s="161" customFormat="1" ht="12.75">
      <c r="A3179" s="144"/>
      <c r="B3179" s="160"/>
    </row>
    <row r="3180" spans="1:2" s="161" customFormat="1" ht="12.75">
      <c r="A3180" s="144"/>
      <c r="B3180" s="160"/>
    </row>
    <row r="3181" spans="1:2" s="161" customFormat="1" ht="12.75">
      <c r="A3181" s="144"/>
      <c r="B3181" s="160"/>
    </row>
    <row r="3182" spans="1:2" s="161" customFormat="1" ht="12.75">
      <c r="A3182" s="144"/>
      <c r="B3182" s="160"/>
    </row>
    <row r="3183" spans="1:2" s="161" customFormat="1" ht="12.75">
      <c r="A3183" s="144"/>
      <c r="B3183" s="160"/>
    </row>
    <row r="3184" spans="1:2" s="161" customFormat="1" ht="12.75">
      <c r="A3184" s="144"/>
      <c r="B3184" s="160"/>
    </row>
    <row r="3185" spans="1:2" s="161" customFormat="1" ht="12.75">
      <c r="A3185" s="144"/>
      <c r="B3185" s="160"/>
    </row>
    <row r="3186" spans="1:2" s="161" customFormat="1" ht="12.75">
      <c r="A3186" s="144"/>
      <c r="B3186" s="160"/>
    </row>
    <row r="3187" spans="1:2" s="161" customFormat="1" ht="12.75">
      <c r="A3187" s="144"/>
      <c r="B3187" s="160"/>
    </row>
    <row r="3188" spans="1:2" s="161" customFormat="1" ht="12.75">
      <c r="A3188" s="144"/>
      <c r="B3188" s="160"/>
    </row>
    <row r="3189" spans="1:2" s="161" customFormat="1" ht="12.75">
      <c r="A3189" s="144"/>
      <c r="B3189" s="160"/>
    </row>
    <row r="3190" spans="1:2" s="161" customFormat="1" ht="12.75">
      <c r="A3190" s="144"/>
      <c r="B3190" s="160"/>
    </row>
    <row r="3191" spans="1:2" s="161" customFormat="1" ht="12.75">
      <c r="A3191" s="144"/>
      <c r="B3191" s="160"/>
    </row>
    <row r="3192" spans="1:2" s="161" customFormat="1" ht="12.75">
      <c r="A3192" s="144"/>
      <c r="B3192" s="160"/>
    </row>
    <row r="3193" spans="1:2" s="161" customFormat="1" ht="12.75">
      <c r="A3193" s="144"/>
      <c r="B3193" s="160"/>
    </row>
    <row r="3194" spans="1:2" s="161" customFormat="1" ht="12.75">
      <c r="A3194" s="144"/>
      <c r="B3194" s="160"/>
    </row>
    <row r="3195" spans="1:2" s="161" customFormat="1" ht="12.75">
      <c r="A3195" s="144"/>
      <c r="B3195" s="160"/>
    </row>
    <row r="3196" spans="1:2" s="161" customFormat="1" ht="12.75">
      <c r="A3196" s="144"/>
      <c r="B3196" s="160"/>
    </row>
    <row r="3197" spans="1:2" s="161" customFormat="1" ht="12.75">
      <c r="A3197" s="144"/>
      <c r="B3197" s="160"/>
    </row>
    <row r="3198" spans="1:2" s="161" customFormat="1" ht="12.75">
      <c r="A3198" s="144"/>
      <c r="B3198" s="160"/>
    </row>
    <row r="3199" spans="1:2" s="161" customFormat="1" ht="12.75">
      <c r="A3199" s="144"/>
      <c r="B3199" s="160"/>
    </row>
    <row r="3200" spans="1:2" s="161" customFormat="1" ht="12.75">
      <c r="A3200" s="144"/>
      <c r="B3200" s="160"/>
    </row>
    <row r="3201" spans="1:2" s="161" customFormat="1" ht="12.75">
      <c r="A3201" s="144"/>
      <c r="B3201" s="160"/>
    </row>
    <row r="3202" spans="1:2" s="161" customFormat="1" ht="12.75">
      <c r="A3202" s="144"/>
      <c r="B3202" s="160"/>
    </row>
    <row r="3203" spans="1:2" s="161" customFormat="1" ht="12.75">
      <c r="A3203" s="144"/>
      <c r="B3203" s="160"/>
    </row>
    <row r="3204" spans="1:2" s="161" customFormat="1" ht="12.75">
      <c r="A3204" s="144"/>
      <c r="B3204" s="160"/>
    </row>
    <row r="3205" spans="1:2" s="161" customFormat="1" ht="12.75">
      <c r="A3205" s="144"/>
      <c r="B3205" s="160"/>
    </row>
    <row r="3206" spans="1:2" s="161" customFormat="1" ht="12.75">
      <c r="A3206" s="144"/>
      <c r="B3206" s="160"/>
    </row>
    <row r="3207" spans="1:2" s="161" customFormat="1" ht="12.75">
      <c r="A3207" s="144"/>
      <c r="B3207" s="160"/>
    </row>
    <row r="3208" spans="1:2" s="161" customFormat="1" ht="12.75">
      <c r="A3208" s="144"/>
      <c r="B3208" s="160"/>
    </row>
    <row r="3209" spans="1:2" s="161" customFormat="1" ht="12.75">
      <c r="A3209" s="144"/>
      <c r="B3209" s="160"/>
    </row>
    <row r="3210" spans="1:2" s="161" customFormat="1" ht="12.75">
      <c r="A3210" s="144"/>
      <c r="B3210" s="160"/>
    </row>
    <row r="3211" spans="1:2" s="161" customFormat="1" ht="12.75">
      <c r="A3211" s="144"/>
      <c r="B3211" s="160"/>
    </row>
    <row r="3212" spans="1:2" s="161" customFormat="1" ht="12.75">
      <c r="A3212" s="144"/>
      <c r="B3212" s="160"/>
    </row>
    <row r="3213" spans="1:2" s="161" customFormat="1" ht="12.75">
      <c r="A3213" s="144"/>
      <c r="B3213" s="160"/>
    </row>
    <row r="3214" spans="1:2" s="161" customFormat="1" ht="12.75">
      <c r="A3214" s="144"/>
      <c r="B3214" s="160"/>
    </row>
    <row r="3215" spans="1:2" s="161" customFormat="1" ht="12.75">
      <c r="A3215" s="144"/>
      <c r="B3215" s="160"/>
    </row>
    <row r="3216" spans="1:2" s="161" customFormat="1" ht="12.75">
      <c r="A3216" s="144"/>
      <c r="B3216" s="160"/>
    </row>
    <row r="3217" spans="1:2" s="161" customFormat="1" ht="12.75">
      <c r="A3217" s="144"/>
      <c r="B3217" s="160"/>
    </row>
    <row r="3218" spans="1:2" s="161" customFormat="1" ht="12.75">
      <c r="A3218" s="144"/>
      <c r="B3218" s="160"/>
    </row>
    <row r="3219" spans="1:2" s="161" customFormat="1" ht="12.75">
      <c r="A3219" s="144"/>
      <c r="B3219" s="160"/>
    </row>
    <row r="3220" spans="1:2" s="161" customFormat="1" ht="12.75">
      <c r="A3220" s="144"/>
      <c r="B3220" s="160"/>
    </row>
    <row r="3221" spans="1:2" s="161" customFormat="1" ht="12.75">
      <c r="A3221" s="144"/>
      <c r="B3221" s="160"/>
    </row>
    <row r="3222" spans="1:2" s="161" customFormat="1" ht="12.75">
      <c r="A3222" s="144"/>
      <c r="B3222" s="160"/>
    </row>
    <row r="3223" spans="1:2" s="161" customFormat="1" ht="12.75">
      <c r="A3223" s="144"/>
      <c r="B3223" s="160"/>
    </row>
    <row r="3224" spans="1:2" s="161" customFormat="1" ht="12.75">
      <c r="A3224" s="144"/>
      <c r="B3224" s="160"/>
    </row>
    <row r="3225" spans="1:2" s="161" customFormat="1" ht="12.75">
      <c r="A3225" s="144"/>
      <c r="B3225" s="160"/>
    </row>
    <row r="3226" spans="1:2" s="161" customFormat="1" ht="12.75">
      <c r="A3226" s="144"/>
      <c r="B3226" s="160"/>
    </row>
    <row r="3227" spans="1:2" s="161" customFormat="1" ht="12.75">
      <c r="A3227" s="144"/>
      <c r="B3227" s="160"/>
    </row>
    <row r="3228" spans="1:2" s="161" customFormat="1" ht="12.75">
      <c r="A3228" s="144"/>
      <c r="B3228" s="160"/>
    </row>
    <row r="3229" spans="1:2" s="161" customFormat="1" ht="12.75">
      <c r="A3229" s="144"/>
      <c r="B3229" s="160"/>
    </row>
    <row r="3230" spans="1:2" s="161" customFormat="1" ht="12.75">
      <c r="A3230" s="144"/>
      <c r="B3230" s="160"/>
    </row>
    <row r="3231" spans="1:2" s="161" customFormat="1" ht="12.75">
      <c r="A3231" s="144"/>
      <c r="B3231" s="160"/>
    </row>
    <row r="3232" spans="1:2" s="161" customFormat="1" ht="12.75">
      <c r="A3232" s="144"/>
      <c r="B3232" s="160"/>
    </row>
    <row r="3233" spans="1:2" s="161" customFormat="1" ht="12.75">
      <c r="A3233" s="144"/>
      <c r="B3233" s="160"/>
    </row>
    <row r="3234" spans="1:2" s="161" customFormat="1" ht="12.75">
      <c r="A3234" s="144"/>
      <c r="B3234" s="160"/>
    </row>
    <row r="3235" spans="1:2" s="161" customFormat="1" ht="12.75">
      <c r="A3235" s="144"/>
      <c r="B3235" s="160"/>
    </row>
    <row r="3236" spans="1:2" s="161" customFormat="1" ht="12.75">
      <c r="A3236" s="144"/>
      <c r="B3236" s="160"/>
    </row>
    <row r="3237" spans="1:2" s="161" customFormat="1" ht="12.75">
      <c r="A3237" s="144"/>
      <c r="B3237" s="160"/>
    </row>
    <row r="3238" spans="1:2" s="161" customFormat="1" ht="12.75">
      <c r="A3238" s="144"/>
      <c r="B3238" s="160"/>
    </row>
    <row r="3239" spans="1:2" s="161" customFormat="1" ht="12.75">
      <c r="A3239" s="144"/>
      <c r="B3239" s="160"/>
    </row>
    <row r="3240" spans="1:2" s="161" customFormat="1" ht="12.75">
      <c r="A3240" s="144"/>
      <c r="B3240" s="160"/>
    </row>
    <row r="3241" spans="1:2" s="161" customFormat="1" ht="12.75">
      <c r="A3241" s="144"/>
      <c r="B3241" s="160"/>
    </row>
    <row r="3242" spans="1:2" s="161" customFormat="1" ht="12.75">
      <c r="A3242" s="144"/>
      <c r="B3242" s="160"/>
    </row>
    <row r="3243" spans="1:2" s="161" customFormat="1" ht="12.75">
      <c r="A3243" s="144"/>
      <c r="B3243" s="160"/>
    </row>
    <row r="3244" spans="1:2" s="161" customFormat="1" ht="12.75">
      <c r="A3244" s="144"/>
      <c r="B3244" s="160"/>
    </row>
    <row r="3245" spans="1:2" s="161" customFormat="1" ht="12.75">
      <c r="A3245" s="144"/>
      <c r="B3245" s="160"/>
    </row>
    <row r="3246" spans="1:2" s="161" customFormat="1" ht="12.75">
      <c r="A3246" s="144"/>
      <c r="B3246" s="160"/>
    </row>
    <row r="3247" spans="1:2" s="161" customFormat="1" ht="12.75">
      <c r="A3247" s="144"/>
      <c r="B3247" s="160"/>
    </row>
    <row r="3248" spans="1:2" s="161" customFormat="1" ht="12.75">
      <c r="A3248" s="144"/>
      <c r="B3248" s="160"/>
    </row>
    <row r="3249" spans="1:2" s="161" customFormat="1" ht="12.75">
      <c r="A3249" s="144"/>
      <c r="B3249" s="160"/>
    </row>
    <row r="3250" spans="1:2" s="161" customFormat="1" ht="12.75">
      <c r="A3250" s="144"/>
      <c r="B3250" s="160"/>
    </row>
    <row r="3251" spans="1:2" s="161" customFormat="1" ht="12.75">
      <c r="A3251" s="144"/>
      <c r="B3251" s="160"/>
    </row>
    <row r="3252" spans="1:2" s="161" customFormat="1" ht="12.75">
      <c r="A3252" s="144"/>
      <c r="B3252" s="160"/>
    </row>
    <row r="3253" spans="1:2" s="161" customFormat="1" ht="12.75">
      <c r="A3253" s="144"/>
      <c r="B3253" s="160"/>
    </row>
    <row r="3254" spans="1:2" s="161" customFormat="1" ht="12.75">
      <c r="A3254" s="144"/>
      <c r="B3254" s="160"/>
    </row>
    <row r="3255" spans="1:2" s="161" customFormat="1" ht="12.75">
      <c r="A3255" s="144"/>
      <c r="B3255" s="160"/>
    </row>
    <row r="3256" spans="1:2" s="161" customFormat="1" ht="12.75">
      <c r="A3256" s="144"/>
      <c r="B3256" s="160"/>
    </row>
    <row r="3257" spans="1:2" s="161" customFormat="1" ht="12.75">
      <c r="A3257" s="144"/>
      <c r="B3257" s="160"/>
    </row>
    <row r="3258" spans="1:2" s="161" customFormat="1" ht="12.75">
      <c r="A3258" s="144"/>
      <c r="B3258" s="160"/>
    </row>
    <row r="3259" spans="1:2" s="161" customFormat="1" ht="12.75">
      <c r="A3259" s="144"/>
      <c r="B3259" s="160"/>
    </row>
    <row r="3260" spans="1:2" s="161" customFormat="1" ht="12.75">
      <c r="A3260" s="144"/>
      <c r="B3260" s="160"/>
    </row>
    <row r="3261" spans="1:2" s="161" customFormat="1" ht="12.75">
      <c r="A3261" s="144"/>
      <c r="B3261" s="160"/>
    </row>
    <row r="3262" spans="1:2" s="161" customFormat="1" ht="12.75">
      <c r="A3262" s="144"/>
      <c r="B3262" s="160"/>
    </row>
    <row r="3263" spans="1:2" s="161" customFormat="1" ht="12.75">
      <c r="A3263" s="144"/>
      <c r="B3263" s="160"/>
    </row>
    <row r="3264" spans="1:2" s="161" customFormat="1" ht="12.75">
      <c r="A3264" s="144"/>
      <c r="B3264" s="160"/>
    </row>
    <row r="3265" spans="1:2" s="161" customFormat="1" ht="12.75">
      <c r="A3265" s="144"/>
      <c r="B3265" s="160"/>
    </row>
    <row r="3266" spans="1:2" s="161" customFormat="1" ht="12.75">
      <c r="A3266" s="144"/>
      <c r="B3266" s="160"/>
    </row>
    <row r="3267" spans="1:2" s="161" customFormat="1" ht="12.75">
      <c r="A3267" s="144"/>
      <c r="B3267" s="160"/>
    </row>
    <row r="3268" spans="1:2" s="161" customFormat="1" ht="12.75">
      <c r="A3268" s="144"/>
      <c r="B3268" s="160"/>
    </row>
    <row r="3269" spans="1:2" s="161" customFormat="1" ht="12.75">
      <c r="A3269" s="144"/>
      <c r="B3269" s="160"/>
    </row>
    <row r="3270" spans="1:2" s="161" customFormat="1" ht="12.75">
      <c r="A3270" s="144"/>
      <c r="B3270" s="160"/>
    </row>
    <row r="3271" spans="1:2" s="161" customFormat="1" ht="12.75">
      <c r="A3271" s="144"/>
      <c r="B3271" s="160"/>
    </row>
    <row r="3272" spans="1:2" s="161" customFormat="1" ht="12.75">
      <c r="A3272" s="144"/>
      <c r="B3272" s="160"/>
    </row>
    <row r="3273" spans="1:2" s="161" customFormat="1" ht="12.75">
      <c r="A3273" s="144"/>
      <c r="B3273" s="160"/>
    </row>
    <row r="3274" spans="1:2" s="161" customFormat="1" ht="12.75">
      <c r="A3274" s="144"/>
      <c r="B3274" s="160"/>
    </row>
    <row r="3275" spans="1:2" s="161" customFormat="1" ht="12.75">
      <c r="A3275" s="144"/>
      <c r="B3275" s="160"/>
    </row>
    <row r="3276" spans="1:2" s="161" customFormat="1" ht="12.75">
      <c r="A3276" s="144"/>
      <c r="B3276" s="160"/>
    </row>
    <row r="3277" spans="1:2" s="161" customFormat="1" ht="12.75">
      <c r="A3277" s="144"/>
      <c r="B3277" s="160"/>
    </row>
    <row r="3278" spans="1:2" s="161" customFormat="1" ht="12.75">
      <c r="A3278" s="144"/>
      <c r="B3278" s="160"/>
    </row>
    <row r="3279" spans="1:2" s="161" customFormat="1" ht="12.75">
      <c r="A3279" s="144"/>
      <c r="B3279" s="160"/>
    </row>
    <row r="3280" spans="1:2" s="161" customFormat="1" ht="12.75">
      <c r="A3280" s="144"/>
      <c r="B3280" s="160"/>
    </row>
    <row r="3281" spans="1:2" s="161" customFormat="1" ht="12.75">
      <c r="A3281" s="144"/>
      <c r="B3281" s="160"/>
    </row>
    <row r="3282" spans="1:2" s="161" customFormat="1" ht="12.75">
      <c r="A3282" s="144"/>
      <c r="B3282" s="160"/>
    </row>
    <row r="3283" spans="1:2" s="161" customFormat="1" ht="12.75">
      <c r="A3283" s="144"/>
      <c r="B3283" s="160"/>
    </row>
    <row r="3284" spans="1:2" s="161" customFormat="1" ht="12.75">
      <c r="A3284" s="144"/>
      <c r="B3284" s="160"/>
    </row>
    <row r="3285" spans="1:2" s="161" customFormat="1" ht="12.75">
      <c r="A3285" s="144"/>
      <c r="B3285" s="160"/>
    </row>
    <row r="3286" spans="1:2" s="161" customFormat="1" ht="12.75">
      <c r="A3286" s="144"/>
      <c r="B3286" s="160"/>
    </row>
    <row r="3287" spans="1:2" s="161" customFormat="1" ht="12.75">
      <c r="A3287" s="144"/>
      <c r="B3287" s="160"/>
    </row>
    <row r="3288" spans="1:2" s="161" customFormat="1" ht="12.75">
      <c r="A3288" s="144"/>
      <c r="B3288" s="160"/>
    </row>
    <row r="3289" spans="1:2" s="161" customFormat="1" ht="12.75">
      <c r="A3289" s="144"/>
      <c r="B3289" s="160"/>
    </row>
    <row r="3290" spans="1:2" s="161" customFormat="1" ht="12.75">
      <c r="A3290" s="144"/>
      <c r="B3290" s="160"/>
    </row>
    <row r="3291" spans="1:2" s="161" customFormat="1" ht="12.75">
      <c r="A3291" s="144"/>
      <c r="B3291" s="160"/>
    </row>
    <row r="3292" spans="1:2" s="161" customFormat="1" ht="12.75">
      <c r="A3292" s="144"/>
      <c r="B3292" s="160"/>
    </row>
    <row r="3293" spans="1:2" s="161" customFormat="1" ht="12.75">
      <c r="A3293" s="144"/>
      <c r="B3293" s="160"/>
    </row>
    <row r="3294" spans="1:2" s="161" customFormat="1" ht="12.75">
      <c r="A3294" s="144"/>
      <c r="B3294" s="160"/>
    </row>
    <row r="3295" spans="1:2" s="161" customFormat="1" ht="12.75">
      <c r="A3295" s="144"/>
      <c r="B3295" s="160"/>
    </row>
    <row r="3296" spans="1:2" s="161" customFormat="1" ht="12.75">
      <c r="A3296" s="144"/>
      <c r="B3296" s="160"/>
    </row>
    <row r="3297" spans="1:2" s="161" customFormat="1" ht="12.75">
      <c r="A3297" s="144"/>
      <c r="B3297" s="160"/>
    </row>
    <row r="3298" spans="1:2" s="161" customFormat="1" ht="12.75">
      <c r="A3298" s="144"/>
      <c r="B3298" s="160"/>
    </row>
    <row r="3299" spans="1:2" s="161" customFormat="1" ht="12.75">
      <c r="A3299" s="144"/>
      <c r="B3299" s="160"/>
    </row>
    <row r="3300" spans="1:2" s="161" customFormat="1" ht="12.75">
      <c r="A3300" s="144"/>
      <c r="B3300" s="160"/>
    </row>
    <row r="3301" spans="1:2" s="161" customFormat="1" ht="12.75">
      <c r="A3301" s="144"/>
      <c r="B3301" s="160"/>
    </row>
    <row r="3302" spans="1:2" s="161" customFormat="1" ht="12.75">
      <c r="A3302" s="144"/>
      <c r="B3302" s="160"/>
    </row>
    <row r="3303" spans="1:2" s="161" customFormat="1" ht="12.75">
      <c r="A3303" s="144"/>
      <c r="B3303" s="160"/>
    </row>
    <row r="3304" spans="1:2" s="161" customFormat="1" ht="12.75">
      <c r="A3304" s="144"/>
      <c r="B3304" s="160"/>
    </row>
    <row r="3305" spans="1:2" s="161" customFormat="1" ht="12.75">
      <c r="A3305" s="144"/>
      <c r="B3305" s="160"/>
    </row>
    <row r="3306" spans="1:2" s="161" customFormat="1" ht="12.75">
      <c r="A3306" s="144"/>
      <c r="B3306" s="160"/>
    </row>
    <row r="3307" spans="1:2" s="161" customFormat="1" ht="12.75">
      <c r="A3307" s="144"/>
      <c r="B3307" s="160"/>
    </row>
    <row r="3308" spans="1:2" s="161" customFormat="1" ht="12.75">
      <c r="A3308" s="144"/>
      <c r="B3308" s="160"/>
    </row>
    <row r="3309" spans="1:2" s="161" customFormat="1" ht="12.75">
      <c r="A3309" s="144"/>
      <c r="B3309" s="160"/>
    </row>
    <row r="3310" spans="1:2" s="161" customFormat="1" ht="12.75">
      <c r="A3310" s="144"/>
      <c r="B3310" s="160"/>
    </row>
    <row r="3311" spans="1:2" s="161" customFormat="1" ht="13.5" customHeight="1">
      <c r="A3311" s="144"/>
      <c r="B3311" s="160"/>
    </row>
    <row r="3312" spans="1:2" s="161" customFormat="1" ht="12.75">
      <c r="A3312" s="144"/>
      <c r="B3312" s="160"/>
    </row>
    <row r="3313" spans="1:2" s="161" customFormat="1" ht="12.75">
      <c r="A3313" s="144"/>
      <c r="B3313" s="160"/>
    </row>
    <row r="3314" spans="1:2" s="161" customFormat="1" ht="12.75">
      <c r="A3314" s="144"/>
      <c r="B3314" s="160"/>
    </row>
    <row r="3315" spans="1:2" s="161" customFormat="1" ht="12.75">
      <c r="A3315" s="144"/>
      <c r="B3315" s="160"/>
    </row>
    <row r="3316" spans="1:2" s="161" customFormat="1" ht="12.75">
      <c r="A3316" s="144"/>
      <c r="B3316" s="160"/>
    </row>
    <row r="3317" spans="1:2" s="161" customFormat="1" ht="12.75">
      <c r="A3317" s="144"/>
      <c r="B3317" s="160"/>
    </row>
    <row r="3318" spans="1:2" s="161" customFormat="1" ht="12.75">
      <c r="A3318" s="144"/>
      <c r="B3318" s="160"/>
    </row>
    <row r="3319" spans="1:2" s="161" customFormat="1" ht="12.75">
      <c r="A3319" s="144"/>
      <c r="B3319" s="160"/>
    </row>
    <row r="3320" spans="1:2" s="161" customFormat="1" ht="12.75">
      <c r="A3320" s="144"/>
      <c r="B3320" s="160"/>
    </row>
    <row r="3321" spans="1:2" s="161" customFormat="1" ht="12.75">
      <c r="A3321" s="144"/>
      <c r="B3321" s="160"/>
    </row>
    <row r="3322" spans="1:2" s="161" customFormat="1" ht="12.75">
      <c r="A3322" s="144"/>
      <c r="B3322" s="160"/>
    </row>
    <row r="3323" spans="1:2" s="161" customFormat="1" ht="12.75">
      <c r="A3323" s="144"/>
      <c r="B3323" s="160"/>
    </row>
    <row r="3324" spans="1:2" s="161" customFormat="1" ht="12.75">
      <c r="A3324" s="144"/>
      <c r="B3324" s="160"/>
    </row>
    <row r="3325" spans="1:2" s="161" customFormat="1" ht="12.75">
      <c r="A3325" s="144"/>
      <c r="B3325" s="160"/>
    </row>
    <row r="3326" spans="1:2" s="161" customFormat="1" ht="12.75">
      <c r="A3326" s="144"/>
      <c r="B3326" s="160"/>
    </row>
    <row r="3327" spans="1:2" s="161" customFormat="1" ht="12.75">
      <c r="A3327" s="144"/>
      <c r="B3327" s="160"/>
    </row>
    <row r="3328" spans="1:2" s="161" customFormat="1" ht="12.75">
      <c r="A3328" s="144"/>
      <c r="B3328" s="160"/>
    </row>
    <row r="3329" spans="1:2" s="161" customFormat="1" ht="12.75">
      <c r="A3329" s="144"/>
      <c r="B3329" s="160"/>
    </row>
    <row r="3330" spans="1:2" s="161" customFormat="1" ht="12.75">
      <c r="A3330" s="144"/>
      <c r="B3330" s="160"/>
    </row>
    <row r="3331" spans="1:2" s="161" customFormat="1" ht="12.75">
      <c r="A3331" s="144"/>
      <c r="B3331" s="160"/>
    </row>
    <row r="3332" spans="1:2" s="161" customFormat="1" ht="12.75">
      <c r="A3332" s="144"/>
      <c r="B3332" s="160"/>
    </row>
    <row r="3333" spans="1:2" s="161" customFormat="1" ht="12.75">
      <c r="A3333" s="144"/>
      <c r="B3333" s="160"/>
    </row>
    <row r="3334" spans="1:2" s="161" customFormat="1" ht="12.75">
      <c r="A3334" s="144"/>
      <c r="B3334" s="160"/>
    </row>
    <row r="3335" spans="1:2" s="161" customFormat="1" ht="12.75">
      <c r="A3335" s="144"/>
      <c r="B3335" s="160"/>
    </row>
    <row r="3336" spans="1:2" s="161" customFormat="1" ht="12.75">
      <c r="A3336" s="144"/>
      <c r="B3336" s="160"/>
    </row>
    <row r="3337" spans="1:2" s="161" customFormat="1" ht="12.75">
      <c r="A3337" s="144"/>
      <c r="B3337" s="160"/>
    </row>
    <row r="3338" spans="1:2" s="161" customFormat="1" ht="12.75">
      <c r="A3338" s="144"/>
      <c r="B3338" s="160"/>
    </row>
    <row r="3339" spans="1:2" s="161" customFormat="1" ht="12.75">
      <c r="A3339" s="144"/>
      <c r="B3339" s="160"/>
    </row>
    <row r="3340" spans="1:2" s="161" customFormat="1" ht="12.75">
      <c r="A3340" s="144"/>
      <c r="B3340" s="160"/>
    </row>
    <row r="3341" spans="1:2" s="161" customFormat="1" ht="12.75">
      <c r="A3341" s="144"/>
      <c r="B3341" s="160"/>
    </row>
    <row r="3342" spans="1:2" s="161" customFormat="1" ht="12.75">
      <c r="A3342" s="144"/>
      <c r="B3342" s="160"/>
    </row>
    <row r="3343" spans="1:2" s="161" customFormat="1" ht="12.75">
      <c r="A3343" s="144"/>
      <c r="B3343" s="160"/>
    </row>
    <row r="3344" spans="1:2" s="161" customFormat="1" ht="12.75">
      <c r="A3344" s="144"/>
      <c r="B3344" s="160"/>
    </row>
    <row r="3345" spans="1:2" s="161" customFormat="1" ht="12.75">
      <c r="A3345" s="144"/>
      <c r="B3345" s="160"/>
    </row>
    <row r="3346" spans="1:2" s="161" customFormat="1" ht="12.75">
      <c r="A3346" s="144"/>
      <c r="B3346" s="160"/>
    </row>
    <row r="3347" spans="1:2" s="161" customFormat="1" ht="12.75">
      <c r="A3347" s="144"/>
      <c r="B3347" s="160"/>
    </row>
    <row r="3348" spans="1:2" s="161" customFormat="1" ht="12.75">
      <c r="A3348" s="144"/>
      <c r="B3348" s="160"/>
    </row>
    <row r="3349" spans="1:2" s="161" customFormat="1" ht="12.75">
      <c r="A3349" s="144"/>
      <c r="B3349" s="160"/>
    </row>
    <row r="3350" spans="1:2" s="161" customFormat="1" ht="12.75">
      <c r="A3350" s="144"/>
      <c r="B3350" s="160"/>
    </row>
    <row r="3351" spans="1:2" s="161" customFormat="1" ht="12.75">
      <c r="A3351" s="144"/>
      <c r="B3351" s="160"/>
    </row>
    <row r="3352" spans="1:2" s="161" customFormat="1" ht="12.75">
      <c r="A3352" s="144"/>
      <c r="B3352" s="160"/>
    </row>
    <row r="3353" spans="1:2" s="161" customFormat="1" ht="12.75">
      <c r="A3353" s="144"/>
      <c r="B3353" s="160"/>
    </row>
    <row r="3354" spans="1:2" s="161" customFormat="1" ht="12.75">
      <c r="A3354" s="144"/>
      <c r="B3354" s="160"/>
    </row>
    <row r="3355" spans="1:2" s="161" customFormat="1" ht="12.75">
      <c r="A3355" s="144"/>
      <c r="B3355" s="160"/>
    </row>
    <row r="3356" spans="1:2" s="161" customFormat="1" ht="12.75">
      <c r="A3356" s="144"/>
      <c r="B3356" s="160"/>
    </row>
    <row r="3357" spans="1:2" s="161" customFormat="1" ht="12.75">
      <c r="A3357" s="144"/>
      <c r="B3357" s="160"/>
    </row>
    <row r="3358" spans="1:2" s="161" customFormat="1" ht="12.75">
      <c r="A3358" s="144"/>
      <c r="B3358" s="160"/>
    </row>
    <row r="3359" spans="1:2" s="161" customFormat="1" ht="12.75">
      <c r="A3359" s="144"/>
      <c r="B3359" s="160"/>
    </row>
    <row r="3360" spans="1:2" s="161" customFormat="1" ht="12.75">
      <c r="A3360" s="144"/>
      <c r="B3360" s="160"/>
    </row>
    <row r="3361" spans="1:2" s="161" customFormat="1" ht="12.75">
      <c r="A3361" s="144"/>
      <c r="B3361" s="160"/>
    </row>
    <row r="3362" spans="1:2" s="161" customFormat="1" ht="12.75">
      <c r="A3362" s="144"/>
      <c r="B3362" s="160"/>
    </row>
    <row r="3363" spans="1:2" s="161" customFormat="1" ht="12.75">
      <c r="A3363" s="144"/>
      <c r="B3363" s="160"/>
    </row>
    <row r="3364" spans="1:2" s="161" customFormat="1" ht="12.75">
      <c r="A3364" s="144"/>
      <c r="B3364" s="160"/>
    </row>
    <row r="3365" spans="1:2" s="161" customFormat="1" ht="12.75">
      <c r="A3365" s="144"/>
      <c r="B3365" s="160"/>
    </row>
    <row r="3366" spans="1:2" s="161" customFormat="1" ht="12.75">
      <c r="A3366" s="144"/>
      <c r="B3366" s="160"/>
    </row>
    <row r="3367" spans="1:2" s="161" customFormat="1" ht="12.75">
      <c r="A3367" s="144"/>
      <c r="B3367" s="160"/>
    </row>
    <row r="3368" spans="1:2" s="161" customFormat="1" ht="12.75">
      <c r="A3368" s="144"/>
      <c r="B3368" s="160"/>
    </row>
    <row r="3369" spans="1:2" s="161" customFormat="1" ht="12.75">
      <c r="A3369" s="144"/>
      <c r="B3369" s="160"/>
    </row>
    <row r="3370" spans="1:2" s="161" customFormat="1" ht="12.75">
      <c r="A3370" s="144"/>
      <c r="B3370" s="160"/>
    </row>
    <row r="3371" spans="1:2" s="161" customFormat="1" ht="12.75">
      <c r="A3371" s="144"/>
      <c r="B3371" s="160"/>
    </row>
    <row r="3372" spans="1:2" s="161" customFormat="1" ht="12.75">
      <c r="A3372" s="144"/>
      <c r="B3372" s="160"/>
    </row>
    <row r="3373" spans="1:2" s="161" customFormat="1" ht="12.75">
      <c r="A3373" s="144"/>
      <c r="B3373" s="160"/>
    </row>
    <row r="3374" spans="1:2" s="161" customFormat="1" ht="12.75">
      <c r="A3374" s="144"/>
      <c r="B3374" s="160"/>
    </row>
    <row r="3375" spans="1:2" s="161" customFormat="1" ht="12.75">
      <c r="A3375" s="144"/>
      <c r="B3375" s="160"/>
    </row>
    <row r="3376" spans="1:2" s="161" customFormat="1" ht="12.75">
      <c r="A3376" s="144"/>
      <c r="B3376" s="160"/>
    </row>
    <row r="3377" spans="1:2" s="161" customFormat="1" ht="12.75">
      <c r="A3377" s="144"/>
      <c r="B3377" s="160"/>
    </row>
    <row r="3378" spans="1:2" s="161" customFormat="1" ht="12.75">
      <c r="A3378" s="144"/>
      <c r="B3378" s="160"/>
    </row>
    <row r="3379" spans="1:2" s="161" customFormat="1" ht="12.75">
      <c r="A3379" s="144"/>
      <c r="B3379" s="160"/>
    </row>
    <row r="3380" spans="1:2" s="161" customFormat="1" ht="12.75">
      <c r="A3380" s="144"/>
      <c r="B3380" s="160"/>
    </row>
    <row r="3381" spans="1:2" s="161" customFormat="1" ht="12.75">
      <c r="A3381" s="144"/>
      <c r="B3381" s="160"/>
    </row>
    <row r="3382" spans="1:2" s="161" customFormat="1" ht="12.75">
      <c r="A3382" s="144"/>
      <c r="B3382" s="160"/>
    </row>
    <row r="3383" spans="1:2" s="161" customFormat="1" ht="12.75">
      <c r="A3383" s="144"/>
      <c r="B3383" s="160"/>
    </row>
    <row r="3384" spans="1:2" s="161" customFormat="1" ht="12.75">
      <c r="A3384" s="144"/>
      <c r="B3384" s="160"/>
    </row>
    <row r="3385" spans="1:2" s="161" customFormat="1" ht="12.75">
      <c r="A3385" s="144"/>
      <c r="B3385" s="160"/>
    </row>
    <row r="3386" spans="1:2" s="161" customFormat="1" ht="12.75">
      <c r="A3386" s="144"/>
      <c r="B3386" s="160"/>
    </row>
    <row r="3387" spans="1:2" s="161" customFormat="1" ht="12.75">
      <c r="A3387" s="144"/>
      <c r="B3387" s="160"/>
    </row>
    <row r="3388" spans="1:2" s="161" customFormat="1" ht="12.75">
      <c r="A3388" s="144"/>
      <c r="B3388" s="160"/>
    </row>
    <row r="3389" spans="1:2" s="161" customFormat="1" ht="12.75">
      <c r="A3389" s="144"/>
      <c r="B3389" s="160"/>
    </row>
    <row r="3390" spans="1:2" s="161" customFormat="1" ht="12.75">
      <c r="A3390" s="144"/>
      <c r="B3390" s="160"/>
    </row>
    <row r="3391" spans="1:2" s="161" customFormat="1" ht="12.75">
      <c r="A3391" s="144"/>
      <c r="B3391" s="160"/>
    </row>
    <row r="3392" spans="1:2" s="161" customFormat="1" ht="12.75">
      <c r="A3392" s="144"/>
      <c r="B3392" s="160"/>
    </row>
    <row r="3393" spans="1:2" s="161" customFormat="1" ht="12.75">
      <c r="A3393" s="144"/>
      <c r="B3393" s="160"/>
    </row>
    <row r="3394" spans="1:2" s="161" customFormat="1" ht="12.75">
      <c r="A3394" s="144"/>
      <c r="B3394" s="160"/>
    </row>
    <row r="3395" spans="1:2" s="161" customFormat="1" ht="12.75">
      <c r="A3395" s="144"/>
      <c r="B3395" s="160"/>
    </row>
    <row r="3396" spans="1:2" s="161" customFormat="1" ht="12.75">
      <c r="A3396" s="144"/>
      <c r="B3396" s="160"/>
    </row>
    <row r="3397" spans="1:2" s="161" customFormat="1" ht="12.75">
      <c r="A3397" s="144"/>
      <c r="B3397" s="160"/>
    </row>
    <row r="3398" spans="1:2" s="161" customFormat="1" ht="12.75">
      <c r="A3398" s="144"/>
      <c r="B3398" s="160"/>
    </row>
    <row r="3399" spans="1:2" s="161" customFormat="1" ht="12.75">
      <c r="A3399" s="144"/>
      <c r="B3399" s="160"/>
    </row>
    <row r="3400" spans="1:2" s="161" customFormat="1" ht="12.75">
      <c r="A3400" s="144"/>
      <c r="B3400" s="160"/>
    </row>
    <row r="3401" spans="1:2" s="161" customFormat="1" ht="12.75">
      <c r="A3401" s="144"/>
      <c r="B3401" s="160"/>
    </row>
    <row r="3402" spans="1:2" s="161" customFormat="1" ht="12.75">
      <c r="A3402" s="144"/>
      <c r="B3402" s="160"/>
    </row>
    <row r="3403" spans="1:2" s="161" customFormat="1" ht="12.75">
      <c r="A3403" s="144"/>
      <c r="B3403" s="160"/>
    </row>
    <row r="3404" spans="1:2" s="161" customFormat="1" ht="12.75">
      <c r="A3404" s="144"/>
      <c r="B3404" s="160"/>
    </row>
    <row r="3405" spans="1:2" s="161" customFormat="1" ht="12.75">
      <c r="A3405" s="144"/>
      <c r="B3405" s="160"/>
    </row>
    <row r="3406" spans="1:2" s="161" customFormat="1" ht="12.75">
      <c r="A3406" s="144"/>
      <c r="B3406" s="160"/>
    </row>
    <row r="3407" spans="1:2" s="161" customFormat="1" ht="12.75">
      <c r="A3407" s="144"/>
      <c r="B3407" s="160"/>
    </row>
    <row r="3408" spans="1:2" s="161" customFormat="1" ht="12.75">
      <c r="A3408" s="144"/>
      <c r="B3408" s="160"/>
    </row>
    <row r="3409" spans="1:2" s="161" customFormat="1" ht="12.75">
      <c r="A3409" s="144"/>
      <c r="B3409" s="160"/>
    </row>
    <row r="3410" spans="1:2" s="161" customFormat="1" ht="12.75">
      <c r="A3410" s="144"/>
      <c r="B3410" s="160"/>
    </row>
    <row r="3411" spans="1:2" s="161" customFormat="1" ht="12.75">
      <c r="A3411" s="144"/>
      <c r="B3411" s="160"/>
    </row>
    <row r="3412" spans="1:2" s="161" customFormat="1" ht="12.75">
      <c r="A3412" s="144"/>
      <c r="B3412" s="160"/>
    </row>
    <row r="3413" spans="1:2" s="161" customFormat="1" ht="12.75">
      <c r="A3413" s="144"/>
      <c r="B3413" s="160"/>
    </row>
    <row r="3414" spans="1:2" s="161" customFormat="1" ht="12.75">
      <c r="A3414" s="144"/>
      <c r="B3414" s="160"/>
    </row>
    <row r="3415" spans="1:2" s="161" customFormat="1" ht="12.75">
      <c r="A3415" s="144"/>
      <c r="B3415" s="160"/>
    </row>
    <row r="3416" spans="1:2" s="161" customFormat="1" ht="12.75">
      <c r="A3416" s="144"/>
      <c r="B3416" s="160"/>
    </row>
    <row r="3417" spans="1:2" s="161" customFormat="1" ht="12.75">
      <c r="A3417" s="144"/>
      <c r="B3417" s="160"/>
    </row>
    <row r="3418" spans="1:2" s="161" customFormat="1" ht="12.75">
      <c r="A3418" s="144"/>
      <c r="B3418" s="160"/>
    </row>
    <row r="3419" spans="1:2" s="161" customFormat="1" ht="12.75">
      <c r="A3419" s="144"/>
      <c r="B3419" s="160"/>
    </row>
    <row r="3420" spans="1:2" s="161" customFormat="1" ht="12.75">
      <c r="A3420" s="144"/>
      <c r="B3420" s="160"/>
    </row>
    <row r="3421" spans="1:2" s="161" customFormat="1" ht="12.75">
      <c r="A3421" s="144"/>
      <c r="B3421" s="160"/>
    </row>
    <row r="3422" spans="1:2" s="161" customFormat="1" ht="12.75">
      <c r="A3422" s="144"/>
      <c r="B3422" s="160"/>
    </row>
    <row r="3423" spans="1:2" s="161" customFormat="1" ht="12.75">
      <c r="A3423" s="144"/>
      <c r="B3423" s="160"/>
    </row>
    <row r="3424" spans="1:2" s="161" customFormat="1" ht="12.75">
      <c r="A3424" s="144"/>
      <c r="B3424" s="160"/>
    </row>
    <row r="3425" spans="1:2" s="161" customFormat="1" ht="12.75">
      <c r="A3425" s="144"/>
      <c r="B3425" s="160"/>
    </row>
    <row r="3426" spans="1:2" s="161" customFormat="1" ht="12.75">
      <c r="A3426" s="144"/>
      <c r="B3426" s="160"/>
    </row>
    <row r="3427" spans="1:2" s="161" customFormat="1" ht="12.75">
      <c r="A3427" s="144"/>
      <c r="B3427" s="160"/>
    </row>
    <row r="3428" spans="1:2" s="161" customFormat="1" ht="12.75">
      <c r="A3428" s="144"/>
      <c r="B3428" s="160"/>
    </row>
    <row r="3429" spans="1:2" s="161" customFormat="1" ht="12.75">
      <c r="A3429" s="144"/>
      <c r="B3429" s="160"/>
    </row>
    <row r="3430" spans="1:2" s="161" customFormat="1" ht="12.75">
      <c r="A3430" s="144"/>
      <c r="B3430" s="160"/>
    </row>
    <row r="3431" spans="1:2" s="161" customFormat="1" ht="12.75">
      <c r="A3431" s="144"/>
      <c r="B3431" s="160"/>
    </row>
    <row r="3432" spans="1:2" s="161" customFormat="1" ht="12.75">
      <c r="A3432" s="144"/>
      <c r="B3432" s="160"/>
    </row>
    <row r="3433" spans="1:2" s="161" customFormat="1" ht="12.75">
      <c r="A3433" s="144"/>
      <c r="B3433" s="160"/>
    </row>
    <row r="3434" spans="1:2" s="161" customFormat="1" ht="12.75">
      <c r="A3434" s="144"/>
      <c r="B3434" s="160"/>
    </row>
    <row r="3435" spans="1:2" s="161" customFormat="1" ht="12.75">
      <c r="A3435" s="144"/>
      <c r="B3435" s="160"/>
    </row>
    <row r="3436" spans="1:2" s="161" customFormat="1" ht="12.75">
      <c r="A3436" s="144"/>
      <c r="B3436" s="160"/>
    </row>
    <row r="3437" spans="1:2" s="161" customFormat="1" ht="12.75">
      <c r="A3437" s="144"/>
      <c r="B3437" s="160"/>
    </row>
    <row r="3438" spans="1:2" s="161" customFormat="1" ht="12.75">
      <c r="A3438" s="144"/>
      <c r="B3438" s="160"/>
    </row>
    <row r="3439" spans="1:2" s="161" customFormat="1" ht="12.75">
      <c r="A3439" s="144"/>
      <c r="B3439" s="160"/>
    </row>
    <row r="3440" spans="1:2" s="161" customFormat="1" ht="12.75">
      <c r="A3440" s="144"/>
      <c r="B3440" s="160"/>
    </row>
    <row r="3441" spans="1:2" s="161" customFormat="1" ht="12.75">
      <c r="A3441" s="144"/>
      <c r="B3441" s="160"/>
    </row>
    <row r="3442" spans="1:2" s="161" customFormat="1" ht="12.75">
      <c r="A3442" s="144"/>
      <c r="B3442" s="160"/>
    </row>
    <row r="3443" spans="1:2" s="161" customFormat="1" ht="12.75">
      <c r="A3443" s="144"/>
      <c r="B3443" s="160"/>
    </row>
    <row r="3444" spans="1:2" s="161" customFormat="1" ht="12.75">
      <c r="A3444" s="144"/>
      <c r="B3444" s="160"/>
    </row>
    <row r="3445" spans="1:2" s="161" customFormat="1" ht="12.75">
      <c r="A3445" s="144"/>
      <c r="B3445" s="160"/>
    </row>
    <row r="3446" spans="1:2" s="161" customFormat="1" ht="12.75">
      <c r="A3446" s="144"/>
      <c r="B3446" s="160"/>
    </row>
    <row r="3447" spans="1:2" s="161" customFormat="1" ht="12.75">
      <c r="A3447" s="144"/>
      <c r="B3447" s="160"/>
    </row>
    <row r="3448" spans="1:2" s="161" customFormat="1" ht="12.75">
      <c r="A3448" s="144"/>
      <c r="B3448" s="160"/>
    </row>
    <row r="3449" spans="1:2" s="161" customFormat="1" ht="12.75">
      <c r="A3449" s="144"/>
      <c r="B3449" s="160"/>
    </row>
    <row r="3450" spans="1:2" s="161" customFormat="1" ht="12.75">
      <c r="A3450" s="144"/>
      <c r="B3450" s="160"/>
    </row>
    <row r="3451" spans="1:2" s="161" customFormat="1" ht="12.75">
      <c r="A3451" s="144"/>
      <c r="B3451" s="160"/>
    </row>
    <row r="3452" spans="1:2" s="161" customFormat="1" ht="12.75">
      <c r="A3452" s="144"/>
      <c r="B3452" s="160"/>
    </row>
    <row r="3453" spans="1:2" s="161" customFormat="1" ht="12.75">
      <c r="A3453" s="144"/>
      <c r="B3453" s="160"/>
    </row>
    <row r="3454" spans="1:2" s="161" customFormat="1" ht="12.75">
      <c r="A3454" s="144"/>
      <c r="B3454" s="160"/>
    </row>
    <row r="3455" spans="1:2" s="161" customFormat="1" ht="12.75">
      <c r="A3455" s="144"/>
      <c r="B3455" s="160"/>
    </row>
    <row r="3456" spans="1:2" s="161" customFormat="1" ht="12.75">
      <c r="A3456" s="144"/>
      <c r="B3456" s="160"/>
    </row>
    <row r="3457" spans="1:2" s="161" customFormat="1" ht="12.75">
      <c r="A3457" s="144"/>
      <c r="B3457" s="160"/>
    </row>
    <row r="3458" spans="1:2" s="161" customFormat="1" ht="12.75">
      <c r="A3458" s="144"/>
      <c r="B3458" s="160"/>
    </row>
    <row r="3459" spans="1:2" s="161" customFormat="1" ht="12.75">
      <c r="A3459" s="144"/>
      <c r="B3459" s="160"/>
    </row>
    <row r="3460" spans="1:2" s="161" customFormat="1" ht="12.75">
      <c r="A3460" s="144"/>
      <c r="B3460" s="160"/>
    </row>
    <row r="3461" spans="1:2" s="161" customFormat="1" ht="12.75">
      <c r="A3461" s="144"/>
      <c r="B3461" s="160"/>
    </row>
    <row r="3462" spans="1:2" s="161" customFormat="1" ht="12.75">
      <c r="A3462" s="144"/>
      <c r="B3462" s="160"/>
    </row>
    <row r="3463" spans="1:2" s="161" customFormat="1" ht="12.75">
      <c r="A3463" s="144"/>
      <c r="B3463" s="160"/>
    </row>
    <row r="3464" spans="1:2" s="161" customFormat="1" ht="12.75">
      <c r="A3464" s="144"/>
      <c r="B3464" s="160"/>
    </row>
    <row r="3465" spans="1:2" s="161" customFormat="1" ht="12.75">
      <c r="A3465" s="144"/>
      <c r="B3465" s="160"/>
    </row>
    <row r="3466" spans="1:2" s="161" customFormat="1" ht="12.75">
      <c r="A3466" s="144"/>
      <c r="B3466" s="160"/>
    </row>
    <row r="3467" spans="1:2" s="161" customFormat="1" ht="12.75">
      <c r="A3467" s="144"/>
      <c r="B3467" s="160"/>
    </row>
    <row r="3468" spans="1:2" s="161" customFormat="1" ht="12.75">
      <c r="A3468" s="144"/>
      <c r="B3468" s="160"/>
    </row>
    <row r="3469" spans="1:2" s="161" customFormat="1" ht="12.75">
      <c r="A3469" s="144"/>
      <c r="B3469" s="160"/>
    </row>
    <row r="3470" spans="1:2" s="161" customFormat="1" ht="12.75">
      <c r="A3470" s="144"/>
      <c r="B3470" s="160"/>
    </row>
    <row r="3471" spans="1:2" s="161" customFormat="1" ht="12.75">
      <c r="A3471" s="144"/>
      <c r="B3471" s="160"/>
    </row>
    <row r="3472" spans="1:2" s="161" customFormat="1" ht="12.75">
      <c r="A3472" s="144"/>
      <c r="B3472" s="160"/>
    </row>
    <row r="3473" spans="1:2" s="161" customFormat="1" ht="12.75">
      <c r="A3473" s="144"/>
      <c r="B3473" s="160"/>
    </row>
    <row r="3474" spans="1:2" s="161" customFormat="1" ht="12.75">
      <c r="A3474" s="144"/>
      <c r="B3474" s="160"/>
    </row>
    <row r="3475" spans="1:2" s="161" customFormat="1" ht="12.75">
      <c r="A3475" s="144"/>
      <c r="B3475" s="160"/>
    </row>
    <row r="3476" spans="1:2" s="161" customFormat="1" ht="12.75">
      <c r="A3476" s="144"/>
      <c r="B3476" s="160"/>
    </row>
    <row r="3477" spans="1:2" s="161" customFormat="1" ht="12.75">
      <c r="A3477" s="144"/>
      <c r="B3477" s="160"/>
    </row>
    <row r="3478" spans="1:2" s="161" customFormat="1" ht="12.75">
      <c r="A3478" s="144"/>
      <c r="B3478" s="160"/>
    </row>
    <row r="3479" spans="1:2" s="161" customFormat="1" ht="12.75">
      <c r="A3479" s="144"/>
      <c r="B3479" s="160"/>
    </row>
    <row r="3480" spans="1:2" s="161" customFormat="1" ht="12.75">
      <c r="A3480" s="144"/>
      <c r="B3480" s="160"/>
    </row>
    <row r="3481" spans="1:2" s="161" customFormat="1" ht="12.75">
      <c r="A3481" s="144"/>
      <c r="B3481" s="160"/>
    </row>
    <row r="3482" spans="1:2" s="161" customFormat="1" ht="12.75">
      <c r="A3482" s="144"/>
      <c r="B3482" s="160"/>
    </row>
    <row r="3483" spans="1:2" s="161" customFormat="1" ht="12.75">
      <c r="A3483" s="144"/>
      <c r="B3483" s="160"/>
    </row>
    <row r="3484" spans="1:2" s="161" customFormat="1" ht="12.75">
      <c r="A3484" s="144"/>
      <c r="B3484" s="160"/>
    </row>
    <row r="3485" spans="1:2" s="161" customFormat="1" ht="12.75">
      <c r="A3485" s="144"/>
      <c r="B3485" s="160"/>
    </row>
    <row r="3486" spans="1:2" s="161" customFormat="1" ht="12.75">
      <c r="A3486" s="144"/>
      <c r="B3486" s="160"/>
    </row>
    <row r="3487" spans="1:2" s="161" customFormat="1" ht="12.75">
      <c r="A3487" s="144"/>
      <c r="B3487" s="160"/>
    </row>
    <row r="3488" spans="1:2" s="161" customFormat="1" ht="12.75">
      <c r="A3488" s="144"/>
      <c r="B3488" s="160"/>
    </row>
    <row r="3489" spans="1:2" s="161" customFormat="1" ht="12.75">
      <c r="A3489" s="144"/>
      <c r="B3489" s="160"/>
    </row>
    <row r="3490" spans="1:2" s="161" customFormat="1" ht="12.75">
      <c r="A3490" s="144"/>
      <c r="B3490" s="160"/>
    </row>
    <row r="3491" spans="1:2" s="161" customFormat="1" ht="12.75">
      <c r="A3491" s="144"/>
      <c r="B3491" s="160"/>
    </row>
    <row r="3492" spans="1:2" s="161" customFormat="1" ht="12.75">
      <c r="A3492" s="144"/>
      <c r="B3492" s="160"/>
    </row>
    <row r="3493" spans="1:2" s="161" customFormat="1" ht="12.75">
      <c r="A3493" s="144"/>
      <c r="B3493" s="160"/>
    </row>
    <row r="3494" spans="1:2" s="161" customFormat="1" ht="12.75">
      <c r="A3494" s="144"/>
      <c r="B3494" s="160"/>
    </row>
    <row r="3495" spans="1:2" s="161" customFormat="1" ht="12.75">
      <c r="A3495" s="144"/>
      <c r="B3495" s="160"/>
    </row>
    <row r="3496" spans="1:2" s="161" customFormat="1" ht="12.75">
      <c r="A3496" s="144"/>
      <c r="B3496" s="160"/>
    </row>
    <row r="3497" spans="1:2" s="161" customFormat="1" ht="12.75">
      <c r="A3497" s="144"/>
      <c r="B3497" s="160"/>
    </row>
    <row r="3498" spans="1:2" s="161" customFormat="1" ht="12.75">
      <c r="A3498" s="144"/>
      <c r="B3498" s="160"/>
    </row>
    <row r="3499" spans="1:2" s="161" customFormat="1" ht="12.75">
      <c r="A3499" s="144"/>
      <c r="B3499" s="160"/>
    </row>
    <row r="3500" spans="1:2" s="161" customFormat="1" ht="12.75">
      <c r="A3500" s="144"/>
      <c r="B3500" s="160"/>
    </row>
    <row r="3501" spans="1:2" s="161" customFormat="1" ht="12.75">
      <c r="A3501" s="144"/>
      <c r="B3501" s="160"/>
    </row>
    <row r="3502" spans="1:2" s="161" customFormat="1" ht="12.75">
      <c r="A3502" s="144"/>
      <c r="B3502" s="160"/>
    </row>
    <row r="3503" spans="1:2" s="161" customFormat="1" ht="12.75">
      <c r="A3503" s="144"/>
      <c r="B3503" s="160"/>
    </row>
    <row r="3504" spans="1:2" s="161" customFormat="1" ht="12.75">
      <c r="A3504" s="144"/>
      <c r="B3504" s="160"/>
    </row>
    <row r="3505" spans="1:2" s="161" customFormat="1" ht="12.75">
      <c r="A3505" s="144"/>
      <c r="B3505" s="160"/>
    </row>
    <row r="3506" spans="1:2" s="161" customFormat="1" ht="12.75">
      <c r="A3506" s="144"/>
      <c r="B3506" s="160"/>
    </row>
    <row r="3507" spans="1:2" s="161" customFormat="1" ht="12.75">
      <c r="A3507" s="144"/>
      <c r="B3507" s="160"/>
    </row>
    <row r="3508" spans="1:2" s="161" customFormat="1" ht="12.75">
      <c r="A3508" s="144"/>
      <c r="B3508" s="160"/>
    </row>
    <row r="3509" spans="1:2" s="161" customFormat="1" ht="12.75">
      <c r="A3509" s="144"/>
      <c r="B3509" s="160"/>
    </row>
    <row r="3510" spans="1:2" s="161" customFormat="1" ht="12.75">
      <c r="A3510" s="144"/>
      <c r="B3510" s="160"/>
    </row>
    <row r="3511" spans="1:2" s="161" customFormat="1" ht="12.75">
      <c r="A3511" s="144"/>
      <c r="B3511" s="160"/>
    </row>
    <row r="3512" spans="1:2" s="161" customFormat="1" ht="12.75">
      <c r="A3512" s="144"/>
      <c r="B3512" s="160"/>
    </row>
    <row r="3513" spans="1:2" s="161" customFormat="1" ht="12.75">
      <c r="A3513" s="144"/>
      <c r="B3513" s="160"/>
    </row>
    <row r="3514" spans="1:2" s="161" customFormat="1" ht="12.75">
      <c r="A3514" s="144"/>
      <c r="B3514" s="160"/>
    </row>
    <row r="3515" spans="1:2" s="161" customFormat="1" ht="12.75">
      <c r="A3515" s="144"/>
      <c r="B3515" s="160"/>
    </row>
    <row r="3516" spans="1:2" s="161" customFormat="1" ht="12.75">
      <c r="A3516" s="144"/>
      <c r="B3516" s="160"/>
    </row>
    <row r="3517" spans="1:2" s="161" customFormat="1" ht="12.75">
      <c r="A3517" s="144"/>
      <c r="B3517" s="160"/>
    </row>
    <row r="3518" spans="1:2" s="161" customFormat="1" ht="12.75">
      <c r="A3518" s="144"/>
      <c r="B3518" s="160"/>
    </row>
    <row r="3519" spans="1:2" s="161" customFormat="1" ht="12.75">
      <c r="A3519" s="144"/>
      <c r="B3519" s="160"/>
    </row>
    <row r="3520" spans="1:2" s="161" customFormat="1" ht="12.75">
      <c r="A3520" s="144"/>
      <c r="B3520" s="160"/>
    </row>
    <row r="3521" spans="1:2" s="161" customFormat="1" ht="12.75">
      <c r="A3521" s="144"/>
      <c r="B3521" s="160"/>
    </row>
    <row r="3522" spans="1:2" s="161" customFormat="1" ht="12.75">
      <c r="A3522" s="144"/>
      <c r="B3522" s="160"/>
    </row>
    <row r="3523" spans="1:2" s="161" customFormat="1" ht="12.75">
      <c r="A3523" s="144"/>
      <c r="B3523" s="160"/>
    </row>
    <row r="3524" spans="1:2" s="161" customFormat="1" ht="12.75">
      <c r="A3524" s="144"/>
      <c r="B3524" s="160"/>
    </row>
    <row r="3525" spans="1:2" s="161" customFormat="1" ht="12.75">
      <c r="A3525" s="144"/>
      <c r="B3525" s="160"/>
    </row>
    <row r="3526" spans="1:2" s="161" customFormat="1" ht="12.75">
      <c r="A3526" s="144"/>
      <c r="B3526" s="160"/>
    </row>
    <row r="3527" spans="1:2" s="161" customFormat="1" ht="12.75">
      <c r="A3527" s="144"/>
      <c r="B3527" s="160"/>
    </row>
    <row r="3528" spans="1:2" s="161" customFormat="1" ht="12.75">
      <c r="A3528" s="144"/>
      <c r="B3528" s="160"/>
    </row>
    <row r="3529" spans="1:2" s="161" customFormat="1" ht="12.75">
      <c r="A3529" s="144"/>
      <c r="B3529" s="160"/>
    </row>
    <row r="3530" spans="1:2" s="161" customFormat="1" ht="12.75">
      <c r="A3530" s="144"/>
      <c r="B3530" s="160"/>
    </row>
    <row r="3531" spans="1:2" s="161" customFormat="1" ht="12.75">
      <c r="A3531" s="144"/>
      <c r="B3531" s="160"/>
    </row>
    <row r="3532" spans="1:2" s="161" customFormat="1" ht="12.75">
      <c r="A3532" s="144"/>
      <c r="B3532" s="160"/>
    </row>
    <row r="3533" spans="1:2" s="161" customFormat="1" ht="12.75">
      <c r="A3533" s="144"/>
      <c r="B3533" s="160"/>
    </row>
    <row r="3534" spans="1:2" s="161" customFormat="1" ht="12.75">
      <c r="A3534" s="144"/>
      <c r="B3534" s="160"/>
    </row>
    <row r="3535" spans="1:2" s="161" customFormat="1" ht="12.75">
      <c r="A3535" s="144"/>
      <c r="B3535" s="160"/>
    </row>
    <row r="3536" spans="1:2" s="161" customFormat="1" ht="12.75">
      <c r="A3536" s="144"/>
      <c r="B3536" s="160"/>
    </row>
    <row r="3537" spans="1:2" s="161" customFormat="1" ht="12.75">
      <c r="A3537" s="144"/>
      <c r="B3537" s="160"/>
    </row>
    <row r="3538" spans="1:2" s="161" customFormat="1" ht="12.75">
      <c r="A3538" s="144"/>
      <c r="B3538" s="160"/>
    </row>
    <row r="3539" spans="1:2" s="161" customFormat="1" ht="12.75">
      <c r="A3539" s="144"/>
      <c r="B3539" s="160"/>
    </row>
    <row r="3540" spans="1:2" s="161" customFormat="1" ht="12.75">
      <c r="A3540" s="144"/>
      <c r="B3540" s="160"/>
    </row>
    <row r="3541" spans="1:2" s="161" customFormat="1" ht="12.75">
      <c r="A3541" s="144"/>
      <c r="B3541" s="160"/>
    </row>
    <row r="3542" spans="1:2" s="161" customFormat="1" ht="12.75">
      <c r="A3542" s="144"/>
      <c r="B3542" s="160"/>
    </row>
    <row r="3543" spans="1:2" s="161" customFormat="1" ht="12.75">
      <c r="A3543" s="144"/>
      <c r="B3543" s="160"/>
    </row>
    <row r="3544" spans="1:2" s="161" customFormat="1" ht="12.75">
      <c r="A3544" s="144"/>
      <c r="B3544" s="160"/>
    </row>
    <row r="3545" spans="1:2" s="161" customFormat="1" ht="12.75">
      <c r="A3545" s="144"/>
      <c r="B3545" s="160"/>
    </row>
    <row r="3546" spans="1:2" s="161" customFormat="1" ht="12.75">
      <c r="A3546" s="144"/>
      <c r="B3546" s="160"/>
    </row>
    <row r="3547" spans="1:2" s="161" customFormat="1" ht="12.75">
      <c r="A3547" s="144"/>
      <c r="B3547" s="160"/>
    </row>
    <row r="3548" spans="1:2" s="161" customFormat="1" ht="12.75">
      <c r="A3548" s="144"/>
      <c r="B3548" s="160"/>
    </row>
    <row r="3549" spans="1:2" s="161" customFormat="1" ht="12.75">
      <c r="A3549" s="144"/>
      <c r="B3549" s="160"/>
    </row>
    <row r="3550" spans="1:2" s="161" customFormat="1" ht="12.75">
      <c r="A3550" s="144"/>
      <c r="B3550" s="160"/>
    </row>
    <row r="3551" spans="1:2" s="161" customFormat="1" ht="12.75">
      <c r="A3551" s="144"/>
      <c r="B3551" s="160"/>
    </row>
    <row r="3552" spans="1:2" s="161" customFormat="1" ht="13.5" customHeight="1">
      <c r="A3552" s="144"/>
      <c r="B3552" s="160"/>
    </row>
    <row r="3553" spans="1:2" s="161" customFormat="1" ht="12.75">
      <c r="A3553" s="144"/>
      <c r="B3553" s="160"/>
    </row>
    <row r="3554" spans="1:2" s="161" customFormat="1" ht="12.75">
      <c r="A3554" s="144"/>
      <c r="B3554" s="160"/>
    </row>
    <row r="3555" spans="1:2" s="161" customFormat="1" ht="12.75">
      <c r="A3555" s="144"/>
      <c r="B3555" s="160"/>
    </row>
    <row r="3556" spans="1:2" s="161" customFormat="1" ht="12.75">
      <c r="A3556" s="144"/>
      <c r="B3556" s="160"/>
    </row>
    <row r="3557" spans="1:2" s="161" customFormat="1" ht="12.75">
      <c r="A3557" s="144"/>
      <c r="B3557" s="160"/>
    </row>
    <row r="3558" spans="1:2" s="161" customFormat="1" ht="12.75">
      <c r="A3558" s="144"/>
      <c r="B3558" s="160"/>
    </row>
    <row r="3559" spans="1:2" s="161" customFormat="1" ht="12.75">
      <c r="A3559" s="144"/>
      <c r="B3559" s="160"/>
    </row>
    <row r="3560" spans="1:2" s="161" customFormat="1" ht="12.75">
      <c r="A3560" s="144"/>
      <c r="B3560" s="160"/>
    </row>
    <row r="3561" spans="1:2" s="161" customFormat="1" ht="12.75">
      <c r="A3561" s="144"/>
      <c r="B3561" s="160"/>
    </row>
    <row r="3562" spans="1:2" s="161" customFormat="1" ht="12.75">
      <c r="A3562" s="144"/>
      <c r="B3562" s="160"/>
    </row>
    <row r="3563" spans="1:2" s="161" customFormat="1" ht="12.75">
      <c r="A3563" s="144"/>
      <c r="B3563" s="160"/>
    </row>
    <row r="3564" spans="1:2" s="161" customFormat="1" ht="12.75">
      <c r="A3564" s="144"/>
      <c r="B3564" s="160"/>
    </row>
    <row r="3565" spans="1:2" s="161" customFormat="1" ht="12.75">
      <c r="A3565" s="144"/>
      <c r="B3565" s="160"/>
    </row>
    <row r="3566" spans="1:2" s="161" customFormat="1" ht="12.75">
      <c r="A3566" s="144"/>
      <c r="B3566" s="160"/>
    </row>
    <row r="3567" spans="1:2" s="161" customFormat="1" ht="12.75">
      <c r="A3567" s="144"/>
      <c r="B3567" s="160"/>
    </row>
    <row r="3568" spans="1:2" s="161" customFormat="1" ht="12.75">
      <c r="A3568" s="144"/>
      <c r="B3568" s="160"/>
    </row>
    <row r="3569" spans="1:2" s="161" customFormat="1" ht="12.75">
      <c r="A3569" s="144"/>
      <c r="B3569" s="160"/>
    </row>
    <row r="3570" spans="1:2" s="161" customFormat="1" ht="12.75">
      <c r="A3570" s="144"/>
      <c r="B3570" s="160"/>
    </row>
    <row r="3571" spans="1:2" s="161" customFormat="1" ht="12.75">
      <c r="A3571" s="144"/>
      <c r="B3571" s="160"/>
    </row>
    <row r="3572" spans="1:2" s="161" customFormat="1" ht="12.75">
      <c r="A3572" s="144"/>
      <c r="B3572" s="160"/>
    </row>
    <row r="3573" spans="1:2" s="161" customFormat="1" ht="12.75">
      <c r="A3573" s="144"/>
      <c r="B3573" s="160"/>
    </row>
    <row r="3574" spans="1:2" s="161" customFormat="1" ht="12.75">
      <c r="A3574" s="144"/>
      <c r="B3574" s="160"/>
    </row>
    <row r="3575" spans="1:2" s="161" customFormat="1" ht="12.75">
      <c r="A3575" s="144"/>
      <c r="B3575" s="160"/>
    </row>
    <row r="3576" spans="1:2" s="161" customFormat="1" ht="12.75">
      <c r="A3576" s="144"/>
      <c r="B3576" s="160"/>
    </row>
    <row r="3577" spans="1:2" s="161" customFormat="1" ht="12.75">
      <c r="A3577" s="144"/>
      <c r="B3577" s="160"/>
    </row>
    <row r="3578" spans="1:2" s="161" customFormat="1" ht="12.75">
      <c r="A3578" s="144"/>
      <c r="B3578" s="160"/>
    </row>
    <row r="3579" spans="1:2" s="161" customFormat="1" ht="12.75">
      <c r="A3579" s="144"/>
      <c r="B3579" s="160"/>
    </row>
    <row r="3580" spans="1:2" s="161" customFormat="1" ht="12.75">
      <c r="A3580" s="144"/>
      <c r="B3580" s="160"/>
    </row>
    <row r="3581" spans="1:2" s="161" customFormat="1" ht="12.75">
      <c r="A3581" s="144"/>
      <c r="B3581" s="160"/>
    </row>
    <row r="3582" spans="1:2" s="161" customFormat="1" ht="12.75">
      <c r="A3582" s="144"/>
      <c r="B3582" s="160"/>
    </row>
    <row r="3583" spans="1:2" s="161" customFormat="1" ht="12.75">
      <c r="A3583" s="144"/>
      <c r="B3583" s="160"/>
    </row>
    <row r="3584" spans="1:2" s="161" customFormat="1" ht="12.75">
      <c r="A3584" s="144"/>
      <c r="B3584" s="160"/>
    </row>
    <row r="3585" spans="1:2" s="161" customFormat="1" ht="12.75">
      <c r="A3585" s="144"/>
      <c r="B3585" s="160"/>
    </row>
    <row r="3586" spans="1:2" s="161" customFormat="1" ht="12.75">
      <c r="A3586" s="144"/>
      <c r="B3586" s="160"/>
    </row>
    <row r="3587" spans="1:2" s="161" customFormat="1" ht="12.75">
      <c r="A3587" s="144"/>
      <c r="B3587" s="160"/>
    </row>
    <row r="3588" spans="1:2" s="161" customFormat="1" ht="12.75">
      <c r="A3588" s="144"/>
      <c r="B3588" s="160"/>
    </row>
    <row r="3589" spans="1:2" s="161" customFormat="1" ht="12.75">
      <c r="A3589" s="144"/>
      <c r="B3589" s="160"/>
    </row>
    <row r="3590" spans="1:2" s="161" customFormat="1" ht="12.75">
      <c r="A3590" s="144"/>
      <c r="B3590" s="160"/>
    </row>
    <row r="3591" spans="1:2" s="161" customFormat="1" ht="12.75">
      <c r="A3591" s="144"/>
      <c r="B3591" s="160"/>
    </row>
    <row r="3592" spans="1:2" s="161" customFormat="1" ht="12.75">
      <c r="A3592" s="144"/>
      <c r="B3592" s="160"/>
    </row>
    <row r="3593" spans="1:2" s="161" customFormat="1" ht="12.75">
      <c r="A3593" s="144"/>
      <c r="B3593" s="160"/>
    </row>
    <row r="3594" spans="1:2" s="161" customFormat="1" ht="12.75">
      <c r="A3594" s="144"/>
      <c r="B3594" s="160"/>
    </row>
    <row r="3595" spans="1:2" s="161" customFormat="1" ht="12.75">
      <c r="A3595" s="144"/>
      <c r="B3595" s="160"/>
    </row>
    <row r="3596" spans="1:2" s="161" customFormat="1" ht="12.75">
      <c r="A3596" s="144"/>
      <c r="B3596" s="160"/>
    </row>
    <row r="3597" spans="1:2" s="161" customFormat="1" ht="12.75">
      <c r="A3597" s="144"/>
      <c r="B3597" s="160"/>
    </row>
    <row r="3598" spans="1:2" s="161" customFormat="1" ht="12.75">
      <c r="A3598" s="144"/>
      <c r="B3598" s="160"/>
    </row>
    <row r="3599" spans="1:2" s="161" customFormat="1" ht="12.75">
      <c r="A3599" s="144"/>
      <c r="B3599" s="160"/>
    </row>
    <row r="3600" spans="1:2" s="161" customFormat="1" ht="12.75">
      <c r="A3600" s="144"/>
      <c r="B3600" s="160"/>
    </row>
    <row r="3601" spans="1:2" s="161" customFormat="1" ht="12.75">
      <c r="A3601" s="144"/>
      <c r="B3601" s="160"/>
    </row>
    <row r="3602" spans="1:2" s="161" customFormat="1" ht="12.75">
      <c r="A3602" s="144"/>
      <c r="B3602" s="160"/>
    </row>
    <row r="3603" spans="1:2" s="161" customFormat="1" ht="12.75">
      <c r="A3603" s="144"/>
      <c r="B3603" s="160"/>
    </row>
    <row r="3604" spans="1:2" s="161" customFormat="1" ht="12.75">
      <c r="A3604" s="144"/>
      <c r="B3604" s="160"/>
    </row>
    <row r="3605" spans="1:2" s="161" customFormat="1" ht="12.75">
      <c r="A3605" s="144"/>
      <c r="B3605" s="160"/>
    </row>
    <row r="3606" spans="1:2" s="161" customFormat="1" ht="12.75">
      <c r="A3606" s="144"/>
      <c r="B3606" s="160"/>
    </row>
    <row r="3607" spans="1:2" s="161" customFormat="1" ht="12.75">
      <c r="A3607" s="144"/>
      <c r="B3607" s="160"/>
    </row>
    <row r="3608" spans="1:2" s="161" customFormat="1" ht="12.75">
      <c r="A3608" s="144"/>
      <c r="B3608" s="160"/>
    </row>
    <row r="3609" spans="1:2" s="161" customFormat="1" ht="12.75">
      <c r="A3609" s="144"/>
      <c r="B3609" s="160"/>
    </row>
    <row r="3610" spans="1:2" s="161" customFormat="1" ht="12.75">
      <c r="A3610" s="144"/>
      <c r="B3610" s="160"/>
    </row>
    <row r="3611" spans="1:2" s="161" customFormat="1" ht="12.75">
      <c r="A3611" s="144"/>
      <c r="B3611" s="160"/>
    </row>
    <row r="3612" spans="1:2" s="161" customFormat="1" ht="12.75">
      <c r="A3612" s="144"/>
      <c r="B3612" s="160"/>
    </row>
    <row r="3613" spans="1:2" s="161" customFormat="1" ht="12.75">
      <c r="A3613" s="144"/>
      <c r="B3613" s="160"/>
    </row>
    <row r="3614" spans="1:2" s="161" customFormat="1" ht="12.75">
      <c r="A3614" s="144"/>
      <c r="B3614" s="160"/>
    </row>
    <row r="3615" spans="1:2" s="161" customFormat="1" ht="12.75">
      <c r="A3615" s="144"/>
      <c r="B3615" s="160"/>
    </row>
    <row r="3616" spans="1:2" s="161" customFormat="1" ht="12.75">
      <c r="A3616" s="144"/>
      <c r="B3616" s="160"/>
    </row>
    <row r="3617" spans="1:2" s="161" customFormat="1" ht="12.75">
      <c r="A3617" s="144"/>
      <c r="B3617" s="160"/>
    </row>
    <row r="3618" spans="1:2" s="161" customFormat="1" ht="12.75">
      <c r="A3618" s="144"/>
      <c r="B3618" s="160"/>
    </row>
    <row r="3619" spans="1:2" s="161" customFormat="1" ht="12.75">
      <c r="A3619" s="144"/>
      <c r="B3619" s="160"/>
    </row>
    <row r="3620" spans="1:2" s="161" customFormat="1" ht="12.75">
      <c r="A3620" s="144"/>
      <c r="B3620" s="160"/>
    </row>
    <row r="3621" spans="1:2" s="161" customFormat="1" ht="12.75">
      <c r="A3621" s="144"/>
      <c r="B3621" s="160"/>
    </row>
    <row r="3622" spans="1:2" s="161" customFormat="1" ht="12.75">
      <c r="A3622" s="144"/>
      <c r="B3622" s="160"/>
    </row>
    <row r="3623" spans="1:2" s="161" customFormat="1" ht="12.75">
      <c r="A3623" s="144"/>
      <c r="B3623" s="160"/>
    </row>
    <row r="3624" spans="1:2" s="161" customFormat="1" ht="12.75">
      <c r="A3624" s="144"/>
      <c r="B3624" s="160"/>
    </row>
    <row r="3625" spans="1:2" s="161" customFormat="1" ht="12.75">
      <c r="A3625" s="144"/>
      <c r="B3625" s="160"/>
    </row>
    <row r="3626" spans="1:2" s="161" customFormat="1" ht="12.75">
      <c r="A3626" s="144"/>
      <c r="B3626" s="160"/>
    </row>
    <row r="3627" spans="1:2" s="161" customFormat="1" ht="12.75">
      <c r="A3627" s="144"/>
      <c r="B3627" s="160"/>
    </row>
    <row r="3628" spans="1:2" s="161" customFormat="1" ht="12.75">
      <c r="A3628" s="144"/>
      <c r="B3628" s="160"/>
    </row>
    <row r="3629" spans="1:2" s="161" customFormat="1" ht="12.75">
      <c r="A3629" s="144"/>
      <c r="B3629" s="160"/>
    </row>
    <row r="3630" spans="1:2" s="161" customFormat="1" ht="12.75">
      <c r="A3630" s="144"/>
      <c r="B3630" s="160"/>
    </row>
    <row r="3631" spans="1:2" s="161" customFormat="1" ht="12.75">
      <c r="A3631" s="144"/>
      <c r="B3631" s="160"/>
    </row>
    <row r="3632" spans="1:2" s="161" customFormat="1" ht="12.75">
      <c r="A3632" s="144"/>
      <c r="B3632" s="160"/>
    </row>
    <row r="3633" spans="1:2" s="161" customFormat="1" ht="12.75">
      <c r="A3633" s="144"/>
      <c r="B3633" s="160"/>
    </row>
    <row r="3634" spans="1:2" s="161" customFormat="1" ht="12.75">
      <c r="A3634" s="144"/>
      <c r="B3634" s="160"/>
    </row>
    <row r="3635" spans="1:2" s="161" customFormat="1" ht="12.75">
      <c r="A3635" s="144"/>
      <c r="B3635" s="160"/>
    </row>
    <row r="3636" spans="1:2" s="161" customFormat="1" ht="12.75">
      <c r="A3636" s="144"/>
      <c r="B3636" s="160"/>
    </row>
    <row r="3637" spans="1:2" s="161" customFormat="1" ht="12.75">
      <c r="A3637" s="144"/>
      <c r="B3637" s="160"/>
    </row>
    <row r="3638" spans="1:2" s="161" customFormat="1" ht="12.75">
      <c r="A3638" s="144"/>
      <c r="B3638" s="160"/>
    </row>
    <row r="3639" spans="1:2" s="161" customFormat="1" ht="12.75">
      <c r="A3639" s="144"/>
      <c r="B3639" s="160"/>
    </row>
    <row r="3640" spans="1:2" s="161" customFormat="1" ht="12.75">
      <c r="A3640" s="144"/>
      <c r="B3640" s="160"/>
    </row>
    <row r="3641" spans="1:2" s="161" customFormat="1" ht="12.75">
      <c r="A3641" s="144"/>
      <c r="B3641" s="160"/>
    </row>
    <row r="3642" spans="1:2" s="161" customFormat="1" ht="12.75">
      <c r="A3642" s="144"/>
      <c r="B3642" s="160"/>
    </row>
    <row r="3643" spans="1:2" s="161" customFormat="1" ht="12.75">
      <c r="A3643" s="144"/>
      <c r="B3643" s="160"/>
    </row>
    <row r="3644" spans="1:2" s="161" customFormat="1" ht="12.75">
      <c r="A3644" s="144"/>
      <c r="B3644" s="160"/>
    </row>
    <row r="3645" spans="1:2" s="161" customFormat="1" ht="12.75">
      <c r="A3645" s="144"/>
      <c r="B3645" s="160"/>
    </row>
    <row r="3646" spans="1:2" s="161" customFormat="1" ht="12.75">
      <c r="A3646" s="144"/>
      <c r="B3646" s="160"/>
    </row>
    <row r="3647" spans="1:2" s="161" customFormat="1" ht="12.75">
      <c r="A3647" s="144"/>
      <c r="B3647" s="160"/>
    </row>
    <row r="3648" spans="1:2" s="161" customFormat="1" ht="12.75">
      <c r="A3648" s="144"/>
      <c r="B3648" s="160"/>
    </row>
    <row r="3649" spans="1:2" s="161" customFormat="1" ht="12.75">
      <c r="A3649" s="144"/>
      <c r="B3649" s="160"/>
    </row>
    <row r="3650" spans="1:2" s="161" customFormat="1" ht="12.75">
      <c r="A3650" s="144"/>
      <c r="B3650" s="160"/>
    </row>
    <row r="3651" spans="1:2" s="161" customFormat="1" ht="12.75">
      <c r="A3651" s="144"/>
      <c r="B3651" s="160"/>
    </row>
    <row r="3652" spans="1:2" s="161" customFormat="1" ht="12.75">
      <c r="A3652" s="144"/>
      <c r="B3652" s="160"/>
    </row>
    <row r="3653" spans="1:2" s="161" customFormat="1" ht="12.75">
      <c r="A3653" s="144"/>
      <c r="B3653" s="160"/>
    </row>
    <row r="3654" spans="1:2" s="161" customFormat="1" ht="12.75">
      <c r="A3654" s="144"/>
      <c r="B3654" s="160"/>
    </row>
    <row r="3655" spans="1:2" s="161" customFormat="1" ht="13.5" customHeight="1">
      <c r="A3655" s="144"/>
      <c r="B3655" s="160"/>
    </row>
    <row r="3656" spans="1:2" s="161" customFormat="1" ht="12.75">
      <c r="A3656" s="144"/>
      <c r="B3656" s="160"/>
    </row>
    <row r="3657" spans="1:2" s="161" customFormat="1" ht="12.75">
      <c r="A3657" s="144"/>
      <c r="B3657" s="160"/>
    </row>
    <row r="3658" spans="1:2" s="161" customFormat="1" ht="12.75">
      <c r="A3658" s="144"/>
      <c r="B3658" s="160"/>
    </row>
    <row r="3659" spans="1:2" s="161" customFormat="1" ht="12.75">
      <c r="A3659" s="144"/>
      <c r="B3659" s="160"/>
    </row>
    <row r="3660" spans="1:2" s="161" customFormat="1" ht="12.75">
      <c r="A3660" s="144"/>
      <c r="B3660" s="160"/>
    </row>
    <row r="3661" spans="1:2" s="161" customFormat="1" ht="12.75">
      <c r="A3661" s="144"/>
      <c r="B3661" s="160"/>
    </row>
    <row r="3662" spans="1:2" s="161" customFormat="1" ht="12.75">
      <c r="A3662" s="144"/>
      <c r="B3662" s="160"/>
    </row>
    <row r="3663" spans="1:2" s="161" customFormat="1" ht="12.75">
      <c r="A3663" s="144"/>
      <c r="B3663" s="160"/>
    </row>
    <row r="3664" spans="1:2" s="161" customFormat="1" ht="12.75">
      <c r="A3664" s="144"/>
      <c r="B3664" s="160"/>
    </row>
    <row r="3665" spans="1:2" s="161" customFormat="1" ht="12.75">
      <c r="A3665" s="144"/>
      <c r="B3665" s="160"/>
    </row>
    <row r="3666" spans="1:2" s="161" customFormat="1" ht="12.75">
      <c r="A3666" s="144"/>
      <c r="B3666" s="160"/>
    </row>
    <row r="3667" spans="1:2" s="161" customFormat="1" ht="12.75">
      <c r="A3667" s="144"/>
      <c r="B3667" s="160"/>
    </row>
    <row r="3668" spans="1:2" s="161" customFormat="1" ht="12.75">
      <c r="A3668" s="144"/>
      <c r="B3668" s="160"/>
    </row>
    <row r="3669" spans="1:2" s="161" customFormat="1" ht="12.75">
      <c r="A3669" s="144"/>
      <c r="B3669" s="160"/>
    </row>
    <row r="3670" spans="1:2" s="161" customFormat="1" ht="12.75">
      <c r="A3670" s="144"/>
      <c r="B3670" s="160"/>
    </row>
    <row r="3671" spans="1:2" s="161" customFormat="1" ht="12.75">
      <c r="A3671" s="144"/>
      <c r="B3671" s="160"/>
    </row>
    <row r="3672" spans="1:2" s="161" customFormat="1" ht="12.75">
      <c r="A3672" s="144"/>
      <c r="B3672" s="160"/>
    </row>
    <row r="3673" spans="1:2" s="161" customFormat="1" ht="12.75">
      <c r="A3673" s="144"/>
      <c r="B3673" s="160"/>
    </row>
    <row r="3674" spans="1:2" s="161" customFormat="1" ht="12.75">
      <c r="A3674" s="144"/>
      <c r="B3674" s="160"/>
    </row>
    <row r="3675" spans="1:2" s="161" customFormat="1" ht="12.75">
      <c r="A3675" s="144"/>
      <c r="B3675" s="160"/>
    </row>
    <row r="3676" spans="1:2" s="161" customFormat="1" ht="12.75">
      <c r="A3676" s="144"/>
      <c r="B3676" s="160"/>
    </row>
    <row r="3677" spans="1:2" s="161" customFormat="1" ht="12.75">
      <c r="A3677" s="144"/>
      <c r="B3677" s="160"/>
    </row>
    <row r="3678" spans="1:2" s="161" customFormat="1" ht="12.75">
      <c r="A3678" s="144"/>
      <c r="B3678" s="160"/>
    </row>
    <row r="3679" spans="1:2" s="161" customFormat="1" ht="12.75">
      <c r="A3679" s="144"/>
      <c r="B3679" s="160"/>
    </row>
    <row r="3680" spans="1:2" s="161" customFormat="1" ht="12.75">
      <c r="A3680" s="144"/>
      <c r="B3680" s="160"/>
    </row>
    <row r="3681" spans="1:2" s="161" customFormat="1" ht="12.75">
      <c r="A3681" s="144"/>
      <c r="B3681" s="160"/>
    </row>
    <row r="3682" spans="1:2" s="161" customFormat="1" ht="12.75">
      <c r="A3682" s="144"/>
      <c r="B3682" s="160"/>
    </row>
    <row r="3683" spans="1:2" s="161" customFormat="1" ht="12.75">
      <c r="A3683" s="144"/>
      <c r="B3683" s="160"/>
    </row>
    <row r="3684" spans="1:2" s="161" customFormat="1" ht="12.75">
      <c r="A3684" s="144"/>
      <c r="B3684" s="160"/>
    </row>
    <row r="3685" spans="1:2" s="161" customFormat="1" ht="12.75">
      <c r="A3685" s="144"/>
      <c r="B3685" s="160"/>
    </row>
    <row r="3686" spans="1:2" s="161" customFormat="1" ht="12.75">
      <c r="A3686" s="144"/>
      <c r="B3686" s="160"/>
    </row>
    <row r="3687" spans="1:2" s="161" customFormat="1" ht="12.75">
      <c r="A3687" s="144"/>
      <c r="B3687" s="160"/>
    </row>
    <row r="3688" spans="1:2" s="161" customFormat="1" ht="12.75">
      <c r="A3688" s="144"/>
      <c r="B3688" s="160"/>
    </row>
    <row r="3689" spans="1:2" s="161" customFormat="1" ht="12.75">
      <c r="A3689" s="144"/>
      <c r="B3689" s="160"/>
    </row>
    <row r="3690" spans="1:2" s="161" customFormat="1" ht="12.75">
      <c r="A3690" s="144"/>
      <c r="B3690" s="160"/>
    </row>
    <row r="3691" spans="1:2" s="161" customFormat="1" ht="12.75">
      <c r="A3691" s="144"/>
      <c r="B3691" s="160"/>
    </row>
    <row r="3692" spans="1:2" s="161" customFormat="1" ht="12.75">
      <c r="A3692" s="144"/>
      <c r="B3692" s="160"/>
    </row>
    <row r="3693" spans="1:2" s="161" customFormat="1" ht="12.75">
      <c r="A3693" s="144"/>
      <c r="B3693" s="160"/>
    </row>
    <row r="3694" spans="1:2" s="161" customFormat="1" ht="12.75">
      <c r="A3694" s="144"/>
      <c r="B3694" s="160"/>
    </row>
    <row r="3695" spans="1:2" s="161" customFormat="1" ht="12.75">
      <c r="A3695" s="144"/>
      <c r="B3695" s="160"/>
    </row>
    <row r="3696" spans="1:2" s="161" customFormat="1" ht="12.75">
      <c r="A3696" s="144"/>
      <c r="B3696" s="160"/>
    </row>
    <row r="3697" spans="1:2" s="161" customFormat="1" ht="12.75">
      <c r="A3697" s="144"/>
      <c r="B3697" s="160"/>
    </row>
    <row r="3698" spans="1:2" s="161" customFormat="1" ht="12.75">
      <c r="A3698" s="144"/>
      <c r="B3698" s="160"/>
    </row>
    <row r="3699" spans="1:2" s="161" customFormat="1" ht="12.75">
      <c r="A3699" s="144"/>
      <c r="B3699" s="160"/>
    </row>
    <row r="3700" spans="1:2" s="161" customFormat="1" ht="12.75">
      <c r="A3700" s="144"/>
      <c r="B3700" s="160"/>
    </row>
    <row r="3701" spans="1:2" s="161" customFormat="1" ht="12.75">
      <c r="A3701" s="144"/>
      <c r="B3701" s="160"/>
    </row>
    <row r="3702" spans="1:2" s="161" customFormat="1" ht="12.75">
      <c r="A3702" s="144"/>
      <c r="B3702" s="160"/>
    </row>
    <row r="3703" spans="1:2" s="161" customFormat="1" ht="12.75">
      <c r="A3703" s="144"/>
      <c r="B3703" s="160"/>
    </row>
    <row r="3704" spans="1:2" s="161" customFormat="1" ht="12.75">
      <c r="A3704" s="144"/>
      <c r="B3704" s="160"/>
    </row>
    <row r="3705" spans="1:2" s="161" customFormat="1" ht="12.75">
      <c r="A3705" s="144"/>
      <c r="B3705" s="160"/>
    </row>
    <row r="3706" spans="1:2" s="161" customFormat="1" ht="12.75">
      <c r="A3706" s="144"/>
      <c r="B3706" s="160"/>
    </row>
    <row r="3707" spans="1:2" s="161" customFormat="1" ht="12.75">
      <c r="A3707" s="144"/>
      <c r="B3707" s="160"/>
    </row>
    <row r="3708" spans="1:2" s="161" customFormat="1" ht="12.75">
      <c r="A3708" s="144"/>
      <c r="B3708" s="160"/>
    </row>
    <row r="3709" spans="1:2" s="161" customFormat="1" ht="12.75">
      <c r="A3709" s="144"/>
      <c r="B3709" s="160"/>
    </row>
    <row r="3710" spans="1:2" s="161" customFormat="1" ht="12.75">
      <c r="A3710" s="144"/>
      <c r="B3710" s="160"/>
    </row>
    <row r="3711" spans="1:2" s="161" customFormat="1" ht="12.75">
      <c r="A3711" s="144"/>
      <c r="B3711" s="160"/>
    </row>
    <row r="3712" spans="1:2" s="161" customFormat="1" ht="12.75">
      <c r="A3712" s="144"/>
      <c r="B3712" s="160"/>
    </row>
    <row r="3713" spans="1:2" s="161" customFormat="1" ht="12.75">
      <c r="A3713" s="144"/>
      <c r="B3713" s="160"/>
    </row>
    <row r="3714" spans="1:2" s="161" customFormat="1" ht="12.75">
      <c r="A3714" s="144"/>
      <c r="B3714" s="160"/>
    </row>
    <row r="3715" spans="1:2" s="161" customFormat="1" ht="12.75">
      <c r="A3715" s="144"/>
      <c r="B3715" s="160"/>
    </row>
    <row r="3716" spans="1:2" s="161" customFormat="1" ht="12.75">
      <c r="A3716" s="144"/>
      <c r="B3716" s="160"/>
    </row>
    <row r="3717" spans="1:2" s="161" customFormat="1" ht="12.75">
      <c r="A3717" s="144"/>
      <c r="B3717" s="160"/>
    </row>
    <row r="3718" spans="1:2" s="161" customFormat="1" ht="12.75">
      <c r="A3718" s="144"/>
      <c r="B3718" s="160"/>
    </row>
    <row r="3719" spans="1:2" s="161" customFormat="1" ht="12.75">
      <c r="A3719" s="144"/>
      <c r="B3719" s="160"/>
    </row>
    <row r="3720" spans="1:2" s="161" customFormat="1" ht="12.75">
      <c r="A3720" s="144"/>
      <c r="B3720" s="160"/>
    </row>
    <row r="3721" spans="1:2" s="161" customFormat="1" ht="12.75">
      <c r="A3721" s="144"/>
      <c r="B3721" s="160"/>
    </row>
    <row r="3722" spans="1:2" s="161" customFormat="1" ht="12.75">
      <c r="A3722" s="144"/>
      <c r="B3722" s="160"/>
    </row>
    <row r="3723" spans="1:2" s="161" customFormat="1" ht="12.75">
      <c r="A3723" s="144"/>
      <c r="B3723" s="160"/>
    </row>
    <row r="3724" spans="1:2" s="161" customFormat="1" ht="12.75">
      <c r="A3724" s="144"/>
      <c r="B3724" s="160"/>
    </row>
    <row r="3725" spans="1:2" s="161" customFormat="1" ht="12.75">
      <c r="A3725" s="144"/>
      <c r="B3725" s="160"/>
    </row>
    <row r="3726" spans="1:2" s="161" customFormat="1" ht="12.75">
      <c r="A3726" s="144"/>
      <c r="B3726" s="160"/>
    </row>
    <row r="3727" spans="1:2" s="161" customFormat="1" ht="12.75">
      <c r="A3727" s="144"/>
      <c r="B3727" s="160"/>
    </row>
    <row r="3728" spans="1:2" s="161" customFormat="1" ht="12.75">
      <c r="A3728" s="144"/>
      <c r="B3728" s="160"/>
    </row>
    <row r="3729" spans="1:2" s="161" customFormat="1" ht="12.75">
      <c r="A3729" s="144"/>
      <c r="B3729" s="160"/>
    </row>
    <row r="3730" spans="1:2" s="161" customFormat="1" ht="12.75">
      <c r="A3730" s="144"/>
      <c r="B3730" s="160"/>
    </row>
    <row r="3731" spans="1:2" s="161" customFormat="1" ht="12.75">
      <c r="A3731" s="144"/>
      <c r="B3731" s="160"/>
    </row>
    <row r="3732" spans="1:2" s="161" customFormat="1" ht="12.75">
      <c r="A3732" s="144"/>
      <c r="B3732" s="160"/>
    </row>
    <row r="3733" spans="1:2" s="161" customFormat="1" ht="12.75">
      <c r="A3733" s="144"/>
      <c r="B3733" s="160"/>
    </row>
    <row r="3734" spans="1:2" s="161" customFormat="1" ht="12.75">
      <c r="A3734" s="144"/>
      <c r="B3734" s="160"/>
    </row>
    <row r="3735" spans="1:2" s="161" customFormat="1" ht="12.75">
      <c r="A3735" s="144"/>
      <c r="B3735" s="160"/>
    </row>
    <row r="3736" spans="1:2" s="161" customFormat="1" ht="12.75">
      <c r="A3736" s="144"/>
      <c r="B3736" s="160"/>
    </row>
    <row r="3737" spans="1:2" s="161" customFormat="1" ht="12.75">
      <c r="A3737" s="144"/>
      <c r="B3737" s="160"/>
    </row>
    <row r="3738" spans="1:2" s="161" customFormat="1" ht="12.75">
      <c r="A3738" s="144"/>
      <c r="B3738" s="160"/>
    </row>
    <row r="3739" spans="1:2" s="161" customFormat="1" ht="12.75">
      <c r="A3739" s="144"/>
      <c r="B3739" s="160"/>
    </row>
    <row r="3740" spans="1:2" s="161" customFormat="1" ht="12.75">
      <c r="A3740" s="144"/>
      <c r="B3740" s="160"/>
    </row>
    <row r="3741" spans="1:2" s="161" customFormat="1" ht="12.75">
      <c r="A3741" s="144"/>
      <c r="B3741" s="160"/>
    </row>
    <row r="3742" spans="1:2" s="161" customFormat="1" ht="12.75">
      <c r="A3742" s="144"/>
      <c r="B3742" s="160"/>
    </row>
    <row r="3743" spans="1:2" s="161" customFormat="1" ht="12.75">
      <c r="A3743" s="144"/>
      <c r="B3743" s="160"/>
    </row>
    <row r="3744" spans="1:2" s="161" customFormat="1" ht="12.75">
      <c r="A3744" s="144"/>
      <c r="B3744" s="160"/>
    </row>
    <row r="3745" spans="1:2" s="161" customFormat="1" ht="12.75">
      <c r="A3745" s="144"/>
      <c r="B3745" s="160"/>
    </row>
    <row r="3746" spans="1:2" s="161" customFormat="1" ht="12.75">
      <c r="A3746" s="144"/>
      <c r="B3746" s="160"/>
    </row>
    <row r="3747" spans="1:2" s="161" customFormat="1" ht="12.75">
      <c r="A3747" s="144"/>
      <c r="B3747" s="160"/>
    </row>
    <row r="3748" spans="1:2" s="161" customFormat="1" ht="12.75">
      <c r="A3748" s="144"/>
      <c r="B3748" s="160"/>
    </row>
    <row r="3749" spans="1:2" s="161" customFormat="1" ht="12.75">
      <c r="A3749" s="144"/>
      <c r="B3749" s="160"/>
    </row>
    <row r="3750" spans="1:2" s="161" customFormat="1" ht="12.75">
      <c r="A3750" s="144"/>
      <c r="B3750" s="160"/>
    </row>
    <row r="3751" spans="1:2" s="161" customFormat="1" ht="12.75">
      <c r="A3751" s="144"/>
      <c r="B3751" s="160"/>
    </row>
    <row r="3752" spans="1:2" s="161" customFormat="1" ht="12.75">
      <c r="A3752" s="144"/>
      <c r="B3752" s="160"/>
    </row>
    <row r="3753" spans="1:2" s="161" customFormat="1" ht="12.75">
      <c r="A3753" s="144"/>
      <c r="B3753" s="160"/>
    </row>
    <row r="3754" spans="1:2" s="161" customFormat="1" ht="12.75">
      <c r="A3754" s="144"/>
      <c r="B3754" s="160"/>
    </row>
    <row r="3755" spans="1:2" s="161" customFormat="1" ht="12.75">
      <c r="A3755" s="144"/>
      <c r="B3755" s="160"/>
    </row>
    <row r="3756" spans="1:2" s="161" customFormat="1" ht="12.75">
      <c r="A3756" s="144"/>
      <c r="B3756" s="160"/>
    </row>
    <row r="3757" spans="1:2" s="161" customFormat="1" ht="12.75">
      <c r="A3757" s="144"/>
      <c r="B3757" s="160"/>
    </row>
    <row r="3758" spans="1:2" s="161" customFormat="1" ht="12.75">
      <c r="A3758" s="144"/>
      <c r="B3758" s="160"/>
    </row>
    <row r="3759" spans="1:2" s="161" customFormat="1" ht="12.75">
      <c r="A3759" s="144"/>
      <c r="B3759" s="160"/>
    </row>
    <row r="3760" spans="1:2" s="161" customFormat="1" ht="12.75">
      <c r="A3760" s="144"/>
      <c r="B3760" s="160"/>
    </row>
    <row r="3761" spans="1:2" s="161" customFormat="1" ht="12.75">
      <c r="A3761" s="144"/>
      <c r="B3761" s="160"/>
    </row>
    <row r="3762" spans="1:2" s="161" customFormat="1" ht="12.75">
      <c r="A3762" s="144"/>
      <c r="B3762" s="160"/>
    </row>
    <row r="3763" spans="1:2" s="161" customFormat="1" ht="12.75">
      <c r="A3763" s="144"/>
      <c r="B3763" s="160"/>
    </row>
    <row r="3764" spans="1:2" s="161" customFormat="1" ht="12.75">
      <c r="A3764" s="144"/>
      <c r="B3764" s="160"/>
    </row>
    <row r="3765" spans="1:2" s="161" customFormat="1" ht="12.75">
      <c r="A3765" s="144"/>
      <c r="B3765" s="160"/>
    </row>
    <row r="3766" spans="1:2" s="161" customFormat="1" ht="12.75">
      <c r="A3766" s="144"/>
      <c r="B3766" s="160"/>
    </row>
    <row r="3767" spans="1:2" s="161" customFormat="1" ht="12.75">
      <c r="A3767" s="144"/>
      <c r="B3767" s="160"/>
    </row>
    <row r="3768" spans="1:2" s="161" customFormat="1" ht="12.75">
      <c r="A3768" s="144"/>
      <c r="B3768" s="160"/>
    </row>
    <row r="3769" spans="1:2" s="161" customFormat="1" ht="12.75">
      <c r="A3769" s="144"/>
      <c r="B3769" s="160"/>
    </row>
    <row r="3770" spans="1:2" s="161" customFormat="1" ht="12.75">
      <c r="A3770" s="144"/>
      <c r="B3770" s="160"/>
    </row>
    <row r="3771" spans="1:2" s="161" customFormat="1" ht="12.75">
      <c r="A3771" s="144"/>
      <c r="B3771" s="160"/>
    </row>
    <row r="3772" spans="1:2" s="161" customFormat="1" ht="12.75">
      <c r="A3772" s="144"/>
      <c r="B3772" s="160"/>
    </row>
    <row r="3773" spans="1:2" s="161" customFormat="1" ht="12.75">
      <c r="A3773" s="144"/>
      <c r="B3773" s="160"/>
    </row>
    <row r="3774" spans="1:2" s="161" customFormat="1" ht="12.75">
      <c r="A3774" s="144"/>
      <c r="B3774" s="160"/>
    </row>
    <row r="3775" spans="1:2" s="161" customFormat="1" ht="12.75">
      <c r="A3775" s="144"/>
      <c r="B3775" s="160"/>
    </row>
    <row r="3776" spans="1:2" s="161" customFormat="1" ht="12.75">
      <c r="A3776" s="144"/>
      <c r="B3776" s="160"/>
    </row>
    <row r="3777" spans="1:2" s="161" customFormat="1" ht="12.75">
      <c r="A3777" s="144"/>
      <c r="B3777" s="160"/>
    </row>
    <row r="3778" spans="1:2" s="161" customFormat="1" ht="12.75">
      <c r="A3778" s="144"/>
      <c r="B3778" s="160"/>
    </row>
    <row r="3779" spans="1:2" s="161" customFormat="1" ht="12.75">
      <c r="A3779" s="144"/>
      <c r="B3779" s="160"/>
    </row>
    <row r="3780" spans="1:2" s="161" customFormat="1" ht="12.75">
      <c r="A3780" s="144"/>
      <c r="B3780" s="160"/>
    </row>
    <row r="3781" spans="1:2" s="161" customFormat="1" ht="12.75">
      <c r="A3781" s="144"/>
      <c r="B3781" s="160"/>
    </row>
    <row r="3782" spans="1:2" s="161" customFormat="1" ht="12.75">
      <c r="A3782" s="144"/>
      <c r="B3782" s="160"/>
    </row>
    <row r="3783" spans="1:2" s="161" customFormat="1" ht="12.75">
      <c r="A3783" s="144"/>
      <c r="B3783" s="160"/>
    </row>
    <row r="3784" spans="1:2" s="161" customFormat="1" ht="12.75">
      <c r="A3784" s="144"/>
      <c r="B3784" s="160"/>
    </row>
    <row r="3785" spans="1:2" s="161" customFormat="1" ht="12.75">
      <c r="A3785" s="144"/>
      <c r="B3785" s="160"/>
    </row>
    <row r="3786" spans="1:2" s="161" customFormat="1" ht="12.75">
      <c r="A3786" s="144"/>
      <c r="B3786" s="160"/>
    </row>
    <row r="3787" spans="1:2" s="161" customFormat="1" ht="12.75">
      <c r="A3787" s="144"/>
      <c r="B3787" s="160"/>
    </row>
    <row r="3788" spans="1:2" s="161" customFormat="1" ht="12.75">
      <c r="A3788" s="144"/>
      <c r="B3788" s="160"/>
    </row>
    <row r="3789" spans="1:2" s="161" customFormat="1" ht="12.75">
      <c r="A3789" s="144"/>
      <c r="B3789" s="160"/>
    </row>
    <row r="3790" spans="1:2" s="161" customFormat="1" ht="12.75">
      <c r="A3790" s="144"/>
      <c r="B3790" s="160"/>
    </row>
    <row r="3791" spans="1:2" s="161" customFormat="1" ht="12.75">
      <c r="A3791" s="144"/>
      <c r="B3791" s="160"/>
    </row>
    <row r="3792" spans="1:2" s="161" customFormat="1" ht="12.75">
      <c r="A3792" s="144"/>
      <c r="B3792" s="160"/>
    </row>
    <row r="3793" spans="1:2" s="161" customFormat="1" ht="12.75">
      <c r="A3793" s="144"/>
      <c r="B3793" s="160"/>
    </row>
    <row r="3794" spans="1:2" s="161" customFormat="1" ht="12.75">
      <c r="A3794" s="144"/>
      <c r="B3794" s="160"/>
    </row>
    <row r="3795" spans="1:2" s="161" customFormat="1" ht="12.75">
      <c r="A3795" s="144"/>
      <c r="B3795" s="160"/>
    </row>
    <row r="3796" spans="1:2" s="161" customFormat="1" ht="12.75">
      <c r="A3796" s="144"/>
      <c r="B3796" s="160"/>
    </row>
    <row r="3797" spans="1:2" s="161" customFormat="1" ht="12.75">
      <c r="A3797" s="144"/>
      <c r="B3797" s="160"/>
    </row>
    <row r="3798" spans="1:2" s="161" customFormat="1" ht="12.75">
      <c r="A3798" s="144"/>
      <c r="B3798" s="160"/>
    </row>
    <row r="3799" spans="1:2" s="161" customFormat="1" ht="12.75">
      <c r="A3799" s="144"/>
      <c r="B3799" s="160"/>
    </row>
    <row r="3800" spans="1:2" s="161" customFormat="1" ht="12.75">
      <c r="A3800" s="144"/>
      <c r="B3800" s="160"/>
    </row>
    <row r="3801" spans="1:2" s="161" customFormat="1" ht="12.75">
      <c r="A3801" s="144"/>
      <c r="B3801" s="160"/>
    </row>
    <row r="3802" spans="1:2" s="161" customFormat="1" ht="12.75">
      <c r="A3802" s="144"/>
      <c r="B3802" s="160"/>
    </row>
    <row r="3803" spans="1:2" s="161" customFormat="1" ht="12.75">
      <c r="A3803" s="144"/>
      <c r="B3803" s="160"/>
    </row>
    <row r="3804" spans="1:2" s="161" customFormat="1" ht="12.75">
      <c r="A3804" s="144"/>
      <c r="B3804" s="160"/>
    </row>
    <row r="3805" spans="1:2" s="161" customFormat="1" ht="12.75">
      <c r="A3805" s="144"/>
      <c r="B3805" s="160"/>
    </row>
    <row r="3806" spans="1:2" s="161" customFormat="1" ht="12.75">
      <c r="A3806" s="144"/>
      <c r="B3806" s="160"/>
    </row>
    <row r="3807" spans="1:2" s="161" customFormat="1" ht="12.75">
      <c r="A3807" s="144"/>
      <c r="B3807" s="160"/>
    </row>
    <row r="3808" spans="1:2" s="161" customFormat="1" ht="12.75">
      <c r="A3808" s="144"/>
      <c r="B3808" s="160"/>
    </row>
    <row r="3809" spans="1:2" s="161" customFormat="1" ht="12.75">
      <c r="A3809" s="144"/>
      <c r="B3809" s="160"/>
    </row>
    <row r="3810" spans="1:2" s="161" customFormat="1" ht="12.75">
      <c r="A3810" s="144"/>
      <c r="B3810" s="160"/>
    </row>
    <row r="3811" spans="1:2" s="161" customFormat="1" ht="12.75">
      <c r="A3811" s="144"/>
      <c r="B3811" s="160"/>
    </row>
    <row r="3812" spans="1:2" s="161" customFormat="1" ht="12.75">
      <c r="A3812" s="144"/>
      <c r="B3812" s="160"/>
    </row>
    <row r="3813" spans="1:2" s="161" customFormat="1" ht="12.75">
      <c r="A3813" s="144"/>
      <c r="B3813" s="160"/>
    </row>
    <row r="3814" spans="1:2" s="161" customFormat="1" ht="12.75">
      <c r="A3814" s="144"/>
      <c r="B3814" s="160"/>
    </row>
    <row r="3815" spans="1:2" s="161" customFormat="1" ht="12.75">
      <c r="A3815" s="144"/>
      <c r="B3815" s="160"/>
    </row>
    <row r="3816" spans="1:2" s="161" customFormat="1" ht="12.75">
      <c r="A3816" s="144"/>
      <c r="B3816" s="160"/>
    </row>
    <row r="3817" spans="1:2" s="161" customFormat="1" ht="12.75">
      <c r="A3817" s="144"/>
      <c r="B3817" s="160"/>
    </row>
    <row r="3818" spans="1:2" s="161" customFormat="1" ht="12.75">
      <c r="A3818" s="144"/>
      <c r="B3818" s="160"/>
    </row>
    <row r="3819" spans="1:2" s="161" customFormat="1" ht="12.75">
      <c r="A3819" s="144"/>
      <c r="B3819" s="160"/>
    </row>
    <row r="3820" spans="1:2" s="161" customFormat="1" ht="12.75">
      <c r="A3820" s="144"/>
      <c r="B3820" s="160"/>
    </row>
    <row r="3821" spans="1:2" s="161" customFormat="1" ht="12.75">
      <c r="A3821" s="144"/>
      <c r="B3821" s="160"/>
    </row>
    <row r="3822" spans="1:2" s="161" customFormat="1" ht="12.75">
      <c r="A3822" s="144"/>
      <c r="B3822" s="160"/>
    </row>
    <row r="3823" spans="1:2" s="161" customFormat="1" ht="12.75">
      <c r="A3823" s="144"/>
      <c r="B3823" s="160"/>
    </row>
    <row r="3824" spans="1:2" s="161" customFormat="1" ht="12.75">
      <c r="A3824" s="144"/>
      <c r="B3824" s="160"/>
    </row>
    <row r="3825" spans="1:2" s="161" customFormat="1" ht="12.75">
      <c r="A3825" s="144"/>
      <c r="B3825" s="160"/>
    </row>
    <row r="3826" spans="1:2" s="161" customFormat="1" ht="12.75">
      <c r="A3826" s="144"/>
      <c r="B3826" s="160"/>
    </row>
    <row r="3827" spans="1:2" s="161" customFormat="1" ht="12.75">
      <c r="A3827" s="144"/>
      <c r="B3827" s="160"/>
    </row>
    <row r="3828" spans="1:2" s="161" customFormat="1" ht="12.75">
      <c r="A3828" s="144"/>
      <c r="B3828" s="160"/>
    </row>
    <row r="3829" spans="1:2" s="161" customFormat="1" ht="12.75">
      <c r="A3829" s="144"/>
      <c r="B3829" s="160"/>
    </row>
    <row r="3830" spans="1:2" s="161" customFormat="1" ht="12.75">
      <c r="A3830" s="144"/>
      <c r="B3830" s="160"/>
    </row>
    <row r="3831" spans="1:2" s="161" customFormat="1" ht="12.75">
      <c r="A3831" s="144"/>
      <c r="B3831" s="160"/>
    </row>
    <row r="3832" spans="1:2" s="161" customFormat="1" ht="12.75">
      <c r="A3832" s="144"/>
      <c r="B3832" s="160"/>
    </row>
    <row r="3833" spans="1:2" s="161" customFormat="1" ht="12.75">
      <c r="A3833" s="144"/>
      <c r="B3833" s="160"/>
    </row>
    <row r="3834" spans="1:2" s="161" customFormat="1" ht="12.75">
      <c r="A3834" s="144"/>
      <c r="B3834" s="160"/>
    </row>
    <row r="3835" spans="1:2" s="161" customFormat="1" ht="12.75">
      <c r="A3835" s="144"/>
      <c r="B3835" s="160"/>
    </row>
    <row r="3836" spans="1:2" s="161" customFormat="1" ht="12.75">
      <c r="A3836" s="144"/>
      <c r="B3836" s="160"/>
    </row>
    <row r="3837" spans="1:2" s="161" customFormat="1" ht="12.75">
      <c r="A3837" s="144"/>
      <c r="B3837" s="160"/>
    </row>
    <row r="3838" spans="1:2" s="161" customFormat="1" ht="12.75">
      <c r="A3838" s="144"/>
      <c r="B3838" s="160"/>
    </row>
    <row r="3839" spans="1:2" s="161" customFormat="1" ht="12.75">
      <c r="A3839" s="144"/>
      <c r="B3839" s="160"/>
    </row>
    <row r="3840" spans="1:2" s="161" customFormat="1" ht="12.75">
      <c r="A3840" s="144"/>
      <c r="B3840" s="160"/>
    </row>
    <row r="3841" spans="1:2" s="161" customFormat="1" ht="12.75">
      <c r="A3841" s="144"/>
      <c r="B3841" s="160"/>
    </row>
    <row r="3842" spans="1:2" s="161" customFormat="1" ht="12.75">
      <c r="A3842" s="144"/>
      <c r="B3842" s="160"/>
    </row>
    <row r="3843" spans="1:2" s="161" customFormat="1" ht="12.75">
      <c r="A3843" s="144"/>
      <c r="B3843" s="160"/>
    </row>
    <row r="3844" spans="1:2" s="161" customFormat="1" ht="12.75">
      <c r="A3844" s="144"/>
      <c r="B3844" s="160"/>
    </row>
    <row r="3845" spans="1:2" s="161" customFormat="1" ht="12.75">
      <c r="A3845" s="144"/>
      <c r="B3845" s="160"/>
    </row>
    <row r="3846" spans="1:2" s="161" customFormat="1" ht="12.75">
      <c r="A3846" s="144"/>
      <c r="B3846" s="160"/>
    </row>
    <row r="3847" spans="1:2" s="161" customFormat="1" ht="12.75">
      <c r="A3847" s="144"/>
      <c r="B3847" s="160"/>
    </row>
    <row r="3848" spans="1:2" s="161" customFormat="1" ht="12.75">
      <c r="A3848" s="144"/>
      <c r="B3848" s="160"/>
    </row>
    <row r="3849" spans="1:2" s="161" customFormat="1" ht="12.75">
      <c r="A3849" s="144"/>
      <c r="B3849" s="160"/>
    </row>
    <row r="3850" spans="1:2" s="161" customFormat="1" ht="12.75">
      <c r="A3850" s="144"/>
      <c r="B3850" s="160"/>
    </row>
    <row r="3851" spans="1:2" s="161" customFormat="1" ht="12.75">
      <c r="A3851" s="144"/>
      <c r="B3851" s="160"/>
    </row>
    <row r="3852" spans="1:2" s="161" customFormat="1" ht="12.75">
      <c r="A3852" s="144"/>
      <c r="B3852" s="160"/>
    </row>
    <row r="3853" spans="1:2" s="161" customFormat="1" ht="12.75">
      <c r="A3853" s="144"/>
      <c r="B3853" s="160"/>
    </row>
    <row r="3854" spans="1:2" s="161" customFormat="1" ht="12.75">
      <c r="A3854" s="144"/>
      <c r="B3854" s="160"/>
    </row>
    <row r="3855" spans="1:2" s="161" customFormat="1" ht="12.75">
      <c r="A3855" s="144"/>
      <c r="B3855" s="160"/>
    </row>
    <row r="3856" spans="1:2" s="161" customFormat="1" ht="12.75">
      <c r="A3856" s="144"/>
      <c r="B3856" s="160"/>
    </row>
    <row r="3857" spans="1:2" s="161" customFormat="1" ht="12.75">
      <c r="A3857" s="144"/>
      <c r="B3857" s="160"/>
    </row>
    <row r="3858" spans="1:2" s="161" customFormat="1" ht="12.75">
      <c r="A3858" s="144"/>
      <c r="B3858" s="160"/>
    </row>
    <row r="3859" spans="1:2" s="161" customFormat="1" ht="12.75">
      <c r="A3859" s="144"/>
      <c r="B3859" s="160"/>
    </row>
    <row r="3860" spans="1:2" s="161" customFormat="1" ht="12.75">
      <c r="A3860" s="144"/>
      <c r="B3860" s="160"/>
    </row>
    <row r="3861" spans="1:2" s="161" customFormat="1" ht="12.75">
      <c r="A3861" s="144"/>
      <c r="B3861" s="160"/>
    </row>
    <row r="3862" spans="1:2" s="161" customFormat="1" ht="12.75">
      <c r="A3862" s="144"/>
      <c r="B3862" s="160"/>
    </row>
    <row r="3863" spans="1:2" s="161" customFormat="1" ht="12.75">
      <c r="A3863" s="144"/>
      <c r="B3863" s="160"/>
    </row>
    <row r="3864" spans="1:2" s="161" customFormat="1" ht="12.75">
      <c r="A3864" s="144"/>
      <c r="B3864" s="160"/>
    </row>
    <row r="3865" spans="1:2" s="161" customFormat="1" ht="12.75">
      <c r="A3865" s="144"/>
      <c r="B3865" s="160"/>
    </row>
    <row r="3866" spans="1:2" s="161" customFormat="1" ht="13.5" customHeight="1">
      <c r="A3866" s="144"/>
      <c r="B3866" s="160"/>
    </row>
    <row r="3867" spans="1:2" s="161" customFormat="1" ht="12.75">
      <c r="A3867" s="144"/>
      <c r="B3867" s="160"/>
    </row>
    <row r="3868" spans="1:2" s="161" customFormat="1" ht="12.75">
      <c r="A3868" s="144"/>
      <c r="B3868" s="160"/>
    </row>
    <row r="3869" spans="1:2" s="161" customFormat="1" ht="12.75">
      <c r="A3869" s="144"/>
      <c r="B3869" s="160"/>
    </row>
    <row r="3870" spans="1:2" s="161" customFormat="1" ht="12.75">
      <c r="A3870" s="144"/>
      <c r="B3870" s="160"/>
    </row>
    <row r="3871" spans="1:2" s="161" customFormat="1" ht="12.75">
      <c r="A3871" s="144"/>
      <c r="B3871" s="160"/>
    </row>
    <row r="3872" spans="1:2" s="161" customFormat="1" ht="12.75">
      <c r="A3872" s="144"/>
      <c r="B3872" s="160"/>
    </row>
    <row r="3873" spans="1:2" s="161" customFormat="1" ht="12.75">
      <c r="A3873" s="144"/>
      <c r="B3873" s="160"/>
    </row>
    <row r="3874" spans="1:2" s="161" customFormat="1" ht="12.75">
      <c r="A3874" s="144"/>
      <c r="B3874" s="160"/>
    </row>
    <row r="3875" spans="1:2" s="161" customFormat="1" ht="12.75">
      <c r="A3875" s="144"/>
      <c r="B3875" s="160"/>
    </row>
    <row r="3876" spans="1:2" s="161" customFormat="1" ht="12.75">
      <c r="A3876" s="144"/>
      <c r="B3876" s="160"/>
    </row>
    <row r="3877" spans="1:2" s="161" customFormat="1" ht="12.75">
      <c r="A3877" s="144"/>
      <c r="B3877" s="160"/>
    </row>
    <row r="3878" spans="1:2" s="161" customFormat="1" ht="12.75">
      <c r="A3878" s="144"/>
      <c r="B3878" s="160"/>
    </row>
    <row r="3879" spans="1:2" s="161" customFormat="1" ht="12.75">
      <c r="A3879" s="144"/>
      <c r="B3879" s="160"/>
    </row>
    <row r="3880" spans="1:2" s="161" customFormat="1" ht="12.75">
      <c r="A3880" s="144"/>
      <c r="B3880" s="160"/>
    </row>
    <row r="3881" spans="1:2" s="161" customFormat="1" ht="12.75">
      <c r="A3881" s="144"/>
      <c r="B3881" s="160"/>
    </row>
    <row r="3882" spans="1:2" s="161" customFormat="1" ht="12.75">
      <c r="A3882" s="144"/>
      <c r="B3882" s="160"/>
    </row>
    <row r="3883" spans="1:2" s="161" customFormat="1" ht="12.75">
      <c r="A3883" s="144"/>
      <c r="B3883" s="160"/>
    </row>
    <row r="3884" spans="1:2" s="161" customFormat="1" ht="12.75">
      <c r="A3884" s="144"/>
      <c r="B3884" s="160"/>
    </row>
    <row r="3885" spans="1:2" s="161" customFormat="1" ht="12.75">
      <c r="A3885" s="144"/>
      <c r="B3885" s="160"/>
    </row>
    <row r="3886" spans="1:2" s="161" customFormat="1" ht="12.75">
      <c r="A3886" s="144"/>
      <c r="B3886" s="160"/>
    </row>
    <row r="3887" spans="1:2" s="161" customFormat="1" ht="12.75">
      <c r="A3887" s="144"/>
      <c r="B3887" s="160"/>
    </row>
    <row r="3888" spans="1:2" s="161" customFormat="1" ht="12.75">
      <c r="A3888" s="144"/>
      <c r="B3888" s="160"/>
    </row>
    <row r="3889" spans="1:2" s="161" customFormat="1" ht="12.75">
      <c r="A3889" s="144"/>
      <c r="B3889" s="160"/>
    </row>
    <row r="3890" spans="1:2" s="161" customFormat="1" ht="12.75">
      <c r="A3890" s="144"/>
      <c r="B3890" s="160"/>
    </row>
    <row r="3891" spans="1:2" s="161" customFormat="1" ht="12.75">
      <c r="A3891" s="144"/>
      <c r="B3891" s="160"/>
    </row>
    <row r="3892" spans="1:2" s="161" customFormat="1" ht="12.75">
      <c r="A3892" s="144"/>
      <c r="B3892" s="160"/>
    </row>
    <row r="3893" spans="1:2" s="161" customFormat="1" ht="12.75">
      <c r="A3893" s="144"/>
      <c r="B3893" s="160"/>
    </row>
    <row r="3894" spans="1:2" s="161" customFormat="1" ht="12.75">
      <c r="A3894" s="144"/>
      <c r="B3894" s="160"/>
    </row>
    <row r="3895" spans="1:2" s="161" customFormat="1" ht="12.75">
      <c r="A3895" s="144"/>
      <c r="B3895" s="160"/>
    </row>
    <row r="3896" spans="1:2" s="161" customFormat="1" ht="12.75">
      <c r="A3896" s="144"/>
      <c r="B3896" s="160"/>
    </row>
    <row r="3897" spans="1:2" s="161" customFormat="1" ht="12.75">
      <c r="A3897" s="144"/>
      <c r="B3897" s="160"/>
    </row>
    <row r="3898" spans="1:2" s="161" customFormat="1" ht="12.75">
      <c r="A3898" s="144"/>
      <c r="B3898" s="160"/>
    </row>
    <row r="3899" spans="1:2" s="161" customFormat="1" ht="12.75">
      <c r="A3899" s="144"/>
      <c r="B3899" s="160"/>
    </row>
    <row r="3900" spans="1:2" s="161" customFormat="1" ht="12.75">
      <c r="A3900" s="144"/>
      <c r="B3900" s="160"/>
    </row>
    <row r="3901" spans="1:2" s="161" customFormat="1" ht="12.75">
      <c r="A3901" s="144"/>
      <c r="B3901" s="160"/>
    </row>
    <row r="3902" spans="1:2" s="161" customFormat="1" ht="12.75">
      <c r="A3902" s="144"/>
      <c r="B3902" s="160"/>
    </row>
    <row r="3903" spans="1:2" s="161" customFormat="1" ht="12.75">
      <c r="A3903" s="144"/>
      <c r="B3903" s="160"/>
    </row>
    <row r="3904" spans="1:2" s="161" customFormat="1" ht="12.75">
      <c r="A3904" s="144"/>
      <c r="B3904" s="160"/>
    </row>
    <row r="3905" spans="1:2" s="161" customFormat="1" ht="12.75">
      <c r="A3905" s="144"/>
      <c r="B3905" s="160"/>
    </row>
    <row r="3906" spans="1:2" s="161" customFormat="1" ht="12.75">
      <c r="A3906" s="144"/>
      <c r="B3906" s="160"/>
    </row>
    <row r="3907" spans="1:2" s="161" customFormat="1" ht="12.75">
      <c r="A3907" s="144"/>
      <c r="B3907" s="160"/>
    </row>
    <row r="3908" spans="1:2" s="161" customFormat="1" ht="12.75">
      <c r="A3908" s="144"/>
      <c r="B3908" s="160"/>
    </row>
    <row r="3909" spans="1:2" s="161" customFormat="1" ht="12.75">
      <c r="A3909" s="144"/>
      <c r="B3909" s="160"/>
    </row>
    <row r="3910" spans="1:2" s="161" customFormat="1" ht="12.75">
      <c r="A3910" s="144"/>
      <c r="B3910" s="160"/>
    </row>
    <row r="3911" spans="1:2" s="161" customFormat="1" ht="12.75">
      <c r="A3911" s="144"/>
      <c r="B3911" s="160"/>
    </row>
    <row r="3912" spans="1:2" s="161" customFormat="1" ht="12.75">
      <c r="A3912" s="144"/>
      <c r="B3912" s="160"/>
    </row>
    <row r="3913" spans="1:2" s="161" customFormat="1" ht="12.75">
      <c r="A3913" s="144"/>
      <c r="B3913" s="160"/>
    </row>
    <row r="3914" spans="1:2" s="161" customFormat="1" ht="12.75">
      <c r="A3914" s="144"/>
      <c r="B3914" s="160"/>
    </row>
    <row r="3915" spans="1:2" s="161" customFormat="1" ht="12.75">
      <c r="A3915" s="144"/>
      <c r="B3915" s="160"/>
    </row>
    <row r="3916" spans="1:2" s="161" customFormat="1" ht="12.75">
      <c r="A3916" s="144"/>
      <c r="B3916" s="160"/>
    </row>
    <row r="3917" spans="1:2" s="161" customFormat="1" ht="12.75">
      <c r="A3917" s="144"/>
      <c r="B3917" s="160"/>
    </row>
    <row r="3918" spans="1:2" s="161" customFormat="1" ht="12.75">
      <c r="A3918" s="144"/>
      <c r="B3918" s="160"/>
    </row>
    <row r="3919" spans="1:2" s="161" customFormat="1" ht="12.75">
      <c r="A3919" s="144"/>
      <c r="B3919" s="160"/>
    </row>
    <row r="3920" spans="1:2" s="161" customFormat="1" ht="12.75">
      <c r="A3920" s="144"/>
      <c r="B3920" s="160"/>
    </row>
    <row r="3921" spans="1:2" s="161" customFormat="1" ht="12.75">
      <c r="A3921" s="144"/>
      <c r="B3921" s="160"/>
    </row>
    <row r="3922" spans="1:2" s="161" customFormat="1" ht="12.75">
      <c r="A3922" s="144"/>
      <c r="B3922" s="160"/>
    </row>
    <row r="3923" spans="1:2" s="161" customFormat="1" ht="12.75">
      <c r="A3923" s="144"/>
      <c r="B3923" s="160"/>
    </row>
    <row r="3924" spans="1:2" s="161" customFormat="1" ht="12.75">
      <c r="A3924" s="144"/>
      <c r="B3924" s="160"/>
    </row>
    <row r="3925" spans="1:2" s="161" customFormat="1" ht="12.75">
      <c r="A3925" s="144"/>
      <c r="B3925" s="160"/>
    </row>
    <row r="3926" spans="1:2" s="161" customFormat="1" ht="12.75">
      <c r="A3926" s="144"/>
      <c r="B3926" s="160"/>
    </row>
    <row r="3927" spans="1:2" s="161" customFormat="1" ht="12.75">
      <c r="A3927" s="144"/>
      <c r="B3927" s="160"/>
    </row>
    <row r="3928" spans="1:2" s="161" customFormat="1" ht="12.75">
      <c r="A3928" s="144"/>
      <c r="B3928" s="160"/>
    </row>
    <row r="3929" spans="1:2" s="161" customFormat="1" ht="12.75">
      <c r="A3929" s="144"/>
      <c r="B3929" s="160"/>
    </row>
    <row r="3930" spans="1:2" s="161" customFormat="1" ht="12.75">
      <c r="A3930" s="144"/>
      <c r="B3930" s="160"/>
    </row>
    <row r="3931" spans="1:2" s="161" customFormat="1" ht="12.75">
      <c r="A3931" s="144"/>
      <c r="B3931" s="160"/>
    </row>
    <row r="3932" spans="1:2" s="161" customFormat="1" ht="12.75">
      <c r="A3932" s="144"/>
      <c r="B3932" s="160"/>
    </row>
    <row r="3933" spans="1:2" s="161" customFormat="1" ht="12.75">
      <c r="A3933" s="144"/>
      <c r="B3933" s="160"/>
    </row>
    <row r="3934" spans="1:2" s="161" customFormat="1" ht="12.75">
      <c r="A3934" s="144"/>
      <c r="B3934" s="160"/>
    </row>
    <row r="3935" spans="1:2" s="161" customFormat="1" ht="12.75">
      <c r="A3935" s="144"/>
      <c r="B3935" s="160"/>
    </row>
    <row r="3936" spans="1:2" s="161" customFormat="1" ht="12.75">
      <c r="A3936" s="144"/>
      <c r="B3936" s="160"/>
    </row>
    <row r="3937" spans="1:2" s="161" customFormat="1" ht="12.75">
      <c r="A3937" s="144"/>
      <c r="B3937" s="160"/>
    </row>
    <row r="3938" spans="1:2" s="161" customFormat="1" ht="12.75">
      <c r="A3938" s="144"/>
      <c r="B3938" s="160"/>
    </row>
    <row r="3939" spans="1:2" s="161" customFormat="1" ht="12.75">
      <c r="A3939" s="144"/>
      <c r="B3939" s="160"/>
    </row>
    <row r="3940" spans="1:2" s="161" customFormat="1" ht="12.75">
      <c r="A3940" s="144"/>
      <c r="B3940" s="160"/>
    </row>
    <row r="3941" spans="1:2" s="161" customFormat="1" ht="12.75">
      <c r="A3941" s="144"/>
      <c r="B3941" s="160"/>
    </row>
    <row r="3942" spans="1:2" s="161" customFormat="1" ht="12.75">
      <c r="A3942" s="144"/>
      <c r="B3942" s="160"/>
    </row>
    <row r="3943" spans="1:2" s="161" customFormat="1" ht="12.75">
      <c r="A3943" s="144"/>
      <c r="B3943" s="160"/>
    </row>
    <row r="3944" spans="1:2" s="161" customFormat="1" ht="12.75">
      <c r="A3944" s="144"/>
      <c r="B3944" s="160"/>
    </row>
    <row r="3945" spans="1:2" s="161" customFormat="1" ht="12.75">
      <c r="A3945" s="144"/>
      <c r="B3945" s="160"/>
    </row>
    <row r="3946" spans="1:2" s="161" customFormat="1" ht="12.75">
      <c r="A3946" s="144"/>
      <c r="B3946" s="160"/>
    </row>
    <row r="3947" spans="1:2" s="161" customFormat="1" ht="12.75">
      <c r="A3947" s="144"/>
      <c r="B3947" s="160"/>
    </row>
    <row r="3948" spans="1:2" s="161" customFormat="1" ht="12.75">
      <c r="A3948" s="144"/>
      <c r="B3948" s="160"/>
    </row>
    <row r="3949" spans="1:2" s="161" customFormat="1" ht="12.75">
      <c r="A3949" s="144"/>
      <c r="B3949" s="160"/>
    </row>
    <row r="3950" spans="1:2" s="161" customFormat="1" ht="12.75">
      <c r="A3950" s="144"/>
      <c r="B3950" s="160"/>
    </row>
    <row r="3951" spans="1:2" s="161" customFormat="1" ht="12.75">
      <c r="A3951" s="144"/>
      <c r="B3951" s="160"/>
    </row>
    <row r="3952" spans="1:2" s="161" customFormat="1" ht="12.75">
      <c r="A3952" s="144"/>
      <c r="B3952" s="160"/>
    </row>
    <row r="3953" spans="1:2" s="161" customFormat="1" ht="12.75">
      <c r="A3953" s="144"/>
      <c r="B3953" s="160"/>
    </row>
    <row r="3954" spans="1:2" s="161" customFormat="1" ht="12.75">
      <c r="A3954" s="144"/>
      <c r="B3954" s="160"/>
    </row>
    <row r="3955" spans="1:2" s="161" customFormat="1" ht="12.75">
      <c r="A3955" s="144"/>
      <c r="B3955" s="160"/>
    </row>
    <row r="3956" spans="1:2" s="161" customFormat="1" ht="12.75">
      <c r="A3956" s="144"/>
      <c r="B3956" s="160"/>
    </row>
    <row r="3957" spans="1:2" s="161" customFormat="1" ht="12.75">
      <c r="A3957" s="144"/>
      <c r="B3957" s="160"/>
    </row>
    <row r="3958" spans="1:2" s="161" customFormat="1" ht="12.75">
      <c r="A3958" s="144"/>
      <c r="B3958" s="160"/>
    </row>
    <row r="3959" spans="1:2" s="161" customFormat="1" ht="12.75">
      <c r="A3959" s="144"/>
      <c r="B3959" s="160"/>
    </row>
    <row r="3960" spans="1:2" s="161" customFormat="1" ht="12.75">
      <c r="A3960" s="144"/>
      <c r="B3960" s="160"/>
    </row>
    <row r="3961" spans="1:2" s="161" customFormat="1" ht="12.75">
      <c r="A3961" s="144"/>
      <c r="B3961" s="160"/>
    </row>
    <row r="3962" spans="1:2" s="161" customFormat="1" ht="12.75">
      <c r="A3962" s="144"/>
      <c r="B3962" s="160"/>
    </row>
    <row r="3963" spans="1:2" s="161" customFormat="1" ht="12.75">
      <c r="A3963" s="144"/>
      <c r="B3963" s="160"/>
    </row>
    <row r="3964" spans="1:2" s="161" customFormat="1" ht="12.75">
      <c r="A3964" s="144"/>
      <c r="B3964" s="160"/>
    </row>
    <row r="3965" spans="1:2" s="161" customFormat="1" ht="12.75">
      <c r="A3965" s="144"/>
      <c r="B3965" s="160"/>
    </row>
    <row r="3966" spans="1:2" s="161" customFormat="1" ht="12.75">
      <c r="A3966" s="144"/>
      <c r="B3966" s="160"/>
    </row>
    <row r="3967" spans="1:2" s="161" customFormat="1" ht="12.75">
      <c r="A3967" s="144"/>
      <c r="B3967" s="160"/>
    </row>
    <row r="3968" spans="1:2" s="161" customFormat="1" ht="12.75">
      <c r="A3968" s="144"/>
      <c r="B3968" s="160"/>
    </row>
    <row r="3969" spans="1:2" s="161" customFormat="1" ht="12.75">
      <c r="A3969" s="144"/>
      <c r="B3969" s="160"/>
    </row>
    <row r="3970" spans="1:2" s="161" customFormat="1" ht="12.75">
      <c r="A3970" s="144"/>
      <c r="B3970" s="160"/>
    </row>
    <row r="3971" spans="1:2" s="161" customFormat="1" ht="12.75">
      <c r="A3971" s="144"/>
      <c r="B3971" s="160"/>
    </row>
    <row r="3972" spans="1:2" s="161" customFormat="1" ht="12.75">
      <c r="A3972" s="144"/>
      <c r="B3972" s="160"/>
    </row>
    <row r="3973" spans="1:2" s="161" customFormat="1" ht="12.75">
      <c r="A3973" s="144"/>
      <c r="B3973" s="160"/>
    </row>
    <row r="3974" spans="1:2" s="161" customFormat="1" ht="12.75">
      <c r="A3974" s="144"/>
      <c r="B3974" s="160"/>
    </row>
    <row r="3975" spans="1:2" s="161" customFormat="1" ht="12.75">
      <c r="A3975" s="144"/>
      <c r="B3975" s="160"/>
    </row>
    <row r="3976" spans="1:2" s="161" customFormat="1" ht="12.75">
      <c r="A3976" s="144"/>
      <c r="B3976" s="160"/>
    </row>
    <row r="3977" spans="1:2" s="161" customFormat="1" ht="12.75">
      <c r="A3977" s="144"/>
      <c r="B3977" s="160"/>
    </row>
    <row r="3978" spans="1:2" s="161" customFormat="1" ht="12.75">
      <c r="A3978" s="144"/>
      <c r="B3978" s="160"/>
    </row>
    <row r="3979" spans="1:2" s="161" customFormat="1" ht="12.75">
      <c r="A3979" s="144"/>
      <c r="B3979" s="160"/>
    </row>
    <row r="3980" spans="1:2" s="161" customFormat="1" ht="12.75">
      <c r="A3980" s="144"/>
      <c r="B3980" s="160"/>
    </row>
    <row r="3981" spans="1:2" s="161" customFormat="1" ht="12.75">
      <c r="A3981" s="144"/>
      <c r="B3981" s="160"/>
    </row>
    <row r="3982" spans="1:2" s="161" customFormat="1" ht="12.75">
      <c r="A3982" s="144"/>
      <c r="B3982" s="160"/>
    </row>
    <row r="3983" spans="1:2" s="161" customFormat="1" ht="12.75">
      <c r="A3983" s="144"/>
      <c r="B3983" s="160"/>
    </row>
    <row r="3984" spans="1:2" s="161" customFormat="1" ht="12.75">
      <c r="A3984" s="144"/>
      <c r="B3984" s="160"/>
    </row>
    <row r="3985" spans="1:2" s="161" customFormat="1" ht="12.75">
      <c r="A3985" s="144"/>
      <c r="B3985" s="160"/>
    </row>
    <row r="3986" spans="1:2" s="161" customFormat="1" ht="12.75">
      <c r="A3986" s="144"/>
      <c r="B3986" s="160"/>
    </row>
    <row r="3987" spans="1:2" s="161" customFormat="1" ht="12.75">
      <c r="A3987" s="144"/>
      <c r="B3987" s="160"/>
    </row>
    <row r="3988" spans="1:2" s="161" customFormat="1" ht="12.75">
      <c r="A3988" s="144"/>
      <c r="B3988" s="160"/>
    </row>
    <row r="3989" spans="1:2" s="161" customFormat="1" ht="12.75">
      <c r="A3989" s="144"/>
      <c r="B3989" s="160"/>
    </row>
    <row r="3990" spans="1:2" s="161" customFormat="1" ht="12.75">
      <c r="A3990" s="144"/>
      <c r="B3990" s="160"/>
    </row>
    <row r="3991" spans="1:2" s="161" customFormat="1" ht="12.75">
      <c r="A3991" s="144"/>
      <c r="B3991" s="160"/>
    </row>
    <row r="3992" spans="1:2" s="161" customFormat="1" ht="12.75">
      <c r="A3992" s="144"/>
      <c r="B3992" s="160"/>
    </row>
    <row r="3993" spans="1:2" s="161" customFormat="1" ht="12.75">
      <c r="A3993" s="144"/>
      <c r="B3993" s="160"/>
    </row>
    <row r="3994" spans="1:2" s="161" customFormat="1" ht="12.75">
      <c r="A3994" s="144"/>
      <c r="B3994" s="160"/>
    </row>
    <row r="3995" spans="1:2" s="161" customFormat="1" ht="12.75">
      <c r="A3995" s="144"/>
      <c r="B3995" s="160"/>
    </row>
    <row r="3996" spans="1:2" s="161" customFormat="1" ht="12.75">
      <c r="A3996" s="144"/>
      <c r="B3996" s="160"/>
    </row>
    <row r="3997" spans="1:2" s="161" customFormat="1" ht="12.75">
      <c r="A3997" s="144"/>
      <c r="B3997" s="160"/>
    </row>
    <row r="3998" spans="1:2" s="161" customFormat="1" ht="12.75">
      <c r="A3998" s="144"/>
      <c r="B3998" s="160"/>
    </row>
    <row r="3999" spans="1:2" s="161" customFormat="1" ht="12.75">
      <c r="A3999" s="144"/>
      <c r="B3999" s="160"/>
    </row>
    <row r="4000" spans="1:2" s="161" customFormat="1" ht="12.75">
      <c r="A4000" s="144"/>
      <c r="B4000" s="160"/>
    </row>
    <row r="4001" spans="1:2" s="161" customFormat="1" ht="12.75">
      <c r="A4001" s="144"/>
      <c r="B4001" s="160"/>
    </row>
    <row r="4002" spans="1:2" s="161" customFormat="1" ht="12.75">
      <c r="A4002" s="144"/>
      <c r="B4002" s="160"/>
    </row>
    <row r="4003" spans="1:2" s="161" customFormat="1" ht="12.75">
      <c r="A4003" s="144"/>
      <c r="B4003" s="160"/>
    </row>
    <row r="4004" spans="1:2" s="161" customFormat="1" ht="12.75">
      <c r="A4004" s="144"/>
      <c r="B4004" s="160"/>
    </row>
    <row r="4005" spans="1:2" s="161" customFormat="1" ht="12.75">
      <c r="A4005" s="144"/>
      <c r="B4005" s="160"/>
    </row>
    <row r="4006" spans="1:2" s="161" customFormat="1" ht="12.75">
      <c r="A4006" s="144"/>
      <c r="B4006" s="160"/>
    </row>
    <row r="4007" spans="1:2" s="161" customFormat="1" ht="12.75">
      <c r="A4007" s="144"/>
      <c r="B4007" s="160"/>
    </row>
    <row r="4008" spans="1:2" s="161" customFormat="1" ht="12.75">
      <c r="A4008" s="144"/>
      <c r="B4008" s="160"/>
    </row>
    <row r="4009" spans="1:2" s="161" customFormat="1" ht="12.75">
      <c r="A4009" s="144"/>
      <c r="B4009" s="160"/>
    </row>
    <row r="4010" spans="1:2" s="161" customFormat="1" ht="12.75">
      <c r="A4010" s="144"/>
      <c r="B4010" s="160"/>
    </row>
    <row r="4011" spans="1:2" s="161" customFormat="1" ht="12.75">
      <c r="A4011" s="144"/>
      <c r="B4011" s="160"/>
    </row>
    <row r="4012" spans="1:2" s="161" customFormat="1" ht="12.75">
      <c r="A4012" s="144"/>
      <c r="B4012" s="160"/>
    </row>
    <row r="4013" spans="1:2" s="161" customFormat="1" ht="12.75">
      <c r="A4013" s="144"/>
      <c r="B4013" s="160"/>
    </row>
    <row r="4014" spans="1:2" s="161" customFormat="1" ht="12.75">
      <c r="A4014" s="144"/>
      <c r="B4014" s="160"/>
    </row>
    <row r="4015" spans="1:2" s="161" customFormat="1" ht="12.75">
      <c r="A4015" s="144"/>
      <c r="B4015" s="160"/>
    </row>
    <row r="4016" spans="1:2" s="161" customFormat="1" ht="12.75">
      <c r="A4016" s="144"/>
      <c r="B4016" s="160"/>
    </row>
    <row r="4017" spans="1:2" s="161" customFormat="1" ht="12.75">
      <c r="A4017" s="144"/>
      <c r="B4017" s="160"/>
    </row>
    <row r="4018" spans="1:2" s="161" customFormat="1" ht="12.75">
      <c r="A4018" s="144"/>
      <c r="B4018" s="160"/>
    </row>
    <row r="4019" spans="1:2" s="161" customFormat="1" ht="12.75">
      <c r="A4019" s="144"/>
      <c r="B4019" s="160"/>
    </row>
    <row r="4020" spans="1:2" s="161" customFormat="1" ht="12.75">
      <c r="A4020" s="144"/>
      <c r="B4020" s="160"/>
    </row>
    <row r="4021" spans="1:2" s="161" customFormat="1" ht="12.75">
      <c r="A4021" s="144"/>
      <c r="B4021" s="160"/>
    </row>
    <row r="4022" spans="1:2" s="161" customFormat="1" ht="12.75">
      <c r="A4022" s="144"/>
      <c r="B4022" s="160"/>
    </row>
    <row r="4023" spans="1:2" s="161" customFormat="1" ht="12.75">
      <c r="A4023" s="144"/>
      <c r="B4023" s="160"/>
    </row>
    <row r="4024" spans="1:2" s="161" customFormat="1" ht="12.75">
      <c r="A4024" s="144"/>
      <c r="B4024" s="160"/>
    </row>
    <row r="4025" spans="1:2" s="161" customFormat="1" ht="12.75">
      <c r="A4025" s="144"/>
      <c r="B4025" s="160"/>
    </row>
    <row r="4026" spans="1:2" s="161" customFormat="1" ht="12.75">
      <c r="A4026" s="144"/>
      <c r="B4026" s="160"/>
    </row>
    <row r="4027" spans="1:2" s="161" customFormat="1" ht="12.75">
      <c r="A4027" s="144"/>
      <c r="B4027" s="160"/>
    </row>
    <row r="4028" spans="1:2" s="161" customFormat="1" ht="12.75">
      <c r="A4028" s="144"/>
      <c r="B4028" s="160"/>
    </row>
    <row r="4029" spans="1:2" s="161" customFormat="1" ht="12.75">
      <c r="A4029" s="144"/>
      <c r="B4029" s="160"/>
    </row>
    <row r="4030" spans="1:2" s="161" customFormat="1" ht="12.75">
      <c r="A4030" s="144"/>
      <c r="B4030" s="160"/>
    </row>
    <row r="4031" spans="1:2" s="161" customFormat="1" ht="12.75">
      <c r="A4031" s="144"/>
      <c r="B4031" s="160"/>
    </row>
    <row r="4032" spans="1:2" s="161" customFormat="1" ht="12.75">
      <c r="A4032" s="144"/>
      <c r="B4032" s="160"/>
    </row>
    <row r="4033" spans="1:2" s="161" customFormat="1" ht="12.75">
      <c r="A4033" s="144"/>
      <c r="B4033" s="160"/>
    </row>
    <row r="4034" spans="1:2" s="161" customFormat="1" ht="12.75">
      <c r="A4034" s="144"/>
      <c r="B4034" s="160"/>
    </row>
    <row r="4035" spans="1:2" s="161" customFormat="1" ht="12.75">
      <c r="A4035" s="144"/>
      <c r="B4035" s="160"/>
    </row>
    <row r="4036" spans="1:2" s="161" customFormat="1" ht="12.75">
      <c r="A4036" s="144"/>
      <c r="B4036" s="160"/>
    </row>
    <row r="4037" spans="1:2" s="161" customFormat="1" ht="12.75">
      <c r="A4037" s="144"/>
      <c r="B4037" s="160"/>
    </row>
    <row r="4038" spans="1:2" s="161" customFormat="1" ht="12.75">
      <c r="A4038" s="144"/>
      <c r="B4038" s="160"/>
    </row>
    <row r="4039" spans="1:2" s="161" customFormat="1" ht="12.75">
      <c r="A4039" s="144"/>
      <c r="B4039" s="160"/>
    </row>
    <row r="4040" spans="1:2" s="161" customFormat="1" ht="12.75">
      <c r="A4040" s="144"/>
      <c r="B4040" s="160"/>
    </row>
    <row r="4041" spans="1:2" s="161" customFormat="1" ht="12.75">
      <c r="A4041" s="144"/>
      <c r="B4041" s="160"/>
    </row>
    <row r="4042" spans="1:2" s="161" customFormat="1" ht="12.75">
      <c r="A4042" s="144"/>
      <c r="B4042" s="160"/>
    </row>
    <row r="4043" spans="1:2" s="161" customFormat="1" ht="12.75">
      <c r="A4043" s="144"/>
      <c r="B4043" s="160"/>
    </row>
    <row r="4044" spans="1:2" s="161" customFormat="1" ht="12.75">
      <c r="A4044" s="144"/>
      <c r="B4044" s="160"/>
    </row>
    <row r="4045" spans="1:2" s="161" customFormat="1" ht="12.75">
      <c r="A4045" s="144"/>
      <c r="B4045" s="160"/>
    </row>
    <row r="4046" spans="1:2" s="161" customFormat="1" ht="12.75">
      <c r="A4046" s="144"/>
      <c r="B4046" s="160"/>
    </row>
    <row r="4047" spans="1:2" s="161" customFormat="1" ht="12.75">
      <c r="A4047" s="144"/>
      <c r="B4047" s="160"/>
    </row>
    <row r="4048" spans="1:2" s="161" customFormat="1" ht="12.75">
      <c r="A4048" s="144"/>
      <c r="B4048" s="160"/>
    </row>
    <row r="4049" spans="1:2" s="161" customFormat="1" ht="12.75">
      <c r="A4049" s="144"/>
      <c r="B4049" s="160"/>
    </row>
    <row r="4050" spans="1:2" s="161" customFormat="1" ht="12.75">
      <c r="A4050" s="144"/>
      <c r="B4050" s="160"/>
    </row>
    <row r="4051" spans="1:2" s="161" customFormat="1" ht="12.75">
      <c r="A4051" s="144"/>
      <c r="B4051" s="160"/>
    </row>
    <row r="4052" spans="1:2" s="161" customFormat="1" ht="12.75">
      <c r="A4052" s="144"/>
      <c r="B4052" s="160"/>
    </row>
    <row r="4053" spans="1:2" s="161" customFormat="1" ht="12.75">
      <c r="A4053" s="144"/>
      <c r="B4053" s="160"/>
    </row>
    <row r="4054" spans="1:2" s="161" customFormat="1" ht="12.75">
      <c r="A4054" s="144"/>
      <c r="B4054" s="160"/>
    </row>
    <row r="4055" spans="1:2" s="161" customFormat="1" ht="12.75">
      <c r="A4055" s="144"/>
      <c r="B4055" s="160"/>
    </row>
    <row r="4056" spans="1:2" s="161" customFormat="1" ht="12.75">
      <c r="A4056" s="144"/>
      <c r="B4056" s="160"/>
    </row>
    <row r="4057" spans="1:2" s="161" customFormat="1" ht="12.75">
      <c r="A4057" s="144"/>
      <c r="B4057" s="160"/>
    </row>
    <row r="4058" spans="1:2" s="161" customFormat="1" ht="12.75">
      <c r="A4058" s="144"/>
      <c r="B4058" s="160"/>
    </row>
    <row r="4059" spans="1:2" s="161" customFormat="1" ht="12.75">
      <c r="A4059" s="144"/>
      <c r="B4059" s="160"/>
    </row>
    <row r="4060" spans="1:2" s="161" customFormat="1" ht="12.75">
      <c r="A4060" s="144"/>
      <c r="B4060" s="160"/>
    </row>
    <row r="4061" spans="1:2" s="161" customFormat="1" ht="12.75">
      <c r="A4061" s="144"/>
      <c r="B4061" s="160"/>
    </row>
    <row r="4062" spans="1:2" s="161" customFormat="1" ht="12.75">
      <c r="A4062" s="144"/>
      <c r="B4062" s="160"/>
    </row>
    <row r="4063" spans="1:2" s="161" customFormat="1" ht="12.75">
      <c r="A4063" s="144"/>
      <c r="B4063" s="160"/>
    </row>
    <row r="4064" spans="1:2" s="161" customFormat="1" ht="12.75">
      <c r="A4064" s="144"/>
      <c r="B4064" s="160"/>
    </row>
    <row r="4065" spans="1:2" s="161" customFormat="1" ht="12.75">
      <c r="A4065" s="144"/>
      <c r="B4065" s="160"/>
    </row>
    <row r="4066" spans="1:2" s="161" customFormat="1" ht="12.75">
      <c r="A4066" s="144"/>
      <c r="B4066" s="160"/>
    </row>
    <row r="4067" spans="1:2" s="161" customFormat="1" ht="12.75">
      <c r="A4067" s="144"/>
      <c r="B4067" s="160"/>
    </row>
    <row r="4068" spans="1:2" s="161" customFormat="1" ht="12.75">
      <c r="A4068" s="144"/>
      <c r="B4068" s="160"/>
    </row>
    <row r="4069" spans="1:2" s="161" customFormat="1" ht="12.75">
      <c r="A4069" s="144"/>
      <c r="B4069" s="160"/>
    </row>
    <row r="4070" spans="1:2" s="161" customFormat="1" ht="12.75">
      <c r="A4070" s="144"/>
      <c r="B4070" s="160"/>
    </row>
    <row r="4071" spans="1:2" s="161" customFormat="1" ht="12.75">
      <c r="A4071" s="144"/>
      <c r="B4071" s="160"/>
    </row>
    <row r="4072" spans="1:2" s="161" customFormat="1" ht="12.75">
      <c r="A4072" s="144"/>
      <c r="B4072" s="160"/>
    </row>
    <row r="4073" spans="1:2" s="161" customFormat="1" ht="12.75">
      <c r="A4073" s="144"/>
      <c r="B4073" s="160"/>
    </row>
    <row r="4074" spans="1:2" s="161" customFormat="1" ht="12.75">
      <c r="A4074" s="144"/>
      <c r="B4074" s="160"/>
    </row>
    <row r="4075" spans="1:2" s="161" customFormat="1" ht="13.5" customHeight="1">
      <c r="A4075" s="144"/>
      <c r="B4075" s="160"/>
    </row>
    <row r="4076" spans="1:2" s="161" customFormat="1" ht="12.75">
      <c r="A4076" s="144"/>
      <c r="B4076" s="160"/>
    </row>
    <row r="4077" spans="1:2" s="161" customFormat="1" ht="12.75">
      <c r="A4077" s="144"/>
      <c r="B4077" s="160"/>
    </row>
    <row r="4078" spans="1:2" s="161" customFormat="1" ht="12.75">
      <c r="A4078" s="144"/>
      <c r="B4078" s="160"/>
    </row>
    <row r="4079" spans="1:2" s="161" customFormat="1" ht="12.75">
      <c r="A4079" s="144"/>
      <c r="B4079" s="160"/>
    </row>
    <row r="4080" spans="1:2" s="161" customFormat="1" ht="12.75">
      <c r="A4080" s="144"/>
      <c r="B4080" s="160"/>
    </row>
    <row r="4081" spans="1:2" s="161" customFormat="1" ht="12.75">
      <c r="A4081" s="144"/>
      <c r="B4081" s="160"/>
    </row>
    <row r="4082" spans="1:2" s="161" customFormat="1" ht="12.75">
      <c r="A4082" s="144"/>
      <c r="B4082" s="160"/>
    </row>
    <row r="4083" spans="1:2" s="161" customFormat="1" ht="12.75">
      <c r="A4083" s="144"/>
      <c r="B4083" s="160"/>
    </row>
    <row r="4084" spans="1:2" s="161" customFormat="1" ht="12.75">
      <c r="A4084" s="144"/>
      <c r="B4084" s="160"/>
    </row>
    <row r="4085" spans="1:2" s="161" customFormat="1" ht="12.75">
      <c r="A4085" s="144"/>
      <c r="B4085" s="160"/>
    </row>
    <row r="4086" spans="1:2" s="161" customFormat="1" ht="12.75">
      <c r="A4086" s="144"/>
      <c r="B4086" s="160"/>
    </row>
    <row r="4087" spans="1:2" s="161" customFormat="1" ht="12.75">
      <c r="A4087" s="144"/>
      <c r="B4087" s="160"/>
    </row>
    <row r="4088" spans="1:2" s="161" customFormat="1" ht="12.75">
      <c r="A4088" s="144"/>
      <c r="B4088" s="160"/>
    </row>
    <row r="4089" spans="1:2" s="161" customFormat="1" ht="12.75">
      <c r="A4089" s="144"/>
      <c r="B4089" s="160"/>
    </row>
    <row r="4090" spans="1:2" s="161" customFormat="1" ht="12.75">
      <c r="A4090" s="144"/>
      <c r="B4090" s="160"/>
    </row>
    <row r="4091" spans="1:2" s="161" customFormat="1" ht="12.75">
      <c r="A4091" s="144"/>
      <c r="B4091" s="160"/>
    </row>
    <row r="4092" spans="1:2" s="161" customFormat="1" ht="12.75">
      <c r="A4092" s="144"/>
      <c r="B4092" s="160"/>
    </row>
    <row r="4093" spans="1:2" s="161" customFormat="1" ht="12.75">
      <c r="A4093" s="144"/>
      <c r="B4093" s="160"/>
    </row>
    <row r="4094" spans="1:2" s="161" customFormat="1" ht="12.75">
      <c r="A4094" s="144"/>
      <c r="B4094" s="160"/>
    </row>
    <row r="4095" spans="1:2" s="161" customFormat="1" ht="12.75">
      <c r="A4095" s="144"/>
      <c r="B4095" s="160"/>
    </row>
    <row r="4096" spans="1:2" s="161" customFormat="1" ht="12.75">
      <c r="A4096" s="144"/>
      <c r="B4096" s="160"/>
    </row>
    <row r="4097" spans="1:2" s="161" customFormat="1" ht="12.75">
      <c r="A4097" s="144"/>
      <c r="B4097" s="160"/>
    </row>
    <row r="4098" spans="1:2" s="161" customFormat="1" ht="12.75">
      <c r="A4098" s="144"/>
      <c r="B4098" s="160"/>
    </row>
    <row r="4099" spans="1:2" s="161" customFormat="1" ht="12.75">
      <c r="A4099" s="144"/>
      <c r="B4099" s="160"/>
    </row>
    <row r="4100" spans="1:2" s="161" customFormat="1" ht="12.75">
      <c r="A4100" s="144"/>
      <c r="B4100" s="160"/>
    </row>
    <row r="4101" spans="1:2" s="161" customFormat="1" ht="12.75">
      <c r="A4101" s="144"/>
      <c r="B4101" s="160"/>
    </row>
    <row r="4102" spans="1:2" s="161" customFormat="1" ht="12.75">
      <c r="A4102" s="144"/>
      <c r="B4102" s="160"/>
    </row>
    <row r="4103" spans="1:2" s="161" customFormat="1" ht="12.75">
      <c r="A4103" s="144"/>
      <c r="B4103" s="160"/>
    </row>
    <row r="4104" spans="1:2" s="161" customFormat="1" ht="12.75">
      <c r="A4104" s="144"/>
      <c r="B4104" s="160"/>
    </row>
    <row r="4105" spans="1:2" s="161" customFormat="1" ht="12.75">
      <c r="A4105" s="144"/>
      <c r="B4105" s="160"/>
    </row>
    <row r="4106" spans="1:2" s="161" customFormat="1" ht="12.75">
      <c r="A4106" s="144"/>
      <c r="B4106" s="160"/>
    </row>
    <row r="4107" spans="1:2" s="161" customFormat="1" ht="12.75">
      <c r="A4107" s="144"/>
      <c r="B4107" s="160"/>
    </row>
    <row r="4108" spans="1:2" s="161" customFormat="1" ht="12.75">
      <c r="A4108" s="144"/>
      <c r="B4108" s="160"/>
    </row>
    <row r="4109" spans="1:2" s="161" customFormat="1" ht="12.75">
      <c r="A4109" s="144"/>
      <c r="B4109" s="160"/>
    </row>
    <row r="4110" spans="1:2" s="161" customFormat="1" ht="12.75">
      <c r="A4110" s="144"/>
      <c r="B4110" s="160"/>
    </row>
    <row r="4111" spans="1:2" s="161" customFormat="1" ht="12.75">
      <c r="A4111" s="144"/>
      <c r="B4111" s="160"/>
    </row>
    <row r="4112" spans="1:2" s="161" customFormat="1" ht="12.75">
      <c r="A4112" s="144"/>
      <c r="B4112" s="160"/>
    </row>
    <row r="4113" spans="1:2" s="161" customFormat="1" ht="12.75">
      <c r="A4113" s="144"/>
      <c r="B4113" s="160"/>
    </row>
    <row r="4114" spans="1:2" s="161" customFormat="1" ht="12.75">
      <c r="A4114" s="144"/>
      <c r="B4114" s="160"/>
    </row>
    <row r="4115" spans="1:2" s="161" customFormat="1" ht="12.75">
      <c r="A4115" s="144"/>
      <c r="B4115" s="160"/>
    </row>
    <row r="4116" spans="1:2" s="161" customFormat="1" ht="12.75">
      <c r="A4116" s="144"/>
      <c r="B4116" s="160"/>
    </row>
    <row r="4117" spans="1:2" s="161" customFormat="1" ht="12.75">
      <c r="A4117" s="144"/>
      <c r="B4117" s="160"/>
    </row>
    <row r="4118" spans="1:2" s="161" customFormat="1" ht="12.75">
      <c r="A4118" s="144"/>
      <c r="B4118" s="160"/>
    </row>
    <row r="4119" spans="1:2" s="161" customFormat="1" ht="12.75">
      <c r="A4119" s="144"/>
      <c r="B4119" s="160"/>
    </row>
    <row r="4120" spans="1:2" s="161" customFormat="1" ht="12.75">
      <c r="A4120" s="144"/>
      <c r="B4120" s="160"/>
    </row>
    <row r="4121" spans="1:2" s="161" customFormat="1" ht="12.75">
      <c r="A4121" s="144"/>
      <c r="B4121" s="160"/>
    </row>
    <row r="4122" spans="1:2" s="161" customFormat="1" ht="12.75">
      <c r="A4122" s="144"/>
      <c r="B4122" s="160"/>
    </row>
    <row r="4123" spans="1:2" s="161" customFormat="1" ht="12.75">
      <c r="A4123" s="144"/>
      <c r="B4123" s="160"/>
    </row>
    <row r="4124" spans="1:2" s="161" customFormat="1" ht="12.75">
      <c r="A4124" s="144"/>
      <c r="B4124" s="160"/>
    </row>
    <row r="4125" spans="1:2" s="161" customFormat="1" ht="12.75">
      <c r="A4125" s="144"/>
      <c r="B4125" s="160"/>
    </row>
    <row r="4126" spans="1:2" s="161" customFormat="1" ht="12.75">
      <c r="A4126" s="144"/>
      <c r="B4126" s="160"/>
    </row>
    <row r="4127" spans="1:2" s="161" customFormat="1" ht="12.75">
      <c r="A4127" s="144"/>
      <c r="B4127" s="160"/>
    </row>
    <row r="4128" spans="1:2" s="161" customFormat="1" ht="12.75">
      <c r="A4128" s="144"/>
      <c r="B4128" s="160"/>
    </row>
    <row r="4129" spans="1:2" s="161" customFormat="1" ht="12.75">
      <c r="A4129" s="144"/>
      <c r="B4129" s="160"/>
    </row>
    <row r="4130" spans="1:2" s="161" customFormat="1" ht="12.75">
      <c r="A4130" s="144"/>
      <c r="B4130" s="160"/>
    </row>
    <row r="4131" spans="1:2" s="161" customFormat="1" ht="12.75">
      <c r="A4131" s="144"/>
      <c r="B4131" s="160"/>
    </row>
    <row r="4132" spans="1:2" s="161" customFormat="1" ht="12.75">
      <c r="A4132" s="144"/>
      <c r="B4132" s="160"/>
    </row>
    <row r="4133" spans="1:2" s="161" customFormat="1" ht="12.75">
      <c r="A4133" s="144"/>
      <c r="B4133" s="160"/>
    </row>
    <row r="4134" spans="1:2" s="161" customFormat="1" ht="12.75">
      <c r="A4134" s="144"/>
      <c r="B4134" s="160"/>
    </row>
    <row r="4135" spans="1:2" s="161" customFormat="1" ht="12.75">
      <c r="A4135" s="144"/>
      <c r="B4135" s="160"/>
    </row>
    <row r="4136" spans="1:2" s="161" customFormat="1" ht="12.75">
      <c r="A4136" s="144"/>
      <c r="B4136" s="160"/>
    </row>
    <row r="4137" spans="1:2" s="161" customFormat="1" ht="12.75">
      <c r="A4137" s="144"/>
      <c r="B4137" s="160"/>
    </row>
    <row r="4138" spans="1:2" s="161" customFormat="1" ht="12.75">
      <c r="A4138" s="144"/>
      <c r="B4138" s="160"/>
    </row>
    <row r="4139" spans="1:2" s="161" customFormat="1" ht="12.75">
      <c r="A4139" s="144"/>
      <c r="B4139" s="160"/>
    </row>
    <row r="4140" spans="1:2" s="161" customFormat="1" ht="12.75">
      <c r="A4140" s="144"/>
      <c r="B4140" s="160"/>
    </row>
    <row r="4141" spans="1:2" s="161" customFormat="1" ht="12.75">
      <c r="A4141" s="144"/>
      <c r="B4141" s="160"/>
    </row>
    <row r="4142" spans="1:2" s="161" customFormat="1" ht="12.75">
      <c r="A4142" s="144"/>
      <c r="B4142" s="160"/>
    </row>
    <row r="4143" spans="1:2" s="161" customFormat="1" ht="12.75">
      <c r="A4143" s="144"/>
      <c r="B4143" s="160"/>
    </row>
    <row r="4144" spans="1:2" s="161" customFormat="1" ht="12.75">
      <c r="A4144" s="144"/>
      <c r="B4144" s="160"/>
    </row>
    <row r="4145" spans="1:2" s="161" customFormat="1" ht="12.75">
      <c r="A4145" s="144"/>
      <c r="B4145" s="160"/>
    </row>
    <row r="4146" spans="1:2" s="161" customFormat="1" ht="12.75">
      <c r="A4146" s="144"/>
      <c r="B4146" s="160"/>
    </row>
    <row r="4147" spans="1:2" s="161" customFormat="1" ht="12.75">
      <c r="A4147" s="144"/>
      <c r="B4147" s="160"/>
    </row>
    <row r="4148" spans="1:2" s="161" customFormat="1" ht="12.75">
      <c r="A4148" s="144"/>
      <c r="B4148" s="160"/>
    </row>
    <row r="4149" spans="1:2" s="161" customFormat="1" ht="12.75">
      <c r="A4149" s="144"/>
      <c r="B4149" s="160"/>
    </row>
    <row r="4150" spans="1:2" s="161" customFormat="1" ht="12.75">
      <c r="A4150" s="144"/>
      <c r="B4150" s="160"/>
    </row>
    <row r="4151" spans="1:2" s="161" customFormat="1" ht="12.75">
      <c r="A4151" s="144"/>
      <c r="B4151" s="160"/>
    </row>
    <row r="4152" spans="1:2" s="161" customFormat="1" ht="12.75">
      <c r="A4152" s="144"/>
      <c r="B4152" s="160"/>
    </row>
    <row r="4153" spans="1:2" s="161" customFormat="1" ht="12.75">
      <c r="A4153" s="144"/>
      <c r="B4153" s="160"/>
    </row>
    <row r="4154" spans="1:2" s="161" customFormat="1" ht="12.75">
      <c r="A4154" s="144"/>
      <c r="B4154" s="160"/>
    </row>
    <row r="4155" spans="1:2" s="161" customFormat="1" ht="12.75">
      <c r="A4155" s="144"/>
      <c r="B4155" s="160"/>
    </row>
    <row r="4156" spans="1:2" s="161" customFormat="1" ht="12.75">
      <c r="A4156" s="144"/>
      <c r="B4156" s="160"/>
    </row>
    <row r="4157" spans="1:2" s="161" customFormat="1" ht="12.75">
      <c r="A4157" s="144"/>
      <c r="B4157" s="160"/>
    </row>
    <row r="4158" spans="1:2" s="161" customFormat="1" ht="12.75">
      <c r="A4158" s="144"/>
      <c r="B4158" s="160"/>
    </row>
    <row r="4159" spans="1:2" s="161" customFormat="1" ht="12.75">
      <c r="A4159" s="144"/>
      <c r="B4159" s="160"/>
    </row>
    <row r="4160" spans="1:2" s="161" customFormat="1" ht="12.75">
      <c r="A4160" s="144"/>
      <c r="B4160" s="160"/>
    </row>
    <row r="4161" spans="1:2" s="161" customFormat="1" ht="12.75">
      <c r="A4161" s="144"/>
      <c r="B4161" s="160"/>
    </row>
    <row r="4162" spans="1:2" s="161" customFormat="1" ht="12.75">
      <c r="A4162" s="144"/>
      <c r="B4162" s="160"/>
    </row>
    <row r="4163" spans="1:2" s="161" customFormat="1" ht="12.75">
      <c r="A4163" s="144"/>
      <c r="B4163" s="160"/>
    </row>
    <row r="4164" spans="1:2" s="161" customFormat="1" ht="12.75">
      <c r="A4164" s="144"/>
      <c r="B4164" s="160"/>
    </row>
    <row r="4165" spans="1:2" s="161" customFormat="1" ht="12.75">
      <c r="A4165" s="144"/>
      <c r="B4165" s="160"/>
    </row>
    <row r="4166" spans="1:2" s="161" customFormat="1" ht="12.75">
      <c r="A4166" s="144"/>
      <c r="B4166" s="160"/>
    </row>
    <row r="4167" spans="1:2" s="161" customFormat="1" ht="12.75">
      <c r="A4167" s="144"/>
      <c r="B4167" s="160"/>
    </row>
    <row r="4168" spans="1:2" s="161" customFormat="1" ht="12.75">
      <c r="A4168" s="144"/>
      <c r="B4168" s="160"/>
    </row>
    <row r="4169" spans="1:2" s="161" customFormat="1" ht="12.75">
      <c r="A4169" s="144"/>
      <c r="B4169" s="160"/>
    </row>
    <row r="4170" spans="1:2" s="161" customFormat="1" ht="12.75">
      <c r="A4170" s="144"/>
      <c r="B4170" s="160"/>
    </row>
    <row r="4171" spans="1:2" s="161" customFormat="1" ht="12.75">
      <c r="A4171" s="144"/>
      <c r="B4171" s="160"/>
    </row>
    <row r="4172" spans="1:2" s="161" customFormat="1" ht="12.75">
      <c r="A4172" s="144"/>
      <c r="B4172" s="160"/>
    </row>
    <row r="4173" spans="1:2" s="161" customFormat="1" ht="12.75">
      <c r="A4173" s="144"/>
      <c r="B4173" s="160"/>
    </row>
    <row r="4174" spans="1:2" s="161" customFormat="1" ht="12.75">
      <c r="A4174" s="144"/>
      <c r="B4174" s="160"/>
    </row>
    <row r="4175" spans="1:2" s="161" customFormat="1" ht="12.75">
      <c r="A4175" s="144"/>
      <c r="B4175" s="160"/>
    </row>
    <row r="4176" spans="1:2" s="161" customFormat="1" ht="12.75">
      <c r="A4176" s="144"/>
      <c r="B4176" s="160"/>
    </row>
    <row r="4177" spans="1:2" s="161" customFormat="1" ht="12.75">
      <c r="A4177" s="144"/>
      <c r="B4177" s="160"/>
    </row>
    <row r="4178" spans="1:2" s="161" customFormat="1" ht="12.75">
      <c r="A4178" s="144"/>
      <c r="B4178" s="160"/>
    </row>
    <row r="4179" spans="1:2" s="161" customFormat="1" ht="12.75">
      <c r="A4179" s="144"/>
      <c r="B4179" s="160"/>
    </row>
    <row r="4180" spans="1:2" s="161" customFormat="1" ht="12.75">
      <c r="A4180" s="144"/>
      <c r="B4180" s="160"/>
    </row>
    <row r="4181" spans="1:2" s="161" customFormat="1" ht="12.75">
      <c r="A4181" s="144"/>
      <c r="B4181" s="160"/>
    </row>
    <row r="4182" spans="1:2" s="161" customFormat="1" ht="12.75">
      <c r="A4182" s="144"/>
      <c r="B4182" s="160"/>
    </row>
    <row r="4183" spans="1:2" s="161" customFormat="1" ht="12.75">
      <c r="A4183" s="144"/>
      <c r="B4183" s="160"/>
    </row>
    <row r="4184" spans="1:2" s="161" customFormat="1" ht="12.75">
      <c r="A4184" s="144"/>
      <c r="B4184" s="160"/>
    </row>
    <row r="4185" spans="1:2" s="161" customFormat="1" ht="12.75">
      <c r="A4185" s="144"/>
      <c r="B4185" s="160"/>
    </row>
    <row r="4186" spans="1:2" s="161" customFormat="1" ht="12.75">
      <c r="A4186" s="144"/>
      <c r="B4186" s="160"/>
    </row>
    <row r="4187" spans="1:2" s="161" customFormat="1" ht="12.75">
      <c r="A4187" s="144"/>
      <c r="B4187" s="160"/>
    </row>
    <row r="4188" spans="1:2" s="161" customFormat="1" ht="12.75">
      <c r="A4188" s="144"/>
      <c r="B4188" s="160"/>
    </row>
    <row r="4189" spans="1:2" s="161" customFormat="1" ht="12.75">
      <c r="A4189" s="144"/>
      <c r="B4189" s="160"/>
    </row>
    <row r="4190" spans="1:2" s="161" customFormat="1" ht="12.75">
      <c r="A4190" s="144"/>
      <c r="B4190" s="160"/>
    </row>
    <row r="4191" spans="1:2" s="161" customFormat="1" ht="12.75">
      <c r="A4191" s="144"/>
      <c r="B4191" s="160"/>
    </row>
    <row r="4192" spans="1:2" s="161" customFormat="1" ht="12.75">
      <c r="A4192" s="144"/>
      <c r="B4192" s="160"/>
    </row>
    <row r="4193" spans="1:2" s="161" customFormat="1" ht="12.75">
      <c r="A4193" s="144"/>
      <c r="B4193" s="160"/>
    </row>
    <row r="4194" spans="1:2" s="161" customFormat="1" ht="12.75">
      <c r="A4194" s="144"/>
      <c r="B4194" s="160"/>
    </row>
    <row r="4195" spans="1:2" s="161" customFormat="1" ht="12.75">
      <c r="A4195" s="144"/>
      <c r="B4195" s="160"/>
    </row>
    <row r="4196" spans="1:2" s="161" customFormat="1" ht="12.75">
      <c r="A4196" s="144"/>
      <c r="B4196" s="160"/>
    </row>
    <row r="4197" spans="1:2" s="161" customFormat="1" ht="12.75">
      <c r="A4197" s="144"/>
      <c r="B4197" s="160"/>
    </row>
    <row r="4198" spans="1:2" s="161" customFormat="1" ht="12.75">
      <c r="A4198" s="144"/>
      <c r="B4198" s="160"/>
    </row>
    <row r="4199" spans="1:2" s="161" customFormat="1" ht="12.75">
      <c r="A4199" s="144"/>
      <c r="B4199" s="160"/>
    </row>
    <row r="4200" spans="1:2" s="161" customFormat="1" ht="12.75">
      <c r="A4200" s="144"/>
      <c r="B4200" s="160"/>
    </row>
    <row r="4201" spans="1:2" s="161" customFormat="1" ht="12.75">
      <c r="A4201" s="144"/>
      <c r="B4201" s="160"/>
    </row>
    <row r="4202" spans="1:2" s="161" customFormat="1" ht="12.75">
      <c r="A4202" s="144"/>
      <c r="B4202" s="160"/>
    </row>
    <row r="4203" spans="1:2" s="161" customFormat="1" ht="12.75">
      <c r="A4203" s="144"/>
      <c r="B4203" s="160"/>
    </row>
    <row r="4204" spans="1:2" s="161" customFormat="1" ht="12.75">
      <c r="A4204" s="144"/>
      <c r="B4204" s="160"/>
    </row>
    <row r="4205" spans="1:2" s="161" customFormat="1" ht="12.75">
      <c r="A4205" s="144"/>
      <c r="B4205" s="160"/>
    </row>
    <row r="4206" spans="1:2" s="161" customFormat="1" ht="12.75">
      <c r="A4206" s="144"/>
      <c r="B4206" s="160"/>
    </row>
    <row r="4207" spans="1:2" s="161" customFormat="1" ht="12.75">
      <c r="A4207" s="144"/>
      <c r="B4207" s="160"/>
    </row>
    <row r="4208" spans="1:2" s="161" customFormat="1" ht="12.75">
      <c r="A4208" s="144"/>
      <c r="B4208" s="160"/>
    </row>
    <row r="4209" spans="1:2" s="161" customFormat="1" ht="12.75">
      <c r="A4209" s="144"/>
      <c r="B4209" s="160"/>
    </row>
    <row r="4210" spans="1:2" s="161" customFormat="1" ht="12.75">
      <c r="A4210" s="144"/>
      <c r="B4210" s="160"/>
    </row>
    <row r="4211" spans="1:2" s="161" customFormat="1" ht="12.75">
      <c r="A4211" s="144"/>
      <c r="B4211" s="160"/>
    </row>
    <row r="4212" spans="1:2" s="161" customFormat="1" ht="12.75">
      <c r="A4212" s="144"/>
      <c r="B4212" s="160"/>
    </row>
    <row r="4213" spans="1:2" s="161" customFormat="1" ht="12.75">
      <c r="A4213" s="144"/>
      <c r="B4213" s="160"/>
    </row>
    <row r="4214" spans="1:2" s="161" customFormat="1" ht="12.75">
      <c r="A4214" s="144"/>
      <c r="B4214" s="160"/>
    </row>
    <row r="4215" spans="1:2" s="161" customFormat="1" ht="12.75">
      <c r="A4215" s="144"/>
      <c r="B4215" s="160"/>
    </row>
    <row r="4216" spans="1:2" s="161" customFormat="1" ht="12.75">
      <c r="A4216" s="144"/>
      <c r="B4216" s="160"/>
    </row>
    <row r="4217" spans="1:2" s="161" customFormat="1" ht="12.75">
      <c r="A4217" s="144"/>
      <c r="B4217" s="160"/>
    </row>
    <row r="4218" spans="1:2" s="161" customFormat="1" ht="12.75">
      <c r="A4218" s="144"/>
      <c r="B4218" s="160"/>
    </row>
    <row r="4219" spans="1:2" s="161" customFormat="1" ht="12.75">
      <c r="A4219" s="144"/>
      <c r="B4219" s="160"/>
    </row>
    <row r="4220" spans="1:2" s="161" customFormat="1" ht="12.75">
      <c r="A4220" s="144"/>
      <c r="B4220" s="160"/>
    </row>
    <row r="4221" spans="1:2" s="161" customFormat="1" ht="12.75">
      <c r="A4221" s="144"/>
      <c r="B4221" s="160"/>
    </row>
    <row r="4222" spans="1:2" s="161" customFormat="1" ht="12.75">
      <c r="A4222" s="144"/>
      <c r="B4222" s="160"/>
    </row>
    <row r="4223" spans="1:2" s="161" customFormat="1" ht="12.75">
      <c r="A4223" s="144"/>
      <c r="B4223" s="160"/>
    </row>
    <row r="4224" spans="1:2" s="161" customFormat="1" ht="12.75">
      <c r="A4224" s="144"/>
      <c r="B4224" s="160"/>
    </row>
    <row r="4225" spans="1:2" s="161" customFormat="1" ht="12.75">
      <c r="A4225" s="144"/>
      <c r="B4225" s="160"/>
    </row>
    <row r="4226" spans="1:2" s="161" customFormat="1" ht="12.75">
      <c r="A4226" s="144"/>
      <c r="B4226" s="160"/>
    </row>
    <row r="4227" spans="1:2" s="161" customFormat="1" ht="12.75">
      <c r="A4227" s="144"/>
      <c r="B4227" s="160"/>
    </row>
    <row r="4228" spans="1:2" s="161" customFormat="1" ht="12.75">
      <c r="A4228" s="144"/>
      <c r="B4228" s="160"/>
    </row>
    <row r="4229" spans="1:2" s="161" customFormat="1" ht="12.75">
      <c r="A4229" s="144"/>
      <c r="B4229" s="160"/>
    </row>
    <row r="4230" spans="1:2" s="161" customFormat="1" ht="12.75">
      <c r="A4230" s="144"/>
      <c r="B4230" s="160"/>
    </row>
    <row r="4231" spans="1:2" s="161" customFormat="1" ht="12.75">
      <c r="A4231" s="144"/>
      <c r="B4231" s="160"/>
    </row>
    <row r="4232" spans="1:2" s="161" customFormat="1" ht="12.75">
      <c r="A4232" s="144"/>
      <c r="B4232" s="160"/>
    </row>
    <row r="4233" spans="1:2" s="161" customFormat="1" ht="12.75">
      <c r="A4233" s="144"/>
      <c r="B4233" s="160"/>
    </row>
    <row r="4234" spans="1:2" s="161" customFormat="1" ht="12.75">
      <c r="A4234" s="144"/>
      <c r="B4234" s="160"/>
    </row>
    <row r="4235" spans="1:2" s="161" customFormat="1" ht="12.75">
      <c r="A4235" s="144"/>
      <c r="B4235" s="160"/>
    </row>
    <row r="4236" spans="1:2" s="161" customFormat="1" ht="12.75">
      <c r="A4236" s="144"/>
      <c r="B4236" s="160"/>
    </row>
    <row r="4237" spans="1:2" s="161" customFormat="1" ht="12.75">
      <c r="A4237" s="144"/>
      <c r="B4237" s="160"/>
    </row>
    <row r="4238" spans="1:2" s="161" customFormat="1" ht="12.75">
      <c r="A4238" s="144"/>
      <c r="B4238" s="160"/>
    </row>
    <row r="4239" spans="1:2" s="161" customFormat="1" ht="12.75">
      <c r="A4239" s="144"/>
      <c r="B4239" s="160"/>
    </row>
    <row r="4240" spans="1:2" s="161" customFormat="1" ht="12.75">
      <c r="A4240" s="144"/>
      <c r="B4240" s="160"/>
    </row>
    <row r="4241" spans="1:2" s="161" customFormat="1" ht="12.75">
      <c r="A4241" s="144"/>
      <c r="B4241" s="160"/>
    </row>
    <row r="4242" spans="1:2" s="161" customFormat="1" ht="12.75">
      <c r="A4242" s="144"/>
      <c r="B4242" s="160"/>
    </row>
    <row r="4243" spans="1:2" s="161" customFormat="1" ht="12.75">
      <c r="A4243" s="144"/>
      <c r="B4243" s="160"/>
    </row>
    <row r="4244" spans="1:2" s="161" customFormat="1" ht="12.75">
      <c r="A4244" s="144"/>
      <c r="B4244" s="160"/>
    </row>
    <row r="4245" spans="1:2" s="161" customFormat="1" ht="12.75">
      <c r="A4245" s="144"/>
      <c r="B4245" s="160"/>
    </row>
    <row r="4246" spans="1:2" s="161" customFormat="1" ht="12.75">
      <c r="A4246" s="144"/>
      <c r="B4246" s="160"/>
    </row>
    <row r="4247" spans="1:2" s="161" customFormat="1" ht="12.75">
      <c r="A4247" s="144"/>
      <c r="B4247" s="160"/>
    </row>
    <row r="4248" spans="1:2" s="161" customFormat="1" ht="12.75">
      <c r="A4248" s="144"/>
      <c r="B4248" s="160"/>
    </row>
    <row r="4249" spans="1:2" s="161" customFormat="1" ht="12.75">
      <c r="A4249" s="144"/>
      <c r="B4249" s="160"/>
    </row>
    <row r="4250" spans="1:2" s="161" customFormat="1" ht="12.75">
      <c r="A4250" s="144"/>
      <c r="B4250" s="160"/>
    </row>
    <row r="4251" spans="1:2" s="161" customFormat="1" ht="12.75">
      <c r="A4251" s="144"/>
      <c r="B4251" s="160"/>
    </row>
    <row r="4252" spans="1:2" s="161" customFormat="1" ht="12.75">
      <c r="A4252" s="144"/>
      <c r="B4252" s="160"/>
    </row>
    <row r="4253" spans="1:2" s="161" customFormat="1" ht="12.75">
      <c r="A4253" s="144"/>
      <c r="B4253" s="160"/>
    </row>
    <row r="4254" spans="1:2" s="161" customFormat="1" ht="12.75">
      <c r="A4254" s="144"/>
      <c r="B4254" s="160"/>
    </row>
    <row r="4255" spans="1:2" s="161" customFormat="1" ht="12.75">
      <c r="A4255" s="144"/>
      <c r="B4255" s="160"/>
    </row>
    <row r="4256" spans="1:2" s="161" customFormat="1" ht="12.75">
      <c r="A4256" s="144"/>
      <c r="B4256" s="160"/>
    </row>
    <row r="4257" spans="1:2" s="161" customFormat="1" ht="12.75">
      <c r="A4257" s="144"/>
      <c r="B4257" s="160"/>
    </row>
    <row r="4258" spans="1:2" s="161" customFormat="1" ht="12.75">
      <c r="A4258" s="144"/>
      <c r="B4258" s="160"/>
    </row>
    <row r="4259" spans="1:2" s="161" customFormat="1" ht="12.75">
      <c r="A4259" s="144"/>
      <c r="B4259" s="160"/>
    </row>
    <row r="4260" spans="1:2" s="161" customFormat="1" ht="12.75">
      <c r="A4260" s="144"/>
      <c r="B4260" s="160"/>
    </row>
    <row r="4261" spans="1:2" s="161" customFormat="1" ht="12.75">
      <c r="A4261" s="144"/>
      <c r="B4261" s="160"/>
    </row>
    <row r="4262" spans="1:2" s="161" customFormat="1" ht="12.75">
      <c r="A4262" s="144"/>
      <c r="B4262" s="160"/>
    </row>
    <row r="4263" spans="1:2" s="161" customFormat="1" ht="12.75">
      <c r="A4263" s="144"/>
      <c r="B4263" s="160"/>
    </row>
    <row r="4264" spans="1:2" s="161" customFormat="1" ht="12.75">
      <c r="A4264" s="144"/>
      <c r="B4264" s="160"/>
    </row>
    <row r="4265" spans="1:2" s="161" customFormat="1" ht="12.75">
      <c r="A4265" s="144"/>
      <c r="B4265" s="160"/>
    </row>
    <row r="4266" spans="1:2" s="161" customFormat="1" ht="12.75">
      <c r="A4266" s="144"/>
      <c r="B4266" s="160"/>
    </row>
    <row r="4267" spans="1:2" s="161" customFormat="1" ht="12.75">
      <c r="A4267" s="144"/>
      <c r="B4267" s="160"/>
    </row>
    <row r="4268" spans="1:2" s="161" customFormat="1" ht="12.75">
      <c r="A4268" s="144"/>
      <c r="B4268" s="160"/>
    </row>
    <row r="4269" spans="1:2" s="161" customFormat="1" ht="12.75">
      <c r="A4269" s="144"/>
      <c r="B4269" s="160"/>
    </row>
    <row r="4270" spans="1:2" s="161" customFormat="1" ht="12.75">
      <c r="A4270" s="144"/>
      <c r="B4270" s="160"/>
    </row>
    <row r="4271" spans="1:2" s="161" customFormat="1" ht="12.75">
      <c r="A4271" s="144"/>
      <c r="B4271" s="160"/>
    </row>
    <row r="4272" spans="1:2" s="161" customFormat="1" ht="12.75">
      <c r="A4272" s="144"/>
      <c r="B4272" s="160"/>
    </row>
    <row r="4273" spans="1:2" s="161" customFormat="1" ht="12.75">
      <c r="A4273" s="144"/>
      <c r="B4273" s="160"/>
    </row>
    <row r="4274" spans="1:2" s="161" customFormat="1" ht="12.75">
      <c r="A4274" s="144"/>
      <c r="B4274" s="160"/>
    </row>
    <row r="4275" spans="1:2" s="161" customFormat="1" ht="12.75">
      <c r="A4275" s="144"/>
      <c r="B4275" s="160"/>
    </row>
    <row r="4276" spans="1:2" s="161" customFormat="1" ht="12.75">
      <c r="A4276" s="144"/>
      <c r="B4276" s="160"/>
    </row>
    <row r="4277" spans="1:2" s="161" customFormat="1" ht="12.75">
      <c r="A4277" s="144"/>
      <c r="B4277" s="160"/>
    </row>
    <row r="4278" spans="1:2" s="161" customFormat="1" ht="12.75">
      <c r="A4278" s="144"/>
      <c r="B4278" s="160"/>
    </row>
    <row r="4279" spans="1:2" s="161" customFormat="1" ht="12.75">
      <c r="A4279" s="144"/>
      <c r="B4279" s="160"/>
    </row>
    <row r="4280" spans="1:2" s="161" customFormat="1" ht="12.75">
      <c r="A4280" s="144"/>
      <c r="B4280" s="160"/>
    </row>
    <row r="4281" spans="1:2" s="161" customFormat="1" ht="12.75">
      <c r="A4281" s="144"/>
      <c r="B4281" s="160"/>
    </row>
    <row r="4282" spans="1:2" s="161" customFormat="1" ht="12.75">
      <c r="A4282" s="144"/>
      <c r="B4282" s="160"/>
    </row>
    <row r="4283" spans="1:2" s="161" customFormat="1" ht="12.75">
      <c r="A4283" s="144"/>
      <c r="B4283" s="160"/>
    </row>
    <row r="4284" spans="1:2" s="161" customFormat="1" ht="12.75">
      <c r="A4284" s="144"/>
      <c r="B4284" s="160"/>
    </row>
    <row r="4285" spans="1:2" s="161" customFormat="1" ht="12.75">
      <c r="A4285" s="144"/>
      <c r="B4285" s="160"/>
    </row>
    <row r="4286" spans="1:2" s="161" customFormat="1" ht="12.75">
      <c r="A4286" s="144"/>
      <c r="B4286" s="160"/>
    </row>
    <row r="4287" spans="1:2" s="161" customFormat="1" ht="12.75">
      <c r="A4287" s="144"/>
      <c r="B4287" s="160"/>
    </row>
    <row r="4288" spans="1:2" s="161" customFormat="1" ht="12.75">
      <c r="A4288" s="144"/>
      <c r="B4288" s="160"/>
    </row>
    <row r="4289" spans="1:2" s="161" customFormat="1" ht="12.75">
      <c r="A4289" s="144"/>
      <c r="B4289" s="160"/>
    </row>
    <row r="4290" spans="1:2" s="161" customFormat="1" ht="12.75">
      <c r="A4290" s="144"/>
      <c r="B4290" s="160"/>
    </row>
    <row r="4291" spans="1:2" s="161" customFormat="1" ht="12.75">
      <c r="A4291" s="144"/>
      <c r="B4291" s="160"/>
    </row>
    <row r="4292" spans="1:2" s="161" customFormat="1" ht="12.75">
      <c r="A4292" s="144"/>
      <c r="B4292" s="160"/>
    </row>
    <row r="4293" spans="1:2" s="161" customFormat="1" ht="12.75">
      <c r="A4293" s="144"/>
      <c r="B4293" s="160"/>
    </row>
    <row r="4294" spans="1:2" s="161" customFormat="1" ht="12.75">
      <c r="A4294" s="144"/>
      <c r="B4294" s="160"/>
    </row>
    <row r="4295" spans="1:2" s="161" customFormat="1" ht="12.75">
      <c r="A4295" s="144"/>
      <c r="B4295" s="160"/>
    </row>
    <row r="4296" spans="1:2" s="161" customFormat="1" ht="12.75">
      <c r="A4296" s="144"/>
      <c r="B4296" s="160"/>
    </row>
    <row r="4297" spans="1:2" s="161" customFormat="1" ht="12.75">
      <c r="A4297" s="144"/>
      <c r="B4297" s="160"/>
    </row>
    <row r="4298" spans="1:2" s="161" customFormat="1" ht="12.75">
      <c r="A4298" s="144"/>
      <c r="B4298" s="160"/>
    </row>
    <row r="4299" spans="1:2" s="161" customFormat="1" ht="12.75">
      <c r="A4299" s="144"/>
      <c r="B4299" s="160"/>
    </row>
    <row r="4300" spans="1:2" s="161" customFormat="1" ht="12.75">
      <c r="A4300" s="144"/>
      <c r="B4300" s="160"/>
    </row>
    <row r="4301" spans="1:2" s="161" customFormat="1" ht="12.75">
      <c r="A4301" s="144"/>
      <c r="B4301" s="160"/>
    </row>
    <row r="4302" spans="1:2" s="161" customFormat="1" ht="12.75">
      <c r="A4302" s="144"/>
      <c r="B4302" s="160"/>
    </row>
    <row r="4303" spans="1:2" s="161" customFormat="1" ht="12.75">
      <c r="A4303" s="144"/>
      <c r="B4303" s="160"/>
    </row>
    <row r="4304" spans="1:2" s="161" customFormat="1" ht="12.75">
      <c r="A4304" s="144"/>
      <c r="B4304" s="160"/>
    </row>
    <row r="4305" spans="1:2" s="161" customFormat="1" ht="12.75">
      <c r="A4305" s="144"/>
      <c r="B4305" s="160"/>
    </row>
    <row r="4306" spans="1:2" s="161" customFormat="1" ht="12.75">
      <c r="A4306" s="144"/>
      <c r="B4306" s="160"/>
    </row>
    <row r="4307" spans="1:2" s="161" customFormat="1" ht="12.75">
      <c r="A4307" s="144"/>
      <c r="B4307" s="160"/>
    </row>
    <row r="4308" spans="1:2" s="161" customFormat="1" ht="12.75">
      <c r="A4308" s="144"/>
      <c r="B4308" s="160"/>
    </row>
    <row r="4309" spans="1:2" s="161" customFormat="1" ht="12.75">
      <c r="A4309" s="144"/>
      <c r="B4309" s="160"/>
    </row>
    <row r="4310" spans="1:2" s="161" customFormat="1" ht="12.75">
      <c r="A4310" s="144"/>
      <c r="B4310" s="160"/>
    </row>
    <row r="4311" spans="1:2" s="161" customFormat="1" ht="12.75">
      <c r="A4311" s="144"/>
      <c r="B4311" s="160"/>
    </row>
    <row r="4312" spans="1:2" s="161" customFormat="1" ht="12.75">
      <c r="A4312" s="144"/>
      <c r="B4312" s="160"/>
    </row>
    <row r="4313" spans="1:2" s="161" customFormat="1" ht="12.75">
      <c r="A4313" s="144"/>
      <c r="B4313" s="160"/>
    </row>
    <row r="4314" spans="1:2" s="161" customFormat="1" ht="12.75">
      <c r="A4314" s="144"/>
      <c r="B4314" s="160"/>
    </row>
    <row r="4315" spans="1:2" s="161" customFormat="1" ht="12.75">
      <c r="A4315" s="144"/>
      <c r="B4315" s="160"/>
    </row>
    <row r="4316" spans="1:2" s="161" customFormat="1" ht="12.75">
      <c r="A4316" s="144"/>
      <c r="B4316" s="160"/>
    </row>
    <row r="4317" spans="1:2" s="161" customFormat="1" ht="12.75">
      <c r="A4317" s="144"/>
      <c r="B4317" s="160"/>
    </row>
    <row r="4318" spans="1:2" s="161" customFormat="1" ht="12.75">
      <c r="A4318" s="144"/>
      <c r="B4318" s="160"/>
    </row>
    <row r="4319" spans="1:2" s="161" customFormat="1" ht="12.75">
      <c r="A4319" s="144"/>
      <c r="B4319" s="160"/>
    </row>
    <row r="4320" spans="1:2" s="161" customFormat="1" ht="12.75">
      <c r="A4320" s="144"/>
      <c r="B4320" s="160"/>
    </row>
    <row r="4321" spans="1:2" s="161" customFormat="1" ht="12.75">
      <c r="A4321" s="144"/>
      <c r="B4321" s="160"/>
    </row>
    <row r="4322" spans="1:2" s="161" customFormat="1" ht="12.75">
      <c r="A4322" s="144"/>
      <c r="B4322" s="160"/>
    </row>
    <row r="4323" spans="1:2" s="161" customFormat="1" ht="12.75">
      <c r="A4323" s="144"/>
      <c r="B4323" s="160"/>
    </row>
    <row r="4324" spans="1:2" s="161" customFormat="1" ht="12.75">
      <c r="A4324" s="144"/>
      <c r="B4324" s="160"/>
    </row>
    <row r="4325" spans="1:2" s="161" customFormat="1" ht="12.75">
      <c r="A4325" s="144"/>
      <c r="B4325" s="160"/>
    </row>
    <row r="4326" spans="1:2" s="161" customFormat="1" ht="12.75">
      <c r="A4326" s="144"/>
      <c r="B4326" s="160"/>
    </row>
    <row r="4327" spans="1:2" s="161" customFormat="1" ht="12.75">
      <c r="A4327" s="144"/>
      <c r="B4327" s="160"/>
    </row>
    <row r="4328" spans="1:2" s="161" customFormat="1" ht="12.75">
      <c r="A4328" s="144"/>
      <c r="B4328" s="160"/>
    </row>
    <row r="4329" spans="1:2" s="161" customFormat="1" ht="12.75">
      <c r="A4329" s="144"/>
      <c r="B4329" s="160"/>
    </row>
    <row r="4330" spans="1:2" s="161" customFormat="1" ht="12.75">
      <c r="A4330" s="144"/>
      <c r="B4330" s="160"/>
    </row>
    <row r="4331" spans="1:2" s="161" customFormat="1" ht="12.75">
      <c r="A4331" s="144"/>
      <c r="B4331" s="160"/>
    </row>
    <row r="4332" spans="1:2" s="161" customFormat="1" ht="12.75">
      <c r="A4332" s="144"/>
      <c r="B4332" s="160"/>
    </row>
    <row r="4333" spans="1:2" s="161" customFormat="1" ht="12.75">
      <c r="A4333" s="144"/>
      <c r="B4333" s="160"/>
    </row>
    <row r="4334" spans="1:2" s="161" customFormat="1" ht="12.75">
      <c r="A4334" s="144"/>
      <c r="B4334" s="160"/>
    </row>
    <row r="4335" spans="1:2" s="161" customFormat="1" ht="12.75">
      <c r="A4335" s="144"/>
      <c r="B4335" s="160"/>
    </row>
    <row r="4336" spans="1:2" s="161" customFormat="1" ht="12.75">
      <c r="A4336" s="144"/>
      <c r="B4336" s="160"/>
    </row>
    <row r="4337" spans="1:2" s="161" customFormat="1" ht="12.75">
      <c r="A4337" s="144"/>
      <c r="B4337" s="160"/>
    </row>
    <row r="4338" spans="1:2" s="161" customFormat="1" ht="12.75">
      <c r="A4338" s="144"/>
      <c r="B4338" s="160"/>
    </row>
    <row r="4339" spans="1:2" s="161" customFormat="1" ht="12.75">
      <c r="A4339" s="144"/>
      <c r="B4339" s="160"/>
    </row>
    <row r="4340" spans="1:2" s="161" customFormat="1" ht="12.75">
      <c r="A4340" s="144"/>
      <c r="B4340" s="160"/>
    </row>
    <row r="4341" spans="1:2" s="161" customFormat="1" ht="12.75">
      <c r="A4341" s="144"/>
      <c r="B4341" s="160"/>
    </row>
    <row r="4342" spans="1:2" s="161" customFormat="1" ht="12.75">
      <c r="A4342" s="144"/>
      <c r="B4342" s="160"/>
    </row>
    <row r="4343" spans="1:2" s="161" customFormat="1" ht="12.75">
      <c r="A4343" s="144"/>
      <c r="B4343" s="160"/>
    </row>
    <row r="4344" spans="1:2" s="161" customFormat="1" ht="12.75">
      <c r="A4344" s="144"/>
      <c r="B4344" s="160"/>
    </row>
    <row r="4345" spans="1:2" s="161" customFormat="1" ht="12.75">
      <c r="A4345" s="144"/>
      <c r="B4345" s="160"/>
    </row>
    <row r="4346" spans="1:2" s="161" customFormat="1" ht="12.75">
      <c r="A4346" s="144"/>
      <c r="B4346" s="160"/>
    </row>
    <row r="4347" spans="1:2" s="161" customFormat="1" ht="12.75">
      <c r="A4347" s="144"/>
      <c r="B4347" s="160"/>
    </row>
    <row r="4348" spans="1:2" s="161" customFormat="1" ht="12.75">
      <c r="A4348" s="144"/>
      <c r="B4348" s="160"/>
    </row>
    <row r="4349" spans="1:2" s="161" customFormat="1" ht="12.75">
      <c r="A4349" s="144"/>
      <c r="B4349" s="160"/>
    </row>
    <row r="4350" spans="1:2" s="161" customFormat="1" ht="12.75">
      <c r="A4350" s="144"/>
      <c r="B4350" s="160"/>
    </row>
    <row r="4351" spans="1:2" s="161" customFormat="1" ht="12.75">
      <c r="A4351" s="144"/>
      <c r="B4351" s="160"/>
    </row>
    <row r="4352" spans="1:2" s="161" customFormat="1" ht="12.75">
      <c r="A4352" s="144"/>
      <c r="B4352" s="160"/>
    </row>
    <row r="4353" spans="1:2" s="161" customFormat="1" ht="12.75">
      <c r="A4353" s="144"/>
      <c r="B4353" s="160"/>
    </row>
    <row r="4354" spans="1:2" s="161" customFormat="1" ht="12.75">
      <c r="A4354" s="144"/>
      <c r="B4354" s="160"/>
    </row>
    <row r="4355" spans="1:2" s="161" customFormat="1" ht="12.75">
      <c r="A4355" s="144"/>
      <c r="B4355" s="160"/>
    </row>
    <row r="4356" spans="1:2" s="161" customFormat="1" ht="12.75">
      <c r="A4356" s="144"/>
      <c r="B4356" s="160"/>
    </row>
    <row r="4357" spans="1:2" s="161" customFormat="1" ht="12.75">
      <c r="A4357" s="144"/>
      <c r="B4357" s="160"/>
    </row>
    <row r="4358" spans="1:2" s="161" customFormat="1" ht="12.75">
      <c r="A4358" s="144"/>
      <c r="B4358" s="160"/>
    </row>
    <row r="4359" spans="1:2" s="161" customFormat="1" ht="12.75">
      <c r="A4359" s="144"/>
      <c r="B4359" s="160"/>
    </row>
    <row r="4360" spans="1:2" s="161" customFormat="1" ht="12.75">
      <c r="A4360" s="144"/>
      <c r="B4360" s="160"/>
    </row>
    <row r="4361" spans="1:2" s="161" customFormat="1" ht="12.75">
      <c r="A4361" s="144"/>
      <c r="B4361" s="160"/>
    </row>
    <row r="4362" spans="1:2" s="161" customFormat="1" ht="12.75">
      <c r="A4362" s="144"/>
      <c r="B4362" s="160"/>
    </row>
    <row r="4363" spans="1:2" s="161" customFormat="1" ht="12.75">
      <c r="A4363" s="144"/>
      <c r="B4363" s="160"/>
    </row>
    <row r="4364" spans="1:2" s="161" customFormat="1" ht="12.75">
      <c r="A4364" s="144"/>
      <c r="B4364" s="160"/>
    </row>
    <row r="4365" spans="1:2" s="161" customFormat="1" ht="12.75">
      <c r="A4365" s="144"/>
      <c r="B4365" s="160"/>
    </row>
    <row r="4366" spans="1:2" s="161" customFormat="1" ht="12.75">
      <c r="A4366" s="144"/>
      <c r="B4366" s="160"/>
    </row>
    <row r="4367" spans="1:2" s="161" customFormat="1" ht="12.75">
      <c r="A4367" s="144"/>
      <c r="B4367" s="160"/>
    </row>
    <row r="4368" spans="1:2" s="161" customFormat="1" ht="12.75">
      <c r="A4368" s="144"/>
      <c r="B4368" s="160"/>
    </row>
    <row r="4369" spans="1:2" s="161" customFormat="1" ht="12.75">
      <c r="A4369" s="144"/>
      <c r="B4369" s="160"/>
    </row>
    <row r="4370" spans="1:2" s="161" customFormat="1" ht="12.75">
      <c r="A4370" s="144"/>
      <c r="B4370" s="160"/>
    </row>
    <row r="4371" spans="1:2" s="161" customFormat="1" ht="12.75">
      <c r="A4371" s="144"/>
      <c r="B4371" s="160"/>
    </row>
    <row r="4372" spans="1:2" s="161" customFormat="1" ht="12.75">
      <c r="A4372" s="144"/>
      <c r="B4372" s="160"/>
    </row>
    <row r="4373" spans="1:2" s="161" customFormat="1" ht="12.75">
      <c r="A4373" s="144"/>
      <c r="B4373" s="160"/>
    </row>
    <row r="4374" spans="1:2" s="161" customFormat="1" ht="12.75">
      <c r="A4374" s="144"/>
      <c r="B4374" s="160"/>
    </row>
    <row r="4375" spans="1:2" s="161" customFormat="1" ht="12.75">
      <c r="A4375" s="144"/>
      <c r="B4375" s="160"/>
    </row>
    <row r="4376" spans="1:2" s="161" customFormat="1" ht="12.75">
      <c r="A4376" s="144"/>
      <c r="B4376" s="160"/>
    </row>
    <row r="4377" spans="1:2" s="161" customFormat="1" ht="12.75">
      <c r="A4377" s="144"/>
      <c r="B4377" s="160"/>
    </row>
    <row r="4378" spans="1:2" s="161" customFormat="1" ht="12.75">
      <c r="A4378" s="144"/>
      <c r="B4378" s="160"/>
    </row>
    <row r="4379" spans="1:2" s="161" customFormat="1" ht="12.75">
      <c r="A4379" s="144"/>
      <c r="B4379" s="160"/>
    </row>
    <row r="4380" spans="1:2" s="161" customFormat="1" ht="12.75">
      <c r="A4380" s="144"/>
      <c r="B4380" s="160"/>
    </row>
    <row r="4381" spans="1:2" s="161" customFormat="1" ht="12.75">
      <c r="A4381" s="144"/>
      <c r="B4381" s="160"/>
    </row>
    <row r="4382" spans="1:2" s="161" customFormat="1" ht="12.75">
      <c r="A4382" s="144"/>
      <c r="B4382" s="160"/>
    </row>
    <row r="4383" spans="1:2" s="161" customFormat="1" ht="12.75">
      <c r="A4383" s="144"/>
      <c r="B4383" s="160"/>
    </row>
    <row r="4384" spans="1:2" s="161" customFormat="1" ht="12.75">
      <c r="A4384" s="144"/>
      <c r="B4384" s="160"/>
    </row>
    <row r="4385" spans="1:2" s="161" customFormat="1" ht="12.75">
      <c r="A4385" s="144"/>
      <c r="B4385" s="160"/>
    </row>
    <row r="4386" spans="1:2" s="161" customFormat="1" ht="12.75">
      <c r="A4386" s="144"/>
      <c r="B4386" s="160"/>
    </row>
    <row r="4387" spans="1:2" s="161" customFormat="1" ht="12.75">
      <c r="A4387" s="144"/>
      <c r="B4387" s="160"/>
    </row>
    <row r="4388" spans="1:2" s="161" customFormat="1" ht="12.75">
      <c r="A4388" s="144"/>
      <c r="B4388" s="160"/>
    </row>
    <row r="4389" spans="1:2" s="161" customFormat="1" ht="12.75">
      <c r="A4389" s="144"/>
      <c r="B4389" s="160"/>
    </row>
    <row r="4390" spans="1:2" s="161" customFormat="1" ht="12.75">
      <c r="A4390" s="144"/>
      <c r="B4390" s="160"/>
    </row>
    <row r="4391" spans="1:2" s="161" customFormat="1" ht="12.75">
      <c r="A4391" s="144"/>
      <c r="B4391" s="160"/>
    </row>
    <row r="4392" spans="1:2" s="161" customFormat="1" ht="12.75">
      <c r="A4392" s="144"/>
      <c r="B4392" s="160"/>
    </row>
    <row r="4393" spans="1:2" s="161" customFormat="1" ht="12.75">
      <c r="A4393" s="144"/>
      <c r="B4393" s="160"/>
    </row>
    <row r="4394" spans="1:2" s="161" customFormat="1" ht="12.75">
      <c r="A4394" s="144"/>
      <c r="B4394" s="160"/>
    </row>
    <row r="4395" spans="1:2" s="161" customFormat="1" ht="12.75">
      <c r="A4395" s="144"/>
      <c r="B4395" s="160"/>
    </row>
    <row r="4396" spans="1:2" s="161" customFormat="1" ht="12.75">
      <c r="A4396" s="144"/>
      <c r="B4396" s="160"/>
    </row>
    <row r="4397" spans="1:2" s="161" customFormat="1" ht="12.75">
      <c r="A4397" s="144"/>
      <c r="B4397" s="160"/>
    </row>
    <row r="4398" spans="1:2" s="161" customFormat="1" ht="12.75">
      <c r="A4398" s="144"/>
      <c r="B4398" s="160"/>
    </row>
    <row r="4399" spans="1:2" s="161" customFormat="1" ht="12.75">
      <c r="A4399" s="144"/>
      <c r="B4399" s="160"/>
    </row>
    <row r="4400" spans="1:2" s="161" customFormat="1" ht="12.75">
      <c r="A4400" s="144"/>
      <c r="B4400" s="160"/>
    </row>
    <row r="4401" spans="1:2" s="161" customFormat="1" ht="12.75">
      <c r="A4401" s="144"/>
      <c r="B4401" s="160"/>
    </row>
    <row r="4402" spans="1:2" s="161" customFormat="1" ht="12.75">
      <c r="A4402" s="144"/>
      <c r="B4402" s="160"/>
    </row>
    <row r="4403" spans="1:2" s="161" customFormat="1" ht="12.75">
      <c r="A4403" s="144"/>
      <c r="B4403" s="160"/>
    </row>
    <row r="4404" spans="1:2" s="161" customFormat="1" ht="12.75">
      <c r="A4404" s="144"/>
      <c r="B4404" s="160"/>
    </row>
    <row r="4405" spans="1:2" s="161" customFormat="1" ht="12.75">
      <c r="A4405" s="144"/>
      <c r="B4405" s="160"/>
    </row>
    <row r="4406" spans="1:2" s="161" customFormat="1" ht="12.75">
      <c r="A4406" s="144"/>
      <c r="B4406" s="160"/>
    </row>
    <row r="4407" spans="1:2" s="161" customFormat="1" ht="12.75">
      <c r="A4407" s="144"/>
      <c r="B4407" s="160"/>
    </row>
    <row r="4408" spans="1:2" s="161" customFormat="1" ht="12.75">
      <c r="A4408" s="144"/>
      <c r="B4408" s="160"/>
    </row>
    <row r="4409" spans="1:2" s="161" customFormat="1" ht="12.75">
      <c r="A4409" s="144"/>
      <c r="B4409" s="160"/>
    </row>
    <row r="4410" spans="1:2" s="161" customFormat="1" ht="12.75">
      <c r="A4410" s="144"/>
      <c r="B4410" s="160"/>
    </row>
    <row r="4411" spans="1:2" s="161" customFormat="1" ht="12.75">
      <c r="A4411" s="144"/>
      <c r="B4411" s="160"/>
    </row>
    <row r="4412" spans="1:2" s="161" customFormat="1" ht="12.75">
      <c r="A4412" s="144"/>
      <c r="B4412" s="160"/>
    </row>
    <row r="4413" spans="1:2" s="161" customFormat="1" ht="12.75">
      <c r="A4413" s="144"/>
      <c r="B4413" s="160"/>
    </row>
    <row r="4414" spans="1:2" s="161" customFormat="1" ht="12.75">
      <c r="A4414" s="144"/>
      <c r="B4414" s="160"/>
    </row>
    <row r="4415" spans="1:2" s="161" customFormat="1" ht="12.75">
      <c r="A4415" s="144"/>
      <c r="B4415" s="160"/>
    </row>
    <row r="4416" spans="1:2" s="161" customFormat="1" ht="12.75">
      <c r="A4416" s="144"/>
      <c r="B4416" s="160"/>
    </row>
    <row r="4417" spans="1:2" s="161" customFormat="1" ht="12.75">
      <c r="A4417" s="144"/>
      <c r="B4417" s="160"/>
    </row>
    <row r="4418" spans="1:2" s="161" customFormat="1" ht="12.75">
      <c r="A4418" s="144"/>
      <c r="B4418" s="160"/>
    </row>
    <row r="4419" spans="1:2" s="161" customFormat="1" ht="12.75">
      <c r="A4419" s="144"/>
      <c r="B4419" s="160"/>
    </row>
    <row r="4420" spans="1:2" s="161" customFormat="1" ht="12.75">
      <c r="A4420" s="144"/>
      <c r="B4420" s="160"/>
    </row>
    <row r="4421" spans="1:2" s="161" customFormat="1" ht="12.75">
      <c r="A4421" s="144"/>
      <c r="B4421" s="160"/>
    </row>
    <row r="4422" spans="1:2" s="161" customFormat="1" ht="12.75">
      <c r="A4422" s="144"/>
      <c r="B4422" s="160"/>
    </row>
    <row r="4423" spans="1:2" s="161" customFormat="1" ht="12.75">
      <c r="A4423" s="144"/>
      <c r="B4423" s="160"/>
    </row>
    <row r="4424" spans="1:2" s="161" customFormat="1" ht="12.75">
      <c r="A4424" s="144"/>
      <c r="B4424" s="160"/>
    </row>
    <row r="4425" spans="1:2" s="161" customFormat="1" ht="12.75">
      <c r="A4425" s="144"/>
      <c r="B4425" s="160"/>
    </row>
    <row r="4426" spans="1:2" s="161" customFormat="1" ht="12.75">
      <c r="A4426" s="144"/>
      <c r="B4426" s="160"/>
    </row>
    <row r="4427" spans="1:2" s="161" customFormat="1" ht="12.75">
      <c r="A4427" s="144"/>
      <c r="B4427" s="160"/>
    </row>
    <row r="4428" spans="1:2" s="161" customFormat="1" ht="12.75">
      <c r="A4428" s="144"/>
      <c r="B4428" s="160"/>
    </row>
    <row r="4429" spans="1:2" s="161" customFormat="1" ht="12.75">
      <c r="A4429" s="144"/>
      <c r="B4429" s="160"/>
    </row>
    <row r="4430" spans="1:2" s="161" customFormat="1" ht="12.75">
      <c r="A4430" s="144"/>
      <c r="B4430" s="160"/>
    </row>
    <row r="4431" spans="1:2" s="161" customFormat="1" ht="12.75">
      <c r="A4431" s="144"/>
      <c r="B4431" s="160"/>
    </row>
    <row r="4432" spans="1:2" s="161" customFormat="1" ht="12.75">
      <c r="A4432" s="144"/>
      <c r="B4432" s="160"/>
    </row>
    <row r="4433" spans="1:2" s="161" customFormat="1" ht="12.75">
      <c r="A4433" s="144"/>
      <c r="B4433" s="160"/>
    </row>
    <row r="4434" spans="1:2" s="161" customFormat="1" ht="12.75">
      <c r="A4434" s="144"/>
      <c r="B4434" s="160"/>
    </row>
    <row r="4435" spans="1:2" s="161" customFormat="1" ht="12.75">
      <c r="A4435" s="144"/>
      <c r="B4435" s="160"/>
    </row>
    <row r="4436" spans="1:2" s="161" customFormat="1" ht="12.75">
      <c r="A4436" s="144"/>
      <c r="B4436" s="160"/>
    </row>
    <row r="4437" spans="1:2" s="161" customFormat="1" ht="12.75">
      <c r="A4437" s="144"/>
      <c r="B4437" s="160"/>
    </row>
    <row r="4438" spans="1:2" s="161" customFormat="1" ht="12.75">
      <c r="A4438" s="144"/>
      <c r="B4438" s="160"/>
    </row>
    <row r="4439" spans="1:2" s="161" customFormat="1" ht="12.75">
      <c r="A4439" s="144"/>
      <c r="B4439" s="160"/>
    </row>
    <row r="4440" spans="1:2" s="161" customFormat="1" ht="12.75">
      <c r="A4440" s="144"/>
      <c r="B4440" s="160"/>
    </row>
    <row r="4441" spans="1:2" s="161" customFormat="1" ht="12.75">
      <c r="A4441" s="144"/>
      <c r="B4441" s="160"/>
    </row>
    <row r="4442" spans="1:2" s="161" customFormat="1" ht="12.75">
      <c r="A4442" s="144"/>
      <c r="B4442" s="160"/>
    </row>
    <row r="4443" spans="1:2" s="161" customFormat="1" ht="12.75">
      <c r="A4443" s="144"/>
      <c r="B4443" s="160"/>
    </row>
    <row r="4444" spans="1:2" s="161" customFormat="1" ht="12.75">
      <c r="A4444" s="144"/>
      <c r="B4444" s="160"/>
    </row>
    <row r="4445" spans="1:2" s="161" customFormat="1" ht="12.75">
      <c r="A4445" s="144"/>
      <c r="B4445" s="160"/>
    </row>
    <row r="4446" spans="1:2" s="161" customFormat="1" ht="12.75">
      <c r="A4446" s="144"/>
      <c r="B4446" s="160"/>
    </row>
    <row r="4447" spans="1:2" s="161" customFormat="1" ht="12.75">
      <c r="A4447" s="144"/>
      <c r="B4447" s="160"/>
    </row>
    <row r="4448" spans="1:2" s="161" customFormat="1" ht="12.75">
      <c r="A4448" s="144"/>
      <c r="B4448" s="160"/>
    </row>
    <row r="4449" spans="1:2" s="161" customFormat="1" ht="12.75">
      <c r="A4449" s="144"/>
      <c r="B4449" s="160"/>
    </row>
    <row r="4450" spans="1:2" s="161" customFormat="1" ht="12.75">
      <c r="A4450" s="144"/>
      <c r="B4450" s="160"/>
    </row>
    <row r="4451" spans="1:2" s="161" customFormat="1" ht="12.75">
      <c r="A4451" s="144"/>
      <c r="B4451" s="160"/>
    </row>
    <row r="4452" spans="1:2" s="161" customFormat="1" ht="13.5" customHeight="1">
      <c r="A4452" s="144"/>
      <c r="B4452" s="160"/>
    </row>
    <row r="4453" spans="1:2" s="161" customFormat="1" ht="12.75">
      <c r="A4453" s="144"/>
      <c r="B4453" s="160"/>
    </row>
    <row r="4454" spans="1:2" s="161" customFormat="1" ht="12.75">
      <c r="A4454" s="144"/>
      <c r="B4454" s="160"/>
    </row>
    <row r="4455" spans="1:2" s="161" customFormat="1" ht="12.75">
      <c r="A4455" s="144"/>
      <c r="B4455" s="160"/>
    </row>
    <row r="4456" spans="1:2" s="161" customFormat="1" ht="12.75">
      <c r="A4456" s="144"/>
      <c r="B4456" s="160"/>
    </row>
    <row r="4457" spans="1:2" s="161" customFormat="1" ht="12.75">
      <c r="A4457" s="144"/>
      <c r="B4457" s="160"/>
    </row>
    <row r="4458" spans="1:2" s="161" customFormat="1" ht="12.75">
      <c r="A4458" s="144"/>
      <c r="B4458" s="160"/>
    </row>
    <row r="4459" spans="1:2" s="161" customFormat="1" ht="12.75">
      <c r="A4459" s="144"/>
      <c r="B4459" s="160"/>
    </row>
    <row r="4460" spans="1:2" s="161" customFormat="1" ht="12.75">
      <c r="A4460" s="144"/>
      <c r="B4460" s="160"/>
    </row>
    <row r="4461" spans="1:2" s="161" customFormat="1" ht="12.75">
      <c r="A4461" s="144"/>
      <c r="B4461" s="160"/>
    </row>
    <row r="4462" spans="1:2" s="161" customFormat="1" ht="12.75">
      <c r="A4462" s="144"/>
      <c r="B4462" s="160"/>
    </row>
    <row r="4463" spans="1:2" s="161" customFormat="1" ht="12.75">
      <c r="A4463" s="144"/>
      <c r="B4463" s="160"/>
    </row>
    <row r="4464" spans="1:2" s="161" customFormat="1" ht="12.75">
      <c r="A4464" s="144"/>
      <c r="B4464" s="160"/>
    </row>
    <row r="4465" spans="1:2" s="161" customFormat="1" ht="12.75">
      <c r="A4465" s="144"/>
      <c r="B4465" s="160"/>
    </row>
    <row r="4466" spans="1:2" s="161" customFormat="1" ht="12.75">
      <c r="A4466" s="144"/>
      <c r="B4466" s="160"/>
    </row>
    <row r="4467" spans="1:2" s="161" customFormat="1" ht="12.75">
      <c r="A4467" s="144"/>
      <c r="B4467" s="160"/>
    </row>
    <row r="4468" spans="1:2" s="161" customFormat="1" ht="12.75">
      <c r="A4468" s="144"/>
      <c r="B4468" s="160"/>
    </row>
    <row r="4469" spans="1:2" s="161" customFormat="1" ht="12.75">
      <c r="A4469" s="144"/>
      <c r="B4469" s="160"/>
    </row>
    <row r="4470" spans="1:2" s="161" customFormat="1" ht="12.75">
      <c r="A4470" s="144"/>
      <c r="B4470" s="160"/>
    </row>
    <row r="4471" spans="1:2" s="161" customFormat="1" ht="12.75">
      <c r="A4471" s="144"/>
      <c r="B4471" s="160"/>
    </row>
    <row r="4472" spans="1:2" s="161" customFormat="1" ht="12.75">
      <c r="A4472" s="144"/>
      <c r="B4472" s="160"/>
    </row>
    <row r="4473" spans="1:2" s="161" customFormat="1" ht="12.75">
      <c r="A4473" s="144"/>
      <c r="B4473" s="160"/>
    </row>
    <row r="4474" spans="1:2" s="161" customFormat="1" ht="12.75">
      <c r="A4474" s="144"/>
      <c r="B4474" s="160"/>
    </row>
    <row r="4475" spans="1:2" s="161" customFormat="1" ht="12.75">
      <c r="A4475" s="144"/>
      <c r="B4475" s="160"/>
    </row>
    <row r="4476" spans="1:2" s="161" customFormat="1" ht="12.75">
      <c r="A4476" s="144"/>
      <c r="B4476" s="160"/>
    </row>
    <row r="4477" spans="1:2" s="161" customFormat="1" ht="12.75">
      <c r="A4477" s="144"/>
      <c r="B4477" s="160"/>
    </row>
    <row r="4478" spans="1:2" s="161" customFormat="1" ht="12.75">
      <c r="A4478" s="144"/>
      <c r="B4478" s="160"/>
    </row>
    <row r="4479" spans="1:2" s="161" customFormat="1" ht="12.75">
      <c r="A4479" s="144"/>
      <c r="B4479" s="160"/>
    </row>
    <row r="4480" spans="1:2" s="161" customFormat="1" ht="12.75">
      <c r="A4480" s="144"/>
      <c r="B4480" s="160"/>
    </row>
    <row r="4481" spans="1:2" s="161" customFormat="1" ht="12.75">
      <c r="A4481" s="144"/>
      <c r="B4481" s="160"/>
    </row>
    <row r="4482" spans="1:2" s="161" customFormat="1" ht="12.75">
      <c r="A4482" s="144"/>
      <c r="B4482" s="160"/>
    </row>
    <row r="4483" spans="1:2" s="161" customFormat="1" ht="12.75">
      <c r="A4483" s="144"/>
      <c r="B4483" s="160"/>
    </row>
    <row r="4484" spans="1:2" s="161" customFormat="1" ht="12.75">
      <c r="A4484" s="144"/>
      <c r="B4484" s="160"/>
    </row>
    <row r="4485" spans="1:2" s="161" customFormat="1" ht="12.75">
      <c r="A4485" s="144"/>
      <c r="B4485" s="160"/>
    </row>
    <row r="4486" spans="1:2" s="161" customFormat="1" ht="12.75">
      <c r="A4486" s="144"/>
      <c r="B4486" s="160"/>
    </row>
    <row r="4487" spans="1:2" s="161" customFormat="1" ht="12.75">
      <c r="A4487" s="144"/>
      <c r="B4487" s="160"/>
    </row>
    <row r="4488" spans="1:2" s="161" customFormat="1" ht="12.75">
      <c r="A4488" s="144"/>
      <c r="B4488" s="160"/>
    </row>
    <row r="4489" spans="1:2" s="161" customFormat="1" ht="12.75">
      <c r="A4489" s="144"/>
      <c r="B4489" s="160"/>
    </row>
    <row r="4490" spans="1:2" s="161" customFormat="1" ht="12.75">
      <c r="A4490" s="144"/>
      <c r="B4490" s="160"/>
    </row>
    <row r="4491" spans="1:2" s="161" customFormat="1" ht="12.75">
      <c r="A4491" s="144"/>
      <c r="B4491" s="160"/>
    </row>
    <row r="4492" spans="1:2" s="161" customFormat="1" ht="12.75">
      <c r="A4492" s="144"/>
      <c r="B4492" s="160"/>
    </row>
    <row r="4493" spans="1:2" s="161" customFormat="1" ht="12.75">
      <c r="A4493" s="144"/>
      <c r="B4493" s="160"/>
    </row>
    <row r="4494" spans="1:2" s="161" customFormat="1" ht="12.75">
      <c r="A4494" s="144"/>
      <c r="B4494" s="160"/>
    </row>
    <row r="4495" spans="1:2" s="161" customFormat="1" ht="12.75">
      <c r="A4495" s="144"/>
      <c r="B4495" s="160"/>
    </row>
    <row r="4496" spans="1:2" s="161" customFormat="1" ht="12.75">
      <c r="A4496" s="144"/>
      <c r="B4496" s="160"/>
    </row>
    <row r="4497" spans="1:2" s="161" customFormat="1" ht="12.75">
      <c r="A4497" s="144"/>
      <c r="B4497" s="160"/>
    </row>
    <row r="4498" spans="1:2" s="161" customFormat="1" ht="12.75">
      <c r="A4498" s="144"/>
      <c r="B4498" s="160"/>
    </row>
    <row r="4499" spans="1:2" s="161" customFormat="1" ht="12.75">
      <c r="A4499" s="144"/>
      <c r="B4499" s="160"/>
    </row>
    <row r="4500" spans="1:2" s="161" customFormat="1" ht="12.75">
      <c r="A4500" s="144"/>
      <c r="B4500" s="160"/>
    </row>
    <row r="4501" spans="1:2" s="161" customFormat="1" ht="12.75">
      <c r="A4501" s="144"/>
      <c r="B4501" s="160"/>
    </row>
    <row r="4502" spans="1:2" s="161" customFormat="1" ht="12.75">
      <c r="A4502" s="144"/>
      <c r="B4502" s="160"/>
    </row>
    <row r="4503" spans="1:2" s="161" customFormat="1" ht="12.75">
      <c r="A4503" s="144"/>
      <c r="B4503" s="160"/>
    </row>
    <row r="4504" spans="1:2" s="161" customFormat="1" ht="12.75">
      <c r="A4504" s="144"/>
      <c r="B4504" s="160"/>
    </row>
    <row r="4505" spans="1:2" s="161" customFormat="1" ht="12.75">
      <c r="A4505" s="144"/>
      <c r="B4505" s="160"/>
    </row>
    <row r="4506" spans="1:2" s="161" customFormat="1" ht="12.75">
      <c r="A4506" s="144"/>
      <c r="B4506" s="160"/>
    </row>
    <row r="4507" spans="1:2" s="161" customFormat="1" ht="12.75">
      <c r="A4507" s="144"/>
      <c r="B4507" s="160"/>
    </row>
    <row r="4508" spans="1:2" s="161" customFormat="1" ht="12.75">
      <c r="A4508" s="144"/>
      <c r="B4508" s="160"/>
    </row>
    <row r="4509" spans="1:2" s="161" customFormat="1" ht="12.75">
      <c r="A4509" s="144"/>
      <c r="B4509" s="160"/>
    </row>
    <row r="4510" spans="1:2" s="161" customFormat="1" ht="12.75">
      <c r="A4510" s="144"/>
      <c r="B4510" s="160"/>
    </row>
    <row r="4511" spans="1:2" s="161" customFormat="1" ht="12.75">
      <c r="A4511" s="144"/>
      <c r="B4511" s="160"/>
    </row>
    <row r="4512" spans="1:2" s="161" customFormat="1" ht="12.75">
      <c r="A4512" s="144"/>
      <c r="B4512" s="160"/>
    </row>
    <row r="4513" spans="1:2" s="161" customFormat="1" ht="12.75">
      <c r="A4513" s="144"/>
      <c r="B4513" s="160"/>
    </row>
    <row r="4514" spans="1:2" s="161" customFormat="1" ht="12.75">
      <c r="A4514" s="144"/>
      <c r="B4514" s="160"/>
    </row>
    <row r="4515" spans="1:2" s="161" customFormat="1" ht="12.75">
      <c r="A4515" s="144"/>
      <c r="B4515" s="160"/>
    </row>
    <row r="4516" spans="1:2" s="161" customFormat="1" ht="12.75">
      <c r="A4516" s="144"/>
      <c r="B4516" s="160"/>
    </row>
    <row r="4517" spans="1:2" s="161" customFormat="1" ht="12.75">
      <c r="A4517" s="144"/>
      <c r="B4517" s="160"/>
    </row>
    <row r="4518" spans="1:2" s="161" customFormat="1" ht="12.75">
      <c r="A4518" s="144"/>
      <c r="B4518" s="160"/>
    </row>
    <row r="4519" spans="1:2" s="161" customFormat="1" ht="12.75">
      <c r="A4519" s="144"/>
      <c r="B4519" s="160"/>
    </row>
    <row r="4520" spans="1:2" s="161" customFormat="1" ht="12.75">
      <c r="A4520" s="144"/>
      <c r="B4520" s="160"/>
    </row>
    <row r="4521" spans="1:2" s="161" customFormat="1" ht="12.75">
      <c r="A4521" s="144"/>
      <c r="B4521" s="160"/>
    </row>
    <row r="4522" spans="1:2" s="161" customFormat="1" ht="12.75">
      <c r="A4522" s="144"/>
      <c r="B4522" s="160"/>
    </row>
    <row r="4523" spans="1:2" s="161" customFormat="1" ht="12.75">
      <c r="A4523" s="144"/>
      <c r="B4523" s="160"/>
    </row>
    <row r="4524" spans="1:2" s="161" customFormat="1" ht="12.75">
      <c r="A4524" s="144"/>
      <c r="B4524" s="160"/>
    </row>
    <row r="4525" spans="1:2" s="161" customFormat="1" ht="12.75">
      <c r="A4525" s="144"/>
      <c r="B4525" s="160"/>
    </row>
    <row r="4526" spans="1:2" s="161" customFormat="1" ht="12.75">
      <c r="A4526" s="144"/>
      <c r="B4526" s="160"/>
    </row>
    <row r="4527" spans="1:2" s="161" customFormat="1" ht="12.75">
      <c r="A4527" s="144"/>
      <c r="B4527" s="160"/>
    </row>
    <row r="4528" spans="1:2" s="161" customFormat="1" ht="12.75">
      <c r="A4528" s="144"/>
      <c r="B4528" s="160"/>
    </row>
    <row r="4529" spans="1:2" s="161" customFormat="1" ht="12.75">
      <c r="A4529" s="144"/>
      <c r="B4529" s="160"/>
    </row>
    <row r="4530" spans="1:2" s="161" customFormat="1" ht="12.75">
      <c r="A4530" s="144"/>
      <c r="B4530" s="160"/>
    </row>
    <row r="4531" spans="1:2" s="161" customFormat="1" ht="12.75">
      <c r="A4531" s="144"/>
      <c r="B4531" s="160"/>
    </row>
    <row r="4532" spans="1:2" s="161" customFormat="1" ht="12.75">
      <c r="A4532" s="144"/>
      <c r="B4532" s="160"/>
    </row>
    <row r="4533" spans="1:2" s="161" customFormat="1" ht="12.75">
      <c r="A4533" s="144"/>
      <c r="B4533" s="160"/>
    </row>
    <row r="4534" spans="1:2" s="161" customFormat="1" ht="12.75">
      <c r="A4534" s="144"/>
      <c r="B4534" s="160"/>
    </row>
    <row r="4535" spans="1:2" s="161" customFormat="1" ht="12.75">
      <c r="A4535" s="144"/>
      <c r="B4535" s="160"/>
    </row>
    <row r="4536" spans="1:2" s="161" customFormat="1" ht="12.75">
      <c r="A4536" s="144"/>
      <c r="B4536" s="160"/>
    </row>
    <row r="4537" spans="1:2" s="161" customFormat="1" ht="12.75">
      <c r="A4537" s="144"/>
      <c r="B4537" s="160"/>
    </row>
    <row r="4538" spans="1:2" s="161" customFormat="1" ht="12.75">
      <c r="A4538" s="144"/>
      <c r="B4538" s="160"/>
    </row>
    <row r="4539" spans="1:2" s="161" customFormat="1" ht="12.75">
      <c r="A4539" s="144"/>
      <c r="B4539" s="160"/>
    </row>
    <row r="4540" spans="1:2" s="161" customFormat="1" ht="12.75">
      <c r="A4540" s="144"/>
      <c r="B4540" s="160"/>
    </row>
    <row r="4541" spans="1:2" s="161" customFormat="1" ht="12.75">
      <c r="A4541" s="144"/>
      <c r="B4541" s="160"/>
    </row>
    <row r="4542" spans="1:2" s="161" customFormat="1" ht="13.5" customHeight="1">
      <c r="A4542" s="144"/>
      <c r="B4542" s="160"/>
    </row>
    <row r="4543" spans="1:2" s="161" customFormat="1" ht="12.75">
      <c r="A4543" s="144"/>
      <c r="B4543" s="160"/>
    </row>
    <row r="4544" spans="1:2" s="161" customFormat="1" ht="12.75">
      <c r="A4544" s="144"/>
      <c r="B4544" s="160"/>
    </row>
    <row r="4545" spans="1:2" s="161" customFormat="1" ht="12.75">
      <c r="A4545" s="144"/>
      <c r="B4545" s="160"/>
    </row>
    <row r="4546" spans="1:2" s="161" customFormat="1" ht="12.75">
      <c r="A4546" s="144"/>
      <c r="B4546" s="160"/>
    </row>
    <row r="4547" spans="1:2" s="161" customFormat="1" ht="12.75">
      <c r="A4547" s="144"/>
      <c r="B4547" s="160"/>
    </row>
    <row r="4548" spans="1:2" s="161" customFormat="1" ht="12.75">
      <c r="A4548" s="144"/>
      <c r="B4548" s="160"/>
    </row>
    <row r="4549" spans="1:2" s="161" customFormat="1" ht="12.75">
      <c r="A4549" s="144"/>
      <c r="B4549" s="160"/>
    </row>
    <row r="4550" spans="1:2" s="161" customFormat="1" ht="12.75">
      <c r="A4550" s="144"/>
      <c r="B4550" s="160"/>
    </row>
    <row r="4551" spans="1:2" s="161" customFormat="1" ht="12.75">
      <c r="A4551" s="144"/>
      <c r="B4551" s="160"/>
    </row>
    <row r="4552" spans="1:2" s="161" customFormat="1" ht="12.75">
      <c r="A4552" s="144"/>
      <c r="B4552" s="160"/>
    </row>
    <row r="4553" spans="1:2" s="161" customFormat="1" ht="12.75">
      <c r="A4553" s="144"/>
      <c r="B4553" s="160"/>
    </row>
    <row r="4554" spans="1:2" s="161" customFormat="1" ht="12.75">
      <c r="A4554" s="144"/>
      <c r="B4554" s="160"/>
    </row>
    <row r="4555" spans="1:2" s="161" customFormat="1" ht="12.75">
      <c r="A4555" s="144"/>
      <c r="B4555" s="160"/>
    </row>
    <row r="4556" spans="1:2" s="161" customFormat="1" ht="12.75">
      <c r="A4556" s="144"/>
      <c r="B4556" s="160"/>
    </row>
    <row r="4557" spans="1:2" s="161" customFormat="1" ht="12.75">
      <c r="A4557" s="144"/>
      <c r="B4557" s="160"/>
    </row>
    <row r="4558" spans="1:2" s="161" customFormat="1" ht="12.75">
      <c r="A4558" s="144"/>
      <c r="B4558" s="160"/>
    </row>
    <row r="4559" spans="1:2" s="161" customFormat="1" ht="12.75">
      <c r="A4559" s="144"/>
      <c r="B4559" s="160"/>
    </row>
    <row r="4560" spans="1:2" s="161" customFormat="1" ht="12.75">
      <c r="A4560" s="144"/>
      <c r="B4560" s="160"/>
    </row>
    <row r="4561" spans="1:2" s="161" customFormat="1" ht="12.75">
      <c r="A4561" s="144"/>
      <c r="B4561" s="160"/>
    </row>
    <row r="4562" spans="1:2" s="161" customFormat="1" ht="12.75">
      <c r="A4562" s="144"/>
      <c r="B4562" s="160"/>
    </row>
    <row r="4563" spans="1:2" s="161" customFormat="1" ht="12.75">
      <c r="A4563" s="144"/>
      <c r="B4563" s="160"/>
    </row>
    <row r="4564" spans="1:2" s="161" customFormat="1" ht="12.75">
      <c r="A4564" s="144"/>
      <c r="B4564" s="160"/>
    </row>
    <row r="4565" spans="1:2" s="161" customFormat="1" ht="12.75">
      <c r="A4565" s="144"/>
      <c r="B4565" s="160"/>
    </row>
    <row r="4566" spans="1:2" s="161" customFormat="1" ht="12.75">
      <c r="A4566" s="144"/>
      <c r="B4566" s="160"/>
    </row>
    <row r="4567" spans="1:2" s="161" customFormat="1" ht="12.75">
      <c r="A4567" s="144"/>
      <c r="B4567" s="160"/>
    </row>
    <row r="4568" spans="1:2" s="161" customFormat="1" ht="12.75">
      <c r="A4568" s="144"/>
      <c r="B4568" s="160"/>
    </row>
    <row r="4569" spans="1:2" s="161" customFormat="1" ht="12.75">
      <c r="A4569" s="144"/>
      <c r="B4569" s="160"/>
    </row>
    <row r="4570" spans="1:2" s="161" customFormat="1" ht="12.75">
      <c r="A4570" s="144"/>
      <c r="B4570" s="160"/>
    </row>
    <row r="4571" spans="1:2" s="161" customFormat="1" ht="12.75">
      <c r="A4571" s="144"/>
      <c r="B4571" s="160"/>
    </row>
    <row r="4572" spans="1:2" s="161" customFormat="1" ht="12.75">
      <c r="A4572" s="144"/>
      <c r="B4572" s="160"/>
    </row>
    <row r="4573" spans="1:2" s="161" customFormat="1" ht="12.75">
      <c r="A4573" s="144"/>
      <c r="B4573" s="160"/>
    </row>
    <row r="4574" spans="1:2" s="161" customFormat="1" ht="12.75">
      <c r="A4574" s="144"/>
      <c r="B4574" s="160"/>
    </row>
    <row r="4575" spans="1:2" s="161" customFormat="1" ht="12.75">
      <c r="A4575" s="144"/>
      <c r="B4575" s="160"/>
    </row>
    <row r="4576" spans="1:2" s="161" customFormat="1" ht="12.75">
      <c r="A4576" s="144"/>
      <c r="B4576" s="160"/>
    </row>
    <row r="4577" spans="1:2" s="161" customFormat="1" ht="12.75">
      <c r="A4577" s="144"/>
      <c r="B4577" s="160"/>
    </row>
    <row r="4578" spans="1:2" s="161" customFormat="1" ht="12.75">
      <c r="A4578" s="144"/>
      <c r="B4578" s="160"/>
    </row>
    <row r="4579" spans="1:2" s="161" customFormat="1" ht="12.75">
      <c r="A4579" s="144"/>
      <c r="B4579" s="160"/>
    </row>
    <row r="4580" spans="1:2" s="161" customFormat="1" ht="12.75">
      <c r="A4580" s="144"/>
      <c r="B4580" s="160"/>
    </row>
    <row r="4581" spans="1:2" s="161" customFormat="1" ht="12.75">
      <c r="A4581" s="144"/>
      <c r="B4581" s="160"/>
    </row>
    <row r="4582" spans="1:2" s="161" customFormat="1" ht="12.75">
      <c r="A4582" s="144"/>
      <c r="B4582" s="160"/>
    </row>
    <row r="4583" spans="1:2" s="161" customFormat="1" ht="12.75">
      <c r="A4583" s="144"/>
      <c r="B4583" s="160"/>
    </row>
    <row r="4584" spans="1:2" s="161" customFormat="1" ht="12.75">
      <c r="A4584" s="144"/>
      <c r="B4584" s="160"/>
    </row>
    <row r="4585" spans="1:2" s="161" customFormat="1" ht="12.75">
      <c r="A4585" s="144"/>
      <c r="B4585" s="160"/>
    </row>
    <row r="4586" spans="1:2" s="161" customFormat="1" ht="12.75">
      <c r="A4586" s="144"/>
      <c r="B4586" s="160"/>
    </row>
    <row r="4587" spans="1:2" s="161" customFormat="1" ht="12.75">
      <c r="A4587" s="144"/>
      <c r="B4587" s="160"/>
    </row>
    <row r="4588" spans="1:2" s="161" customFormat="1" ht="12.75">
      <c r="A4588" s="144"/>
      <c r="B4588" s="160"/>
    </row>
    <row r="4589" spans="1:2" s="161" customFormat="1" ht="12.75">
      <c r="A4589" s="144"/>
      <c r="B4589" s="160"/>
    </row>
    <row r="4590" spans="1:2" s="161" customFormat="1" ht="12.75">
      <c r="A4590" s="144"/>
      <c r="B4590" s="160"/>
    </row>
    <row r="4591" spans="1:2" s="161" customFormat="1" ht="12.75">
      <c r="A4591" s="144"/>
      <c r="B4591" s="160"/>
    </row>
    <row r="4592" spans="1:2" s="161" customFormat="1" ht="12.75">
      <c r="A4592" s="144"/>
      <c r="B4592" s="160"/>
    </row>
    <row r="4593" spans="1:2" s="161" customFormat="1" ht="12.75">
      <c r="A4593" s="144"/>
      <c r="B4593" s="160"/>
    </row>
    <row r="4594" spans="1:2" s="161" customFormat="1" ht="12.75">
      <c r="A4594" s="144"/>
      <c r="B4594" s="160"/>
    </row>
    <row r="4595" spans="1:2" s="161" customFormat="1" ht="12.75">
      <c r="A4595" s="144"/>
      <c r="B4595" s="160"/>
    </row>
    <row r="4596" spans="1:2" s="161" customFormat="1" ht="12.75">
      <c r="A4596" s="144"/>
      <c r="B4596" s="160"/>
    </row>
    <row r="4597" spans="1:2" s="161" customFormat="1" ht="12.75">
      <c r="A4597" s="144"/>
      <c r="B4597" s="160"/>
    </row>
    <row r="4598" spans="1:2" s="161" customFormat="1" ht="12.75">
      <c r="A4598" s="144"/>
      <c r="B4598" s="160"/>
    </row>
    <row r="4599" spans="1:2" s="161" customFormat="1" ht="12.75">
      <c r="A4599" s="144"/>
      <c r="B4599" s="160"/>
    </row>
    <row r="4600" spans="1:2" s="161" customFormat="1" ht="12.75">
      <c r="A4600" s="144"/>
      <c r="B4600" s="160"/>
    </row>
    <row r="4601" spans="1:2" s="161" customFormat="1" ht="12.75">
      <c r="A4601" s="144"/>
      <c r="B4601" s="160"/>
    </row>
    <row r="4602" spans="1:2" s="161" customFormat="1" ht="12.75">
      <c r="A4602" s="144"/>
      <c r="B4602" s="160"/>
    </row>
    <row r="4603" spans="1:2" s="161" customFormat="1" ht="12.75">
      <c r="A4603" s="144"/>
      <c r="B4603" s="160"/>
    </row>
    <row r="4604" spans="1:2" s="161" customFormat="1" ht="12.75">
      <c r="A4604" s="144"/>
      <c r="B4604" s="160"/>
    </row>
    <row r="4605" spans="1:2" s="161" customFormat="1" ht="12.75">
      <c r="A4605" s="144"/>
      <c r="B4605" s="160"/>
    </row>
    <row r="4606" spans="1:2" s="161" customFormat="1" ht="12.75">
      <c r="A4606" s="144"/>
      <c r="B4606" s="160"/>
    </row>
    <row r="4607" spans="1:2" s="161" customFormat="1" ht="12.75">
      <c r="A4607" s="144"/>
      <c r="B4607" s="160"/>
    </row>
    <row r="4608" spans="1:2" s="161" customFormat="1" ht="12.75">
      <c r="A4608" s="144"/>
      <c r="B4608" s="160"/>
    </row>
    <row r="4609" spans="1:2" s="161" customFormat="1" ht="12.75">
      <c r="A4609" s="144"/>
      <c r="B4609" s="160"/>
    </row>
    <row r="4610" spans="1:2" s="161" customFormat="1" ht="12.75">
      <c r="A4610" s="144"/>
      <c r="B4610" s="160"/>
    </row>
    <row r="4611" spans="1:2" s="161" customFormat="1" ht="12.75">
      <c r="A4611" s="144"/>
      <c r="B4611" s="160"/>
    </row>
    <row r="4612" spans="1:2" s="161" customFormat="1" ht="12.75">
      <c r="A4612" s="144"/>
      <c r="B4612" s="160"/>
    </row>
    <row r="4613" spans="1:2" s="161" customFormat="1" ht="12.75">
      <c r="A4613" s="144"/>
      <c r="B4613" s="160"/>
    </row>
    <row r="4614" spans="1:2" s="161" customFormat="1" ht="12.75">
      <c r="A4614" s="144"/>
      <c r="B4614" s="160"/>
    </row>
    <row r="4615" spans="1:2" s="161" customFormat="1" ht="12.75">
      <c r="A4615" s="144"/>
      <c r="B4615" s="160"/>
    </row>
    <row r="4616" spans="1:2" s="161" customFormat="1" ht="12.75">
      <c r="A4616" s="144"/>
      <c r="B4616" s="160"/>
    </row>
    <row r="4617" spans="1:2" s="161" customFormat="1" ht="12.75">
      <c r="A4617" s="144"/>
      <c r="B4617" s="160"/>
    </row>
    <row r="4618" spans="1:2" s="161" customFormat="1" ht="12.75">
      <c r="A4618" s="144"/>
      <c r="B4618" s="160"/>
    </row>
    <row r="4619" spans="1:2" s="161" customFormat="1" ht="12.75">
      <c r="A4619" s="144"/>
      <c r="B4619" s="160"/>
    </row>
    <row r="4620" spans="1:2" s="161" customFormat="1" ht="12.75">
      <c r="A4620" s="144"/>
      <c r="B4620" s="160"/>
    </row>
    <row r="4621" spans="1:2" s="161" customFormat="1" ht="12.75">
      <c r="A4621" s="144"/>
      <c r="B4621" s="160"/>
    </row>
    <row r="4622" spans="1:2" s="161" customFormat="1" ht="12.75">
      <c r="A4622" s="144"/>
      <c r="B4622" s="160"/>
    </row>
    <row r="4623" spans="1:2" s="161" customFormat="1" ht="12.75">
      <c r="A4623" s="144"/>
      <c r="B4623" s="160"/>
    </row>
    <row r="4624" spans="1:2" s="161" customFormat="1" ht="12.75">
      <c r="A4624" s="144"/>
      <c r="B4624" s="160"/>
    </row>
    <row r="4625" spans="1:2" s="161" customFormat="1" ht="12.75">
      <c r="A4625" s="144"/>
      <c r="B4625" s="160"/>
    </row>
    <row r="4626" spans="1:2" s="161" customFormat="1" ht="12.75">
      <c r="A4626" s="144"/>
      <c r="B4626" s="160"/>
    </row>
    <row r="4627" spans="1:2" s="161" customFormat="1" ht="12.75">
      <c r="A4627" s="144"/>
      <c r="B4627" s="160"/>
    </row>
    <row r="4628" spans="1:2" s="161" customFormat="1" ht="12.75">
      <c r="A4628" s="144"/>
      <c r="B4628" s="160"/>
    </row>
    <row r="4629" spans="1:2" s="161" customFormat="1" ht="12.75">
      <c r="A4629" s="144"/>
      <c r="B4629" s="160"/>
    </row>
    <row r="4630" spans="1:2" s="161" customFormat="1" ht="12.75">
      <c r="A4630" s="144"/>
      <c r="B4630" s="160"/>
    </row>
    <row r="4631" spans="1:2" s="161" customFormat="1" ht="12.75">
      <c r="A4631" s="144"/>
      <c r="B4631" s="160"/>
    </row>
    <row r="4632" spans="1:2" s="161" customFormat="1" ht="12.75">
      <c r="A4632" s="144"/>
      <c r="B4632" s="160"/>
    </row>
    <row r="4633" spans="1:2" s="161" customFormat="1" ht="12.75">
      <c r="A4633" s="144"/>
      <c r="B4633" s="160"/>
    </row>
    <row r="4634" spans="1:2" s="161" customFormat="1" ht="12.75">
      <c r="A4634" s="144"/>
      <c r="B4634" s="160"/>
    </row>
    <row r="4635" spans="1:2" s="161" customFormat="1" ht="12.75">
      <c r="A4635" s="144"/>
      <c r="B4635" s="160"/>
    </row>
    <row r="4636" spans="1:2" s="161" customFormat="1" ht="12.75">
      <c r="A4636" s="144"/>
      <c r="B4636" s="160"/>
    </row>
    <row r="4637" spans="1:2" s="161" customFormat="1" ht="12.75">
      <c r="A4637" s="144"/>
      <c r="B4637" s="160"/>
    </row>
    <row r="4638" spans="1:2" s="161" customFormat="1" ht="12.75">
      <c r="A4638" s="144"/>
      <c r="B4638" s="160"/>
    </row>
    <row r="4639" spans="1:2" s="161" customFormat="1" ht="12.75">
      <c r="A4639" s="144"/>
      <c r="B4639" s="160"/>
    </row>
    <row r="4640" spans="1:2" s="161" customFormat="1" ht="12.75">
      <c r="A4640" s="144"/>
      <c r="B4640" s="160"/>
    </row>
    <row r="4641" spans="1:2" s="161" customFormat="1" ht="12.75">
      <c r="A4641" s="144"/>
      <c r="B4641" s="160"/>
    </row>
    <row r="4642" spans="1:2" s="161" customFormat="1" ht="12.75">
      <c r="A4642" s="144"/>
      <c r="B4642" s="160"/>
    </row>
    <row r="4643" spans="1:2" s="161" customFormat="1" ht="12.75">
      <c r="A4643" s="144"/>
      <c r="B4643" s="160"/>
    </row>
    <row r="4644" spans="1:2" s="161" customFormat="1" ht="12.75">
      <c r="A4644" s="144"/>
      <c r="B4644" s="160"/>
    </row>
    <row r="4645" spans="1:2" s="161" customFormat="1" ht="12.75">
      <c r="A4645" s="144"/>
      <c r="B4645" s="160"/>
    </row>
    <row r="4646" spans="1:2" s="161" customFormat="1" ht="12.75">
      <c r="A4646" s="144"/>
      <c r="B4646" s="160"/>
    </row>
    <row r="4647" spans="1:2" s="161" customFormat="1" ht="12.75">
      <c r="A4647" s="144"/>
      <c r="B4647" s="160"/>
    </row>
    <row r="4648" spans="1:2" s="161" customFormat="1" ht="12.75">
      <c r="A4648" s="144"/>
      <c r="B4648" s="160"/>
    </row>
    <row r="4649" spans="1:2" s="161" customFormat="1" ht="12.75">
      <c r="A4649" s="144"/>
      <c r="B4649" s="160"/>
    </row>
    <row r="4650" spans="1:2" s="161" customFormat="1" ht="12.75">
      <c r="A4650" s="144"/>
      <c r="B4650" s="160"/>
    </row>
    <row r="4651" spans="1:2" s="161" customFormat="1" ht="12.75">
      <c r="A4651" s="144"/>
      <c r="B4651" s="160"/>
    </row>
    <row r="4652" spans="1:2" s="161" customFormat="1" ht="12.75">
      <c r="A4652" s="144"/>
      <c r="B4652" s="160"/>
    </row>
    <row r="4653" spans="1:2" s="161" customFormat="1" ht="12.75">
      <c r="A4653" s="144"/>
      <c r="B4653" s="160"/>
    </row>
    <row r="4654" spans="1:2" s="161" customFormat="1" ht="12.75">
      <c r="A4654" s="144"/>
      <c r="B4654" s="160"/>
    </row>
    <row r="4655" spans="1:2" s="161" customFormat="1" ht="12.75">
      <c r="A4655" s="144"/>
      <c r="B4655" s="160"/>
    </row>
    <row r="4656" spans="1:2" s="161" customFormat="1" ht="12.75">
      <c r="A4656" s="144"/>
      <c r="B4656" s="160"/>
    </row>
    <row r="4657" spans="1:2" s="161" customFormat="1" ht="12.75">
      <c r="A4657" s="144"/>
      <c r="B4657" s="160"/>
    </row>
    <row r="4658" spans="1:2" s="161" customFormat="1" ht="12.75">
      <c r="A4658" s="144"/>
      <c r="B4658" s="160"/>
    </row>
    <row r="4659" spans="1:2" s="161" customFormat="1" ht="12.75">
      <c r="A4659" s="144"/>
      <c r="B4659" s="160"/>
    </row>
    <row r="4660" spans="1:2" s="161" customFormat="1" ht="12.75">
      <c r="A4660" s="144"/>
      <c r="B4660" s="160"/>
    </row>
    <row r="4661" spans="1:2" s="161" customFormat="1" ht="12.75">
      <c r="A4661" s="144"/>
      <c r="B4661" s="160"/>
    </row>
    <row r="4662" spans="1:2" s="161" customFormat="1" ht="12.75">
      <c r="A4662" s="144"/>
      <c r="B4662" s="160"/>
    </row>
    <row r="4663" spans="1:2" s="161" customFormat="1" ht="12.75">
      <c r="A4663" s="144"/>
      <c r="B4663" s="160"/>
    </row>
    <row r="4664" spans="1:2" s="161" customFormat="1" ht="12.75">
      <c r="A4664" s="144"/>
      <c r="B4664" s="160"/>
    </row>
    <row r="4665" spans="1:2" s="161" customFormat="1" ht="12.75">
      <c r="A4665" s="144"/>
      <c r="B4665" s="160"/>
    </row>
    <row r="4666" spans="1:2" s="161" customFormat="1" ht="12.75">
      <c r="A4666" s="144"/>
      <c r="B4666" s="160"/>
    </row>
    <row r="4667" spans="1:2" s="161" customFormat="1" ht="12.75">
      <c r="A4667" s="144"/>
      <c r="B4667" s="160"/>
    </row>
    <row r="4668" spans="1:2" s="161" customFormat="1" ht="12.75">
      <c r="A4668" s="144"/>
      <c r="B4668" s="160"/>
    </row>
    <row r="4669" spans="1:2" s="161" customFormat="1" ht="12.75">
      <c r="A4669" s="144"/>
      <c r="B4669" s="160"/>
    </row>
    <row r="4670" spans="1:2" s="161" customFormat="1" ht="12.75">
      <c r="A4670" s="144"/>
      <c r="B4670" s="160"/>
    </row>
    <row r="4671" spans="1:2" s="161" customFormat="1" ht="12.75">
      <c r="A4671" s="144"/>
      <c r="B4671" s="160"/>
    </row>
    <row r="4672" spans="1:2" s="161" customFormat="1" ht="12.75">
      <c r="A4672" s="144"/>
      <c r="B4672" s="160"/>
    </row>
    <row r="4673" spans="1:2" s="161" customFormat="1" ht="12.75">
      <c r="A4673" s="144"/>
      <c r="B4673" s="160"/>
    </row>
    <row r="4674" spans="1:2" s="161" customFormat="1" ht="12.75">
      <c r="A4674" s="144"/>
      <c r="B4674" s="160"/>
    </row>
    <row r="4675" spans="1:2" s="161" customFormat="1" ht="12.75">
      <c r="A4675" s="144"/>
      <c r="B4675" s="160"/>
    </row>
    <row r="4676" spans="1:2" s="161" customFormat="1" ht="12.75">
      <c r="A4676" s="144"/>
      <c r="B4676" s="160"/>
    </row>
    <row r="4677" spans="1:2" s="161" customFormat="1" ht="12.75">
      <c r="A4677" s="144"/>
      <c r="B4677" s="160"/>
    </row>
    <row r="4678" spans="1:2" s="161" customFormat="1" ht="12.75">
      <c r="A4678" s="144"/>
      <c r="B4678" s="160"/>
    </row>
    <row r="4679" spans="1:2" s="161" customFormat="1" ht="12.75">
      <c r="A4679" s="144"/>
      <c r="B4679" s="160"/>
    </row>
    <row r="4680" spans="1:2" s="161" customFormat="1" ht="12.75">
      <c r="A4680" s="144"/>
      <c r="B4680" s="160"/>
    </row>
    <row r="4681" spans="1:2" s="161" customFormat="1" ht="12.75">
      <c r="A4681" s="144"/>
      <c r="B4681" s="160"/>
    </row>
    <row r="4682" spans="1:2" s="161" customFormat="1" ht="12.75">
      <c r="A4682" s="144"/>
      <c r="B4682" s="160"/>
    </row>
    <row r="4683" spans="1:2" s="161" customFormat="1" ht="12.75">
      <c r="A4683" s="144"/>
      <c r="B4683" s="160"/>
    </row>
    <row r="4684" spans="1:2" s="161" customFormat="1" ht="12.75">
      <c r="A4684" s="144"/>
      <c r="B4684" s="160"/>
    </row>
    <row r="4685" spans="1:2" s="161" customFormat="1" ht="12.75">
      <c r="A4685" s="144"/>
      <c r="B4685" s="160"/>
    </row>
    <row r="4686" spans="1:2" s="161" customFormat="1" ht="12.75">
      <c r="A4686" s="144"/>
      <c r="B4686" s="160"/>
    </row>
    <row r="4687" spans="1:2" s="161" customFormat="1" ht="12.75">
      <c r="A4687" s="144"/>
      <c r="B4687" s="160"/>
    </row>
    <row r="4688" spans="1:2" s="161" customFormat="1" ht="12.75">
      <c r="A4688" s="144"/>
      <c r="B4688" s="160"/>
    </row>
    <row r="4689" spans="1:2" s="161" customFormat="1" ht="12.75">
      <c r="A4689" s="144"/>
      <c r="B4689" s="160"/>
    </row>
    <row r="4690" spans="1:2" s="161" customFormat="1" ht="12.75">
      <c r="A4690" s="144"/>
      <c r="B4690" s="160"/>
    </row>
    <row r="4691" spans="1:2" s="161" customFormat="1" ht="12.75">
      <c r="A4691" s="144"/>
      <c r="B4691" s="160"/>
    </row>
    <row r="4692" spans="1:2" s="161" customFormat="1" ht="12.75">
      <c r="A4692" s="144"/>
      <c r="B4692" s="160"/>
    </row>
    <row r="4693" spans="1:2" s="161" customFormat="1" ht="12.75">
      <c r="A4693" s="144"/>
      <c r="B4693" s="160"/>
    </row>
    <row r="4694" spans="1:2" s="161" customFormat="1" ht="12.75">
      <c r="A4694" s="144"/>
      <c r="B4694" s="160"/>
    </row>
    <row r="4695" spans="1:2" s="161" customFormat="1" ht="12.75">
      <c r="A4695" s="144"/>
      <c r="B4695" s="160"/>
    </row>
    <row r="4696" spans="1:2" s="161" customFormat="1" ht="12.75">
      <c r="A4696" s="144"/>
      <c r="B4696" s="160"/>
    </row>
    <row r="4697" spans="1:2" s="161" customFormat="1" ht="12.75">
      <c r="A4697" s="144"/>
      <c r="B4697" s="160"/>
    </row>
    <row r="4698" spans="1:2" s="161" customFormat="1" ht="12.75">
      <c r="A4698" s="144"/>
      <c r="B4698" s="160"/>
    </row>
    <row r="4699" spans="1:2" s="161" customFormat="1" ht="12.75">
      <c r="A4699" s="144"/>
      <c r="B4699" s="160"/>
    </row>
    <row r="4700" spans="1:2" s="161" customFormat="1" ht="12.75">
      <c r="A4700" s="144"/>
      <c r="B4700" s="160"/>
    </row>
    <row r="4701" spans="1:2" s="161" customFormat="1" ht="12.75">
      <c r="A4701" s="144"/>
      <c r="B4701" s="160"/>
    </row>
    <row r="4702" spans="1:2" s="161" customFormat="1" ht="12.75">
      <c r="A4702" s="144"/>
      <c r="B4702" s="160"/>
    </row>
    <row r="4703" spans="1:2" s="161" customFormat="1" ht="12.75">
      <c r="A4703" s="144"/>
      <c r="B4703" s="160"/>
    </row>
    <row r="4704" spans="1:2" s="161" customFormat="1" ht="12.75">
      <c r="A4704" s="144"/>
      <c r="B4704" s="160"/>
    </row>
    <row r="4705" spans="1:2" s="161" customFormat="1" ht="12.75">
      <c r="A4705" s="144"/>
      <c r="B4705" s="160"/>
    </row>
    <row r="4706" spans="1:2" s="161" customFormat="1" ht="12.75">
      <c r="A4706" s="144"/>
      <c r="B4706" s="160"/>
    </row>
    <row r="4707" spans="1:2" s="161" customFormat="1" ht="12.75">
      <c r="A4707" s="144"/>
      <c r="B4707" s="160"/>
    </row>
    <row r="4708" spans="1:2" s="161" customFormat="1" ht="12.75">
      <c r="A4708" s="144"/>
      <c r="B4708" s="160"/>
    </row>
    <row r="4709" spans="1:2" s="161" customFormat="1" ht="12.75">
      <c r="A4709" s="144"/>
      <c r="B4709" s="160"/>
    </row>
    <row r="4710" spans="1:2" s="161" customFormat="1" ht="12.75">
      <c r="A4710" s="144"/>
      <c r="B4710" s="160"/>
    </row>
    <row r="4711" spans="1:2" s="161" customFormat="1" ht="12.75">
      <c r="A4711" s="144"/>
      <c r="B4711" s="160"/>
    </row>
    <row r="4712" spans="1:2" s="161" customFormat="1" ht="12.75">
      <c r="A4712" s="144"/>
      <c r="B4712" s="160"/>
    </row>
    <row r="4713" spans="1:2" s="161" customFormat="1" ht="12.75">
      <c r="A4713" s="144"/>
      <c r="B4713" s="160"/>
    </row>
    <row r="4714" spans="1:2" s="161" customFormat="1" ht="12.75">
      <c r="A4714" s="144"/>
      <c r="B4714" s="160"/>
    </row>
    <row r="4715" spans="1:2" s="161" customFormat="1" ht="12.75">
      <c r="A4715" s="144"/>
      <c r="B4715" s="160"/>
    </row>
    <row r="4716" spans="1:2" s="161" customFormat="1" ht="12.75">
      <c r="A4716" s="144"/>
      <c r="B4716" s="160"/>
    </row>
    <row r="4717" spans="1:2" s="161" customFormat="1" ht="12.75">
      <c r="A4717" s="144"/>
      <c r="B4717" s="160"/>
    </row>
    <row r="4718" spans="1:2" s="161" customFormat="1" ht="12.75">
      <c r="A4718" s="144"/>
      <c r="B4718" s="160"/>
    </row>
    <row r="4719" spans="1:2" s="161" customFormat="1" ht="12.75">
      <c r="A4719" s="144"/>
      <c r="B4719" s="160"/>
    </row>
    <row r="4720" spans="1:2" s="161" customFormat="1" ht="12.75">
      <c r="A4720" s="144"/>
      <c r="B4720" s="160"/>
    </row>
    <row r="4721" spans="1:2" s="161" customFormat="1" ht="12.75">
      <c r="A4721" s="144"/>
      <c r="B4721" s="160"/>
    </row>
    <row r="4722" spans="1:2" s="161" customFormat="1" ht="12.75">
      <c r="A4722" s="144"/>
      <c r="B4722" s="160"/>
    </row>
    <row r="4723" spans="1:2" s="161" customFormat="1" ht="12.75">
      <c r="A4723" s="144"/>
      <c r="B4723" s="160"/>
    </row>
    <row r="4724" spans="1:2" s="161" customFormat="1" ht="12.75">
      <c r="A4724" s="144"/>
      <c r="B4724" s="160"/>
    </row>
    <row r="4725" spans="1:2" s="161" customFormat="1" ht="12.75">
      <c r="A4725" s="144"/>
      <c r="B4725" s="160"/>
    </row>
    <row r="4726" spans="1:2" s="161" customFormat="1" ht="12.75">
      <c r="A4726" s="144"/>
      <c r="B4726" s="160"/>
    </row>
    <row r="4727" spans="1:2" s="161" customFormat="1" ht="12.75">
      <c r="A4727" s="144"/>
      <c r="B4727" s="160"/>
    </row>
    <row r="4728" spans="1:2" s="161" customFormat="1" ht="12.75">
      <c r="A4728" s="144"/>
      <c r="B4728" s="160"/>
    </row>
    <row r="4729" spans="1:2" s="161" customFormat="1" ht="12.75">
      <c r="A4729" s="144"/>
      <c r="B4729" s="160"/>
    </row>
    <row r="4730" spans="1:2" s="161" customFormat="1" ht="13.5" customHeight="1">
      <c r="A4730" s="144"/>
      <c r="B4730" s="160"/>
    </row>
    <row r="4731" spans="1:2" s="161" customFormat="1" ht="12.75">
      <c r="A4731" s="144"/>
      <c r="B4731" s="160"/>
    </row>
    <row r="4732" spans="1:2" s="161" customFormat="1" ht="12.75">
      <c r="A4732" s="144"/>
      <c r="B4732" s="160"/>
    </row>
    <row r="4733" spans="1:2" s="161" customFormat="1" ht="12.75">
      <c r="A4733" s="144"/>
      <c r="B4733" s="160"/>
    </row>
    <row r="4734" spans="1:2" s="161" customFormat="1" ht="12.75">
      <c r="A4734" s="144"/>
      <c r="B4734" s="160"/>
    </row>
    <row r="4735" spans="1:2" s="161" customFormat="1" ht="12.75">
      <c r="A4735" s="144"/>
      <c r="B4735" s="160"/>
    </row>
    <row r="4736" spans="1:2" s="161" customFormat="1" ht="12.75">
      <c r="A4736" s="144"/>
      <c r="B4736" s="160"/>
    </row>
    <row r="4737" spans="1:2" s="161" customFormat="1" ht="12.75">
      <c r="A4737" s="144"/>
      <c r="B4737" s="160"/>
    </row>
    <row r="4738" spans="1:2" s="161" customFormat="1" ht="12.75">
      <c r="A4738" s="144"/>
      <c r="B4738" s="160"/>
    </row>
    <row r="4739" spans="1:2" s="161" customFormat="1" ht="12.75">
      <c r="A4739" s="144"/>
      <c r="B4739" s="160"/>
    </row>
    <row r="4740" spans="1:2" s="161" customFormat="1" ht="12.75">
      <c r="A4740" s="144"/>
      <c r="B4740" s="160"/>
    </row>
    <row r="4741" spans="1:2" s="161" customFormat="1" ht="12.75">
      <c r="A4741" s="144"/>
      <c r="B4741" s="160"/>
    </row>
    <row r="4742" spans="1:2" s="161" customFormat="1" ht="12.75">
      <c r="A4742" s="144"/>
      <c r="B4742" s="160"/>
    </row>
    <row r="4743" spans="1:2" s="161" customFormat="1" ht="12.75">
      <c r="A4743" s="144"/>
      <c r="B4743" s="160"/>
    </row>
    <row r="4744" spans="1:2" s="161" customFormat="1" ht="12.75">
      <c r="A4744" s="144"/>
      <c r="B4744" s="160"/>
    </row>
    <row r="4745" spans="1:2" s="161" customFormat="1" ht="12.75">
      <c r="A4745" s="144"/>
      <c r="B4745" s="160"/>
    </row>
    <row r="4746" spans="1:2" s="161" customFormat="1" ht="12.75">
      <c r="A4746" s="144"/>
      <c r="B4746" s="160"/>
    </row>
    <row r="4747" spans="1:2" s="161" customFormat="1" ht="12.75">
      <c r="A4747" s="144"/>
      <c r="B4747" s="160"/>
    </row>
    <row r="4748" spans="1:2" s="161" customFormat="1" ht="12.75">
      <c r="A4748" s="144"/>
      <c r="B4748" s="160"/>
    </row>
    <row r="4749" spans="1:2" s="161" customFormat="1" ht="12.75">
      <c r="A4749" s="144"/>
      <c r="B4749" s="160"/>
    </row>
    <row r="4750" spans="1:2" s="161" customFormat="1" ht="12.75">
      <c r="A4750" s="144"/>
      <c r="B4750" s="160"/>
    </row>
    <row r="4751" spans="1:2" s="161" customFormat="1" ht="12.75">
      <c r="A4751" s="144"/>
      <c r="B4751" s="160"/>
    </row>
    <row r="4752" spans="1:2" s="161" customFormat="1" ht="12.75">
      <c r="A4752" s="144"/>
      <c r="B4752" s="160"/>
    </row>
    <row r="4753" spans="1:2" s="161" customFormat="1" ht="12.75">
      <c r="A4753" s="144"/>
      <c r="B4753" s="160"/>
    </row>
    <row r="4754" spans="1:2" s="161" customFormat="1" ht="12.75">
      <c r="A4754" s="144"/>
      <c r="B4754" s="160"/>
    </row>
    <row r="4755" spans="1:2" s="161" customFormat="1" ht="12.75">
      <c r="A4755" s="144"/>
      <c r="B4755" s="160"/>
    </row>
    <row r="4756" spans="1:2" s="161" customFormat="1" ht="12.75">
      <c r="A4756" s="144"/>
      <c r="B4756" s="160"/>
    </row>
    <row r="4757" spans="1:2" s="161" customFormat="1" ht="12.75">
      <c r="A4757" s="144"/>
      <c r="B4757" s="160"/>
    </row>
    <row r="4758" spans="1:2" s="161" customFormat="1" ht="12.75">
      <c r="A4758" s="144"/>
      <c r="B4758" s="160"/>
    </row>
    <row r="4759" spans="1:2" s="161" customFormat="1" ht="12.75">
      <c r="A4759" s="144"/>
      <c r="B4759" s="160"/>
    </row>
    <row r="4760" spans="1:2" s="161" customFormat="1" ht="12.75">
      <c r="A4760" s="144"/>
      <c r="B4760" s="160"/>
    </row>
    <row r="4761" spans="1:2" s="161" customFormat="1" ht="12.75">
      <c r="A4761" s="144"/>
      <c r="B4761" s="160"/>
    </row>
    <row r="4762" spans="1:2" s="161" customFormat="1" ht="12.75">
      <c r="A4762" s="144"/>
      <c r="B4762" s="160"/>
    </row>
    <row r="4763" spans="1:2" s="161" customFormat="1" ht="12.75">
      <c r="A4763" s="144"/>
      <c r="B4763" s="160"/>
    </row>
    <row r="4764" spans="1:2" s="161" customFormat="1" ht="12.75">
      <c r="A4764" s="144"/>
      <c r="B4764" s="160"/>
    </row>
    <row r="4765" spans="1:2" s="161" customFormat="1" ht="12.75">
      <c r="A4765" s="144"/>
      <c r="B4765" s="160"/>
    </row>
    <row r="4766" spans="1:2" s="161" customFormat="1" ht="12.75">
      <c r="A4766" s="144"/>
      <c r="B4766" s="160"/>
    </row>
    <row r="4767" spans="1:2" s="161" customFormat="1" ht="12.75">
      <c r="A4767" s="144"/>
      <c r="B4767" s="160"/>
    </row>
    <row r="4768" spans="1:2" s="161" customFormat="1" ht="12.75">
      <c r="A4768" s="144"/>
      <c r="B4768" s="160"/>
    </row>
    <row r="4769" spans="1:2" s="161" customFormat="1" ht="12.75">
      <c r="A4769" s="144"/>
      <c r="B4769" s="160"/>
    </row>
    <row r="4770" spans="1:2" s="161" customFormat="1" ht="12.75">
      <c r="A4770" s="144"/>
      <c r="B4770" s="160"/>
    </row>
    <row r="4771" spans="1:2" s="161" customFormat="1" ht="12.75">
      <c r="A4771" s="144"/>
      <c r="B4771" s="160"/>
    </row>
    <row r="4772" spans="1:2" s="161" customFormat="1" ht="12.75">
      <c r="A4772" s="144"/>
      <c r="B4772" s="160"/>
    </row>
    <row r="4773" spans="1:2" s="161" customFormat="1" ht="12.75">
      <c r="A4773" s="144"/>
      <c r="B4773" s="160"/>
    </row>
    <row r="4774" spans="1:2" s="161" customFormat="1" ht="12.75">
      <c r="A4774" s="144"/>
      <c r="B4774" s="160"/>
    </row>
    <row r="4775" spans="1:2" s="161" customFormat="1" ht="12.75">
      <c r="A4775" s="144"/>
      <c r="B4775" s="160"/>
    </row>
    <row r="4776" spans="1:2" s="161" customFormat="1" ht="12.75">
      <c r="A4776" s="144"/>
      <c r="B4776" s="160"/>
    </row>
    <row r="4777" spans="1:2" s="161" customFormat="1" ht="12.75">
      <c r="A4777" s="144"/>
      <c r="B4777" s="160"/>
    </row>
    <row r="4778" spans="1:2" s="161" customFormat="1" ht="12.75">
      <c r="A4778" s="144"/>
      <c r="B4778" s="160"/>
    </row>
    <row r="4779" spans="1:2" s="161" customFormat="1" ht="12.75">
      <c r="A4779" s="144"/>
      <c r="B4779" s="160"/>
    </row>
    <row r="4780" spans="1:2" s="161" customFormat="1" ht="12.75">
      <c r="A4780" s="144"/>
      <c r="B4780" s="160"/>
    </row>
    <row r="4781" spans="1:2" s="161" customFormat="1" ht="12.75">
      <c r="A4781" s="144"/>
      <c r="B4781" s="160"/>
    </row>
    <row r="4782" spans="1:2" s="161" customFormat="1" ht="12.75">
      <c r="A4782" s="144"/>
      <c r="B4782" s="160"/>
    </row>
    <row r="4783" spans="1:2" s="161" customFormat="1" ht="12.75">
      <c r="A4783" s="144"/>
      <c r="B4783" s="160"/>
    </row>
    <row r="4784" spans="1:2" s="161" customFormat="1" ht="12.75">
      <c r="A4784" s="144"/>
      <c r="B4784" s="160"/>
    </row>
    <row r="4785" spans="1:2" s="161" customFormat="1" ht="12.75">
      <c r="A4785" s="144"/>
      <c r="B4785" s="160"/>
    </row>
    <row r="4786" spans="1:2" s="161" customFormat="1" ht="12.75">
      <c r="A4786" s="144"/>
      <c r="B4786" s="160"/>
    </row>
    <row r="4787" spans="1:2" s="161" customFormat="1" ht="12.75">
      <c r="A4787" s="144"/>
      <c r="B4787" s="160"/>
    </row>
    <row r="4788" spans="1:2" s="161" customFormat="1" ht="12.75">
      <c r="A4788" s="144"/>
      <c r="B4788" s="160"/>
    </row>
    <row r="4789" spans="1:2" s="161" customFormat="1" ht="12.75">
      <c r="A4789" s="144"/>
      <c r="B4789" s="160"/>
    </row>
    <row r="4790" spans="1:2" s="161" customFormat="1" ht="12.75">
      <c r="A4790" s="144"/>
      <c r="B4790" s="160"/>
    </row>
    <row r="4791" spans="1:2" s="161" customFormat="1" ht="12.75">
      <c r="A4791" s="144"/>
      <c r="B4791" s="160"/>
    </row>
    <row r="4792" spans="1:2" s="161" customFormat="1" ht="12.75">
      <c r="A4792" s="144"/>
      <c r="B4792" s="160"/>
    </row>
    <row r="4793" spans="1:2" s="161" customFormat="1" ht="12.75">
      <c r="A4793" s="144"/>
      <c r="B4793" s="160"/>
    </row>
    <row r="4794" spans="1:2" s="161" customFormat="1" ht="12.75">
      <c r="A4794" s="144"/>
      <c r="B4794" s="160"/>
    </row>
    <row r="4795" spans="1:2" s="161" customFormat="1" ht="12.75">
      <c r="A4795" s="144"/>
      <c r="B4795" s="160"/>
    </row>
    <row r="4796" spans="1:2" s="161" customFormat="1" ht="12.75">
      <c r="A4796" s="144"/>
      <c r="B4796" s="160"/>
    </row>
    <row r="4797" spans="1:2" s="161" customFormat="1" ht="12.75">
      <c r="A4797" s="144"/>
      <c r="B4797" s="160"/>
    </row>
    <row r="4798" spans="1:2" s="161" customFormat="1" ht="12.75">
      <c r="A4798" s="144"/>
      <c r="B4798" s="160"/>
    </row>
    <row r="4799" spans="1:2" s="161" customFormat="1" ht="12.75">
      <c r="A4799" s="144"/>
      <c r="B4799" s="160"/>
    </row>
    <row r="4800" spans="1:2" s="161" customFormat="1" ht="12.75">
      <c r="A4800" s="144"/>
      <c r="B4800" s="160"/>
    </row>
    <row r="4801" spans="1:2" s="161" customFormat="1" ht="12.75">
      <c r="A4801" s="144"/>
      <c r="B4801" s="160"/>
    </row>
    <row r="4802" spans="1:2" s="161" customFormat="1" ht="12.75">
      <c r="A4802" s="144"/>
      <c r="B4802" s="160"/>
    </row>
    <row r="4803" spans="1:2" s="161" customFormat="1" ht="12.75">
      <c r="A4803" s="144"/>
      <c r="B4803" s="160"/>
    </row>
    <row r="4804" spans="1:2" s="161" customFormat="1" ht="12.75">
      <c r="A4804" s="144"/>
      <c r="B4804" s="160"/>
    </row>
    <row r="4805" spans="1:2" s="161" customFormat="1" ht="12.75">
      <c r="A4805" s="144"/>
      <c r="B4805" s="160"/>
    </row>
    <row r="4806" spans="1:2" s="161" customFormat="1" ht="12.75">
      <c r="A4806" s="144"/>
      <c r="B4806" s="160"/>
    </row>
    <row r="4807" spans="1:2" s="161" customFormat="1" ht="12.75">
      <c r="A4807" s="144"/>
      <c r="B4807" s="160"/>
    </row>
    <row r="4808" spans="1:2" s="161" customFormat="1" ht="12.75">
      <c r="A4808" s="144"/>
      <c r="B4808" s="160"/>
    </row>
    <row r="4809" spans="1:2" s="161" customFormat="1" ht="12.75">
      <c r="A4809" s="144"/>
      <c r="B4809" s="160"/>
    </row>
    <row r="4810" spans="1:2" s="161" customFormat="1" ht="12.75">
      <c r="A4810" s="144"/>
      <c r="B4810" s="160"/>
    </row>
    <row r="4811" spans="1:2" s="161" customFormat="1" ht="12.75">
      <c r="A4811" s="144"/>
      <c r="B4811" s="160"/>
    </row>
    <row r="4812" spans="1:2" s="161" customFormat="1" ht="12.75">
      <c r="A4812" s="144"/>
      <c r="B4812" s="160"/>
    </row>
    <row r="4813" spans="1:2" s="161" customFormat="1" ht="12.75">
      <c r="A4813" s="144"/>
      <c r="B4813" s="160"/>
    </row>
    <row r="4814" spans="1:2" s="161" customFormat="1" ht="12.75">
      <c r="A4814" s="144"/>
      <c r="B4814" s="160"/>
    </row>
    <row r="4815" spans="1:2" s="161" customFormat="1" ht="12.75">
      <c r="A4815" s="144"/>
      <c r="B4815" s="160"/>
    </row>
    <row r="4816" spans="1:2" s="161" customFormat="1" ht="12.75">
      <c r="A4816" s="144"/>
      <c r="B4816" s="160"/>
    </row>
    <row r="4817" spans="1:2" s="161" customFormat="1" ht="12.75">
      <c r="A4817" s="144"/>
      <c r="B4817" s="160"/>
    </row>
    <row r="4818" spans="1:2" s="161" customFormat="1" ht="12.75">
      <c r="A4818" s="144"/>
      <c r="B4818" s="160"/>
    </row>
    <row r="4819" spans="1:2" s="161" customFormat="1" ht="12.75">
      <c r="A4819" s="144"/>
      <c r="B4819" s="160"/>
    </row>
    <row r="4820" spans="1:2" s="161" customFormat="1" ht="12.75">
      <c r="A4820" s="144"/>
      <c r="B4820" s="160"/>
    </row>
    <row r="4821" spans="1:2" s="161" customFormat="1" ht="12.75">
      <c r="A4821" s="144"/>
      <c r="B4821" s="160"/>
    </row>
    <row r="4822" spans="1:2" s="161" customFormat="1" ht="12.75">
      <c r="A4822" s="144"/>
      <c r="B4822" s="160"/>
    </row>
    <row r="4823" spans="1:2" s="161" customFormat="1" ht="12.75">
      <c r="A4823" s="144"/>
      <c r="B4823" s="160"/>
    </row>
    <row r="4824" spans="1:2" s="161" customFormat="1" ht="12.75">
      <c r="A4824" s="144"/>
      <c r="B4824" s="160"/>
    </row>
    <row r="4825" spans="1:2" s="161" customFormat="1" ht="12.75">
      <c r="A4825" s="144"/>
      <c r="B4825" s="160"/>
    </row>
    <row r="4826" spans="1:2" s="161" customFormat="1" ht="12.75">
      <c r="A4826" s="144"/>
      <c r="B4826" s="160"/>
    </row>
    <row r="4827" spans="1:2" s="161" customFormat="1" ht="12.75">
      <c r="A4827" s="144"/>
      <c r="B4827" s="160"/>
    </row>
    <row r="4828" spans="1:2" s="161" customFormat="1" ht="12.75">
      <c r="A4828" s="144"/>
      <c r="B4828" s="160"/>
    </row>
    <row r="4829" spans="1:2" s="161" customFormat="1" ht="12.75">
      <c r="A4829" s="144"/>
      <c r="B4829" s="160"/>
    </row>
    <row r="4830" spans="1:2" s="161" customFormat="1" ht="12.75">
      <c r="A4830" s="144"/>
      <c r="B4830" s="160"/>
    </row>
    <row r="4831" spans="1:2" s="161" customFormat="1" ht="12.75">
      <c r="A4831" s="144"/>
      <c r="B4831" s="160"/>
    </row>
    <row r="4832" spans="1:2" s="161" customFormat="1" ht="12.75">
      <c r="A4832" s="144"/>
      <c r="B4832" s="160"/>
    </row>
    <row r="4833" spans="1:2" s="161" customFormat="1" ht="12.75">
      <c r="A4833" s="144"/>
      <c r="B4833" s="160"/>
    </row>
    <row r="4834" spans="1:2" s="161" customFormat="1" ht="12.75">
      <c r="A4834" s="144"/>
      <c r="B4834" s="160"/>
    </row>
    <row r="4835" spans="1:2" s="161" customFormat="1" ht="12.75">
      <c r="A4835" s="144"/>
      <c r="B4835" s="160"/>
    </row>
    <row r="4836" spans="1:2" s="161" customFormat="1" ht="12.75">
      <c r="A4836" s="144"/>
      <c r="B4836" s="160"/>
    </row>
    <row r="4837" spans="1:2" s="161" customFormat="1" ht="12.75">
      <c r="A4837" s="144"/>
      <c r="B4837" s="160"/>
    </row>
    <row r="4838" spans="1:2" s="161" customFormat="1" ht="12.75">
      <c r="A4838" s="144"/>
      <c r="B4838" s="160"/>
    </row>
    <row r="4839" spans="1:2" s="161" customFormat="1" ht="12.75">
      <c r="A4839" s="144"/>
      <c r="B4839" s="160"/>
    </row>
    <row r="4840" spans="1:2" s="161" customFormat="1" ht="12.75">
      <c r="A4840" s="144"/>
      <c r="B4840" s="160"/>
    </row>
    <row r="4841" spans="1:2" s="161" customFormat="1" ht="12.75">
      <c r="A4841" s="144"/>
      <c r="B4841" s="160"/>
    </row>
    <row r="4842" spans="1:2" s="161" customFormat="1" ht="12.75">
      <c r="A4842" s="144"/>
      <c r="B4842" s="160"/>
    </row>
    <row r="4843" spans="1:2" s="161" customFormat="1" ht="12.75">
      <c r="A4843" s="144"/>
      <c r="B4843" s="160"/>
    </row>
    <row r="4844" spans="1:2" s="161" customFormat="1" ht="12.75">
      <c r="A4844" s="144"/>
      <c r="B4844" s="160"/>
    </row>
    <row r="4845" spans="1:2" s="161" customFormat="1" ht="12.75">
      <c r="A4845" s="144"/>
      <c r="B4845" s="160"/>
    </row>
    <row r="4846" spans="1:2" s="161" customFormat="1" ht="12.75">
      <c r="A4846" s="144"/>
      <c r="B4846" s="160"/>
    </row>
    <row r="4847" spans="1:2" s="161" customFormat="1" ht="12.75">
      <c r="A4847" s="144"/>
      <c r="B4847" s="160"/>
    </row>
    <row r="4848" spans="1:2" s="161" customFormat="1" ht="12.75">
      <c r="A4848" s="144"/>
      <c r="B4848" s="160"/>
    </row>
    <row r="4849" spans="1:2" s="161" customFormat="1" ht="12.75">
      <c r="A4849" s="144"/>
      <c r="B4849" s="160"/>
    </row>
    <row r="4850" spans="1:2" s="161" customFormat="1" ht="12.75">
      <c r="A4850" s="144"/>
      <c r="B4850" s="160"/>
    </row>
    <row r="4851" spans="1:2" s="161" customFormat="1" ht="12.75">
      <c r="A4851" s="144"/>
      <c r="B4851" s="160"/>
    </row>
    <row r="4852" spans="1:2" s="161" customFormat="1" ht="12.75">
      <c r="A4852" s="144"/>
      <c r="B4852" s="160"/>
    </row>
    <row r="4853" spans="1:2" s="161" customFormat="1" ht="12.75">
      <c r="A4853" s="144"/>
      <c r="B4853" s="160"/>
    </row>
    <row r="4854" spans="1:2" s="161" customFormat="1" ht="12.75">
      <c r="A4854" s="144"/>
      <c r="B4854" s="160"/>
    </row>
    <row r="4855" spans="1:2" s="161" customFormat="1" ht="12.75">
      <c r="A4855" s="144"/>
      <c r="B4855" s="160"/>
    </row>
    <row r="4856" spans="1:2" s="161" customFormat="1" ht="12.75">
      <c r="A4856" s="144"/>
      <c r="B4856" s="160"/>
    </row>
    <row r="4857" spans="1:2" s="161" customFormat="1" ht="12.75">
      <c r="A4857" s="144"/>
      <c r="B4857" s="160"/>
    </row>
    <row r="4858" spans="1:2" s="161" customFormat="1" ht="12.75">
      <c r="A4858" s="144"/>
      <c r="B4858" s="160"/>
    </row>
    <row r="4859" spans="1:2" s="161" customFormat="1" ht="12.75">
      <c r="A4859" s="144"/>
      <c r="B4859" s="160"/>
    </row>
    <row r="4860" spans="1:2" s="161" customFormat="1" ht="12.75">
      <c r="A4860" s="144"/>
      <c r="B4860" s="160"/>
    </row>
    <row r="4861" spans="1:2" s="161" customFormat="1" ht="12.75">
      <c r="A4861" s="144"/>
      <c r="B4861" s="160"/>
    </row>
    <row r="4862" spans="1:2" s="161" customFormat="1" ht="12.75">
      <c r="A4862" s="144"/>
      <c r="B4862" s="160"/>
    </row>
    <row r="4863" spans="1:2" s="161" customFormat="1" ht="12.75">
      <c r="A4863" s="144"/>
      <c r="B4863" s="160"/>
    </row>
    <row r="4864" spans="1:2" s="161" customFormat="1" ht="12.75">
      <c r="A4864" s="144"/>
      <c r="B4864" s="160"/>
    </row>
    <row r="4865" spans="1:2" s="161" customFormat="1" ht="12.75">
      <c r="A4865" s="144"/>
      <c r="B4865" s="160"/>
    </row>
    <row r="4866" spans="1:2" s="161" customFormat="1" ht="12.75">
      <c r="A4866" s="144"/>
      <c r="B4866" s="160"/>
    </row>
    <row r="4867" spans="1:2" s="161" customFormat="1" ht="12.75">
      <c r="A4867" s="144"/>
      <c r="B4867" s="160"/>
    </row>
    <row r="4868" spans="1:2" s="161" customFormat="1" ht="12.75">
      <c r="A4868" s="144"/>
      <c r="B4868" s="160"/>
    </row>
    <row r="4869" spans="1:2" s="161" customFormat="1" ht="12.75">
      <c r="A4869" s="144"/>
      <c r="B4869" s="160"/>
    </row>
    <row r="4870" spans="1:2" s="161" customFormat="1" ht="13.5" customHeight="1">
      <c r="A4870" s="144"/>
      <c r="B4870" s="160"/>
    </row>
    <row r="4871" spans="1:2" s="161" customFormat="1" ht="12.75">
      <c r="A4871" s="144"/>
      <c r="B4871" s="160"/>
    </row>
    <row r="4872" spans="1:2" s="161" customFormat="1" ht="12.75">
      <c r="A4872" s="144"/>
      <c r="B4872" s="160"/>
    </row>
    <row r="4873" spans="1:2" s="161" customFormat="1" ht="12.75">
      <c r="A4873" s="144"/>
      <c r="B4873" s="160"/>
    </row>
    <row r="4874" spans="1:2" s="161" customFormat="1" ht="12.75">
      <c r="A4874" s="144"/>
      <c r="B4874" s="160"/>
    </row>
    <row r="4875" spans="1:2" s="161" customFormat="1" ht="12.75">
      <c r="A4875" s="144"/>
      <c r="B4875" s="160"/>
    </row>
    <row r="4876" spans="1:2" s="161" customFormat="1" ht="12.75">
      <c r="A4876" s="144"/>
      <c r="B4876" s="160"/>
    </row>
    <row r="4877" spans="1:2" s="161" customFormat="1" ht="12.75">
      <c r="A4877" s="144"/>
      <c r="B4877" s="160"/>
    </row>
    <row r="4878" spans="1:2" s="161" customFormat="1" ht="12.75">
      <c r="A4878" s="144"/>
      <c r="B4878" s="160"/>
    </row>
    <row r="4879" spans="1:2" s="161" customFormat="1" ht="12.75">
      <c r="A4879" s="144"/>
      <c r="B4879" s="160"/>
    </row>
    <row r="4880" spans="1:2" s="161" customFormat="1" ht="12.75">
      <c r="A4880" s="144"/>
      <c r="B4880" s="160"/>
    </row>
    <row r="4881" spans="1:2" s="161" customFormat="1" ht="12.75">
      <c r="A4881" s="144"/>
      <c r="B4881" s="160"/>
    </row>
    <row r="4882" spans="1:2" s="161" customFormat="1" ht="12.75">
      <c r="A4882" s="144"/>
      <c r="B4882" s="160"/>
    </row>
    <row r="4883" spans="1:2" s="161" customFormat="1" ht="12.75">
      <c r="A4883" s="144"/>
      <c r="B4883" s="160"/>
    </row>
    <row r="4884" spans="1:2" s="161" customFormat="1" ht="12.75">
      <c r="A4884" s="144"/>
      <c r="B4884" s="160"/>
    </row>
    <row r="4885" spans="1:2" s="161" customFormat="1" ht="12.75">
      <c r="A4885" s="144"/>
      <c r="B4885" s="160"/>
    </row>
    <row r="4886" spans="1:2" s="161" customFormat="1" ht="12.75">
      <c r="A4886" s="144"/>
      <c r="B4886" s="160"/>
    </row>
    <row r="4887" spans="1:2" s="161" customFormat="1" ht="12.75">
      <c r="A4887" s="144"/>
      <c r="B4887" s="160"/>
    </row>
    <row r="4888" spans="1:2" s="161" customFormat="1" ht="12.75">
      <c r="A4888" s="144"/>
      <c r="B4888" s="160"/>
    </row>
    <row r="4889" spans="1:2" s="161" customFormat="1" ht="12.75">
      <c r="A4889" s="144"/>
      <c r="B4889" s="160"/>
    </row>
    <row r="4890" spans="1:2" s="161" customFormat="1" ht="12.75">
      <c r="A4890" s="144"/>
      <c r="B4890" s="160"/>
    </row>
    <row r="4891" spans="1:2" s="161" customFormat="1" ht="12.75">
      <c r="A4891" s="144"/>
      <c r="B4891" s="160"/>
    </row>
    <row r="4892" spans="1:2" s="161" customFormat="1" ht="12.75">
      <c r="A4892" s="144"/>
      <c r="B4892" s="160"/>
    </row>
    <row r="4893" spans="1:2" s="161" customFormat="1" ht="12.75">
      <c r="A4893" s="144"/>
      <c r="B4893" s="160"/>
    </row>
    <row r="4894" spans="1:2" s="161" customFormat="1" ht="12.75">
      <c r="A4894" s="144"/>
      <c r="B4894" s="160"/>
    </row>
    <row r="4895" spans="1:2" s="161" customFormat="1" ht="12.75">
      <c r="A4895" s="144"/>
      <c r="B4895" s="160"/>
    </row>
    <row r="4896" spans="1:2" s="161" customFormat="1" ht="12.75">
      <c r="A4896" s="144"/>
      <c r="B4896" s="160"/>
    </row>
    <row r="4897" spans="1:2" s="161" customFormat="1" ht="12.75">
      <c r="A4897" s="144"/>
      <c r="B4897" s="160"/>
    </row>
    <row r="4898" spans="1:2" s="161" customFormat="1" ht="12.75">
      <c r="A4898" s="144"/>
      <c r="B4898" s="160"/>
    </row>
    <row r="4899" spans="1:2" s="161" customFormat="1" ht="12.75">
      <c r="A4899" s="144"/>
      <c r="B4899" s="160"/>
    </row>
    <row r="4900" spans="1:2" s="161" customFormat="1" ht="12.75">
      <c r="A4900" s="144"/>
      <c r="B4900" s="160"/>
    </row>
    <row r="4901" spans="1:2" s="161" customFormat="1" ht="12.75">
      <c r="A4901" s="144"/>
      <c r="B4901" s="160"/>
    </row>
    <row r="4902" spans="1:2" s="161" customFormat="1" ht="12.75">
      <c r="A4902" s="144"/>
      <c r="B4902" s="160"/>
    </row>
    <row r="4903" spans="1:2" s="161" customFormat="1" ht="12.75">
      <c r="A4903" s="144"/>
      <c r="B4903" s="160"/>
    </row>
    <row r="4904" spans="1:2" s="161" customFormat="1" ht="12.75">
      <c r="A4904" s="144"/>
      <c r="B4904" s="160"/>
    </row>
    <row r="4905" spans="1:2" s="161" customFormat="1" ht="12.75">
      <c r="A4905" s="144"/>
      <c r="B4905" s="160"/>
    </row>
    <row r="4906" spans="1:2" s="161" customFormat="1" ht="12.75">
      <c r="A4906" s="144"/>
      <c r="B4906" s="160"/>
    </row>
    <row r="4907" spans="1:2" s="161" customFormat="1" ht="12.75">
      <c r="A4907" s="144"/>
      <c r="B4907" s="160"/>
    </row>
    <row r="4908" spans="1:2" s="161" customFormat="1" ht="12.75">
      <c r="A4908" s="144"/>
      <c r="B4908" s="160"/>
    </row>
    <row r="4909" spans="1:2" s="161" customFormat="1" ht="12.75">
      <c r="A4909" s="144"/>
      <c r="B4909" s="160"/>
    </row>
    <row r="4910" spans="1:2" s="161" customFormat="1" ht="12.75">
      <c r="A4910" s="144"/>
      <c r="B4910" s="160"/>
    </row>
    <row r="4911" spans="1:2" s="161" customFormat="1" ht="12.75">
      <c r="A4911" s="144"/>
      <c r="B4911" s="160"/>
    </row>
    <row r="4912" spans="1:2" s="161" customFormat="1" ht="12.75">
      <c r="A4912" s="144"/>
      <c r="B4912" s="160"/>
    </row>
    <row r="4913" spans="1:2" s="161" customFormat="1" ht="12.75">
      <c r="A4913" s="144"/>
      <c r="B4913" s="160"/>
    </row>
    <row r="4914" spans="1:2" s="161" customFormat="1" ht="12.75">
      <c r="A4914" s="144"/>
      <c r="B4914" s="160"/>
    </row>
    <row r="4915" spans="1:2" s="161" customFormat="1" ht="12.75">
      <c r="A4915" s="144"/>
      <c r="B4915" s="160"/>
    </row>
    <row r="4916" spans="1:2" s="161" customFormat="1" ht="12.75">
      <c r="A4916" s="144"/>
      <c r="B4916" s="160"/>
    </row>
    <row r="4917" spans="1:2" s="161" customFormat="1" ht="12.75">
      <c r="A4917" s="144"/>
      <c r="B4917" s="160"/>
    </row>
    <row r="4918" spans="1:2" s="161" customFormat="1" ht="12.75">
      <c r="A4918" s="144"/>
      <c r="B4918" s="160"/>
    </row>
    <row r="4919" spans="1:2" s="161" customFormat="1" ht="12.75">
      <c r="A4919" s="144"/>
      <c r="B4919" s="160"/>
    </row>
    <row r="4920" spans="1:2" s="161" customFormat="1" ht="12.75">
      <c r="A4920" s="144"/>
      <c r="B4920" s="160"/>
    </row>
    <row r="4921" spans="1:2" s="161" customFormat="1" ht="12.75">
      <c r="A4921" s="144"/>
      <c r="B4921" s="160"/>
    </row>
    <row r="4922" spans="1:2" s="161" customFormat="1" ht="12.75">
      <c r="A4922" s="144"/>
      <c r="B4922" s="160"/>
    </row>
    <row r="4923" spans="1:2" s="161" customFormat="1" ht="12.75">
      <c r="A4923" s="144"/>
      <c r="B4923" s="160"/>
    </row>
    <row r="4924" spans="1:2" s="161" customFormat="1" ht="12.75">
      <c r="A4924" s="144"/>
      <c r="B4924" s="160"/>
    </row>
    <row r="4925" spans="1:2" s="161" customFormat="1" ht="12.75">
      <c r="A4925" s="144"/>
      <c r="B4925" s="160"/>
    </row>
    <row r="4926" spans="1:2" s="161" customFormat="1" ht="12.75">
      <c r="A4926" s="144"/>
      <c r="B4926" s="160"/>
    </row>
    <row r="4927" spans="1:2" s="161" customFormat="1" ht="12.75">
      <c r="A4927" s="144"/>
      <c r="B4927" s="160"/>
    </row>
    <row r="4928" spans="1:2" s="161" customFormat="1" ht="12.75">
      <c r="A4928" s="144"/>
      <c r="B4928" s="160"/>
    </row>
    <row r="4929" spans="1:2" s="161" customFormat="1" ht="12.75">
      <c r="A4929" s="144"/>
      <c r="B4929" s="160"/>
    </row>
    <row r="4930" spans="1:2" s="161" customFormat="1" ht="12.75">
      <c r="A4930" s="144"/>
      <c r="B4930" s="160"/>
    </row>
    <row r="4931" spans="1:2" s="161" customFormat="1" ht="12.75">
      <c r="A4931" s="144"/>
      <c r="B4931" s="160"/>
    </row>
    <row r="4932" spans="1:2" s="161" customFormat="1" ht="12.75">
      <c r="A4932" s="144"/>
      <c r="B4932" s="160"/>
    </row>
    <row r="4933" spans="1:2" s="161" customFormat="1" ht="12.75">
      <c r="A4933" s="144"/>
      <c r="B4933" s="160"/>
    </row>
    <row r="4934" spans="1:2" s="161" customFormat="1" ht="12.75">
      <c r="A4934" s="144"/>
      <c r="B4934" s="160"/>
    </row>
    <row r="4935" spans="1:2" s="161" customFormat="1" ht="12.75">
      <c r="A4935" s="144"/>
      <c r="B4935" s="160"/>
    </row>
    <row r="4936" spans="1:2" s="161" customFormat="1" ht="12.75">
      <c r="A4936" s="144"/>
      <c r="B4936" s="160"/>
    </row>
    <row r="4937" spans="1:2" s="161" customFormat="1" ht="12.75">
      <c r="A4937" s="144"/>
      <c r="B4937" s="160"/>
    </row>
    <row r="4938" spans="1:2" s="161" customFormat="1" ht="12.75">
      <c r="A4938" s="144"/>
      <c r="B4938" s="160"/>
    </row>
    <row r="4939" spans="1:2" s="161" customFormat="1" ht="12.75">
      <c r="A4939" s="144"/>
      <c r="B4939" s="160"/>
    </row>
    <row r="4940" spans="1:2" s="161" customFormat="1" ht="12.75">
      <c r="A4940" s="144"/>
      <c r="B4940" s="160"/>
    </row>
    <row r="4941" spans="1:2" s="161" customFormat="1" ht="12.75">
      <c r="A4941" s="144"/>
      <c r="B4941" s="160"/>
    </row>
    <row r="4942" spans="1:2" s="161" customFormat="1" ht="12.75">
      <c r="A4942" s="144"/>
      <c r="B4942" s="160"/>
    </row>
    <row r="4943" spans="1:2" s="161" customFormat="1" ht="12.75">
      <c r="A4943" s="144"/>
      <c r="B4943" s="160"/>
    </row>
    <row r="4944" spans="1:2" s="161" customFormat="1" ht="12.75">
      <c r="A4944" s="144"/>
      <c r="B4944" s="160"/>
    </row>
    <row r="4945" spans="1:2" s="161" customFormat="1" ht="12.75">
      <c r="A4945" s="144"/>
      <c r="B4945" s="160"/>
    </row>
    <row r="4946" spans="1:2" s="161" customFormat="1" ht="12.75">
      <c r="A4946" s="144"/>
      <c r="B4946" s="160"/>
    </row>
    <row r="4947" spans="1:2" s="161" customFormat="1" ht="12.75">
      <c r="A4947" s="144"/>
      <c r="B4947" s="160"/>
    </row>
    <row r="4948" spans="1:2" s="161" customFormat="1" ht="12.75">
      <c r="A4948" s="144"/>
      <c r="B4948" s="160"/>
    </row>
    <row r="4949" spans="1:2" s="161" customFormat="1" ht="12.75">
      <c r="A4949" s="144"/>
      <c r="B4949" s="160"/>
    </row>
    <row r="4950" spans="1:2" s="161" customFormat="1" ht="12.75">
      <c r="A4950" s="144"/>
      <c r="B4950" s="160"/>
    </row>
    <row r="4951" spans="1:2" s="161" customFormat="1" ht="12.75">
      <c r="A4951" s="144"/>
      <c r="B4951" s="160"/>
    </row>
    <row r="4952" spans="1:2" s="161" customFormat="1" ht="12.75">
      <c r="A4952" s="144"/>
      <c r="B4952" s="160"/>
    </row>
    <row r="4953" spans="1:2" s="161" customFormat="1" ht="12.75">
      <c r="A4953" s="144"/>
      <c r="B4953" s="160"/>
    </row>
    <row r="4954" spans="1:2" s="161" customFormat="1" ht="12.75">
      <c r="A4954" s="144"/>
      <c r="B4954" s="160"/>
    </row>
    <row r="4955" spans="1:2" s="161" customFormat="1" ht="12.75">
      <c r="A4955" s="144"/>
      <c r="B4955" s="160"/>
    </row>
    <row r="4956" spans="1:2" s="161" customFormat="1" ht="12.75">
      <c r="A4956" s="144"/>
      <c r="B4956" s="160"/>
    </row>
    <row r="4957" spans="1:2" s="161" customFormat="1" ht="12.75">
      <c r="A4957" s="144"/>
      <c r="B4957" s="160"/>
    </row>
    <row r="4958" spans="1:2" s="161" customFormat="1" ht="12.75">
      <c r="A4958" s="144"/>
      <c r="B4958" s="160"/>
    </row>
    <row r="4959" spans="1:2" s="161" customFormat="1" ht="12.75">
      <c r="A4959" s="144"/>
      <c r="B4959" s="160"/>
    </row>
    <row r="4960" spans="1:2" s="161" customFormat="1" ht="12.75">
      <c r="A4960" s="144"/>
      <c r="B4960" s="160"/>
    </row>
    <row r="4961" spans="1:2" s="161" customFormat="1" ht="12.75">
      <c r="A4961" s="144"/>
      <c r="B4961" s="160"/>
    </row>
    <row r="4962" spans="1:2" s="161" customFormat="1" ht="12.75">
      <c r="A4962" s="144"/>
      <c r="B4962" s="160"/>
    </row>
    <row r="4963" spans="1:2" s="161" customFormat="1" ht="12.75">
      <c r="A4963" s="144"/>
      <c r="B4963" s="160"/>
    </row>
    <row r="4964" spans="1:2" s="161" customFormat="1" ht="12.75">
      <c r="A4964" s="144"/>
      <c r="B4964" s="160"/>
    </row>
    <row r="4965" spans="1:2" s="161" customFormat="1" ht="12.75">
      <c r="A4965" s="144"/>
      <c r="B4965" s="160"/>
    </row>
    <row r="4966" spans="1:2" s="161" customFormat="1" ht="12.75">
      <c r="A4966" s="144"/>
      <c r="B4966" s="160"/>
    </row>
    <row r="4967" spans="1:2" s="161" customFormat="1" ht="12.75">
      <c r="A4967" s="144"/>
      <c r="B4967" s="160"/>
    </row>
    <row r="4968" spans="1:2" s="161" customFormat="1" ht="12.75">
      <c r="A4968" s="144"/>
      <c r="B4968" s="160"/>
    </row>
    <row r="4969" spans="1:2" s="161" customFormat="1" ht="12.75">
      <c r="A4969" s="144"/>
      <c r="B4969" s="160"/>
    </row>
    <row r="4970" spans="1:2" s="161" customFormat="1" ht="12.75">
      <c r="A4970" s="144"/>
      <c r="B4970" s="160"/>
    </row>
    <row r="4971" spans="1:2" s="161" customFormat="1" ht="12.75">
      <c r="A4971" s="144"/>
      <c r="B4971" s="160"/>
    </row>
    <row r="4972" spans="1:2" s="161" customFormat="1" ht="12.75">
      <c r="A4972" s="144"/>
      <c r="B4972" s="160"/>
    </row>
    <row r="4973" spans="1:2" s="161" customFormat="1" ht="12.75">
      <c r="A4973" s="144"/>
      <c r="B4973" s="160"/>
    </row>
    <row r="4974" spans="1:2" s="161" customFormat="1" ht="12.75">
      <c r="A4974" s="144"/>
      <c r="B4974" s="160"/>
    </row>
    <row r="4975" spans="1:2" s="161" customFormat="1" ht="12.75">
      <c r="A4975" s="144"/>
      <c r="B4975" s="160"/>
    </row>
    <row r="4976" spans="1:2" s="161" customFormat="1" ht="12.75">
      <c r="A4976" s="144"/>
      <c r="B4976" s="160"/>
    </row>
    <row r="4977" spans="1:2" s="161" customFormat="1" ht="12.75">
      <c r="A4977" s="144"/>
      <c r="B4977" s="160"/>
    </row>
    <row r="4978" spans="1:2" s="161" customFormat="1" ht="12.75">
      <c r="A4978" s="144"/>
      <c r="B4978" s="160"/>
    </row>
    <row r="4979" spans="1:2" s="161" customFormat="1" ht="12.75">
      <c r="A4979" s="144"/>
      <c r="B4979" s="160"/>
    </row>
    <row r="4980" spans="1:2" s="161" customFormat="1" ht="12.75">
      <c r="A4980" s="144"/>
      <c r="B4980" s="160"/>
    </row>
    <row r="4981" spans="1:2" s="161" customFormat="1" ht="12.75">
      <c r="A4981" s="144"/>
      <c r="B4981" s="160"/>
    </row>
    <row r="4982" spans="1:2" s="161" customFormat="1" ht="12.75">
      <c r="A4982" s="144"/>
      <c r="B4982" s="160"/>
    </row>
    <row r="4983" spans="1:2" s="161" customFormat="1" ht="12.75">
      <c r="A4983" s="144"/>
      <c r="B4983" s="160"/>
    </row>
    <row r="4984" spans="1:2" s="161" customFormat="1" ht="12.75">
      <c r="A4984" s="144"/>
      <c r="B4984" s="160"/>
    </row>
    <row r="4985" spans="1:2" s="161" customFormat="1" ht="12.75">
      <c r="A4985" s="144"/>
      <c r="B4985" s="160"/>
    </row>
    <row r="4986" spans="1:2" s="161" customFormat="1" ht="12.75">
      <c r="A4986" s="144"/>
      <c r="B4986" s="160"/>
    </row>
    <row r="4987" spans="1:2" s="161" customFormat="1" ht="12.75">
      <c r="A4987" s="144"/>
      <c r="B4987" s="160"/>
    </row>
    <row r="4988" spans="1:2" s="161" customFormat="1" ht="12.75">
      <c r="A4988" s="144"/>
      <c r="B4988" s="160"/>
    </row>
    <row r="4989" spans="1:2" s="161" customFormat="1" ht="12.75">
      <c r="A4989" s="144"/>
      <c r="B4989" s="160"/>
    </row>
    <row r="4990" spans="1:2" s="161" customFormat="1" ht="12.75">
      <c r="A4990" s="144"/>
      <c r="B4990" s="160"/>
    </row>
    <row r="4991" spans="1:2" s="161" customFormat="1" ht="12.75">
      <c r="A4991" s="144"/>
      <c r="B4991" s="160"/>
    </row>
    <row r="4992" spans="1:2" s="161" customFormat="1" ht="12.75">
      <c r="A4992" s="144"/>
      <c r="B4992" s="160"/>
    </row>
    <row r="4993" spans="1:2" s="161" customFormat="1" ht="12.75">
      <c r="A4993" s="144"/>
      <c r="B4993" s="160"/>
    </row>
    <row r="4994" spans="1:2" s="161" customFormat="1" ht="12.75">
      <c r="A4994" s="144"/>
      <c r="B4994" s="160"/>
    </row>
    <row r="4995" spans="1:2" s="161" customFormat="1" ht="12.75">
      <c r="A4995" s="144"/>
      <c r="B4995" s="160"/>
    </row>
    <row r="4996" spans="1:2" s="161" customFormat="1" ht="12.75">
      <c r="A4996" s="144"/>
      <c r="B4996" s="160"/>
    </row>
    <row r="4997" spans="1:2" s="161" customFormat="1" ht="12.75">
      <c r="A4997" s="144"/>
      <c r="B4997" s="160"/>
    </row>
    <row r="4998" spans="1:2" s="161" customFormat="1" ht="12.75">
      <c r="A4998" s="144"/>
      <c r="B4998" s="160"/>
    </row>
    <row r="4999" spans="1:2" s="161" customFormat="1" ht="12.75">
      <c r="A4999" s="144"/>
      <c r="B4999" s="160"/>
    </row>
    <row r="5000" spans="1:2" s="161" customFormat="1" ht="12.75">
      <c r="A5000" s="144"/>
      <c r="B5000" s="160"/>
    </row>
    <row r="5001" spans="1:2" s="161" customFormat="1" ht="12.75">
      <c r="A5001" s="144"/>
      <c r="B5001" s="160"/>
    </row>
    <row r="5002" spans="1:2" s="161" customFormat="1" ht="12.75">
      <c r="A5002" s="144"/>
      <c r="B5002" s="160"/>
    </row>
    <row r="5003" spans="1:2" s="161" customFormat="1" ht="12.75">
      <c r="A5003" s="144"/>
      <c r="B5003" s="160"/>
    </row>
    <row r="5004" spans="1:2" s="161" customFormat="1" ht="12.75">
      <c r="A5004" s="144"/>
      <c r="B5004" s="160"/>
    </row>
    <row r="5005" spans="1:2" s="161" customFormat="1" ht="12.75">
      <c r="A5005" s="144"/>
      <c r="B5005" s="160"/>
    </row>
    <row r="5006" spans="1:2" s="161" customFormat="1" ht="12.75">
      <c r="A5006" s="144"/>
      <c r="B5006" s="160"/>
    </row>
    <row r="5007" spans="1:2" s="161" customFormat="1" ht="12.75">
      <c r="A5007" s="144"/>
      <c r="B5007" s="160"/>
    </row>
    <row r="5008" spans="1:2" s="161" customFormat="1" ht="12.75">
      <c r="A5008" s="144"/>
      <c r="B5008" s="160"/>
    </row>
    <row r="5009" spans="1:2" s="161" customFormat="1" ht="12.75">
      <c r="A5009" s="144"/>
      <c r="B5009" s="160"/>
    </row>
    <row r="5010" spans="1:2" s="161" customFormat="1" ht="12.75">
      <c r="A5010" s="144"/>
      <c r="B5010" s="160"/>
    </row>
    <row r="5011" spans="1:2" s="161" customFormat="1" ht="12.75">
      <c r="A5011" s="144"/>
      <c r="B5011" s="160"/>
    </row>
    <row r="5012" spans="1:2" s="161" customFormat="1" ht="12.75">
      <c r="A5012" s="144"/>
      <c r="B5012" s="160"/>
    </row>
    <row r="5013" spans="1:2" s="161" customFormat="1" ht="12.75">
      <c r="A5013" s="144"/>
      <c r="B5013" s="160"/>
    </row>
    <row r="5014" spans="1:2" s="161" customFormat="1" ht="12.75">
      <c r="A5014" s="144"/>
      <c r="B5014" s="160"/>
    </row>
    <row r="5015" spans="1:2" s="161" customFormat="1" ht="12.75">
      <c r="A5015" s="144"/>
      <c r="B5015" s="160"/>
    </row>
    <row r="5016" spans="1:2" s="161" customFormat="1" ht="12.75">
      <c r="A5016" s="144"/>
      <c r="B5016" s="160"/>
    </row>
    <row r="5017" spans="1:2" s="161" customFormat="1" ht="12.75">
      <c r="A5017" s="144"/>
      <c r="B5017" s="160"/>
    </row>
    <row r="5018" spans="1:2" s="161" customFormat="1" ht="13.5" customHeight="1">
      <c r="A5018" s="144"/>
      <c r="B5018" s="160"/>
    </row>
    <row r="5019" spans="1:2" s="161" customFormat="1" ht="12.75">
      <c r="A5019" s="144"/>
      <c r="B5019" s="160"/>
    </row>
    <row r="5020" spans="1:2" s="161" customFormat="1" ht="12.75">
      <c r="A5020" s="144"/>
      <c r="B5020" s="160"/>
    </row>
    <row r="5021" spans="1:2" s="161" customFormat="1" ht="12.75">
      <c r="A5021" s="144"/>
      <c r="B5021" s="160"/>
    </row>
    <row r="5022" spans="1:2" s="161" customFormat="1" ht="12.75">
      <c r="A5022" s="144"/>
      <c r="B5022" s="160"/>
    </row>
    <row r="5023" spans="1:2" s="161" customFormat="1" ht="12.75">
      <c r="A5023" s="144"/>
      <c r="B5023" s="160"/>
    </row>
    <row r="5024" spans="1:2" s="161" customFormat="1" ht="12.75">
      <c r="A5024" s="144"/>
      <c r="B5024" s="160"/>
    </row>
    <row r="5025" spans="1:2" s="161" customFormat="1" ht="12.75">
      <c r="A5025" s="144"/>
      <c r="B5025" s="160"/>
    </row>
    <row r="5026" spans="1:2" s="161" customFormat="1" ht="12.75">
      <c r="A5026" s="144"/>
      <c r="B5026" s="160"/>
    </row>
    <row r="5027" spans="1:2" s="161" customFormat="1" ht="12.75">
      <c r="A5027" s="144"/>
      <c r="B5027" s="160"/>
    </row>
    <row r="5028" spans="1:2" s="161" customFormat="1" ht="12.75">
      <c r="A5028" s="144"/>
      <c r="B5028" s="160"/>
    </row>
    <row r="5029" spans="1:2" s="161" customFormat="1" ht="12.75">
      <c r="A5029" s="144"/>
      <c r="B5029" s="160"/>
    </row>
    <row r="5030" spans="1:2" s="161" customFormat="1" ht="12.75">
      <c r="A5030" s="144"/>
      <c r="B5030" s="160"/>
    </row>
    <row r="5031" spans="1:2" s="161" customFormat="1" ht="12.75">
      <c r="A5031" s="144"/>
      <c r="B5031" s="160"/>
    </row>
    <row r="5032" spans="1:2" s="161" customFormat="1" ht="12.75">
      <c r="A5032" s="144"/>
      <c r="B5032" s="160"/>
    </row>
    <row r="5033" spans="1:2" s="161" customFormat="1" ht="12.75">
      <c r="A5033" s="144"/>
      <c r="B5033" s="160"/>
    </row>
    <row r="5034" spans="1:2" s="161" customFormat="1" ht="12.75">
      <c r="A5034" s="144"/>
      <c r="B5034" s="160"/>
    </row>
    <row r="5035" spans="1:2" s="161" customFormat="1" ht="12.75">
      <c r="A5035" s="144"/>
      <c r="B5035" s="160"/>
    </row>
    <row r="5036" spans="1:2" s="161" customFormat="1" ht="12.75">
      <c r="A5036" s="144"/>
      <c r="B5036" s="160"/>
    </row>
    <row r="5037" spans="1:2" s="161" customFormat="1" ht="12.75">
      <c r="A5037" s="144"/>
      <c r="B5037" s="160"/>
    </row>
    <row r="5038" spans="1:2" s="161" customFormat="1" ht="12.75">
      <c r="A5038" s="144"/>
      <c r="B5038" s="160"/>
    </row>
    <row r="5039" spans="1:2" s="161" customFormat="1" ht="12.75">
      <c r="A5039" s="144"/>
      <c r="B5039" s="160"/>
    </row>
    <row r="5040" spans="1:2" s="161" customFormat="1" ht="12.75">
      <c r="A5040" s="144"/>
      <c r="B5040" s="160"/>
    </row>
    <row r="5041" spans="1:2" s="161" customFormat="1" ht="12.75">
      <c r="A5041" s="144"/>
      <c r="B5041" s="160"/>
    </row>
    <row r="5042" spans="1:2" s="161" customFormat="1" ht="12.75">
      <c r="A5042" s="144"/>
      <c r="B5042" s="160"/>
    </row>
    <row r="5043" spans="1:2" s="161" customFormat="1" ht="12.75">
      <c r="A5043" s="144"/>
      <c r="B5043" s="160"/>
    </row>
    <row r="5044" spans="1:2" s="161" customFormat="1" ht="12.75">
      <c r="A5044" s="144"/>
      <c r="B5044" s="160"/>
    </row>
    <row r="5045" spans="1:2" s="161" customFormat="1" ht="12.75">
      <c r="A5045" s="144"/>
      <c r="B5045" s="160"/>
    </row>
    <row r="5046" spans="1:2" s="161" customFormat="1" ht="12.75">
      <c r="A5046" s="144"/>
      <c r="B5046" s="160"/>
    </row>
    <row r="5047" spans="1:2" s="161" customFormat="1" ht="12.75">
      <c r="A5047" s="144"/>
      <c r="B5047" s="160"/>
    </row>
    <row r="5048" spans="1:2" s="161" customFormat="1" ht="12.75">
      <c r="A5048" s="144"/>
      <c r="B5048" s="160"/>
    </row>
    <row r="5049" spans="1:2" s="161" customFormat="1" ht="12.75">
      <c r="A5049" s="144"/>
      <c r="B5049" s="160"/>
    </row>
    <row r="5050" spans="1:2" s="161" customFormat="1" ht="12.75">
      <c r="A5050" s="144"/>
      <c r="B5050" s="160"/>
    </row>
    <row r="5051" spans="1:2" s="161" customFormat="1" ht="12.75">
      <c r="A5051" s="144"/>
      <c r="B5051" s="160"/>
    </row>
    <row r="5052" spans="1:2" s="161" customFormat="1" ht="12.75">
      <c r="A5052" s="144"/>
      <c r="B5052" s="160"/>
    </row>
    <row r="5053" spans="1:2" s="161" customFormat="1" ht="12.75">
      <c r="A5053" s="144"/>
      <c r="B5053" s="160"/>
    </row>
    <row r="5054" spans="1:2" s="161" customFormat="1" ht="12.75">
      <c r="A5054" s="144"/>
      <c r="B5054" s="160"/>
    </row>
    <row r="5055" spans="1:2" s="161" customFormat="1" ht="12.75">
      <c r="A5055" s="144"/>
      <c r="B5055" s="160"/>
    </row>
    <row r="5056" spans="1:2" s="161" customFormat="1" ht="12.75">
      <c r="A5056" s="144"/>
      <c r="B5056" s="160"/>
    </row>
    <row r="5057" spans="1:2" s="161" customFormat="1" ht="12.75">
      <c r="A5057" s="144"/>
      <c r="B5057" s="160"/>
    </row>
    <row r="5058" spans="1:2" s="161" customFormat="1" ht="12.75">
      <c r="A5058" s="144"/>
      <c r="B5058" s="160"/>
    </row>
    <row r="5059" spans="1:2" s="161" customFormat="1" ht="12.75">
      <c r="A5059" s="144"/>
      <c r="B5059" s="160"/>
    </row>
    <row r="5060" spans="1:2" s="161" customFormat="1" ht="12.75">
      <c r="A5060" s="144"/>
      <c r="B5060" s="160"/>
    </row>
    <row r="5061" spans="1:2" s="161" customFormat="1" ht="12.75">
      <c r="A5061" s="144"/>
      <c r="B5061" s="160"/>
    </row>
    <row r="5062" spans="1:2" s="161" customFormat="1" ht="12.75">
      <c r="A5062" s="144"/>
      <c r="B5062" s="160"/>
    </row>
    <row r="5063" spans="1:2" s="161" customFormat="1" ht="12.75">
      <c r="A5063" s="144"/>
      <c r="B5063" s="160"/>
    </row>
    <row r="5064" spans="1:2" s="161" customFormat="1" ht="12.75">
      <c r="A5064" s="144"/>
      <c r="B5064" s="160"/>
    </row>
    <row r="5065" spans="1:2" s="161" customFormat="1" ht="12.75">
      <c r="A5065" s="144"/>
      <c r="B5065" s="160"/>
    </row>
    <row r="5066" spans="1:2" s="161" customFormat="1" ht="12.75">
      <c r="A5066" s="144"/>
      <c r="B5066" s="160"/>
    </row>
    <row r="5067" spans="1:2" s="161" customFormat="1" ht="12.75">
      <c r="A5067" s="144"/>
      <c r="B5067" s="160"/>
    </row>
    <row r="5068" spans="1:2" s="161" customFormat="1" ht="12.75">
      <c r="A5068" s="144"/>
      <c r="B5068" s="160"/>
    </row>
    <row r="5069" spans="1:2" s="161" customFormat="1" ht="12.75">
      <c r="A5069" s="144"/>
      <c r="B5069" s="160"/>
    </row>
    <row r="5070" spans="1:2" s="161" customFormat="1" ht="12.75">
      <c r="A5070" s="144"/>
      <c r="B5070" s="160"/>
    </row>
    <row r="5071" spans="1:2" s="161" customFormat="1" ht="12.75">
      <c r="A5071" s="144"/>
      <c r="B5071" s="160"/>
    </row>
    <row r="5072" spans="1:2" s="161" customFormat="1" ht="12.75">
      <c r="A5072" s="144"/>
      <c r="B5072" s="160"/>
    </row>
    <row r="5073" spans="1:2" s="161" customFormat="1" ht="12.75">
      <c r="A5073" s="144"/>
      <c r="B5073" s="160"/>
    </row>
    <row r="5074" spans="1:2" s="161" customFormat="1" ht="12.75">
      <c r="A5074" s="144"/>
      <c r="B5074" s="160"/>
    </row>
    <row r="5075" spans="1:2" s="161" customFormat="1" ht="12.75">
      <c r="A5075" s="144"/>
      <c r="B5075" s="160"/>
    </row>
    <row r="5076" spans="1:2" s="161" customFormat="1" ht="12.75">
      <c r="A5076" s="144"/>
      <c r="B5076" s="160"/>
    </row>
    <row r="5077" spans="1:2" s="161" customFormat="1" ht="12.75">
      <c r="A5077" s="144"/>
      <c r="B5077" s="160"/>
    </row>
    <row r="5078" spans="1:2" s="161" customFormat="1" ht="12.75">
      <c r="A5078" s="144"/>
      <c r="B5078" s="160"/>
    </row>
    <row r="5079" spans="1:2" s="161" customFormat="1" ht="12.75">
      <c r="A5079" s="144"/>
      <c r="B5079" s="160"/>
    </row>
    <row r="5080" spans="1:2" s="161" customFormat="1" ht="12.75">
      <c r="A5080" s="144"/>
      <c r="B5080" s="160"/>
    </row>
    <row r="5081" spans="1:2" s="161" customFormat="1" ht="12.75">
      <c r="A5081" s="144"/>
      <c r="B5081" s="160"/>
    </row>
    <row r="5082" spans="1:2" s="161" customFormat="1" ht="12.75">
      <c r="A5082" s="144"/>
      <c r="B5082" s="160"/>
    </row>
    <row r="5083" spans="1:2" s="161" customFormat="1" ht="12.75">
      <c r="A5083" s="144"/>
      <c r="B5083" s="160"/>
    </row>
    <row r="5084" spans="1:2" s="161" customFormat="1" ht="12.75">
      <c r="A5084" s="144"/>
      <c r="B5084" s="160"/>
    </row>
    <row r="5085" spans="1:2" s="161" customFormat="1" ht="12.75">
      <c r="A5085" s="144"/>
      <c r="B5085" s="160"/>
    </row>
    <row r="5086" spans="1:2" s="161" customFormat="1" ht="12.75">
      <c r="A5086" s="144"/>
      <c r="B5086" s="160"/>
    </row>
    <row r="5087" spans="1:2" s="161" customFormat="1" ht="12.75">
      <c r="A5087" s="144"/>
      <c r="B5087" s="160"/>
    </row>
    <row r="5088" spans="1:2" s="161" customFormat="1" ht="12.75">
      <c r="A5088" s="144"/>
      <c r="B5088" s="160"/>
    </row>
    <row r="5089" spans="1:2" s="161" customFormat="1" ht="12.75">
      <c r="A5089" s="144"/>
      <c r="B5089" s="160"/>
    </row>
    <row r="5090" spans="1:2" s="161" customFormat="1" ht="12.75">
      <c r="A5090" s="144"/>
      <c r="B5090" s="160"/>
    </row>
    <row r="5091" spans="1:2" s="161" customFormat="1" ht="12.75">
      <c r="A5091" s="144"/>
      <c r="B5091" s="160"/>
    </row>
    <row r="5092" spans="1:2" s="161" customFormat="1" ht="12.75">
      <c r="A5092" s="144"/>
      <c r="B5092" s="160"/>
    </row>
    <row r="5093" spans="1:2" s="161" customFormat="1" ht="12.75">
      <c r="A5093" s="144"/>
      <c r="B5093" s="160"/>
    </row>
    <row r="5094" spans="1:2" s="161" customFormat="1" ht="12.75">
      <c r="A5094" s="144"/>
      <c r="B5094" s="160"/>
    </row>
    <row r="5095" spans="1:2" s="161" customFormat="1" ht="12.75">
      <c r="A5095" s="144"/>
      <c r="B5095" s="160"/>
    </row>
    <row r="5096" spans="1:2" s="161" customFormat="1" ht="12.75">
      <c r="A5096" s="144"/>
      <c r="B5096" s="160"/>
    </row>
    <row r="5097" spans="1:2" s="161" customFormat="1" ht="12.75">
      <c r="A5097" s="144"/>
      <c r="B5097" s="160"/>
    </row>
    <row r="5098" spans="1:2" s="161" customFormat="1" ht="12.75">
      <c r="A5098" s="144"/>
      <c r="B5098" s="160"/>
    </row>
    <row r="5099" spans="1:2" s="161" customFormat="1" ht="12.75">
      <c r="A5099" s="144"/>
      <c r="B5099" s="160"/>
    </row>
    <row r="5100" spans="1:2" s="161" customFormat="1" ht="12.75">
      <c r="A5100" s="144"/>
      <c r="B5100" s="160"/>
    </row>
    <row r="5101" spans="1:2" s="161" customFormat="1" ht="12.75">
      <c r="A5101" s="144"/>
      <c r="B5101" s="160"/>
    </row>
    <row r="5102" spans="1:2" s="161" customFormat="1" ht="12.75">
      <c r="A5102" s="144"/>
      <c r="B5102" s="160"/>
    </row>
    <row r="5103" spans="1:2" s="161" customFormat="1" ht="12.75">
      <c r="A5103" s="144"/>
      <c r="B5103" s="160"/>
    </row>
    <row r="5104" spans="1:2" s="161" customFormat="1" ht="12.75">
      <c r="A5104" s="144"/>
      <c r="B5104" s="160"/>
    </row>
    <row r="5105" spans="1:2" s="161" customFormat="1" ht="12.75">
      <c r="A5105" s="144"/>
      <c r="B5105" s="160"/>
    </row>
    <row r="5106" spans="1:2" s="161" customFormat="1" ht="12.75">
      <c r="A5106" s="144"/>
      <c r="B5106" s="160"/>
    </row>
    <row r="5107" spans="1:2" s="161" customFormat="1" ht="12.75">
      <c r="A5107" s="144"/>
      <c r="B5107" s="160"/>
    </row>
    <row r="5108" spans="1:2" s="161" customFormat="1" ht="12.75">
      <c r="A5108" s="144"/>
      <c r="B5108" s="160"/>
    </row>
    <row r="5109" spans="1:2" s="161" customFormat="1" ht="12.75">
      <c r="A5109" s="144"/>
      <c r="B5109" s="160"/>
    </row>
    <row r="5110" spans="1:2" s="161" customFormat="1" ht="12.75">
      <c r="A5110" s="144"/>
      <c r="B5110" s="160"/>
    </row>
    <row r="5111" spans="1:2" s="161" customFormat="1" ht="12.75">
      <c r="A5111" s="144"/>
      <c r="B5111" s="160"/>
    </row>
    <row r="5112" spans="1:2" s="161" customFormat="1" ht="12.75">
      <c r="A5112" s="144"/>
      <c r="B5112" s="160"/>
    </row>
    <row r="5113" spans="1:2" s="161" customFormat="1" ht="12.75">
      <c r="A5113" s="144"/>
      <c r="B5113" s="160"/>
    </row>
    <row r="5114" spans="1:2" s="161" customFormat="1" ht="12.75">
      <c r="A5114" s="144"/>
      <c r="B5114" s="160"/>
    </row>
    <row r="5115" spans="1:2" s="161" customFormat="1" ht="12.75">
      <c r="A5115" s="144"/>
      <c r="B5115" s="160"/>
    </row>
    <row r="5116" spans="1:2" s="161" customFormat="1" ht="12.75">
      <c r="A5116" s="144"/>
      <c r="B5116" s="160"/>
    </row>
    <row r="5117" spans="1:2" s="161" customFormat="1" ht="12.75">
      <c r="A5117" s="144"/>
      <c r="B5117" s="160"/>
    </row>
    <row r="5118" spans="1:2" s="161" customFormat="1" ht="12.75">
      <c r="A5118" s="144"/>
      <c r="B5118" s="160"/>
    </row>
    <row r="5119" spans="1:2" s="161" customFormat="1" ht="12.75">
      <c r="A5119" s="144"/>
      <c r="B5119" s="160"/>
    </row>
    <row r="5120" spans="1:2" s="161" customFormat="1" ht="12.75">
      <c r="A5120" s="144"/>
      <c r="B5120" s="160"/>
    </row>
    <row r="5121" spans="1:2" s="161" customFormat="1" ht="12.75">
      <c r="A5121" s="144"/>
      <c r="B5121" s="160"/>
    </row>
    <row r="5122" spans="1:2" s="161" customFormat="1" ht="12.75">
      <c r="A5122" s="144"/>
      <c r="B5122" s="160"/>
    </row>
    <row r="5123" spans="1:2" s="161" customFormat="1" ht="12.75">
      <c r="A5123" s="144"/>
      <c r="B5123" s="160"/>
    </row>
    <row r="5124" spans="1:2" s="161" customFormat="1" ht="12.75">
      <c r="A5124" s="144"/>
      <c r="B5124" s="160"/>
    </row>
    <row r="5125" spans="1:2" s="161" customFormat="1" ht="12.75">
      <c r="A5125" s="144"/>
      <c r="B5125" s="160"/>
    </row>
    <row r="5126" spans="1:2" s="161" customFormat="1" ht="12.75">
      <c r="A5126" s="144"/>
      <c r="B5126" s="160"/>
    </row>
    <row r="5127" spans="1:2" s="161" customFormat="1" ht="12.75">
      <c r="A5127" s="144"/>
      <c r="B5127" s="160"/>
    </row>
    <row r="5128" spans="1:2" s="161" customFormat="1" ht="12.75">
      <c r="A5128" s="144"/>
      <c r="B5128" s="160"/>
    </row>
    <row r="5129" spans="1:2" s="161" customFormat="1" ht="12.75">
      <c r="A5129" s="144"/>
      <c r="B5129" s="160"/>
    </row>
    <row r="5130" spans="1:2" s="161" customFormat="1" ht="12.75">
      <c r="A5130" s="144"/>
      <c r="B5130" s="160"/>
    </row>
    <row r="5131" spans="1:2" s="161" customFormat="1" ht="12.75">
      <c r="A5131" s="144"/>
      <c r="B5131" s="160"/>
    </row>
    <row r="5132" spans="1:2" s="161" customFormat="1" ht="12.75">
      <c r="A5132" s="144"/>
      <c r="B5132" s="160"/>
    </row>
    <row r="5133" spans="1:2" s="161" customFormat="1" ht="12.75">
      <c r="A5133" s="144"/>
      <c r="B5133" s="160"/>
    </row>
    <row r="5134" spans="1:2" s="161" customFormat="1" ht="12.75">
      <c r="A5134" s="144"/>
      <c r="B5134" s="160"/>
    </row>
    <row r="5135" spans="1:2" s="161" customFormat="1" ht="12.75">
      <c r="A5135" s="144"/>
      <c r="B5135" s="160"/>
    </row>
    <row r="5136" spans="1:2" s="161" customFormat="1" ht="12.75">
      <c r="A5136" s="144"/>
      <c r="B5136" s="160"/>
    </row>
    <row r="5137" spans="1:2" s="161" customFormat="1" ht="12.75">
      <c r="A5137" s="144"/>
      <c r="B5137" s="160"/>
    </row>
    <row r="5138" spans="1:2" s="161" customFormat="1" ht="12.75">
      <c r="A5138" s="144"/>
      <c r="B5138" s="160"/>
    </row>
    <row r="5139" spans="1:2" s="161" customFormat="1" ht="12.75">
      <c r="A5139" s="144"/>
      <c r="B5139" s="160"/>
    </row>
    <row r="5140" spans="1:2" s="161" customFormat="1" ht="12.75">
      <c r="A5140" s="144"/>
      <c r="B5140" s="160"/>
    </row>
    <row r="5141" spans="1:2" s="161" customFormat="1" ht="12.75">
      <c r="A5141" s="144"/>
      <c r="B5141" s="160"/>
    </row>
    <row r="5142" spans="1:2" s="161" customFormat="1" ht="12.75">
      <c r="A5142" s="144"/>
      <c r="B5142" s="160"/>
    </row>
    <row r="5143" spans="1:2" s="161" customFormat="1" ht="12.75">
      <c r="A5143" s="144"/>
      <c r="B5143" s="160"/>
    </row>
    <row r="5144" spans="1:2" s="161" customFormat="1" ht="12.75">
      <c r="A5144" s="144"/>
      <c r="B5144" s="160"/>
    </row>
    <row r="5145" spans="1:2" s="161" customFormat="1" ht="12.75">
      <c r="A5145" s="144"/>
      <c r="B5145" s="160"/>
    </row>
    <row r="5146" spans="1:2" s="161" customFormat="1" ht="12.75">
      <c r="A5146" s="144"/>
      <c r="B5146" s="160"/>
    </row>
    <row r="5147" spans="1:2" s="161" customFormat="1" ht="12.75">
      <c r="A5147" s="144"/>
      <c r="B5147" s="160"/>
    </row>
    <row r="5148" spans="1:2" s="161" customFormat="1" ht="12.75">
      <c r="A5148" s="144"/>
      <c r="B5148" s="160"/>
    </row>
    <row r="5149" spans="1:2" s="161" customFormat="1" ht="12.75">
      <c r="A5149" s="144"/>
      <c r="B5149" s="160"/>
    </row>
    <row r="5150" spans="1:2" s="161" customFormat="1" ht="12.75">
      <c r="A5150" s="144"/>
      <c r="B5150" s="160"/>
    </row>
    <row r="5151" spans="1:2" s="161" customFormat="1" ht="12.75">
      <c r="A5151" s="144"/>
      <c r="B5151" s="160"/>
    </row>
    <row r="5152" spans="1:2" s="161" customFormat="1" ht="12.75">
      <c r="A5152" s="144"/>
      <c r="B5152" s="160"/>
    </row>
    <row r="5153" spans="1:2" s="161" customFormat="1" ht="12.75">
      <c r="A5153" s="144"/>
      <c r="B5153" s="160"/>
    </row>
    <row r="5154" spans="1:2" s="161" customFormat="1" ht="12.75">
      <c r="A5154" s="144"/>
      <c r="B5154" s="160"/>
    </row>
    <row r="5155" spans="1:2" s="161" customFormat="1" ht="12.75">
      <c r="A5155" s="144"/>
      <c r="B5155" s="160"/>
    </row>
    <row r="5156" spans="1:2" s="161" customFormat="1" ht="12.75">
      <c r="A5156" s="144"/>
      <c r="B5156" s="160"/>
    </row>
    <row r="5157" spans="1:2" s="161" customFormat="1" ht="12.75">
      <c r="A5157" s="144"/>
      <c r="B5157" s="160"/>
    </row>
    <row r="5158" spans="1:2" s="161" customFormat="1" ht="12.75">
      <c r="A5158" s="144"/>
      <c r="B5158" s="160"/>
    </row>
    <row r="5159" spans="1:2" s="161" customFormat="1" ht="12.75">
      <c r="A5159" s="144"/>
      <c r="B5159" s="160"/>
    </row>
    <row r="5160" spans="1:2" s="161" customFormat="1" ht="12.75">
      <c r="A5160" s="144"/>
      <c r="B5160" s="160"/>
    </row>
    <row r="5161" spans="1:2" s="161" customFormat="1" ht="12.75">
      <c r="A5161" s="144"/>
      <c r="B5161" s="160"/>
    </row>
    <row r="5162" spans="1:2" s="161" customFormat="1" ht="12.75">
      <c r="A5162" s="144"/>
      <c r="B5162" s="160"/>
    </row>
    <row r="5163" spans="1:2" s="161" customFormat="1" ht="12.75">
      <c r="A5163" s="144"/>
      <c r="B5163" s="160"/>
    </row>
    <row r="5164" spans="1:2" s="161" customFormat="1" ht="12.75">
      <c r="A5164" s="144"/>
      <c r="B5164" s="160"/>
    </row>
    <row r="5165" spans="1:2" s="161" customFormat="1" ht="12.75">
      <c r="A5165" s="144"/>
      <c r="B5165" s="160"/>
    </row>
    <row r="5166" spans="1:2" s="161" customFormat="1" ht="12.75">
      <c r="A5166" s="144"/>
      <c r="B5166" s="160"/>
    </row>
    <row r="5167" spans="1:2" s="161" customFormat="1" ht="12.75">
      <c r="A5167" s="144"/>
      <c r="B5167" s="160"/>
    </row>
    <row r="5168" spans="1:2" s="161" customFormat="1" ht="12.75">
      <c r="A5168" s="144"/>
      <c r="B5168" s="160"/>
    </row>
    <row r="5169" spans="1:2" s="161" customFormat="1" ht="12.75">
      <c r="A5169" s="144"/>
      <c r="B5169" s="160"/>
    </row>
    <row r="5170" spans="1:2" s="161" customFormat="1" ht="12.75">
      <c r="A5170" s="144"/>
      <c r="B5170" s="160"/>
    </row>
    <row r="5171" spans="1:2" s="161" customFormat="1" ht="12.75">
      <c r="A5171" s="144"/>
      <c r="B5171" s="160"/>
    </row>
    <row r="5172" spans="1:2" s="161" customFormat="1" ht="12.75">
      <c r="A5172" s="144"/>
      <c r="B5172" s="160"/>
    </row>
    <row r="5173" spans="1:2" s="161" customFormat="1" ht="12.75">
      <c r="A5173" s="144"/>
      <c r="B5173" s="160"/>
    </row>
    <row r="5174" spans="1:2" s="161" customFormat="1" ht="12.75">
      <c r="A5174" s="144"/>
      <c r="B5174" s="160"/>
    </row>
    <row r="5175" spans="1:2" s="161" customFormat="1" ht="12.75">
      <c r="A5175" s="144"/>
      <c r="B5175" s="160"/>
    </row>
    <row r="5176" spans="1:2" s="161" customFormat="1" ht="12.75">
      <c r="A5176" s="144"/>
      <c r="B5176" s="160"/>
    </row>
    <row r="5177" spans="1:2" s="161" customFormat="1" ht="12.75">
      <c r="A5177" s="144"/>
      <c r="B5177" s="160"/>
    </row>
    <row r="5178" spans="1:2" s="161" customFormat="1" ht="12.75">
      <c r="A5178" s="144"/>
      <c r="B5178" s="160"/>
    </row>
    <row r="5179" spans="1:2" s="161" customFormat="1" ht="12.75">
      <c r="A5179" s="144"/>
      <c r="B5179" s="160"/>
    </row>
    <row r="5180" spans="1:2" s="161" customFormat="1" ht="12.75">
      <c r="A5180" s="144"/>
      <c r="B5180" s="160"/>
    </row>
    <row r="5181" spans="1:2" s="161" customFormat="1" ht="12.75">
      <c r="A5181" s="144"/>
      <c r="B5181" s="160"/>
    </row>
    <row r="5182" spans="1:2" s="161" customFormat="1" ht="12.75">
      <c r="A5182" s="144"/>
      <c r="B5182" s="160"/>
    </row>
    <row r="5183" spans="1:2" s="161" customFormat="1" ht="12.75">
      <c r="A5183" s="144"/>
      <c r="B5183" s="160"/>
    </row>
    <row r="5184" spans="1:2" s="161" customFormat="1" ht="12.75">
      <c r="A5184" s="144"/>
      <c r="B5184" s="160"/>
    </row>
    <row r="5185" spans="1:2" s="161" customFormat="1" ht="12.75">
      <c r="A5185" s="144"/>
      <c r="B5185" s="160"/>
    </row>
    <row r="5186" spans="1:2" s="161" customFormat="1" ht="12.75">
      <c r="A5186" s="144"/>
      <c r="B5186" s="160"/>
    </row>
    <row r="5187" spans="1:2" s="161" customFormat="1" ht="12.75">
      <c r="A5187" s="144"/>
      <c r="B5187" s="160"/>
    </row>
    <row r="5188" spans="1:2" s="161" customFormat="1" ht="12.75">
      <c r="A5188" s="144"/>
      <c r="B5188" s="160"/>
    </row>
    <row r="5189" spans="1:2" s="161" customFormat="1" ht="12.75">
      <c r="A5189" s="144"/>
      <c r="B5189" s="160"/>
    </row>
    <row r="5190" spans="1:2" s="161" customFormat="1" ht="12.75">
      <c r="A5190" s="144"/>
      <c r="B5190" s="160"/>
    </row>
    <row r="5191" spans="1:2" s="161" customFormat="1" ht="12.75">
      <c r="A5191" s="144"/>
      <c r="B5191" s="160"/>
    </row>
    <row r="5192" spans="1:2" s="161" customFormat="1" ht="12.75">
      <c r="A5192" s="144"/>
      <c r="B5192" s="160"/>
    </row>
    <row r="5193" spans="1:2" s="161" customFormat="1" ht="12.75">
      <c r="A5193" s="144"/>
      <c r="B5193" s="160"/>
    </row>
    <row r="5194" spans="1:2" s="161" customFormat="1" ht="12.75">
      <c r="A5194" s="144"/>
      <c r="B5194" s="160"/>
    </row>
    <row r="5195" spans="1:2" s="161" customFormat="1" ht="12.75">
      <c r="A5195" s="144"/>
      <c r="B5195" s="160"/>
    </row>
    <row r="5196" spans="1:2" s="161" customFormat="1" ht="12.75">
      <c r="A5196" s="144"/>
      <c r="B5196" s="160"/>
    </row>
    <row r="5197" spans="1:2" s="161" customFormat="1" ht="12.75">
      <c r="A5197" s="144"/>
      <c r="B5197" s="160"/>
    </row>
    <row r="5198" spans="1:2" s="161" customFormat="1" ht="12.75">
      <c r="A5198" s="144"/>
      <c r="B5198" s="160"/>
    </row>
    <row r="5199" spans="1:2" s="161" customFormat="1" ht="12.75">
      <c r="A5199" s="144"/>
      <c r="B5199" s="160"/>
    </row>
    <row r="5200" spans="1:2" s="161" customFormat="1" ht="12.75">
      <c r="A5200" s="144"/>
      <c r="B5200" s="160"/>
    </row>
    <row r="5201" spans="1:2" s="161" customFormat="1" ht="12.75">
      <c r="A5201" s="144"/>
      <c r="B5201" s="160"/>
    </row>
    <row r="5202" spans="1:2" s="161" customFormat="1" ht="12.75">
      <c r="A5202" s="144"/>
      <c r="B5202" s="160"/>
    </row>
    <row r="5203" spans="1:2" s="161" customFormat="1" ht="12.75">
      <c r="A5203" s="144"/>
      <c r="B5203" s="160"/>
    </row>
    <row r="5204" spans="1:2" s="161" customFormat="1" ht="12.75">
      <c r="A5204" s="144"/>
      <c r="B5204" s="160"/>
    </row>
    <row r="5205" spans="1:2" s="161" customFormat="1" ht="12.75">
      <c r="A5205" s="144"/>
      <c r="B5205" s="160"/>
    </row>
    <row r="5206" spans="1:2" s="161" customFormat="1" ht="12.75">
      <c r="A5206" s="144"/>
      <c r="B5206" s="160"/>
    </row>
    <row r="5207" spans="1:2" s="161" customFormat="1" ht="12.75">
      <c r="A5207" s="144"/>
      <c r="B5207" s="160"/>
    </row>
    <row r="5208" spans="1:2" s="161" customFormat="1" ht="12.75">
      <c r="A5208" s="144"/>
      <c r="B5208" s="160"/>
    </row>
    <row r="5209" spans="1:2" s="161" customFormat="1" ht="12.75">
      <c r="A5209" s="144"/>
      <c r="B5209" s="160"/>
    </row>
    <row r="5210" spans="1:2" s="161" customFormat="1" ht="13.5" customHeight="1">
      <c r="A5210" s="144"/>
      <c r="B5210" s="160"/>
    </row>
    <row r="5211" spans="1:2" s="161" customFormat="1" ht="12.75">
      <c r="A5211" s="144"/>
      <c r="B5211" s="160"/>
    </row>
    <row r="5212" spans="1:2" s="161" customFormat="1" ht="12.75">
      <c r="A5212" s="144"/>
      <c r="B5212" s="160"/>
    </row>
    <row r="5213" spans="1:2" s="161" customFormat="1" ht="12.75">
      <c r="A5213" s="144"/>
      <c r="B5213" s="160"/>
    </row>
    <row r="5214" spans="1:2" s="161" customFormat="1" ht="12.75">
      <c r="A5214" s="144"/>
      <c r="B5214" s="160"/>
    </row>
    <row r="5215" spans="1:2" s="161" customFormat="1" ht="12.75">
      <c r="A5215" s="144"/>
      <c r="B5215" s="160"/>
    </row>
    <row r="5216" spans="1:2" s="161" customFormat="1" ht="12.75">
      <c r="A5216" s="144"/>
      <c r="B5216" s="160"/>
    </row>
    <row r="5217" spans="1:2" s="161" customFormat="1" ht="12.75">
      <c r="A5217" s="144"/>
      <c r="B5217" s="160"/>
    </row>
    <row r="5218" spans="1:2" s="161" customFormat="1" ht="12.75">
      <c r="A5218" s="144"/>
      <c r="B5218" s="160"/>
    </row>
    <row r="5219" spans="1:2" s="161" customFormat="1" ht="12.75">
      <c r="A5219" s="144"/>
      <c r="B5219" s="160"/>
    </row>
    <row r="5220" spans="1:2" s="161" customFormat="1" ht="12.75">
      <c r="A5220" s="144"/>
      <c r="B5220" s="160"/>
    </row>
    <row r="5221" spans="1:2" s="161" customFormat="1" ht="12.75">
      <c r="A5221" s="144"/>
      <c r="B5221" s="160"/>
    </row>
    <row r="5222" spans="1:2" s="161" customFormat="1" ht="12.75">
      <c r="A5222" s="144"/>
      <c r="B5222" s="160"/>
    </row>
    <row r="5223" spans="1:2" s="161" customFormat="1" ht="12.75">
      <c r="A5223" s="144"/>
      <c r="B5223" s="160"/>
    </row>
    <row r="5224" spans="1:2" s="161" customFormat="1" ht="12.75">
      <c r="A5224" s="144"/>
      <c r="B5224" s="160"/>
    </row>
    <row r="5225" spans="1:2" s="161" customFormat="1" ht="12.75">
      <c r="A5225" s="144"/>
      <c r="B5225" s="160"/>
    </row>
    <row r="5226" spans="1:2" s="161" customFormat="1" ht="12.75">
      <c r="A5226" s="144"/>
      <c r="B5226" s="160"/>
    </row>
    <row r="5227" spans="1:2" s="161" customFormat="1" ht="12.75">
      <c r="A5227" s="144"/>
      <c r="B5227" s="160"/>
    </row>
    <row r="5228" spans="1:2" s="161" customFormat="1" ht="12.75">
      <c r="A5228" s="144"/>
      <c r="B5228" s="160"/>
    </row>
    <row r="5229" spans="1:2" s="161" customFormat="1" ht="12.75">
      <c r="A5229" s="144"/>
      <c r="B5229" s="160"/>
    </row>
    <row r="5230" spans="1:2" s="161" customFormat="1" ht="12.75">
      <c r="A5230" s="144"/>
      <c r="B5230" s="160"/>
    </row>
    <row r="5231" spans="1:2" s="161" customFormat="1" ht="12.75">
      <c r="A5231" s="144"/>
      <c r="B5231" s="160"/>
    </row>
    <row r="5232" spans="1:2" s="161" customFormat="1" ht="12.75">
      <c r="A5232" s="144"/>
      <c r="B5232" s="160"/>
    </row>
    <row r="5233" spans="1:2" s="161" customFormat="1" ht="12.75">
      <c r="A5233" s="144"/>
      <c r="B5233" s="160"/>
    </row>
    <row r="5234" spans="1:2" s="161" customFormat="1" ht="12.75">
      <c r="A5234" s="144"/>
      <c r="B5234" s="160"/>
    </row>
    <row r="5235" spans="1:2" s="161" customFormat="1" ht="12.75">
      <c r="A5235" s="144"/>
      <c r="B5235" s="160"/>
    </row>
    <row r="5236" spans="1:2" s="161" customFormat="1" ht="12.75">
      <c r="A5236" s="144"/>
      <c r="B5236" s="160"/>
    </row>
    <row r="5237" spans="1:2" s="161" customFormat="1" ht="12.75">
      <c r="A5237" s="144"/>
      <c r="B5237" s="160"/>
    </row>
    <row r="5238" spans="1:2" s="161" customFormat="1" ht="12.75">
      <c r="A5238" s="144"/>
      <c r="B5238" s="160"/>
    </row>
    <row r="5239" spans="1:2" s="161" customFormat="1" ht="12.75">
      <c r="A5239" s="144"/>
      <c r="B5239" s="160"/>
    </row>
    <row r="5240" spans="1:2" s="161" customFormat="1" ht="12.75">
      <c r="A5240" s="144"/>
      <c r="B5240" s="160"/>
    </row>
    <row r="5241" spans="1:2" s="161" customFormat="1" ht="12.75">
      <c r="A5241" s="144"/>
      <c r="B5241" s="160"/>
    </row>
    <row r="5242" spans="1:2" s="161" customFormat="1" ht="12.75">
      <c r="A5242" s="144"/>
      <c r="B5242" s="160"/>
    </row>
    <row r="5243" spans="1:2" s="161" customFormat="1" ht="12.75">
      <c r="A5243" s="144"/>
      <c r="B5243" s="160"/>
    </row>
    <row r="5244" spans="1:2" s="161" customFormat="1" ht="12.75">
      <c r="A5244" s="144"/>
      <c r="B5244" s="160"/>
    </row>
    <row r="5245" spans="1:2" s="161" customFormat="1" ht="12.75">
      <c r="A5245" s="144"/>
      <c r="B5245" s="160"/>
    </row>
    <row r="5246" spans="1:2" s="161" customFormat="1" ht="12.75">
      <c r="A5246" s="144"/>
      <c r="B5246" s="160"/>
    </row>
    <row r="5247" spans="1:2" s="161" customFormat="1" ht="12.75">
      <c r="A5247" s="144"/>
      <c r="B5247" s="160"/>
    </row>
    <row r="5248" spans="1:2" s="161" customFormat="1" ht="12.75">
      <c r="A5248" s="144"/>
      <c r="B5248" s="160"/>
    </row>
    <row r="5249" spans="1:2" s="161" customFormat="1" ht="12.75">
      <c r="A5249" s="144"/>
      <c r="B5249" s="160"/>
    </row>
    <row r="5250" spans="1:2" s="161" customFormat="1" ht="12.75">
      <c r="A5250" s="144"/>
      <c r="B5250" s="160"/>
    </row>
    <row r="5251" spans="1:2" s="161" customFormat="1" ht="12.75">
      <c r="A5251" s="144"/>
      <c r="B5251" s="160"/>
    </row>
    <row r="5252" spans="1:2" s="161" customFormat="1" ht="12.75">
      <c r="A5252" s="144"/>
      <c r="B5252" s="160"/>
    </row>
    <row r="5253" spans="1:2" s="161" customFormat="1" ht="12.75">
      <c r="A5253" s="144"/>
      <c r="B5253" s="160"/>
    </row>
    <row r="5254" spans="1:2" s="161" customFormat="1" ht="12.75">
      <c r="A5254" s="144"/>
      <c r="B5254" s="160"/>
    </row>
    <row r="5255" spans="1:2" s="161" customFormat="1" ht="12.75">
      <c r="A5255" s="144"/>
      <c r="B5255" s="160"/>
    </row>
    <row r="5256" spans="1:2" s="161" customFormat="1" ht="12.75">
      <c r="A5256" s="144"/>
      <c r="B5256" s="160"/>
    </row>
    <row r="5257" spans="1:2" s="161" customFormat="1" ht="12.75">
      <c r="A5257" s="144"/>
      <c r="B5257" s="160"/>
    </row>
    <row r="5258" spans="1:2" s="161" customFormat="1" ht="12.75">
      <c r="A5258" s="144"/>
      <c r="B5258" s="160"/>
    </row>
    <row r="5259" spans="1:2" s="161" customFormat="1" ht="12.75">
      <c r="A5259" s="144"/>
      <c r="B5259" s="160"/>
    </row>
    <row r="5260" spans="1:2" s="161" customFormat="1" ht="12.75">
      <c r="A5260" s="144"/>
      <c r="B5260" s="160"/>
    </row>
    <row r="5261" spans="1:2" s="161" customFormat="1" ht="12.75">
      <c r="A5261" s="144"/>
      <c r="B5261" s="160"/>
    </row>
    <row r="5262" spans="1:2" s="161" customFormat="1" ht="12.75">
      <c r="A5262" s="144"/>
      <c r="B5262" s="160"/>
    </row>
    <row r="5263" spans="1:2" s="161" customFormat="1" ht="12.75">
      <c r="A5263" s="144"/>
      <c r="B5263" s="160"/>
    </row>
    <row r="5264" spans="1:2" s="161" customFormat="1" ht="12.75">
      <c r="A5264" s="144"/>
      <c r="B5264" s="160"/>
    </row>
    <row r="5265" spans="1:2" s="161" customFormat="1" ht="12.75">
      <c r="A5265" s="144"/>
      <c r="B5265" s="160"/>
    </row>
    <row r="5266" spans="1:2" s="161" customFormat="1" ht="12.75">
      <c r="A5266" s="144"/>
      <c r="B5266" s="160"/>
    </row>
    <row r="5267" spans="1:2" s="161" customFormat="1" ht="12.75">
      <c r="A5267" s="144"/>
      <c r="B5267" s="160"/>
    </row>
    <row r="5268" spans="1:2" s="161" customFormat="1" ht="12.75">
      <c r="A5268" s="144"/>
      <c r="B5268" s="160"/>
    </row>
    <row r="5269" spans="1:2" s="161" customFormat="1" ht="12.75">
      <c r="A5269" s="144"/>
      <c r="B5269" s="160"/>
    </row>
    <row r="5270" spans="1:2" s="161" customFormat="1" ht="12.75">
      <c r="A5270" s="144"/>
      <c r="B5270" s="160"/>
    </row>
    <row r="5271" spans="1:2" s="161" customFormat="1" ht="12.75">
      <c r="A5271" s="144"/>
      <c r="B5271" s="160"/>
    </row>
    <row r="5272" spans="1:2" s="161" customFormat="1" ht="12.75">
      <c r="A5272" s="144"/>
      <c r="B5272" s="160"/>
    </row>
    <row r="5273" spans="1:2" s="161" customFormat="1" ht="12.75">
      <c r="A5273" s="144"/>
      <c r="B5273" s="160"/>
    </row>
    <row r="5274" spans="1:2" s="161" customFormat="1" ht="12.75">
      <c r="A5274" s="144"/>
      <c r="B5274" s="160"/>
    </row>
    <row r="5275" spans="1:2" s="161" customFormat="1" ht="12.75">
      <c r="A5275" s="144"/>
      <c r="B5275" s="160"/>
    </row>
    <row r="5276" spans="1:2" s="161" customFormat="1" ht="12.75">
      <c r="A5276" s="144"/>
      <c r="B5276" s="160"/>
    </row>
    <row r="5277" spans="1:2" s="161" customFormat="1" ht="12.75">
      <c r="A5277" s="144"/>
      <c r="B5277" s="160"/>
    </row>
    <row r="5278" spans="1:2" s="161" customFormat="1" ht="12.75">
      <c r="A5278" s="144"/>
      <c r="B5278" s="160"/>
    </row>
    <row r="5279" spans="1:2" s="161" customFormat="1" ht="12.75">
      <c r="A5279" s="144"/>
      <c r="B5279" s="160"/>
    </row>
    <row r="5280" spans="1:2" s="161" customFormat="1" ht="12.75">
      <c r="A5280" s="144"/>
      <c r="B5280" s="160"/>
    </row>
    <row r="5281" spans="1:2" s="161" customFormat="1" ht="12.75">
      <c r="A5281" s="144"/>
      <c r="B5281" s="160"/>
    </row>
    <row r="5282" spans="1:2" s="161" customFormat="1" ht="12.75">
      <c r="A5282" s="144"/>
      <c r="B5282" s="160"/>
    </row>
    <row r="5283" spans="1:2" s="161" customFormat="1" ht="12.75">
      <c r="A5283" s="144"/>
      <c r="B5283" s="160"/>
    </row>
    <row r="5284" spans="1:2" s="161" customFormat="1" ht="12.75">
      <c r="A5284" s="144"/>
      <c r="B5284" s="160"/>
    </row>
    <row r="5285" spans="1:2" s="161" customFormat="1" ht="12.75">
      <c r="A5285" s="144"/>
      <c r="B5285" s="160"/>
    </row>
    <row r="5286" spans="1:2" s="161" customFormat="1" ht="12.75">
      <c r="A5286" s="144"/>
      <c r="B5286" s="160"/>
    </row>
    <row r="5287" spans="1:2" s="161" customFormat="1" ht="12.75">
      <c r="A5287" s="144"/>
      <c r="B5287" s="160"/>
    </row>
    <row r="5288" spans="1:2" s="161" customFormat="1" ht="12.75">
      <c r="A5288" s="144"/>
      <c r="B5288" s="160"/>
    </row>
    <row r="5289" spans="1:2" s="161" customFormat="1" ht="12.75">
      <c r="A5289" s="144"/>
      <c r="B5289" s="160"/>
    </row>
    <row r="5290" spans="1:2" s="161" customFormat="1" ht="12.75">
      <c r="A5290" s="144"/>
      <c r="B5290" s="160"/>
    </row>
    <row r="5291" spans="1:2" s="161" customFormat="1" ht="12.75">
      <c r="A5291" s="144"/>
      <c r="B5291" s="160"/>
    </row>
    <row r="5292" spans="1:2" s="161" customFormat="1" ht="12.75">
      <c r="A5292" s="144"/>
      <c r="B5292" s="160"/>
    </row>
    <row r="5293" spans="1:2" s="161" customFormat="1" ht="12.75">
      <c r="A5293" s="144"/>
      <c r="B5293" s="160"/>
    </row>
    <row r="5294" spans="1:2" s="161" customFormat="1" ht="12.75">
      <c r="A5294" s="144"/>
      <c r="B5294" s="160"/>
    </row>
    <row r="5295" spans="1:2" s="161" customFormat="1" ht="12.75">
      <c r="A5295" s="144"/>
      <c r="B5295" s="160"/>
    </row>
    <row r="5296" spans="1:2" s="161" customFormat="1" ht="12.75">
      <c r="A5296" s="144"/>
      <c r="B5296" s="160"/>
    </row>
    <row r="5297" spans="1:2" s="161" customFormat="1" ht="12.75">
      <c r="A5297" s="144"/>
      <c r="B5297" s="160"/>
    </row>
    <row r="5298" spans="1:2" s="161" customFormat="1" ht="12.75">
      <c r="A5298" s="144"/>
      <c r="B5298" s="160"/>
    </row>
    <row r="5299" spans="1:2" s="161" customFormat="1" ht="12.75">
      <c r="A5299" s="144"/>
      <c r="B5299" s="160"/>
    </row>
    <row r="5300" spans="1:2" s="161" customFormat="1" ht="12.75">
      <c r="A5300" s="144"/>
      <c r="B5300" s="160"/>
    </row>
    <row r="5301" spans="1:2" s="161" customFormat="1" ht="12.75">
      <c r="A5301" s="144"/>
      <c r="B5301" s="160"/>
    </row>
    <row r="5302" spans="1:2" s="161" customFormat="1" ht="12.75">
      <c r="A5302" s="144"/>
      <c r="B5302" s="160"/>
    </row>
    <row r="5303" spans="1:2" s="161" customFormat="1" ht="12.75">
      <c r="A5303" s="144"/>
      <c r="B5303" s="160"/>
    </row>
    <row r="5304" spans="1:2" s="161" customFormat="1" ht="12.75">
      <c r="A5304" s="144"/>
      <c r="B5304" s="160"/>
    </row>
    <row r="5305" spans="1:2" s="161" customFormat="1" ht="12.75">
      <c r="A5305" s="144"/>
      <c r="B5305" s="160"/>
    </row>
    <row r="5306" spans="1:2" s="161" customFormat="1" ht="12.75">
      <c r="A5306" s="144"/>
      <c r="B5306" s="160"/>
    </row>
    <row r="5307" spans="1:2" s="161" customFormat="1" ht="12.75">
      <c r="A5307" s="144"/>
      <c r="B5307" s="160"/>
    </row>
    <row r="5308" spans="1:2" s="161" customFormat="1" ht="12.75">
      <c r="A5308" s="144"/>
      <c r="B5308" s="160"/>
    </row>
    <row r="5309" spans="1:2" s="161" customFormat="1" ht="12.75">
      <c r="A5309" s="144"/>
      <c r="B5309" s="160"/>
    </row>
    <row r="5310" spans="1:2" s="161" customFormat="1" ht="12.75">
      <c r="A5310" s="144"/>
      <c r="B5310" s="160"/>
    </row>
    <row r="5311" spans="1:2" s="161" customFormat="1" ht="12.75">
      <c r="A5311" s="144"/>
      <c r="B5311" s="160"/>
    </row>
    <row r="5312" spans="1:2" s="161" customFormat="1" ht="12.75">
      <c r="A5312" s="144"/>
      <c r="B5312" s="160"/>
    </row>
    <row r="5313" spans="1:2" s="161" customFormat="1" ht="12.75">
      <c r="A5313" s="144"/>
      <c r="B5313" s="160"/>
    </row>
    <row r="5314" spans="1:2" s="161" customFormat="1" ht="12.75">
      <c r="A5314" s="144"/>
      <c r="B5314" s="160"/>
    </row>
    <row r="5315" spans="1:2" s="161" customFormat="1" ht="12.75">
      <c r="A5315" s="144"/>
      <c r="B5315" s="160"/>
    </row>
    <row r="5316" spans="1:2" s="161" customFormat="1" ht="12.75">
      <c r="A5316" s="144"/>
      <c r="B5316" s="160"/>
    </row>
    <row r="5317" spans="1:2" s="161" customFormat="1" ht="12.75">
      <c r="A5317" s="144"/>
      <c r="B5317" s="160"/>
    </row>
    <row r="5318" spans="1:2" s="161" customFormat="1" ht="12.75">
      <c r="A5318" s="144"/>
      <c r="B5318" s="160"/>
    </row>
    <row r="5319" spans="1:2" s="161" customFormat="1" ht="12.75">
      <c r="A5319" s="144"/>
      <c r="B5319" s="160"/>
    </row>
    <row r="5320" spans="1:2" s="161" customFormat="1" ht="12.75">
      <c r="A5320" s="144"/>
      <c r="B5320" s="160"/>
    </row>
    <row r="5321" spans="1:2" s="161" customFormat="1" ht="12.75">
      <c r="A5321" s="144"/>
      <c r="B5321" s="160"/>
    </row>
    <row r="5322" spans="1:2" s="161" customFormat="1" ht="12.75">
      <c r="A5322" s="144"/>
      <c r="B5322" s="160"/>
    </row>
    <row r="5323" spans="1:2" s="161" customFormat="1" ht="12.75">
      <c r="A5323" s="144"/>
      <c r="B5323" s="160"/>
    </row>
    <row r="5324" spans="1:2" s="161" customFormat="1" ht="12.75">
      <c r="A5324" s="144"/>
      <c r="B5324" s="160"/>
    </row>
    <row r="5325" spans="1:2" s="161" customFormat="1" ht="12.75">
      <c r="A5325" s="144"/>
      <c r="B5325" s="160"/>
    </row>
    <row r="5326" spans="1:2" s="161" customFormat="1" ht="12.75">
      <c r="A5326" s="144"/>
      <c r="B5326" s="160"/>
    </row>
    <row r="5327" spans="1:2" s="161" customFormat="1" ht="12.75">
      <c r="A5327" s="144"/>
      <c r="B5327" s="160"/>
    </row>
    <row r="5328" spans="1:2" s="161" customFormat="1" ht="12.75">
      <c r="A5328" s="144"/>
      <c r="B5328" s="160"/>
    </row>
    <row r="5329" spans="1:2" s="161" customFormat="1" ht="12.75">
      <c r="A5329" s="144"/>
      <c r="B5329" s="160"/>
    </row>
    <row r="5330" spans="1:2" s="161" customFormat="1" ht="12.75">
      <c r="A5330" s="144"/>
      <c r="B5330" s="160"/>
    </row>
    <row r="5331" spans="1:2" s="161" customFormat="1" ht="12.75">
      <c r="A5331" s="144"/>
      <c r="B5331" s="160"/>
    </row>
    <row r="5332" spans="1:2" s="161" customFormat="1" ht="12.75">
      <c r="A5332" s="144"/>
      <c r="B5332" s="160"/>
    </row>
    <row r="5333" spans="1:2" s="161" customFormat="1" ht="13.5" customHeight="1">
      <c r="A5333" s="144"/>
      <c r="B5333" s="160"/>
    </row>
    <row r="5334" spans="1:2" s="161" customFormat="1" ht="12.75">
      <c r="A5334" s="144"/>
      <c r="B5334" s="160"/>
    </row>
    <row r="5335" spans="1:2" s="161" customFormat="1" ht="12.75">
      <c r="A5335" s="144"/>
      <c r="B5335" s="160"/>
    </row>
    <row r="5336" spans="1:2" s="161" customFormat="1" ht="12.75">
      <c r="A5336" s="144"/>
      <c r="B5336" s="160"/>
    </row>
    <row r="5337" spans="1:2" s="161" customFormat="1" ht="12.75">
      <c r="A5337" s="144"/>
      <c r="B5337" s="160"/>
    </row>
    <row r="5338" spans="1:2" s="161" customFormat="1" ht="12.75">
      <c r="A5338" s="144"/>
      <c r="B5338" s="160"/>
    </row>
    <row r="5339" spans="1:2" s="161" customFormat="1" ht="12.75">
      <c r="A5339" s="144"/>
      <c r="B5339" s="160"/>
    </row>
    <row r="5340" spans="1:2" s="161" customFormat="1" ht="12.75">
      <c r="A5340" s="144"/>
      <c r="B5340" s="160"/>
    </row>
    <row r="5341" spans="1:2" s="161" customFormat="1" ht="12.75">
      <c r="A5341" s="144"/>
      <c r="B5341" s="160"/>
    </row>
    <row r="5342" spans="1:2" s="161" customFormat="1" ht="12.75">
      <c r="A5342" s="144"/>
      <c r="B5342" s="160"/>
    </row>
    <row r="5343" spans="1:2" s="161" customFormat="1" ht="12.75">
      <c r="A5343" s="144"/>
      <c r="B5343" s="160"/>
    </row>
    <row r="5344" spans="1:2" s="161" customFormat="1" ht="12.75">
      <c r="A5344" s="144"/>
      <c r="B5344" s="160"/>
    </row>
    <row r="5345" spans="1:2" s="161" customFormat="1" ht="12.75">
      <c r="A5345" s="144"/>
      <c r="B5345" s="160"/>
    </row>
    <row r="5346" spans="1:2" s="161" customFormat="1" ht="12.75">
      <c r="A5346" s="144"/>
      <c r="B5346" s="160"/>
    </row>
    <row r="5347" spans="1:2" s="161" customFormat="1" ht="12.75">
      <c r="A5347" s="144"/>
      <c r="B5347" s="160"/>
    </row>
    <row r="5348" spans="1:2" s="161" customFormat="1" ht="12.75">
      <c r="A5348" s="144"/>
      <c r="B5348" s="160"/>
    </row>
    <row r="5349" spans="1:2" s="161" customFormat="1" ht="12.75">
      <c r="A5349" s="144"/>
      <c r="B5349" s="160"/>
    </row>
    <row r="5350" spans="1:2" s="161" customFormat="1" ht="12.75">
      <c r="A5350" s="144"/>
      <c r="B5350" s="160"/>
    </row>
    <row r="5351" spans="1:2" s="161" customFormat="1" ht="12.75">
      <c r="A5351" s="144"/>
      <c r="B5351" s="160"/>
    </row>
    <row r="5352" spans="1:2" s="161" customFormat="1" ht="12.75">
      <c r="A5352" s="144"/>
      <c r="B5352" s="160"/>
    </row>
    <row r="5353" spans="1:2" s="161" customFormat="1" ht="12.75">
      <c r="A5353" s="144"/>
      <c r="B5353" s="160"/>
    </row>
    <row r="5354" spans="1:2" s="161" customFormat="1" ht="12.75">
      <c r="A5354" s="144"/>
      <c r="B5354" s="160"/>
    </row>
    <row r="5355" spans="1:2" s="161" customFormat="1" ht="12.75">
      <c r="A5355" s="144"/>
      <c r="B5355" s="160"/>
    </row>
    <row r="5356" spans="1:2" s="161" customFormat="1" ht="12.75">
      <c r="A5356" s="144"/>
      <c r="B5356" s="160"/>
    </row>
    <row r="5357" spans="1:2" s="161" customFormat="1" ht="12.75">
      <c r="A5357" s="144"/>
      <c r="B5357" s="160"/>
    </row>
    <row r="5358" spans="1:2" s="161" customFormat="1" ht="12.75">
      <c r="A5358" s="144"/>
      <c r="B5358" s="160"/>
    </row>
    <row r="5359" spans="1:2" s="161" customFormat="1" ht="12.75">
      <c r="A5359" s="144"/>
      <c r="B5359" s="160"/>
    </row>
    <row r="5360" spans="1:2" s="161" customFormat="1" ht="12.75">
      <c r="A5360" s="144"/>
      <c r="B5360" s="160"/>
    </row>
    <row r="5361" spans="1:2" s="161" customFormat="1" ht="12.75">
      <c r="A5361" s="144"/>
      <c r="B5361" s="160"/>
    </row>
    <row r="5362" spans="1:2" s="161" customFormat="1" ht="12.75">
      <c r="A5362" s="144"/>
      <c r="B5362" s="160"/>
    </row>
    <row r="5363" spans="1:2" s="161" customFormat="1" ht="12.75">
      <c r="A5363" s="144"/>
      <c r="B5363" s="160"/>
    </row>
    <row r="5364" spans="1:2" s="161" customFormat="1" ht="12.75">
      <c r="A5364" s="144"/>
      <c r="B5364" s="160"/>
    </row>
    <row r="5365" spans="1:2" s="161" customFormat="1" ht="12.75">
      <c r="A5365" s="144"/>
      <c r="B5365" s="160"/>
    </row>
    <row r="5366" spans="1:2" s="161" customFormat="1" ht="12.75">
      <c r="A5366" s="144"/>
      <c r="B5366" s="160"/>
    </row>
    <row r="5367" spans="1:2" s="161" customFormat="1" ht="12.75">
      <c r="A5367" s="144"/>
      <c r="B5367" s="160"/>
    </row>
    <row r="5368" spans="1:2" s="161" customFormat="1" ht="12.75">
      <c r="A5368" s="144"/>
      <c r="B5368" s="160"/>
    </row>
    <row r="5369" spans="1:2" s="161" customFormat="1" ht="12.75">
      <c r="A5369" s="144"/>
      <c r="B5369" s="160"/>
    </row>
    <row r="5370" spans="1:2" s="161" customFormat="1" ht="12.75">
      <c r="A5370" s="144"/>
      <c r="B5370" s="160"/>
    </row>
    <row r="5371" spans="1:2" s="161" customFormat="1" ht="12.75">
      <c r="A5371" s="144"/>
      <c r="B5371" s="160"/>
    </row>
    <row r="5372" spans="1:2" s="161" customFormat="1" ht="12.75">
      <c r="A5372" s="144"/>
      <c r="B5372" s="160"/>
    </row>
    <row r="5373" spans="1:2" s="161" customFormat="1" ht="12.75">
      <c r="A5373" s="144"/>
      <c r="B5373" s="160"/>
    </row>
    <row r="5374" spans="1:2" s="161" customFormat="1" ht="12.75">
      <c r="A5374" s="144"/>
      <c r="B5374" s="160"/>
    </row>
    <row r="5375" spans="1:2" s="161" customFormat="1" ht="12.75">
      <c r="A5375" s="144"/>
      <c r="B5375" s="160"/>
    </row>
    <row r="5376" spans="1:2" s="161" customFormat="1" ht="12.75">
      <c r="A5376" s="144"/>
      <c r="B5376" s="160"/>
    </row>
    <row r="5377" spans="1:2" s="161" customFormat="1" ht="12.75">
      <c r="A5377" s="144"/>
      <c r="B5377" s="160"/>
    </row>
    <row r="5378" spans="1:2" s="161" customFormat="1" ht="12.75">
      <c r="A5378" s="144"/>
      <c r="B5378" s="160"/>
    </row>
    <row r="5379" spans="1:2" s="161" customFormat="1" ht="12.75">
      <c r="A5379" s="144"/>
      <c r="B5379" s="160"/>
    </row>
    <row r="5380" spans="1:2" s="161" customFormat="1" ht="12.75">
      <c r="A5380" s="144"/>
      <c r="B5380" s="160"/>
    </row>
    <row r="5381" spans="1:2" s="161" customFormat="1" ht="12.75">
      <c r="A5381" s="144"/>
      <c r="B5381" s="160"/>
    </row>
    <row r="5382" spans="1:2" s="161" customFormat="1" ht="12.75">
      <c r="A5382" s="144"/>
      <c r="B5382" s="160"/>
    </row>
    <row r="5383" spans="1:2" s="161" customFormat="1" ht="12.75">
      <c r="A5383" s="144"/>
      <c r="B5383" s="160"/>
    </row>
    <row r="5384" spans="1:2" s="161" customFormat="1" ht="12.75">
      <c r="A5384" s="144"/>
      <c r="B5384" s="160"/>
    </row>
    <row r="5385" spans="1:2" s="161" customFormat="1" ht="12.75">
      <c r="A5385" s="144"/>
      <c r="B5385" s="160"/>
    </row>
    <row r="5386" spans="1:2" s="161" customFormat="1" ht="12.75">
      <c r="A5386" s="144"/>
      <c r="B5386" s="160"/>
    </row>
    <row r="5387" spans="1:2" s="161" customFormat="1" ht="12.75">
      <c r="A5387" s="144"/>
      <c r="B5387" s="160"/>
    </row>
    <row r="5388" spans="1:2" s="161" customFormat="1" ht="12.75">
      <c r="A5388" s="144"/>
      <c r="B5388" s="160"/>
    </row>
    <row r="5389" spans="1:2" s="161" customFormat="1" ht="12.75">
      <c r="A5389" s="144"/>
      <c r="B5389" s="160"/>
    </row>
    <row r="5390" spans="1:2" s="161" customFormat="1" ht="12.75">
      <c r="A5390" s="144"/>
      <c r="B5390" s="160"/>
    </row>
    <row r="5391" spans="1:2" s="161" customFormat="1" ht="12.75">
      <c r="A5391" s="144"/>
      <c r="B5391" s="160"/>
    </row>
    <row r="5392" spans="1:2" s="161" customFormat="1" ht="12.75">
      <c r="A5392" s="144"/>
      <c r="B5392" s="160"/>
    </row>
    <row r="5393" spans="1:2" s="161" customFormat="1" ht="12.75">
      <c r="A5393" s="144"/>
      <c r="B5393" s="160"/>
    </row>
    <row r="5394" spans="1:2" s="161" customFormat="1" ht="12.75">
      <c r="A5394" s="144"/>
      <c r="B5394" s="160"/>
    </row>
    <row r="5395" spans="1:2" s="161" customFormat="1" ht="12.75">
      <c r="A5395" s="144"/>
      <c r="B5395" s="160"/>
    </row>
    <row r="5396" spans="1:2" s="161" customFormat="1" ht="12.75">
      <c r="A5396" s="144"/>
      <c r="B5396" s="160"/>
    </row>
    <row r="5397" spans="1:2" s="161" customFormat="1" ht="12.75">
      <c r="A5397" s="144"/>
      <c r="B5397" s="160"/>
    </row>
    <row r="5398" spans="1:2" s="161" customFormat="1" ht="12.75">
      <c r="A5398" s="144"/>
      <c r="B5398" s="160"/>
    </row>
    <row r="5399" spans="1:2" s="161" customFormat="1" ht="12.75">
      <c r="A5399" s="144"/>
      <c r="B5399" s="160"/>
    </row>
    <row r="5400" spans="1:2" s="161" customFormat="1" ht="12.75">
      <c r="A5400" s="144"/>
      <c r="B5400" s="160"/>
    </row>
    <row r="5401" spans="1:2" s="161" customFormat="1" ht="12.75">
      <c r="A5401" s="144"/>
      <c r="B5401" s="160"/>
    </row>
    <row r="5402" spans="1:2" s="161" customFormat="1" ht="12.75">
      <c r="A5402" s="144"/>
      <c r="B5402" s="160"/>
    </row>
    <row r="5403" spans="1:2" s="161" customFormat="1" ht="12.75">
      <c r="A5403" s="144"/>
      <c r="B5403" s="160"/>
    </row>
    <row r="5404" spans="1:2" s="161" customFormat="1" ht="12.75">
      <c r="A5404" s="144"/>
      <c r="B5404" s="160"/>
    </row>
    <row r="5405" spans="1:2" s="161" customFormat="1" ht="12.75">
      <c r="A5405" s="144"/>
      <c r="B5405" s="160"/>
    </row>
    <row r="5406" spans="1:2" s="161" customFormat="1" ht="12.75">
      <c r="A5406" s="144"/>
      <c r="B5406" s="160"/>
    </row>
    <row r="5407" spans="1:2" s="161" customFormat="1" ht="12.75">
      <c r="A5407" s="144"/>
      <c r="B5407" s="160"/>
    </row>
    <row r="5408" spans="1:2" s="161" customFormat="1" ht="12.75">
      <c r="A5408" s="144"/>
      <c r="B5408" s="160"/>
    </row>
    <row r="5409" spans="1:2" s="161" customFormat="1" ht="12.75">
      <c r="A5409" s="144"/>
      <c r="B5409" s="160"/>
    </row>
    <row r="5410" spans="1:2" s="161" customFormat="1" ht="12.75">
      <c r="A5410" s="144"/>
      <c r="B5410" s="160"/>
    </row>
    <row r="5411" spans="1:2" s="161" customFormat="1" ht="12.75">
      <c r="A5411" s="144"/>
      <c r="B5411" s="160"/>
    </row>
    <row r="5412" spans="1:2" s="161" customFormat="1" ht="12.75">
      <c r="A5412" s="144"/>
      <c r="B5412" s="160"/>
    </row>
    <row r="5413" spans="1:2" s="161" customFormat="1" ht="12.75">
      <c r="A5413" s="144"/>
      <c r="B5413" s="160"/>
    </row>
    <row r="5414" spans="1:2" s="161" customFormat="1" ht="12.75">
      <c r="A5414" s="144"/>
      <c r="B5414" s="160"/>
    </row>
    <row r="5415" spans="1:2" s="161" customFormat="1" ht="12.75">
      <c r="A5415" s="144"/>
      <c r="B5415" s="160"/>
    </row>
    <row r="5416" spans="1:2" s="161" customFormat="1" ht="12.75">
      <c r="A5416" s="144"/>
      <c r="B5416" s="160"/>
    </row>
    <row r="5417" spans="1:2" s="161" customFormat="1" ht="12.75">
      <c r="A5417" s="144"/>
      <c r="B5417" s="160"/>
    </row>
    <row r="5418" spans="1:2" s="161" customFormat="1" ht="12.75">
      <c r="A5418" s="144"/>
      <c r="B5418" s="160"/>
    </row>
    <row r="5419" spans="1:2" s="161" customFormat="1" ht="12.75">
      <c r="A5419" s="144"/>
      <c r="B5419" s="160"/>
    </row>
    <row r="5420" spans="1:2" s="161" customFormat="1" ht="12.75">
      <c r="A5420" s="144"/>
      <c r="B5420" s="160"/>
    </row>
    <row r="5421" spans="1:2" s="161" customFormat="1" ht="12.75">
      <c r="A5421" s="144"/>
      <c r="B5421" s="160"/>
    </row>
    <row r="5422" spans="1:2" s="161" customFormat="1" ht="12.75">
      <c r="A5422" s="144"/>
      <c r="B5422" s="160"/>
    </row>
    <row r="5423" spans="1:2" s="161" customFormat="1" ht="12.75">
      <c r="A5423" s="144"/>
      <c r="B5423" s="160"/>
    </row>
    <row r="5424" spans="1:2" s="161" customFormat="1" ht="12.75">
      <c r="A5424" s="144"/>
      <c r="B5424" s="160"/>
    </row>
    <row r="5425" spans="1:2" s="161" customFormat="1" ht="12.75">
      <c r="A5425" s="144"/>
      <c r="B5425" s="160"/>
    </row>
    <row r="5426" spans="1:2" s="161" customFormat="1" ht="12.75">
      <c r="A5426" s="144"/>
      <c r="B5426" s="160"/>
    </row>
    <row r="5427" spans="1:2" s="161" customFormat="1" ht="12.75">
      <c r="A5427" s="144"/>
      <c r="B5427" s="160"/>
    </row>
    <row r="5428" spans="1:2" s="161" customFormat="1" ht="12.75">
      <c r="A5428" s="144"/>
      <c r="B5428" s="160"/>
    </row>
    <row r="5429" spans="1:2" s="161" customFormat="1" ht="12.75">
      <c r="A5429" s="144"/>
      <c r="B5429" s="160"/>
    </row>
    <row r="5430" spans="1:2" s="161" customFormat="1" ht="12.75">
      <c r="A5430" s="144"/>
      <c r="B5430" s="160"/>
    </row>
    <row r="5431" spans="1:2" s="161" customFormat="1" ht="12.75">
      <c r="A5431" s="144"/>
      <c r="B5431" s="160"/>
    </row>
    <row r="5432" spans="1:2" s="161" customFormat="1" ht="12.75">
      <c r="A5432" s="144"/>
      <c r="B5432" s="160"/>
    </row>
    <row r="5433" spans="1:2" s="161" customFormat="1" ht="12.75">
      <c r="A5433" s="144"/>
      <c r="B5433" s="160"/>
    </row>
    <row r="5434" spans="1:2" s="161" customFormat="1" ht="12.75">
      <c r="A5434" s="144"/>
      <c r="B5434" s="160"/>
    </row>
    <row r="5435" spans="1:2" s="161" customFormat="1" ht="12.75">
      <c r="A5435" s="144"/>
      <c r="B5435" s="160"/>
    </row>
    <row r="5436" spans="1:2" s="161" customFormat="1" ht="12.75">
      <c r="A5436" s="144"/>
      <c r="B5436" s="160"/>
    </row>
    <row r="5437" spans="1:2" s="161" customFormat="1" ht="12.75">
      <c r="A5437" s="144"/>
      <c r="B5437" s="160"/>
    </row>
    <row r="5438" spans="1:2" s="161" customFormat="1" ht="12.75">
      <c r="A5438" s="144"/>
      <c r="B5438" s="160"/>
    </row>
    <row r="5439" spans="1:2" s="161" customFormat="1" ht="12.75">
      <c r="A5439" s="144"/>
      <c r="B5439" s="160"/>
    </row>
    <row r="5440" spans="1:2" s="161" customFormat="1" ht="12.75">
      <c r="A5440" s="144"/>
      <c r="B5440" s="160"/>
    </row>
    <row r="5441" spans="1:2" s="161" customFormat="1" ht="12.75">
      <c r="A5441" s="144"/>
      <c r="B5441" s="160"/>
    </row>
    <row r="5442" spans="1:2" s="161" customFormat="1" ht="12.75">
      <c r="A5442" s="144"/>
      <c r="B5442" s="160"/>
    </row>
    <row r="5443" spans="1:2" s="161" customFormat="1" ht="12.75">
      <c r="A5443" s="144"/>
      <c r="B5443" s="160"/>
    </row>
    <row r="5444" spans="1:2" s="161" customFormat="1" ht="12.75">
      <c r="A5444" s="144"/>
      <c r="B5444" s="160"/>
    </row>
    <row r="5445" spans="1:2" s="161" customFormat="1" ht="12.75">
      <c r="A5445" s="144"/>
      <c r="B5445" s="160"/>
    </row>
    <row r="5446" spans="1:2" s="161" customFormat="1" ht="12.75">
      <c r="A5446" s="144"/>
      <c r="B5446" s="160"/>
    </row>
    <row r="5447" spans="1:2" s="161" customFormat="1" ht="12.75">
      <c r="A5447" s="144"/>
      <c r="B5447" s="160"/>
    </row>
    <row r="5448" spans="1:2" s="161" customFormat="1" ht="12.75">
      <c r="A5448" s="144"/>
      <c r="B5448" s="160"/>
    </row>
    <row r="5449" spans="1:2" s="161" customFormat="1" ht="12.75">
      <c r="A5449" s="144"/>
      <c r="B5449" s="160"/>
    </row>
    <row r="5450" spans="1:2" s="161" customFormat="1" ht="12.75">
      <c r="A5450" s="144"/>
      <c r="B5450" s="160"/>
    </row>
    <row r="5451" spans="1:2" s="161" customFormat="1" ht="12.75">
      <c r="A5451" s="144"/>
      <c r="B5451" s="160"/>
    </row>
    <row r="5452" spans="1:2" s="161" customFormat="1" ht="12.75">
      <c r="A5452" s="144"/>
      <c r="B5452" s="160"/>
    </row>
    <row r="5453" spans="1:2" s="161" customFormat="1" ht="12.75">
      <c r="A5453" s="144"/>
      <c r="B5453" s="160"/>
    </row>
    <row r="5454" spans="1:2" s="161" customFormat="1" ht="12.75">
      <c r="A5454" s="144"/>
      <c r="B5454" s="160"/>
    </row>
    <row r="5455" spans="1:2" s="161" customFormat="1" ht="12.75">
      <c r="A5455" s="144"/>
      <c r="B5455" s="160"/>
    </row>
    <row r="5456" spans="1:2" s="161" customFormat="1" ht="12.75">
      <c r="A5456" s="144"/>
      <c r="B5456" s="160"/>
    </row>
    <row r="5457" spans="1:2" s="161" customFormat="1" ht="12.75">
      <c r="A5457" s="144"/>
      <c r="B5457" s="160"/>
    </row>
    <row r="5458" spans="1:2" s="161" customFormat="1" ht="12.75">
      <c r="A5458" s="144"/>
      <c r="B5458" s="160"/>
    </row>
    <row r="5459" spans="1:2" s="161" customFormat="1" ht="12.75">
      <c r="A5459" s="144"/>
      <c r="B5459" s="160"/>
    </row>
    <row r="5460" spans="1:2" s="161" customFormat="1" ht="12.75">
      <c r="A5460" s="144"/>
      <c r="B5460" s="160"/>
    </row>
    <row r="5461" spans="1:2" s="161" customFormat="1" ht="12.75">
      <c r="A5461" s="144"/>
      <c r="B5461" s="160"/>
    </row>
    <row r="5462" spans="1:2" s="161" customFormat="1" ht="12.75">
      <c r="A5462" s="144"/>
      <c r="B5462" s="160"/>
    </row>
    <row r="5463" spans="1:2" s="161" customFormat="1" ht="12.75">
      <c r="A5463" s="144"/>
      <c r="B5463" s="160"/>
    </row>
    <row r="5464" spans="1:2" s="161" customFormat="1" ht="12.75">
      <c r="A5464" s="144"/>
      <c r="B5464" s="160"/>
    </row>
    <row r="5465" spans="1:2" s="161" customFormat="1" ht="12.75">
      <c r="A5465" s="144"/>
      <c r="B5465" s="160"/>
    </row>
    <row r="5466" spans="1:2" s="161" customFormat="1" ht="12.75">
      <c r="A5466" s="144"/>
      <c r="B5466" s="160"/>
    </row>
    <row r="5467" spans="1:2" s="161" customFormat="1" ht="12.75">
      <c r="A5467" s="144"/>
      <c r="B5467" s="160"/>
    </row>
    <row r="5468" spans="1:2" s="161" customFormat="1" ht="12.75">
      <c r="A5468" s="144"/>
      <c r="B5468" s="160"/>
    </row>
    <row r="5469" spans="1:2" s="161" customFormat="1" ht="12.75">
      <c r="A5469" s="144"/>
      <c r="B5469" s="160"/>
    </row>
    <row r="5470" spans="1:2" s="161" customFormat="1" ht="12.75">
      <c r="A5470" s="144"/>
      <c r="B5470" s="160"/>
    </row>
    <row r="5471" spans="1:2" s="161" customFormat="1" ht="12.75">
      <c r="A5471" s="144"/>
      <c r="B5471" s="160"/>
    </row>
    <row r="5472" spans="1:2" s="161" customFormat="1" ht="12.75">
      <c r="A5472" s="144"/>
      <c r="B5472" s="160"/>
    </row>
    <row r="5473" spans="1:2" s="161" customFormat="1" ht="12.75">
      <c r="A5473" s="144"/>
      <c r="B5473" s="160"/>
    </row>
    <row r="5474" spans="1:2" s="161" customFormat="1" ht="12.75">
      <c r="A5474" s="144"/>
      <c r="B5474" s="160"/>
    </row>
    <row r="5475" spans="1:2" s="161" customFormat="1" ht="12.75">
      <c r="A5475" s="144"/>
      <c r="B5475" s="160"/>
    </row>
    <row r="5476" spans="1:2" s="161" customFormat="1" ht="12.75">
      <c r="A5476" s="144"/>
      <c r="B5476" s="160"/>
    </row>
    <row r="5477" spans="1:2" s="161" customFormat="1" ht="13.5" customHeight="1">
      <c r="A5477" s="144"/>
      <c r="B5477" s="160"/>
    </row>
    <row r="5478" spans="1:2" s="161" customFormat="1" ht="12.75">
      <c r="A5478" s="144"/>
      <c r="B5478" s="160"/>
    </row>
    <row r="5479" spans="1:2" s="161" customFormat="1" ht="12.75">
      <c r="A5479" s="144"/>
      <c r="B5479" s="160"/>
    </row>
    <row r="5480" spans="1:2" s="161" customFormat="1" ht="12.75">
      <c r="A5480" s="144"/>
      <c r="B5480" s="160"/>
    </row>
    <row r="5481" spans="1:2" s="161" customFormat="1" ht="12.75">
      <c r="A5481" s="144"/>
      <c r="B5481" s="160"/>
    </row>
    <row r="5482" spans="1:2" s="161" customFormat="1" ht="12.75">
      <c r="A5482" s="144"/>
      <c r="B5482" s="160"/>
    </row>
    <row r="5483" spans="1:2" s="161" customFormat="1" ht="12.75">
      <c r="A5483" s="144"/>
      <c r="B5483" s="160"/>
    </row>
    <row r="5484" spans="1:2" s="161" customFormat="1" ht="12.75">
      <c r="A5484" s="144"/>
      <c r="B5484" s="160"/>
    </row>
    <row r="5485" spans="1:2" s="161" customFormat="1" ht="12.75">
      <c r="A5485" s="144"/>
      <c r="B5485" s="160"/>
    </row>
    <row r="5486" spans="1:2" s="161" customFormat="1" ht="12.75">
      <c r="A5486" s="144"/>
      <c r="B5486" s="160"/>
    </row>
    <row r="5487" spans="1:2" s="161" customFormat="1" ht="12.75">
      <c r="A5487" s="144"/>
      <c r="B5487" s="160"/>
    </row>
    <row r="5488" spans="1:2" s="161" customFormat="1" ht="12.75">
      <c r="A5488" s="144"/>
      <c r="B5488" s="160"/>
    </row>
    <row r="5489" spans="1:2" s="161" customFormat="1" ht="12.75">
      <c r="A5489" s="144"/>
      <c r="B5489" s="160"/>
    </row>
    <row r="5490" spans="1:2" s="161" customFormat="1" ht="12.75">
      <c r="A5490" s="144"/>
      <c r="B5490" s="160"/>
    </row>
    <row r="5491" spans="1:2" s="161" customFormat="1" ht="12.75">
      <c r="A5491" s="144"/>
      <c r="B5491" s="160"/>
    </row>
    <row r="5492" spans="1:2" s="161" customFormat="1" ht="12.75">
      <c r="A5492" s="144"/>
      <c r="B5492" s="160"/>
    </row>
    <row r="5493" spans="1:2" s="161" customFormat="1" ht="12.75">
      <c r="A5493" s="144"/>
      <c r="B5493" s="160"/>
    </row>
    <row r="5494" spans="1:2" s="161" customFormat="1" ht="12.75">
      <c r="A5494" s="144"/>
      <c r="B5494" s="160"/>
    </row>
    <row r="5495" spans="1:2" s="161" customFormat="1" ht="12.75">
      <c r="A5495" s="144"/>
      <c r="B5495" s="160"/>
    </row>
    <row r="5496" spans="1:2" s="161" customFormat="1" ht="12.75">
      <c r="A5496" s="144"/>
      <c r="B5496" s="160"/>
    </row>
    <row r="5497" spans="1:2" s="161" customFormat="1" ht="12.75">
      <c r="A5497" s="144"/>
      <c r="B5497" s="160"/>
    </row>
    <row r="5498" spans="1:2" s="161" customFormat="1" ht="12.75">
      <c r="A5498" s="144"/>
      <c r="B5498" s="160"/>
    </row>
    <row r="5499" spans="1:2" s="161" customFormat="1" ht="12.75">
      <c r="A5499" s="144"/>
      <c r="B5499" s="160"/>
    </row>
    <row r="5500" spans="1:2" s="161" customFormat="1" ht="12.75">
      <c r="A5500" s="144"/>
      <c r="B5500" s="160"/>
    </row>
    <row r="5501" spans="1:2" s="161" customFormat="1" ht="12.75">
      <c r="A5501" s="144"/>
      <c r="B5501" s="160"/>
    </row>
    <row r="5502" spans="1:2" s="161" customFormat="1" ht="12.75">
      <c r="A5502" s="144"/>
      <c r="B5502" s="160"/>
    </row>
    <row r="5503" spans="1:2" s="161" customFormat="1" ht="12.75">
      <c r="A5503" s="144"/>
      <c r="B5503" s="160"/>
    </row>
    <row r="5504" spans="1:2" s="161" customFormat="1" ht="12.75">
      <c r="A5504" s="144"/>
      <c r="B5504" s="160"/>
    </row>
    <row r="5505" spans="1:2" s="161" customFormat="1" ht="12.75">
      <c r="A5505" s="144"/>
      <c r="B5505" s="160"/>
    </row>
    <row r="5506" spans="1:2" s="161" customFormat="1" ht="12.75">
      <c r="A5506" s="144"/>
      <c r="B5506" s="160"/>
    </row>
    <row r="5507" spans="1:2" s="161" customFormat="1" ht="12.75">
      <c r="A5507" s="144"/>
      <c r="B5507" s="160"/>
    </row>
    <row r="5508" spans="1:2" s="161" customFormat="1" ht="12.75">
      <c r="A5508" s="144"/>
      <c r="B5508" s="160"/>
    </row>
    <row r="5509" spans="1:2" s="161" customFormat="1" ht="12.75">
      <c r="A5509" s="144"/>
      <c r="B5509" s="160"/>
    </row>
    <row r="5510" spans="1:2" s="161" customFormat="1" ht="12.75">
      <c r="A5510" s="144"/>
      <c r="B5510" s="160"/>
    </row>
    <row r="5511" spans="1:2" s="161" customFormat="1" ht="12.75">
      <c r="A5511" s="144"/>
      <c r="B5511" s="160"/>
    </row>
    <row r="5512" spans="1:2" s="161" customFormat="1" ht="12.75">
      <c r="A5512" s="144"/>
      <c r="B5512" s="160"/>
    </row>
    <row r="5513" spans="1:2" s="161" customFormat="1" ht="12.75">
      <c r="A5513" s="144"/>
      <c r="B5513" s="160"/>
    </row>
    <row r="5514" spans="1:2" s="161" customFormat="1" ht="12.75">
      <c r="A5514" s="144"/>
      <c r="B5514" s="160"/>
    </row>
    <row r="5515" spans="1:2" s="161" customFormat="1" ht="12.75">
      <c r="A5515" s="144"/>
      <c r="B5515" s="160"/>
    </row>
    <row r="5516" spans="1:2" s="161" customFormat="1" ht="12.75">
      <c r="A5516" s="144"/>
      <c r="B5516" s="160"/>
    </row>
    <row r="5517" spans="1:2" s="161" customFormat="1" ht="12.75">
      <c r="A5517" s="144"/>
      <c r="B5517" s="160"/>
    </row>
    <row r="5518" spans="1:2" s="161" customFormat="1" ht="12.75">
      <c r="A5518" s="144"/>
      <c r="B5518" s="160"/>
    </row>
    <row r="5519" spans="1:2" s="161" customFormat="1" ht="12.75">
      <c r="A5519" s="144"/>
      <c r="B5519" s="160"/>
    </row>
    <row r="5520" spans="1:2" s="161" customFormat="1" ht="12.75">
      <c r="A5520" s="144"/>
      <c r="B5520" s="160"/>
    </row>
    <row r="5521" spans="1:2" s="161" customFormat="1" ht="12.75">
      <c r="A5521" s="144"/>
      <c r="B5521" s="160"/>
    </row>
    <row r="5522" spans="1:2" s="161" customFormat="1" ht="12.75">
      <c r="A5522" s="144"/>
      <c r="B5522" s="160"/>
    </row>
    <row r="5523" spans="1:2" s="161" customFormat="1" ht="12.75">
      <c r="A5523" s="144"/>
      <c r="B5523" s="160"/>
    </row>
    <row r="5524" spans="1:2" s="161" customFormat="1" ht="12.75">
      <c r="A5524" s="144"/>
      <c r="B5524" s="160"/>
    </row>
    <row r="5525" spans="1:2" s="161" customFormat="1" ht="12.75">
      <c r="A5525" s="144"/>
      <c r="B5525" s="160"/>
    </row>
    <row r="5526" spans="1:2" s="161" customFormat="1" ht="12.75">
      <c r="A5526" s="144"/>
      <c r="B5526" s="160"/>
    </row>
    <row r="5527" spans="1:2" s="161" customFormat="1" ht="12.75">
      <c r="A5527" s="144"/>
      <c r="B5527" s="160"/>
    </row>
    <row r="5528" spans="1:2" s="161" customFormat="1" ht="12.75">
      <c r="A5528" s="144"/>
      <c r="B5528" s="160"/>
    </row>
    <row r="5529" spans="1:2" s="161" customFormat="1" ht="12.75">
      <c r="A5529" s="144"/>
      <c r="B5529" s="160"/>
    </row>
    <row r="5530" spans="1:2" s="161" customFormat="1" ht="12.75">
      <c r="A5530" s="144"/>
      <c r="B5530" s="160"/>
    </row>
    <row r="5531" spans="1:2" s="161" customFormat="1" ht="12.75">
      <c r="A5531" s="144"/>
      <c r="B5531" s="160"/>
    </row>
    <row r="5532" spans="1:2" s="161" customFormat="1" ht="12.75">
      <c r="A5532" s="144"/>
      <c r="B5532" s="160"/>
    </row>
    <row r="5533" spans="1:2" s="161" customFormat="1" ht="12.75">
      <c r="A5533" s="144"/>
      <c r="B5533" s="160"/>
    </row>
    <row r="5534" spans="1:2" s="161" customFormat="1" ht="12.75">
      <c r="A5534" s="144"/>
      <c r="B5534" s="160"/>
    </row>
    <row r="5535" spans="1:2" s="161" customFormat="1" ht="12.75">
      <c r="A5535" s="144"/>
      <c r="B5535" s="160"/>
    </row>
    <row r="5536" spans="1:2" s="161" customFormat="1" ht="12.75">
      <c r="A5536" s="144"/>
      <c r="B5536" s="160"/>
    </row>
    <row r="5537" spans="1:2" s="161" customFormat="1" ht="12.75">
      <c r="A5537" s="144"/>
      <c r="B5537" s="160"/>
    </row>
    <row r="5538" spans="1:2" s="161" customFormat="1" ht="12.75">
      <c r="A5538" s="144"/>
      <c r="B5538" s="160"/>
    </row>
    <row r="5539" spans="1:2" s="161" customFormat="1" ht="12.75">
      <c r="A5539" s="144"/>
      <c r="B5539" s="160"/>
    </row>
    <row r="5540" spans="1:2" s="161" customFormat="1" ht="12.75">
      <c r="A5540" s="144"/>
      <c r="B5540" s="160"/>
    </row>
    <row r="5541" spans="1:2" s="161" customFormat="1" ht="12.75">
      <c r="A5541" s="144"/>
      <c r="B5541" s="160"/>
    </row>
    <row r="5542" spans="1:2" s="161" customFormat="1" ht="12.75">
      <c r="A5542" s="144"/>
      <c r="B5542" s="160"/>
    </row>
    <row r="5543" spans="1:2" s="161" customFormat="1" ht="12.75">
      <c r="A5543" s="144"/>
      <c r="B5543" s="160"/>
    </row>
    <row r="5544" spans="1:2" s="161" customFormat="1" ht="12.75">
      <c r="A5544" s="144"/>
      <c r="B5544" s="160"/>
    </row>
    <row r="5545" spans="1:2" s="161" customFormat="1" ht="12.75">
      <c r="A5545" s="144"/>
      <c r="B5545" s="160"/>
    </row>
    <row r="5546" spans="1:2" s="161" customFormat="1" ht="12.75">
      <c r="A5546" s="144"/>
      <c r="B5546" s="160"/>
    </row>
    <row r="5547" spans="1:2" s="161" customFormat="1" ht="12.75">
      <c r="A5547" s="144"/>
      <c r="B5547" s="160"/>
    </row>
    <row r="5548" spans="1:2" s="161" customFormat="1" ht="12.75">
      <c r="A5548" s="144"/>
      <c r="B5548" s="160"/>
    </row>
    <row r="5549" spans="1:2" s="161" customFormat="1" ht="12.75">
      <c r="A5549" s="144"/>
      <c r="B5549" s="160"/>
    </row>
    <row r="5550" spans="1:2" s="161" customFormat="1" ht="12.75">
      <c r="A5550" s="144"/>
      <c r="B5550" s="160"/>
    </row>
    <row r="5551" spans="1:2" s="161" customFormat="1" ht="12.75">
      <c r="A5551" s="144"/>
      <c r="B5551" s="160"/>
    </row>
    <row r="5552" spans="1:2" s="161" customFormat="1" ht="12.75">
      <c r="A5552" s="144"/>
      <c r="B5552" s="160"/>
    </row>
    <row r="5553" spans="1:2" s="161" customFormat="1" ht="12.75">
      <c r="A5553" s="144"/>
      <c r="B5553" s="160"/>
    </row>
    <row r="5554" spans="1:2" s="161" customFormat="1" ht="12.75">
      <c r="A5554" s="144"/>
      <c r="B5554" s="160"/>
    </row>
    <row r="5555" spans="1:2" s="161" customFormat="1" ht="12.75">
      <c r="A5555" s="144"/>
      <c r="B5555" s="160"/>
    </row>
    <row r="5556" spans="1:2" s="161" customFormat="1" ht="12.75">
      <c r="A5556" s="144"/>
      <c r="B5556" s="160"/>
    </row>
    <row r="5557" spans="1:2" s="161" customFormat="1" ht="12.75">
      <c r="A5557" s="144"/>
      <c r="B5557" s="160"/>
    </row>
    <row r="5558" spans="1:2" s="161" customFormat="1" ht="12.75">
      <c r="A5558" s="144"/>
      <c r="B5558" s="160"/>
    </row>
    <row r="5559" spans="1:2" s="161" customFormat="1" ht="12.75">
      <c r="A5559" s="144"/>
      <c r="B5559" s="160"/>
    </row>
    <row r="5560" spans="1:2" s="161" customFormat="1" ht="12.75">
      <c r="A5560" s="144"/>
      <c r="B5560" s="160"/>
    </row>
    <row r="5561" spans="1:2" s="161" customFormat="1" ht="12.75">
      <c r="A5561" s="144"/>
      <c r="B5561" s="160"/>
    </row>
    <row r="5562" spans="1:2" s="161" customFormat="1" ht="12.75">
      <c r="A5562" s="144"/>
      <c r="B5562" s="160"/>
    </row>
    <row r="5563" spans="1:2" s="161" customFormat="1" ht="12.75">
      <c r="A5563" s="144"/>
      <c r="B5563" s="160"/>
    </row>
    <row r="5564" spans="1:2" s="161" customFormat="1" ht="12.75">
      <c r="A5564" s="144"/>
      <c r="B5564" s="160"/>
    </row>
    <row r="5565" spans="1:2" s="161" customFormat="1" ht="12.75">
      <c r="A5565" s="144"/>
      <c r="B5565" s="160"/>
    </row>
    <row r="5566" spans="1:2" s="161" customFormat="1" ht="12.75">
      <c r="A5566" s="144"/>
      <c r="B5566" s="160"/>
    </row>
    <row r="5567" spans="1:2" s="161" customFormat="1" ht="12.75">
      <c r="A5567" s="144"/>
      <c r="B5567" s="160"/>
    </row>
    <row r="5568" spans="1:2" s="161" customFormat="1" ht="12.75">
      <c r="A5568" s="144"/>
      <c r="B5568" s="160"/>
    </row>
    <row r="5569" spans="1:2" s="161" customFormat="1" ht="12.75">
      <c r="A5569" s="144"/>
      <c r="B5569" s="160"/>
    </row>
    <row r="5570" spans="1:2" s="161" customFormat="1" ht="12.75">
      <c r="A5570" s="144"/>
      <c r="B5570" s="160"/>
    </row>
    <row r="5571" spans="1:2" s="161" customFormat="1" ht="12.75">
      <c r="A5571" s="144"/>
      <c r="B5571" s="160"/>
    </row>
    <row r="5572" spans="1:2" s="161" customFormat="1" ht="12.75">
      <c r="A5572" s="144"/>
      <c r="B5572" s="160"/>
    </row>
    <row r="5573" spans="1:2" s="161" customFormat="1" ht="12.75">
      <c r="A5573" s="144"/>
      <c r="B5573" s="160"/>
    </row>
    <row r="5574" spans="1:2" s="161" customFormat="1" ht="12.75">
      <c r="A5574" s="144"/>
      <c r="B5574" s="160"/>
    </row>
    <row r="5575" spans="1:2" s="161" customFormat="1" ht="12.75">
      <c r="A5575" s="144"/>
      <c r="B5575" s="160"/>
    </row>
    <row r="5576" spans="1:2" s="161" customFormat="1" ht="12.75">
      <c r="A5576" s="144"/>
      <c r="B5576" s="160"/>
    </row>
    <row r="5577" spans="1:2" s="161" customFormat="1" ht="12.75">
      <c r="A5577" s="144"/>
      <c r="B5577" s="160"/>
    </row>
    <row r="5578" spans="1:2" s="161" customFormat="1" ht="12.75">
      <c r="A5578" s="144"/>
      <c r="B5578" s="160"/>
    </row>
    <row r="5579" spans="1:2" s="161" customFormat="1" ht="12.75">
      <c r="A5579" s="144"/>
      <c r="B5579" s="160"/>
    </row>
    <row r="5580" spans="1:2" s="161" customFormat="1" ht="12.75">
      <c r="A5580" s="144"/>
      <c r="B5580" s="160"/>
    </row>
    <row r="5581" spans="1:2" s="161" customFormat="1" ht="12.75">
      <c r="A5581" s="144"/>
      <c r="B5581" s="160"/>
    </row>
    <row r="5582" spans="1:2" s="161" customFormat="1" ht="12.75">
      <c r="A5582" s="144"/>
      <c r="B5582" s="160"/>
    </row>
    <row r="5583" spans="1:2" s="161" customFormat="1" ht="12.75">
      <c r="A5583" s="144"/>
      <c r="B5583" s="160"/>
    </row>
    <row r="5584" spans="1:2" s="161" customFormat="1" ht="12.75">
      <c r="A5584" s="144"/>
      <c r="B5584" s="160"/>
    </row>
    <row r="5585" spans="1:2" s="161" customFormat="1" ht="12.75">
      <c r="A5585" s="144"/>
      <c r="B5585" s="160"/>
    </row>
    <row r="5586" spans="1:2" s="161" customFormat="1" ht="12.75">
      <c r="A5586" s="144"/>
      <c r="B5586" s="160"/>
    </row>
    <row r="5587" spans="1:2" s="161" customFormat="1" ht="12.75">
      <c r="A5587" s="144"/>
      <c r="B5587" s="160"/>
    </row>
    <row r="5588" spans="1:2" s="161" customFormat="1" ht="12.75">
      <c r="A5588" s="144"/>
      <c r="B5588" s="160"/>
    </row>
    <row r="5589" spans="1:2" s="161" customFormat="1" ht="12.75">
      <c r="A5589" s="144"/>
      <c r="B5589" s="160"/>
    </row>
    <row r="5590" spans="1:2" s="161" customFormat="1" ht="12.75">
      <c r="A5590" s="144"/>
      <c r="B5590" s="160"/>
    </row>
    <row r="5591" spans="1:2" s="161" customFormat="1" ht="12.75">
      <c r="A5591" s="144"/>
      <c r="B5591" s="160"/>
    </row>
    <row r="5592" spans="1:2" s="161" customFormat="1" ht="12.75">
      <c r="A5592" s="144"/>
      <c r="B5592" s="160"/>
    </row>
    <row r="5593" spans="1:2" s="161" customFormat="1" ht="12.75">
      <c r="A5593" s="144"/>
      <c r="B5593" s="160"/>
    </row>
    <row r="5594" spans="1:2" s="161" customFormat="1" ht="12.75">
      <c r="A5594" s="144"/>
      <c r="B5594" s="160"/>
    </row>
    <row r="5595" spans="1:2" s="161" customFormat="1" ht="12.75">
      <c r="A5595" s="144"/>
      <c r="B5595" s="160"/>
    </row>
    <row r="5596" spans="1:2" s="161" customFormat="1" ht="12.75">
      <c r="A5596" s="144"/>
      <c r="B5596" s="160"/>
    </row>
    <row r="5597" spans="1:2" s="161" customFormat="1" ht="12.75">
      <c r="A5597" s="144"/>
      <c r="B5597" s="160"/>
    </row>
    <row r="5598" spans="1:2" s="161" customFormat="1" ht="12.75">
      <c r="A5598" s="144"/>
      <c r="B5598" s="160"/>
    </row>
    <row r="5599" spans="1:2" s="161" customFormat="1" ht="12.75">
      <c r="A5599" s="144"/>
      <c r="B5599" s="160"/>
    </row>
    <row r="5600" spans="1:2" s="161" customFormat="1" ht="12.75">
      <c r="A5600" s="144"/>
      <c r="B5600" s="160"/>
    </row>
    <row r="5601" spans="1:2" s="161" customFormat="1" ht="12.75">
      <c r="A5601" s="144"/>
      <c r="B5601" s="160"/>
    </row>
    <row r="5602" spans="1:2" s="161" customFormat="1" ht="12.75">
      <c r="A5602" s="144"/>
      <c r="B5602" s="160"/>
    </row>
    <row r="5603" spans="1:2" s="161" customFormat="1" ht="12.75">
      <c r="A5603" s="144"/>
      <c r="B5603" s="160"/>
    </row>
    <row r="5604" spans="1:2" s="161" customFormat="1" ht="12.75">
      <c r="A5604" s="144"/>
      <c r="B5604" s="160"/>
    </row>
    <row r="5605" spans="1:2" s="161" customFormat="1" ht="12.75">
      <c r="A5605" s="144"/>
      <c r="B5605" s="160"/>
    </row>
    <row r="5606" spans="1:2" s="161" customFormat="1" ht="12.75">
      <c r="A5606" s="144"/>
      <c r="B5606" s="160"/>
    </row>
    <row r="5607" spans="1:2" s="161" customFormat="1" ht="12.75">
      <c r="A5607" s="144"/>
      <c r="B5607" s="160"/>
    </row>
    <row r="5608" spans="1:2" s="161" customFormat="1" ht="12.75">
      <c r="A5608" s="144"/>
      <c r="B5608" s="160"/>
    </row>
    <row r="5609" spans="1:2" s="161" customFormat="1" ht="12.75">
      <c r="A5609" s="144"/>
      <c r="B5609" s="160"/>
    </row>
    <row r="5610" spans="1:2" s="161" customFormat="1" ht="12.75">
      <c r="A5610" s="144"/>
      <c r="B5610" s="160"/>
    </row>
    <row r="5611" spans="1:2" s="161" customFormat="1" ht="12.75">
      <c r="A5611" s="144"/>
      <c r="B5611" s="160"/>
    </row>
    <row r="5612" spans="1:2" s="161" customFormat="1" ht="12.75">
      <c r="A5612" s="144"/>
      <c r="B5612" s="160"/>
    </row>
    <row r="5613" spans="1:2" s="161" customFormat="1" ht="12.75">
      <c r="A5613" s="144"/>
      <c r="B5613" s="160"/>
    </row>
    <row r="5614" spans="1:2" s="161" customFormat="1" ht="12.75">
      <c r="A5614" s="144"/>
      <c r="B5614" s="160"/>
    </row>
    <row r="5615" spans="1:2" s="161" customFormat="1" ht="12.75">
      <c r="A5615" s="144"/>
      <c r="B5615" s="160"/>
    </row>
    <row r="5616" spans="1:2" s="161" customFormat="1" ht="12.75">
      <c r="A5616" s="144"/>
      <c r="B5616" s="160"/>
    </row>
    <row r="5617" spans="1:2" s="161" customFormat="1" ht="12.75">
      <c r="A5617" s="144"/>
      <c r="B5617" s="160"/>
    </row>
    <row r="5618" spans="1:2" s="161" customFormat="1" ht="12.75">
      <c r="A5618" s="144"/>
      <c r="B5618" s="160"/>
    </row>
    <row r="5619" spans="1:2" s="161" customFormat="1" ht="12.75">
      <c r="A5619" s="144"/>
      <c r="B5619" s="160"/>
    </row>
    <row r="5620" spans="1:2" s="161" customFormat="1" ht="12.75">
      <c r="A5620" s="144"/>
      <c r="B5620" s="160"/>
    </row>
    <row r="5621" spans="1:2" s="161" customFormat="1" ht="12.75">
      <c r="A5621" s="144"/>
      <c r="B5621" s="160"/>
    </row>
    <row r="5622" spans="1:2" s="161" customFormat="1" ht="12.75">
      <c r="A5622" s="144"/>
      <c r="B5622" s="160"/>
    </row>
    <row r="5623" spans="1:2" s="161" customFormat="1" ht="12.75">
      <c r="A5623" s="144"/>
      <c r="B5623" s="160"/>
    </row>
    <row r="5624" spans="1:2" s="161" customFormat="1" ht="12.75">
      <c r="A5624" s="144"/>
      <c r="B5624" s="160"/>
    </row>
    <row r="5625" spans="1:2" s="161" customFormat="1" ht="12.75">
      <c r="A5625" s="144"/>
      <c r="B5625" s="160"/>
    </row>
    <row r="5626" spans="1:2" s="161" customFormat="1" ht="12.75">
      <c r="A5626" s="144"/>
      <c r="B5626" s="160"/>
    </row>
    <row r="5627" spans="1:2" s="161" customFormat="1" ht="12.75">
      <c r="A5627" s="144"/>
      <c r="B5627" s="160"/>
    </row>
    <row r="5628" spans="1:2" s="161" customFormat="1" ht="12.75">
      <c r="A5628" s="144"/>
      <c r="B5628" s="160"/>
    </row>
    <row r="5629" spans="1:2" s="161" customFormat="1" ht="12.75">
      <c r="A5629" s="144"/>
      <c r="B5629" s="160"/>
    </row>
    <row r="5630" spans="1:2" s="161" customFormat="1" ht="12.75">
      <c r="A5630" s="144"/>
      <c r="B5630" s="160"/>
    </row>
    <row r="5631" spans="1:2" s="161" customFormat="1" ht="12.75">
      <c r="A5631" s="144"/>
      <c r="B5631" s="160"/>
    </row>
    <row r="5632" spans="1:2" s="161" customFormat="1" ht="12.75">
      <c r="A5632" s="144"/>
      <c r="B5632" s="160"/>
    </row>
    <row r="5633" spans="1:2" s="161" customFormat="1" ht="12.75">
      <c r="A5633" s="144"/>
      <c r="B5633" s="160"/>
    </row>
    <row r="5634" spans="1:2" s="161" customFormat="1" ht="12.75">
      <c r="A5634" s="144"/>
      <c r="B5634" s="160"/>
    </row>
    <row r="5635" spans="1:2" s="161" customFormat="1" ht="12.75">
      <c r="A5635" s="144"/>
      <c r="B5635" s="160"/>
    </row>
    <row r="5636" spans="1:2" s="161" customFormat="1" ht="12.75">
      <c r="A5636" s="144"/>
      <c r="B5636" s="160"/>
    </row>
    <row r="5637" spans="1:2" s="161" customFormat="1" ht="12.75">
      <c r="A5637" s="144"/>
      <c r="B5637" s="160"/>
    </row>
    <row r="5638" spans="1:2" s="161" customFormat="1" ht="12.75">
      <c r="A5638" s="144"/>
      <c r="B5638" s="160"/>
    </row>
    <row r="5639" spans="1:2" s="161" customFormat="1" ht="12.75">
      <c r="A5639" s="144"/>
      <c r="B5639" s="160"/>
    </row>
    <row r="5640" spans="1:2" s="161" customFormat="1" ht="12.75">
      <c r="A5640" s="144"/>
      <c r="B5640" s="160"/>
    </row>
    <row r="5641" spans="1:2" s="161" customFormat="1" ht="12.75">
      <c r="A5641" s="144"/>
      <c r="B5641" s="160"/>
    </row>
    <row r="5642" spans="1:2" s="161" customFormat="1" ht="12.75">
      <c r="A5642" s="144"/>
      <c r="B5642" s="160"/>
    </row>
    <row r="5643" spans="1:2" s="161" customFormat="1" ht="12.75">
      <c r="A5643" s="144"/>
      <c r="B5643" s="160"/>
    </row>
    <row r="5644" spans="1:2" s="161" customFormat="1" ht="12.75">
      <c r="A5644" s="144"/>
      <c r="B5644" s="160"/>
    </row>
    <row r="5645" spans="1:2" s="161" customFormat="1" ht="12.75">
      <c r="A5645" s="144"/>
      <c r="B5645" s="160"/>
    </row>
    <row r="5646" spans="1:2" s="161" customFormat="1" ht="12.75">
      <c r="A5646" s="144"/>
      <c r="B5646" s="160"/>
    </row>
    <row r="5647" spans="1:2" s="161" customFormat="1" ht="12.75">
      <c r="A5647" s="144"/>
      <c r="B5647" s="160"/>
    </row>
    <row r="5648" spans="1:2" s="161" customFormat="1" ht="12.75">
      <c r="A5648" s="144"/>
      <c r="B5648" s="160"/>
    </row>
    <row r="5649" spans="1:2" s="161" customFormat="1" ht="12.75">
      <c r="A5649" s="144"/>
      <c r="B5649" s="160"/>
    </row>
    <row r="5650" spans="1:2" s="161" customFormat="1" ht="12.75">
      <c r="A5650" s="144"/>
      <c r="B5650" s="160"/>
    </row>
    <row r="5651" spans="1:2" s="161" customFormat="1" ht="12.75">
      <c r="A5651" s="144"/>
      <c r="B5651" s="160"/>
    </row>
    <row r="5652" spans="1:2" s="161" customFormat="1" ht="12.75">
      <c r="A5652" s="144"/>
      <c r="B5652" s="160"/>
    </row>
    <row r="5653" spans="1:2" s="161" customFormat="1" ht="12.75">
      <c r="A5653" s="144"/>
      <c r="B5653" s="160"/>
    </row>
    <row r="5654" spans="1:2" s="161" customFormat="1" ht="12.75">
      <c r="A5654" s="144"/>
      <c r="B5654" s="160"/>
    </row>
    <row r="5655" spans="1:2" s="161" customFormat="1" ht="12.75">
      <c r="A5655" s="144"/>
      <c r="B5655" s="160"/>
    </row>
    <row r="5656" spans="1:2" s="161" customFormat="1" ht="12.75">
      <c r="A5656" s="144"/>
      <c r="B5656" s="160"/>
    </row>
    <row r="5657" spans="1:2" s="161" customFormat="1" ht="12.75">
      <c r="A5657" s="144"/>
      <c r="B5657" s="160"/>
    </row>
    <row r="5658" spans="1:2" s="161" customFormat="1" ht="12.75">
      <c r="A5658" s="144"/>
      <c r="B5658" s="160"/>
    </row>
    <row r="5659" spans="1:2" s="161" customFormat="1" ht="12.75">
      <c r="A5659" s="144"/>
      <c r="B5659" s="160"/>
    </row>
    <row r="5660" spans="1:2" s="161" customFormat="1" ht="12.75">
      <c r="A5660" s="144"/>
      <c r="B5660" s="160"/>
    </row>
    <row r="5661" spans="1:2" s="161" customFormat="1" ht="12.75">
      <c r="A5661" s="144"/>
      <c r="B5661" s="160"/>
    </row>
    <row r="5662" spans="1:2" s="161" customFormat="1" ht="12.75">
      <c r="A5662" s="144"/>
      <c r="B5662" s="160"/>
    </row>
    <row r="5663" spans="1:2" s="161" customFormat="1" ht="12.75">
      <c r="A5663" s="144"/>
      <c r="B5663" s="160"/>
    </row>
    <row r="5664" spans="1:2" s="161" customFormat="1" ht="12.75">
      <c r="A5664" s="144"/>
      <c r="B5664" s="160"/>
    </row>
    <row r="5665" spans="1:2" s="161" customFormat="1" ht="12.75">
      <c r="A5665" s="144"/>
      <c r="B5665" s="160"/>
    </row>
    <row r="5666" spans="1:2" s="161" customFormat="1" ht="12.75">
      <c r="A5666" s="144"/>
      <c r="B5666" s="160"/>
    </row>
    <row r="5667" spans="1:2" s="161" customFormat="1" ht="12.75">
      <c r="A5667" s="144"/>
      <c r="B5667" s="160"/>
    </row>
    <row r="5668" spans="1:2" s="161" customFormat="1" ht="12.75">
      <c r="A5668" s="144"/>
      <c r="B5668" s="160"/>
    </row>
    <row r="5669" spans="1:2" s="161" customFormat="1" ht="12.75">
      <c r="A5669" s="144"/>
      <c r="B5669" s="160"/>
    </row>
    <row r="5670" spans="1:2" s="161" customFormat="1" ht="12.75">
      <c r="A5670" s="144"/>
      <c r="B5670" s="160"/>
    </row>
    <row r="5671" spans="1:2" s="161" customFormat="1" ht="12.75">
      <c r="A5671" s="144"/>
      <c r="B5671" s="160"/>
    </row>
    <row r="5672" spans="1:2" s="161" customFormat="1" ht="12.75">
      <c r="A5672" s="144"/>
      <c r="B5672" s="160"/>
    </row>
    <row r="5673" spans="1:2" s="161" customFormat="1" ht="12.75">
      <c r="A5673" s="144"/>
      <c r="B5673" s="160"/>
    </row>
    <row r="5674" spans="1:2" s="161" customFormat="1" ht="12.75">
      <c r="A5674" s="144"/>
      <c r="B5674" s="160"/>
    </row>
    <row r="5675" spans="1:2" s="161" customFormat="1" ht="12.75">
      <c r="A5675" s="144"/>
      <c r="B5675" s="160"/>
    </row>
    <row r="5676" spans="1:2" s="161" customFormat="1" ht="12.75">
      <c r="A5676" s="144"/>
      <c r="B5676" s="160"/>
    </row>
    <row r="5677" spans="1:2" s="161" customFormat="1" ht="12.75">
      <c r="A5677" s="144"/>
      <c r="B5677" s="160"/>
    </row>
    <row r="5678" spans="1:2" s="161" customFormat="1" ht="12.75">
      <c r="A5678" s="144"/>
      <c r="B5678" s="160"/>
    </row>
    <row r="5679" spans="1:2" s="161" customFormat="1" ht="12.75">
      <c r="A5679" s="144"/>
      <c r="B5679" s="160"/>
    </row>
    <row r="5680" spans="1:2" s="161" customFormat="1" ht="12.75">
      <c r="A5680" s="144"/>
      <c r="B5680" s="160"/>
    </row>
    <row r="5681" spans="1:2" s="161" customFormat="1" ht="12.75">
      <c r="A5681" s="144"/>
      <c r="B5681" s="160"/>
    </row>
    <row r="5682" spans="1:2" s="161" customFormat="1" ht="12.75">
      <c r="A5682" s="144"/>
      <c r="B5682" s="160"/>
    </row>
    <row r="5683" spans="1:2" s="161" customFormat="1" ht="12.75">
      <c r="A5683" s="144"/>
      <c r="B5683" s="160"/>
    </row>
    <row r="5684" spans="1:2" s="161" customFormat="1" ht="12.75">
      <c r="A5684" s="144"/>
      <c r="B5684" s="160"/>
    </row>
    <row r="5685" spans="1:2" s="161" customFormat="1" ht="12.75">
      <c r="A5685" s="144"/>
      <c r="B5685" s="160"/>
    </row>
    <row r="5686" spans="1:2" s="161" customFormat="1" ht="12.75">
      <c r="A5686" s="144"/>
      <c r="B5686" s="160"/>
    </row>
    <row r="5687" spans="1:2" s="161" customFormat="1" ht="12.75">
      <c r="A5687" s="144"/>
      <c r="B5687" s="160"/>
    </row>
    <row r="5688" spans="1:2" s="161" customFormat="1" ht="12.75">
      <c r="A5688" s="144"/>
      <c r="B5688" s="160"/>
    </row>
    <row r="5689" spans="1:2" s="161" customFormat="1" ht="12.75">
      <c r="A5689" s="144"/>
      <c r="B5689" s="160"/>
    </row>
    <row r="5690" spans="1:2" s="161" customFormat="1" ht="12.75">
      <c r="A5690" s="144"/>
      <c r="B5690" s="160"/>
    </row>
    <row r="5691" spans="1:2" s="161" customFormat="1" ht="12.75">
      <c r="A5691" s="144"/>
      <c r="B5691" s="160"/>
    </row>
    <row r="5692" spans="1:2" s="161" customFormat="1" ht="12.75">
      <c r="A5692" s="144"/>
      <c r="B5692" s="160"/>
    </row>
    <row r="5693" spans="1:2" s="161" customFormat="1" ht="12.75">
      <c r="A5693" s="144"/>
      <c r="B5693" s="160"/>
    </row>
    <row r="5694" spans="1:2" s="161" customFormat="1" ht="12.75">
      <c r="A5694" s="144"/>
      <c r="B5694" s="160"/>
    </row>
    <row r="5695" spans="1:2" s="161" customFormat="1" ht="12.75">
      <c r="A5695" s="144"/>
      <c r="B5695" s="160"/>
    </row>
    <row r="5696" spans="1:2" s="161" customFormat="1" ht="12.75">
      <c r="A5696" s="144"/>
      <c r="B5696" s="160"/>
    </row>
    <row r="5697" spans="1:2" s="161" customFormat="1" ht="12.75">
      <c r="A5697" s="144"/>
      <c r="B5697" s="160"/>
    </row>
    <row r="5698" spans="1:2" s="161" customFormat="1" ht="12.75">
      <c r="A5698" s="144"/>
      <c r="B5698" s="160"/>
    </row>
    <row r="5699" spans="1:2" s="161" customFormat="1" ht="12.75">
      <c r="A5699" s="144"/>
      <c r="B5699" s="160"/>
    </row>
    <row r="5700" spans="1:2" s="161" customFormat="1" ht="12.75">
      <c r="A5700" s="144"/>
      <c r="B5700" s="160"/>
    </row>
    <row r="5701" spans="1:2" s="161" customFormat="1" ht="12.75">
      <c r="A5701" s="144"/>
      <c r="B5701" s="160"/>
    </row>
    <row r="5702" spans="1:2" s="161" customFormat="1" ht="12.75">
      <c r="A5702" s="144"/>
      <c r="B5702" s="160"/>
    </row>
    <row r="5703" spans="1:2" s="161" customFormat="1" ht="12.75">
      <c r="A5703" s="144"/>
      <c r="B5703" s="160"/>
    </row>
    <row r="5704" spans="1:2" s="161" customFormat="1" ht="12.75">
      <c r="A5704" s="144"/>
      <c r="B5704" s="160"/>
    </row>
    <row r="5705" spans="1:2" s="161" customFormat="1" ht="12.75">
      <c r="A5705" s="144"/>
      <c r="B5705" s="160"/>
    </row>
    <row r="5706" spans="1:2" s="161" customFormat="1" ht="12.75">
      <c r="A5706" s="144"/>
      <c r="B5706" s="160"/>
    </row>
    <row r="5707" spans="1:2" s="161" customFormat="1" ht="12.75">
      <c r="A5707" s="144"/>
      <c r="B5707" s="160"/>
    </row>
    <row r="5708" spans="1:2" s="161" customFormat="1" ht="12.75">
      <c r="A5708" s="144"/>
      <c r="B5708" s="160"/>
    </row>
    <row r="5709" spans="1:2" s="161" customFormat="1" ht="12.75">
      <c r="A5709" s="144"/>
      <c r="B5709" s="160"/>
    </row>
    <row r="5710" spans="1:2" s="161" customFormat="1" ht="12.75">
      <c r="A5710" s="144"/>
      <c r="B5710" s="160"/>
    </row>
    <row r="5711" spans="1:2" s="161" customFormat="1" ht="12.75">
      <c r="A5711" s="144"/>
      <c r="B5711" s="160"/>
    </row>
    <row r="5712" spans="1:2" s="161" customFormat="1" ht="12.75">
      <c r="A5712" s="144"/>
      <c r="B5712" s="160"/>
    </row>
    <row r="5713" spans="1:2" s="161" customFormat="1" ht="12.75">
      <c r="A5713" s="144"/>
      <c r="B5713" s="160"/>
    </row>
    <row r="5714" spans="1:2" s="161" customFormat="1" ht="12.75">
      <c r="A5714" s="144"/>
      <c r="B5714" s="160"/>
    </row>
    <row r="5715" spans="1:2" s="161" customFormat="1" ht="12.75">
      <c r="A5715" s="144"/>
      <c r="B5715" s="160"/>
    </row>
    <row r="5716" spans="1:2" s="161" customFormat="1" ht="12.75">
      <c r="A5716" s="144"/>
      <c r="B5716" s="160"/>
    </row>
    <row r="5717" spans="1:2" s="161" customFormat="1" ht="12.75">
      <c r="A5717" s="144"/>
      <c r="B5717" s="160"/>
    </row>
    <row r="5718" spans="1:2" s="161" customFormat="1" ht="12.75">
      <c r="A5718" s="144"/>
      <c r="B5718" s="160"/>
    </row>
    <row r="5719" spans="1:2" s="161" customFormat="1" ht="12.75">
      <c r="A5719" s="144"/>
      <c r="B5719" s="160"/>
    </row>
    <row r="5720" spans="1:2" s="161" customFormat="1" ht="12.75">
      <c r="A5720" s="144"/>
      <c r="B5720" s="160"/>
    </row>
    <row r="5721" spans="1:2" s="161" customFormat="1" ht="12.75">
      <c r="A5721" s="144"/>
      <c r="B5721" s="160"/>
    </row>
    <row r="5722" spans="1:2" s="161" customFormat="1" ht="12.75">
      <c r="A5722" s="144"/>
      <c r="B5722" s="160"/>
    </row>
    <row r="5723" spans="1:2" s="161" customFormat="1" ht="12.75">
      <c r="A5723" s="144"/>
      <c r="B5723" s="160"/>
    </row>
    <row r="5724" spans="1:2" s="161" customFormat="1" ht="12.75">
      <c r="A5724" s="144"/>
      <c r="B5724" s="160"/>
    </row>
    <row r="5725" spans="1:2" s="161" customFormat="1" ht="12.75">
      <c r="A5725" s="144"/>
      <c r="B5725" s="160"/>
    </row>
    <row r="5726" spans="1:2" s="161" customFormat="1" ht="12.75">
      <c r="A5726" s="144"/>
      <c r="B5726" s="160"/>
    </row>
    <row r="5727" spans="1:2" s="161" customFormat="1" ht="12.75">
      <c r="A5727" s="144"/>
      <c r="B5727" s="160"/>
    </row>
    <row r="5728" spans="1:2" s="161" customFormat="1" ht="12.75">
      <c r="A5728" s="144"/>
      <c r="B5728" s="160"/>
    </row>
    <row r="5729" spans="1:2" s="161" customFormat="1" ht="12.75">
      <c r="A5729" s="144"/>
      <c r="B5729" s="160"/>
    </row>
    <row r="5730" spans="1:2" s="161" customFormat="1" ht="12.75">
      <c r="A5730" s="144"/>
      <c r="B5730" s="160"/>
    </row>
    <row r="5731" spans="1:2" s="161" customFormat="1" ht="12.75">
      <c r="A5731" s="144"/>
      <c r="B5731" s="160"/>
    </row>
    <row r="5732" spans="1:2" s="161" customFormat="1" ht="12.75">
      <c r="A5732" s="144"/>
      <c r="B5732" s="160"/>
    </row>
    <row r="5733" spans="1:2" s="161" customFormat="1" ht="12.75">
      <c r="A5733" s="144"/>
      <c r="B5733" s="160"/>
    </row>
    <row r="5734" spans="1:2" s="161" customFormat="1" ht="12.75">
      <c r="A5734" s="144"/>
      <c r="B5734" s="160"/>
    </row>
    <row r="5735" spans="1:2" s="161" customFormat="1" ht="12.75">
      <c r="A5735" s="144"/>
      <c r="B5735" s="160"/>
    </row>
    <row r="5736" spans="1:2" s="161" customFormat="1" ht="12.75">
      <c r="A5736" s="144"/>
      <c r="B5736" s="160"/>
    </row>
    <row r="5737" spans="1:2" s="161" customFormat="1" ht="12.75">
      <c r="A5737" s="144"/>
      <c r="B5737" s="160"/>
    </row>
    <row r="5738" spans="1:2" s="161" customFormat="1" ht="12.75">
      <c r="A5738" s="144"/>
      <c r="B5738" s="160"/>
    </row>
    <row r="5739" spans="1:2" s="161" customFormat="1" ht="12.75">
      <c r="A5739" s="144"/>
      <c r="B5739" s="160"/>
    </row>
    <row r="5740" spans="1:2" s="161" customFormat="1" ht="12.75">
      <c r="A5740" s="144"/>
      <c r="B5740" s="160"/>
    </row>
    <row r="5741" spans="1:2" s="161" customFormat="1" ht="12.75">
      <c r="A5741" s="144"/>
      <c r="B5741" s="160"/>
    </row>
    <row r="5742" spans="1:2" s="161" customFormat="1" ht="12.75">
      <c r="A5742" s="144"/>
      <c r="B5742" s="160"/>
    </row>
    <row r="5743" spans="1:2" s="161" customFormat="1" ht="12.75">
      <c r="A5743" s="144"/>
      <c r="B5743" s="160"/>
    </row>
    <row r="5744" spans="1:2" s="161" customFormat="1" ht="12.75">
      <c r="A5744" s="144"/>
      <c r="B5744" s="160"/>
    </row>
    <row r="5745" spans="1:2" s="161" customFormat="1" ht="12.75">
      <c r="A5745" s="144"/>
      <c r="B5745" s="160"/>
    </row>
    <row r="5746" spans="1:2" s="161" customFormat="1" ht="12.75">
      <c r="A5746" s="144"/>
      <c r="B5746" s="160"/>
    </row>
    <row r="5747" spans="1:2" s="161" customFormat="1" ht="13.5" customHeight="1">
      <c r="A5747" s="144"/>
      <c r="B5747" s="160"/>
    </row>
    <row r="5748" spans="1:2" s="161" customFormat="1" ht="12.75">
      <c r="A5748" s="144"/>
      <c r="B5748" s="160"/>
    </row>
    <row r="5749" spans="1:2" s="161" customFormat="1" ht="12.75">
      <c r="A5749" s="144"/>
      <c r="B5749" s="160"/>
    </row>
    <row r="5750" spans="1:2" s="161" customFormat="1" ht="12.75">
      <c r="A5750" s="144"/>
      <c r="B5750" s="160"/>
    </row>
    <row r="5751" spans="1:2" s="161" customFormat="1" ht="12.75">
      <c r="A5751" s="144"/>
      <c r="B5751" s="160"/>
    </row>
    <row r="5752" spans="1:2" s="161" customFormat="1" ht="12.75">
      <c r="A5752" s="144"/>
      <c r="B5752" s="160"/>
    </row>
    <row r="5753" spans="1:2" s="161" customFormat="1" ht="12.75">
      <c r="A5753" s="144"/>
      <c r="B5753" s="160"/>
    </row>
    <row r="5754" spans="1:2" s="161" customFormat="1" ht="12.75">
      <c r="A5754" s="144"/>
      <c r="B5754" s="160"/>
    </row>
    <row r="5755" spans="1:2" s="161" customFormat="1" ht="12.75">
      <c r="A5755" s="144"/>
      <c r="B5755" s="160"/>
    </row>
    <row r="5756" spans="1:2" s="161" customFormat="1" ht="12.75">
      <c r="A5756" s="144"/>
      <c r="B5756" s="160"/>
    </row>
    <row r="5757" spans="1:2" s="161" customFormat="1" ht="12.75">
      <c r="A5757" s="144"/>
      <c r="B5757" s="160"/>
    </row>
    <row r="5758" spans="1:2" s="161" customFormat="1" ht="12.75">
      <c r="A5758" s="144"/>
      <c r="B5758" s="160"/>
    </row>
    <row r="5759" spans="1:2" s="161" customFormat="1" ht="12.75">
      <c r="A5759" s="144"/>
      <c r="B5759" s="160"/>
    </row>
    <row r="5760" spans="1:2" s="161" customFormat="1" ht="12.75">
      <c r="A5760" s="144"/>
      <c r="B5760" s="160"/>
    </row>
    <row r="5761" spans="1:2" s="161" customFormat="1" ht="12.75">
      <c r="A5761" s="144"/>
      <c r="B5761" s="160"/>
    </row>
    <row r="5762" spans="1:2" s="161" customFormat="1" ht="12.75">
      <c r="A5762" s="144"/>
      <c r="B5762" s="160"/>
    </row>
    <row r="5763" spans="1:2" s="161" customFormat="1" ht="12.75">
      <c r="A5763" s="144"/>
      <c r="B5763" s="160"/>
    </row>
    <row r="5764" spans="1:2" s="161" customFormat="1" ht="12.75">
      <c r="A5764" s="144"/>
      <c r="B5764" s="160"/>
    </row>
    <row r="5765" spans="1:2" s="161" customFormat="1" ht="12.75">
      <c r="A5765" s="144"/>
      <c r="B5765" s="160"/>
    </row>
    <row r="5766" spans="1:2" s="161" customFormat="1" ht="12.75">
      <c r="A5766" s="144"/>
      <c r="B5766" s="160"/>
    </row>
    <row r="5767" spans="1:2" s="161" customFormat="1" ht="12.75">
      <c r="A5767" s="144"/>
      <c r="B5767" s="160"/>
    </row>
    <row r="5768" spans="1:2" s="161" customFormat="1" ht="12.75">
      <c r="A5768" s="144"/>
      <c r="B5768" s="160"/>
    </row>
    <row r="5769" spans="1:2" s="161" customFormat="1" ht="12.75">
      <c r="A5769" s="144"/>
      <c r="B5769" s="160"/>
    </row>
    <row r="5770" spans="1:2" s="161" customFormat="1" ht="12.75">
      <c r="A5770" s="144"/>
      <c r="B5770" s="160"/>
    </row>
    <row r="5771" spans="1:2" s="161" customFormat="1" ht="12.75">
      <c r="A5771" s="144"/>
      <c r="B5771" s="160"/>
    </row>
    <row r="5772" spans="1:2" s="161" customFormat="1" ht="12.75">
      <c r="A5772" s="144"/>
      <c r="B5772" s="160"/>
    </row>
    <row r="5773" spans="1:2" s="161" customFormat="1" ht="12.75">
      <c r="A5773" s="144"/>
      <c r="B5773" s="160"/>
    </row>
    <row r="5774" spans="1:2" s="161" customFormat="1" ht="12.75">
      <c r="A5774" s="144"/>
      <c r="B5774" s="160"/>
    </row>
    <row r="5775" spans="1:2" s="161" customFormat="1" ht="12.75">
      <c r="A5775" s="144"/>
      <c r="B5775" s="160"/>
    </row>
    <row r="5776" spans="1:2" s="161" customFormat="1" ht="12.75">
      <c r="A5776" s="144"/>
      <c r="B5776" s="160"/>
    </row>
    <row r="5777" spans="1:2" s="161" customFormat="1" ht="12.75">
      <c r="A5777" s="144"/>
      <c r="B5777" s="160"/>
    </row>
    <row r="5778" spans="1:2" s="161" customFormat="1" ht="12.75">
      <c r="A5778" s="144"/>
      <c r="B5778" s="160"/>
    </row>
    <row r="5779" spans="1:2" s="161" customFormat="1" ht="12.75">
      <c r="A5779" s="144"/>
      <c r="B5779" s="160"/>
    </row>
    <row r="5780" spans="1:2" s="161" customFormat="1" ht="12.75">
      <c r="A5780" s="144"/>
      <c r="B5780" s="160"/>
    </row>
    <row r="5781" spans="1:2" s="161" customFormat="1" ht="12.75">
      <c r="A5781" s="144"/>
      <c r="B5781" s="160"/>
    </row>
    <row r="5782" spans="1:2" s="161" customFormat="1" ht="12.75">
      <c r="A5782" s="144"/>
      <c r="B5782" s="160"/>
    </row>
    <row r="5783" spans="1:2" s="161" customFormat="1" ht="12.75">
      <c r="A5783" s="144"/>
      <c r="B5783" s="160"/>
    </row>
    <row r="5784" spans="1:2" s="161" customFormat="1" ht="12.75">
      <c r="A5784" s="144"/>
      <c r="B5784" s="160"/>
    </row>
    <row r="5785" spans="1:2" s="161" customFormat="1" ht="12.75">
      <c r="A5785" s="144"/>
      <c r="B5785" s="160"/>
    </row>
    <row r="5786" spans="1:2" s="161" customFormat="1" ht="12.75">
      <c r="A5786" s="144"/>
      <c r="B5786" s="160"/>
    </row>
    <row r="5787" spans="1:2" s="161" customFormat="1" ht="12.75">
      <c r="A5787" s="144"/>
      <c r="B5787" s="160"/>
    </row>
    <row r="5788" spans="1:2" s="161" customFormat="1" ht="12.75">
      <c r="A5788" s="144"/>
      <c r="B5788" s="160"/>
    </row>
    <row r="5789" spans="1:2" s="161" customFormat="1" ht="12.75">
      <c r="A5789" s="144"/>
      <c r="B5789" s="160"/>
    </row>
    <row r="5790" spans="1:2" s="161" customFormat="1" ht="12.75">
      <c r="A5790" s="144"/>
      <c r="B5790" s="160"/>
    </row>
    <row r="5791" spans="1:2" s="161" customFormat="1" ht="12.75">
      <c r="A5791" s="144"/>
      <c r="B5791" s="160"/>
    </row>
    <row r="5792" spans="1:2" s="161" customFormat="1" ht="12.75">
      <c r="A5792" s="144"/>
      <c r="B5792" s="160"/>
    </row>
    <row r="5793" spans="1:2" s="161" customFormat="1" ht="12.75">
      <c r="A5793" s="144"/>
      <c r="B5793" s="160"/>
    </row>
    <row r="5794" spans="1:2" s="161" customFormat="1" ht="12.75">
      <c r="A5794" s="144"/>
      <c r="B5794" s="160"/>
    </row>
    <row r="5795" spans="1:2" s="161" customFormat="1" ht="12.75">
      <c r="A5795" s="144"/>
      <c r="B5795" s="160"/>
    </row>
    <row r="5796" spans="1:2" s="161" customFormat="1" ht="12.75">
      <c r="A5796" s="144"/>
      <c r="B5796" s="160"/>
    </row>
    <row r="5797" spans="1:2" s="161" customFormat="1" ht="12.75">
      <c r="A5797" s="144"/>
      <c r="B5797" s="160"/>
    </row>
    <row r="5798" spans="1:2" s="161" customFormat="1" ht="12.75">
      <c r="A5798" s="144"/>
      <c r="B5798" s="160"/>
    </row>
    <row r="5799" spans="1:2" s="161" customFormat="1" ht="12.75">
      <c r="A5799" s="144"/>
      <c r="B5799" s="160"/>
    </row>
    <row r="5800" spans="1:2" s="161" customFormat="1" ht="12.75">
      <c r="A5800" s="144"/>
      <c r="B5800" s="160"/>
    </row>
    <row r="5801" spans="1:2" s="161" customFormat="1" ht="12.75">
      <c r="A5801" s="144"/>
      <c r="B5801" s="160"/>
    </row>
    <row r="5802" spans="1:2" s="161" customFormat="1" ht="12.75">
      <c r="A5802" s="144"/>
      <c r="B5802" s="160"/>
    </row>
    <row r="5803" spans="1:2" s="161" customFormat="1" ht="12.75">
      <c r="A5803" s="144"/>
      <c r="B5803" s="160"/>
    </row>
    <row r="5804" spans="1:2" s="161" customFormat="1" ht="12.75">
      <c r="A5804" s="144"/>
      <c r="B5804" s="160"/>
    </row>
    <row r="5805" spans="1:2" s="161" customFormat="1" ht="12.75">
      <c r="A5805" s="144"/>
      <c r="B5805" s="160"/>
    </row>
    <row r="5806" spans="1:2" s="161" customFormat="1" ht="12.75">
      <c r="A5806" s="144"/>
      <c r="B5806" s="160"/>
    </row>
    <row r="5807" spans="1:2" s="161" customFormat="1" ht="12.75">
      <c r="A5807" s="144"/>
      <c r="B5807" s="160"/>
    </row>
    <row r="5808" spans="1:2" s="161" customFormat="1" ht="12.75">
      <c r="A5808" s="144"/>
      <c r="B5808" s="160"/>
    </row>
    <row r="5809" spans="1:2" s="161" customFormat="1" ht="12.75">
      <c r="A5809" s="144"/>
      <c r="B5809" s="160"/>
    </row>
    <row r="5810" spans="1:2" s="161" customFormat="1" ht="12.75">
      <c r="A5810" s="144"/>
      <c r="B5810" s="160"/>
    </row>
    <row r="5811" spans="1:2" s="161" customFormat="1" ht="12.75">
      <c r="A5811" s="144"/>
      <c r="B5811" s="160"/>
    </row>
    <row r="5812" spans="1:2" s="161" customFormat="1" ht="12.75">
      <c r="A5812" s="144"/>
      <c r="B5812" s="160"/>
    </row>
    <row r="5813" spans="1:2" s="161" customFormat="1" ht="12.75">
      <c r="A5813" s="144"/>
      <c r="B5813" s="160"/>
    </row>
    <row r="5814" spans="1:2" s="161" customFormat="1" ht="12.75">
      <c r="A5814" s="144"/>
      <c r="B5814" s="160"/>
    </row>
    <row r="5815" spans="1:2" s="161" customFormat="1" ht="12.75">
      <c r="A5815" s="144"/>
      <c r="B5815" s="160"/>
    </row>
    <row r="5816" spans="1:2" s="161" customFormat="1" ht="12.75">
      <c r="A5816" s="144"/>
      <c r="B5816" s="160"/>
    </row>
    <row r="5817" spans="1:2" s="161" customFormat="1" ht="12.75">
      <c r="A5817" s="144"/>
      <c r="B5817" s="160"/>
    </row>
    <row r="5818" spans="1:2" s="161" customFormat="1" ht="12.75">
      <c r="A5818" s="144"/>
      <c r="B5818" s="160"/>
    </row>
    <row r="5819" spans="1:2" s="161" customFormat="1" ht="12.75">
      <c r="A5819" s="144"/>
      <c r="B5819" s="160"/>
    </row>
    <row r="5820" spans="1:2" s="161" customFormat="1" ht="12.75">
      <c r="A5820" s="144"/>
      <c r="B5820" s="160"/>
    </row>
    <row r="5821" spans="1:2" s="161" customFormat="1" ht="12.75">
      <c r="A5821" s="144"/>
      <c r="B5821" s="160"/>
    </row>
    <row r="5822" spans="1:2" s="161" customFormat="1" ht="12.75">
      <c r="A5822" s="144"/>
      <c r="B5822" s="160"/>
    </row>
    <row r="5823" spans="1:2" s="161" customFormat="1" ht="12.75">
      <c r="A5823" s="144"/>
      <c r="B5823" s="160"/>
    </row>
    <row r="5824" spans="1:2" s="161" customFormat="1" ht="12.75">
      <c r="A5824" s="144"/>
      <c r="B5824" s="160"/>
    </row>
    <row r="5825" spans="1:2" s="161" customFormat="1" ht="12.75">
      <c r="A5825" s="144"/>
      <c r="B5825" s="160"/>
    </row>
    <row r="5826" spans="1:2" s="161" customFormat="1" ht="12.75">
      <c r="A5826" s="144"/>
      <c r="B5826" s="160"/>
    </row>
    <row r="5827" spans="1:2" s="161" customFormat="1" ht="12.75">
      <c r="A5827" s="144"/>
      <c r="B5827" s="160"/>
    </row>
    <row r="5828" spans="1:2" s="161" customFormat="1" ht="12.75">
      <c r="A5828" s="144"/>
      <c r="B5828" s="160"/>
    </row>
    <row r="5829" spans="1:2" s="161" customFormat="1" ht="12.75">
      <c r="A5829" s="144"/>
      <c r="B5829" s="160"/>
    </row>
    <row r="5830" spans="1:2" s="161" customFormat="1" ht="12.75">
      <c r="A5830" s="144"/>
      <c r="B5830" s="160"/>
    </row>
    <row r="5831" spans="1:2" s="161" customFormat="1" ht="12.75">
      <c r="A5831" s="144"/>
      <c r="B5831" s="160"/>
    </row>
    <row r="5832" spans="1:2" s="161" customFormat="1" ht="12.75">
      <c r="A5832" s="144"/>
      <c r="B5832" s="160"/>
    </row>
    <row r="5833" spans="1:2" s="161" customFormat="1" ht="12.75">
      <c r="A5833" s="144"/>
      <c r="B5833" s="160"/>
    </row>
    <row r="5834" spans="1:2" s="161" customFormat="1" ht="12.75">
      <c r="A5834" s="144"/>
      <c r="B5834" s="160"/>
    </row>
    <row r="5835" spans="1:2" s="161" customFormat="1" ht="12.75">
      <c r="A5835" s="144"/>
      <c r="B5835" s="160"/>
    </row>
    <row r="5836" spans="1:2" s="161" customFormat="1" ht="12.75">
      <c r="A5836" s="144"/>
      <c r="B5836" s="160"/>
    </row>
    <row r="5837" spans="1:2" s="161" customFormat="1" ht="12.75">
      <c r="A5837" s="144"/>
      <c r="B5837" s="160"/>
    </row>
    <row r="5838" spans="1:2" s="161" customFormat="1" ht="12.75">
      <c r="A5838" s="144"/>
      <c r="B5838" s="160"/>
    </row>
    <row r="5839" spans="1:2" s="161" customFormat="1" ht="12.75">
      <c r="A5839" s="144"/>
      <c r="B5839" s="160"/>
    </row>
    <row r="5840" spans="1:2" s="161" customFormat="1" ht="12.75">
      <c r="A5840" s="144"/>
      <c r="B5840" s="160"/>
    </row>
    <row r="5841" spans="1:2" s="161" customFormat="1" ht="12.75">
      <c r="A5841" s="144"/>
      <c r="B5841" s="160"/>
    </row>
    <row r="5842" spans="1:2" s="161" customFormat="1" ht="12.75">
      <c r="A5842" s="144"/>
      <c r="B5842" s="160"/>
    </row>
    <row r="5843" spans="1:2" s="161" customFormat="1" ht="12.75">
      <c r="A5843" s="144"/>
      <c r="B5843" s="160"/>
    </row>
    <row r="5844" spans="1:2" s="161" customFormat="1" ht="12.75">
      <c r="A5844" s="144"/>
      <c r="B5844" s="160"/>
    </row>
    <row r="5845" spans="1:2" s="161" customFormat="1" ht="12.75">
      <c r="A5845" s="144"/>
      <c r="B5845" s="160"/>
    </row>
    <row r="5846" spans="1:2" s="161" customFormat="1" ht="12.75">
      <c r="A5846" s="144"/>
      <c r="B5846" s="160"/>
    </row>
    <row r="5847" spans="1:2" s="161" customFormat="1" ht="12.75">
      <c r="A5847" s="144"/>
      <c r="B5847" s="160"/>
    </row>
    <row r="5848" spans="1:2" s="161" customFormat="1" ht="12.75">
      <c r="A5848" s="144"/>
      <c r="B5848" s="160"/>
    </row>
    <row r="5849" spans="1:2" s="161" customFormat="1" ht="12.75">
      <c r="A5849" s="144"/>
      <c r="B5849" s="160"/>
    </row>
    <row r="5850" spans="1:2" s="161" customFormat="1" ht="12.75">
      <c r="A5850" s="144"/>
      <c r="B5850" s="160"/>
    </row>
    <row r="5851" spans="1:2" s="161" customFormat="1" ht="12.75">
      <c r="A5851" s="144"/>
      <c r="B5851" s="160"/>
    </row>
    <row r="5852" spans="1:2" s="161" customFormat="1" ht="12.75">
      <c r="A5852" s="144"/>
      <c r="B5852" s="160"/>
    </row>
    <row r="5853" spans="1:2" s="161" customFormat="1" ht="12.75">
      <c r="A5853" s="144"/>
      <c r="B5853" s="160"/>
    </row>
    <row r="5854" spans="1:2" s="161" customFormat="1" ht="12.75">
      <c r="A5854" s="144"/>
      <c r="B5854" s="160"/>
    </row>
    <row r="5855" spans="1:2" s="161" customFormat="1" ht="12.75">
      <c r="A5855" s="144"/>
      <c r="B5855" s="160"/>
    </row>
    <row r="5856" spans="1:2" s="161" customFormat="1" ht="12.75">
      <c r="A5856" s="144"/>
      <c r="B5856" s="160"/>
    </row>
    <row r="5857" spans="1:2" s="161" customFormat="1" ht="12.75">
      <c r="A5857" s="144"/>
      <c r="B5857" s="160"/>
    </row>
    <row r="5858" spans="1:2" s="161" customFormat="1" ht="12.75">
      <c r="A5858" s="144"/>
      <c r="B5858" s="160"/>
    </row>
    <row r="5859" spans="1:2" s="161" customFormat="1" ht="12.75">
      <c r="A5859" s="144"/>
      <c r="B5859" s="160"/>
    </row>
    <row r="5860" spans="1:2" s="161" customFormat="1" ht="12.75">
      <c r="A5860" s="144"/>
      <c r="B5860" s="160"/>
    </row>
    <row r="5861" spans="1:2" s="161" customFormat="1" ht="12.75">
      <c r="A5861" s="144"/>
      <c r="B5861" s="160"/>
    </row>
    <row r="5862" spans="1:2" s="161" customFormat="1" ht="12.75">
      <c r="A5862" s="144"/>
      <c r="B5862" s="160"/>
    </row>
    <row r="5863" spans="1:2" s="161" customFormat="1" ht="12.75">
      <c r="A5863" s="144"/>
      <c r="B5863" s="160"/>
    </row>
    <row r="5864" spans="1:2" s="161" customFormat="1" ht="12.75">
      <c r="A5864" s="144"/>
      <c r="B5864" s="160"/>
    </row>
    <row r="5865" spans="1:2" s="161" customFormat="1" ht="12.75">
      <c r="A5865" s="144"/>
      <c r="B5865" s="160"/>
    </row>
    <row r="5866" spans="1:2" s="161" customFormat="1" ht="12.75">
      <c r="A5866" s="144"/>
      <c r="B5866" s="160"/>
    </row>
    <row r="5867" spans="1:2" s="161" customFormat="1" ht="12.75">
      <c r="A5867" s="144"/>
      <c r="B5867" s="160"/>
    </row>
    <row r="5868" spans="1:2" s="161" customFormat="1" ht="12.75">
      <c r="A5868" s="144"/>
      <c r="B5868" s="160"/>
    </row>
    <row r="5869" spans="1:2" s="161" customFormat="1" ht="12.75">
      <c r="A5869" s="144"/>
      <c r="B5869" s="160"/>
    </row>
    <row r="5870" spans="1:2" s="161" customFormat="1" ht="12.75">
      <c r="A5870" s="144"/>
      <c r="B5870" s="160"/>
    </row>
    <row r="5871" spans="1:2" s="161" customFormat="1" ht="12.75">
      <c r="A5871" s="144"/>
      <c r="B5871" s="160"/>
    </row>
    <row r="5872" spans="1:2" s="161" customFormat="1" ht="12.75">
      <c r="A5872" s="144"/>
      <c r="B5872" s="160"/>
    </row>
    <row r="5873" spans="1:2" s="161" customFormat="1" ht="12.75">
      <c r="A5873" s="144"/>
      <c r="B5873" s="160"/>
    </row>
    <row r="5874" spans="1:2" s="161" customFormat="1" ht="12.75">
      <c r="A5874" s="144"/>
      <c r="B5874" s="160"/>
    </row>
    <row r="5875" spans="1:2" s="161" customFormat="1" ht="12.75">
      <c r="A5875" s="144"/>
      <c r="B5875" s="160"/>
    </row>
    <row r="5876" spans="1:2" s="161" customFormat="1" ht="12.75">
      <c r="A5876" s="144"/>
      <c r="B5876" s="160"/>
    </row>
    <row r="5877" spans="1:2" s="161" customFormat="1" ht="12.75">
      <c r="A5877" s="144"/>
      <c r="B5877" s="160"/>
    </row>
    <row r="5878" spans="1:2" s="161" customFormat="1" ht="12.75">
      <c r="A5878" s="144"/>
      <c r="B5878" s="160"/>
    </row>
    <row r="5879" spans="1:2" s="161" customFormat="1" ht="12.75">
      <c r="A5879" s="144"/>
      <c r="B5879" s="160"/>
    </row>
    <row r="5880" spans="1:2" s="161" customFormat="1" ht="12.75">
      <c r="A5880" s="144"/>
      <c r="B5880" s="160"/>
    </row>
    <row r="5881" spans="1:2" s="161" customFormat="1" ht="12.75">
      <c r="A5881" s="144"/>
      <c r="B5881" s="160"/>
    </row>
    <row r="5882" spans="1:2" s="161" customFormat="1" ht="12.75">
      <c r="A5882" s="144"/>
      <c r="B5882" s="160"/>
    </row>
    <row r="5883" spans="1:2" s="161" customFormat="1" ht="12.75">
      <c r="A5883" s="144"/>
      <c r="B5883" s="160"/>
    </row>
    <row r="5884" spans="1:2" s="161" customFormat="1" ht="12.75">
      <c r="A5884" s="144"/>
      <c r="B5884" s="160"/>
    </row>
    <row r="5885" spans="1:2" s="161" customFormat="1" ht="12.75">
      <c r="A5885" s="144"/>
      <c r="B5885" s="160"/>
    </row>
    <row r="5886" spans="1:2" s="161" customFormat="1" ht="12.75">
      <c r="A5886" s="144"/>
      <c r="B5886" s="160"/>
    </row>
    <row r="5887" spans="1:2" s="161" customFormat="1" ht="12.75">
      <c r="A5887" s="144"/>
      <c r="B5887" s="160"/>
    </row>
    <row r="5888" spans="1:2" s="161" customFormat="1" ht="12.75">
      <c r="A5888" s="144"/>
      <c r="B5888" s="160"/>
    </row>
    <row r="5889" spans="1:2" s="161" customFormat="1" ht="12.75">
      <c r="A5889" s="144"/>
      <c r="B5889" s="160"/>
    </row>
    <row r="5890" spans="1:2" s="161" customFormat="1" ht="12.75">
      <c r="A5890" s="144"/>
      <c r="B5890" s="160"/>
    </row>
    <row r="5891" spans="1:2" s="161" customFormat="1" ht="12.75">
      <c r="A5891" s="144"/>
      <c r="B5891" s="160"/>
    </row>
    <row r="5892" spans="1:2" s="161" customFormat="1" ht="12.75">
      <c r="A5892" s="144"/>
      <c r="B5892" s="160"/>
    </row>
    <row r="5893" spans="1:2" s="161" customFormat="1" ht="12.75">
      <c r="A5893" s="144"/>
      <c r="B5893" s="160"/>
    </row>
    <row r="5894" spans="1:2" s="161" customFormat="1" ht="12.75">
      <c r="A5894" s="144"/>
      <c r="B5894" s="160"/>
    </row>
    <row r="5895" spans="1:2" s="161" customFormat="1" ht="12.75">
      <c r="A5895" s="144"/>
      <c r="B5895" s="160"/>
    </row>
    <row r="5896" spans="1:2" s="161" customFormat="1" ht="12.75">
      <c r="A5896" s="144"/>
      <c r="B5896" s="160"/>
    </row>
    <row r="5897" spans="1:2" s="161" customFormat="1" ht="12.75">
      <c r="A5897" s="144"/>
      <c r="B5897" s="160"/>
    </row>
    <row r="5898" spans="1:2" s="161" customFormat="1" ht="12.75">
      <c r="A5898" s="144"/>
      <c r="B5898" s="160"/>
    </row>
    <row r="5899" spans="1:2" s="161" customFormat="1" ht="12.75">
      <c r="A5899" s="144"/>
      <c r="B5899" s="160"/>
    </row>
    <row r="5900" spans="1:2" s="161" customFormat="1" ht="12.75">
      <c r="A5900" s="144"/>
      <c r="B5900" s="160"/>
    </row>
    <row r="5901" spans="1:2" s="161" customFormat="1" ht="12.75">
      <c r="A5901" s="144"/>
      <c r="B5901" s="160"/>
    </row>
    <row r="5902" spans="1:2" s="161" customFormat="1" ht="12.75">
      <c r="A5902" s="144"/>
      <c r="B5902" s="160"/>
    </row>
    <row r="5903" spans="1:2" s="161" customFormat="1" ht="12.75">
      <c r="A5903" s="144"/>
      <c r="B5903" s="160"/>
    </row>
    <row r="5904" spans="1:2" s="161" customFormat="1" ht="12.75">
      <c r="A5904" s="144"/>
      <c r="B5904" s="160"/>
    </row>
    <row r="5905" spans="1:2" s="161" customFormat="1" ht="12.75">
      <c r="A5905" s="144"/>
      <c r="B5905" s="160"/>
    </row>
    <row r="5906" spans="1:2" s="161" customFormat="1" ht="12.75">
      <c r="A5906" s="144"/>
      <c r="B5906" s="160"/>
    </row>
    <row r="5907" spans="1:2" s="161" customFormat="1" ht="12.75">
      <c r="A5907" s="144"/>
      <c r="B5907" s="160"/>
    </row>
    <row r="5908" spans="1:2" s="161" customFormat="1" ht="12.75">
      <c r="A5908" s="144"/>
      <c r="B5908" s="160"/>
    </row>
    <row r="5909" spans="1:2" s="161" customFormat="1" ht="12.75">
      <c r="A5909" s="144"/>
      <c r="B5909" s="160"/>
    </row>
    <row r="5910" spans="1:2" s="161" customFormat="1" ht="12.75">
      <c r="A5910" s="144"/>
      <c r="B5910" s="160"/>
    </row>
    <row r="5911" spans="1:2" s="161" customFormat="1" ht="12.75">
      <c r="A5911" s="144"/>
      <c r="B5911" s="160"/>
    </row>
    <row r="5912" spans="1:2" s="161" customFormat="1" ht="12.75">
      <c r="A5912" s="144"/>
      <c r="B5912" s="160"/>
    </row>
    <row r="5913" spans="1:2" s="161" customFormat="1" ht="12.75">
      <c r="A5913" s="144"/>
      <c r="B5913" s="160"/>
    </row>
    <row r="5914" spans="1:2" s="161" customFormat="1" ht="12.75">
      <c r="A5914" s="144"/>
      <c r="B5914" s="160"/>
    </row>
    <row r="5915" spans="1:2" s="161" customFormat="1" ht="12.75">
      <c r="A5915" s="144"/>
      <c r="B5915" s="160"/>
    </row>
    <row r="5916" spans="1:2" s="161" customFormat="1" ht="12.75">
      <c r="A5916" s="144"/>
      <c r="B5916" s="160"/>
    </row>
    <row r="5917" spans="1:2" s="161" customFormat="1" ht="12.75">
      <c r="A5917" s="144"/>
      <c r="B5917" s="160"/>
    </row>
    <row r="5918" spans="1:2" s="161" customFormat="1" ht="12.75">
      <c r="A5918" s="144"/>
      <c r="B5918" s="160"/>
    </row>
    <row r="5919" spans="1:2" s="161" customFormat="1" ht="12.75">
      <c r="A5919" s="144"/>
      <c r="B5919" s="160"/>
    </row>
    <row r="5920" spans="1:2" s="161" customFormat="1" ht="12.75">
      <c r="A5920" s="144"/>
      <c r="B5920" s="160"/>
    </row>
    <row r="5921" spans="1:2" s="161" customFormat="1" ht="12.75">
      <c r="A5921" s="144"/>
      <c r="B5921" s="160"/>
    </row>
    <row r="5922" spans="1:2" s="161" customFormat="1" ht="12.75">
      <c r="A5922" s="144"/>
      <c r="B5922" s="160"/>
    </row>
    <row r="5923" spans="1:2" s="161" customFormat="1" ht="12.75">
      <c r="A5923" s="144"/>
      <c r="B5923" s="160"/>
    </row>
    <row r="5924" spans="1:2" s="161" customFormat="1" ht="12.75">
      <c r="A5924" s="144"/>
      <c r="B5924" s="160"/>
    </row>
    <row r="5925" spans="1:2" s="161" customFormat="1" ht="12.75">
      <c r="A5925" s="144"/>
      <c r="B5925" s="160"/>
    </row>
    <row r="5926" spans="1:2" s="161" customFormat="1" ht="12.75">
      <c r="A5926" s="144"/>
      <c r="B5926" s="160"/>
    </row>
    <row r="5927" spans="1:2" s="161" customFormat="1" ht="12.75">
      <c r="A5927" s="144"/>
      <c r="B5927" s="160"/>
    </row>
    <row r="5928" spans="1:2" s="161" customFormat="1" ht="12.75">
      <c r="A5928" s="144"/>
      <c r="B5928" s="160"/>
    </row>
    <row r="5929" spans="1:2" s="161" customFormat="1" ht="12.75">
      <c r="A5929" s="144"/>
      <c r="B5929" s="160"/>
    </row>
    <row r="5930" spans="1:2" s="161" customFormat="1" ht="12.75">
      <c r="A5930" s="144"/>
      <c r="B5930" s="160"/>
    </row>
    <row r="5931" spans="1:2" s="161" customFormat="1" ht="12.75">
      <c r="A5931" s="144"/>
      <c r="B5931" s="160"/>
    </row>
    <row r="5932" spans="1:2" s="161" customFormat="1" ht="12.75">
      <c r="A5932" s="144"/>
      <c r="B5932" s="160"/>
    </row>
    <row r="5933" spans="1:2" s="161" customFormat="1" ht="12.75">
      <c r="A5933" s="144"/>
      <c r="B5933" s="160"/>
    </row>
    <row r="5934" spans="1:2" s="161" customFormat="1" ht="12.75">
      <c r="A5934" s="144"/>
      <c r="B5934" s="160"/>
    </row>
    <row r="5935" spans="1:2" s="161" customFormat="1" ht="12.75">
      <c r="A5935" s="144"/>
      <c r="B5935" s="160"/>
    </row>
    <row r="5936" spans="1:2" s="161" customFormat="1" ht="12.75">
      <c r="A5936" s="144"/>
      <c r="B5936" s="160"/>
    </row>
    <row r="5937" spans="1:2" s="161" customFormat="1" ht="12.75">
      <c r="A5937" s="144"/>
      <c r="B5937" s="160"/>
    </row>
    <row r="5938" spans="1:2" s="161" customFormat="1" ht="12.75">
      <c r="A5938" s="144"/>
      <c r="B5938" s="160"/>
    </row>
    <row r="5939" spans="1:2" s="161" customFormat="1" ht="12.75">
      <c r="A5939" s="144"/>
      <c r="B5939" s="160"/>
    </row>
    <row r="5940" spans="1:2" s="161" customFormat="1" ht="12.75">
      <c r="A5940" s="144"/>
      <c r="B5940" s="160"/>
    </row>
    <row r="5941" spans="1:2" s="161" customFormat="1" ht="12.75">
      <c r="A5941" s="144"/>
      <c r="B5941" s="160"/>
    </row>
    <row r="5942" spans="1:2" s="161" customFormat="1" ht="12.75">
      <c r="A5942" s="144"/>
      <c r="B5942" s="160"/>
    </row>
    <row r="5943" spans="1:2" s="161" customFormat="1" ht="12.75">
      <c r="A5943" s="144"/>
      <c r="B5943" s="160"/>
    </row>
    <row r="5944" spans="1:2" s="161" customFormat="1" ht="12.75">
      <c r="A5944" s="144"/>
      <c r="B5944" s="160"/>
    </row>
    <row r="5945" spans="1:2" s="161" customFormat="1" ht="12.75">
      <c r="A5945" s="144"/>
      <c r="B5945" s="160"/>
    </row>
    <row r="5946" spans="1:2" s="161" customFormat="1" ht="12.75">
      <c r="A5946" s="144"/>
      <c r="B5946" s="160"/>
    </row>
    <row r="5947" spans="1:2" s="161" customFormat="1" ht="12.75">
      <c r="A5947" s="144"/>
      <c r="B5947" s="160"/>
    </row>
    <row r="5948" spans="1:2" s="161" customFormat="1" ht="12.75">
      <c r="A5948" s="144"/>
      <c r="B5948" s="160"/>
    </row>
    <row r="5949" spans="1:2" s="161" customFormat="1" ht="12.75">
      <c r="A5949" s="144"/>
      <c r="B5949" s="160"/>
    </row>
    <row r="5950" spans="1:2" s="161" customFormat="1" ht="12.75">
      <c r="A5950" s="144"/>
      <c r="B5950" s="160"/>
    </row>
    <row r="5951" spans="1:2" s="161" customFormat="1" ht="12.75">
      <c r="A5951" s="144"/>
      <c r="B5951" s="160"/>
    </row>
    <row r="5952" spans="1:2" s="161" customFormat="1" ht="12.75">
      <c r="A5952" s="144"/>
      <c r="B5952" s="160"/>
    </row>
    <row r="5953" spans="1:2" s="161" customFormat="1" ht="12.75">
      <c r="A5953" s="144"/>
      <c r="B5953" s="160"/>
    </row>
    <row r="5954" spans="1:2" s="161" customFormat="1" ht="12.75">
      <c r="A5954" s="144"/>
      <c r="B5954" s="160"/>
    </row>
    <row r="5955" spans="1:2" s="161" customFormat="1" ht="12.75">
      <c r="A5955" s="144"/>
      <c r="B5955" s="160"/>
    </row>
    <row r="5956" spans="1:2" s="161" customFormat="1" ht="12.75">
      <c r="A5956" s="144"/>
      <c r="B5956" s="160"/>
    </row>
    <row r="5957" spans="1:2" s="161" customFormat="1" ht="12.75">
      <c r="A5957" s="144"/>
      <c r="B5957" s="160"/>
    </row>
    <row r="5958" spans="1:2" s="161" customFormat="1" ht="12.75">
      <c r="A5958" s="144"/>
      <c r="B5958" s="160"/>
    </row>
    <row r="5959" spans="1:2" s="161" customFormat="1" ht="12.75">
      <c r="A5959" s="144"/>
      <c r="B5959" s="160"/>
    </row>
    <row r="5960" spans="1:2" s="161" customFormat="1" ht="12.75">
      <c r="A5960" s="144"/>
      <c r="B5960" s="160"/>
    </row>
    <row r="5961" spans="1:2" s="161" customFormat="1" ht="12.75">
      <c r="A5961" s="144"/>
      <c r="B5961" s="160"/>
    </row>
    <row r="5962" spans="1:2" s="161" customFormat="1" ht="12.75">
      <c r="A5962" s="144"/>
      <c r="B5962" s="160"/>
    </row>
    <row r="5963" spans="1:2" s="161" customFormat="1" ht="12.75">
      <c r="A5963" s="144"/>
      <c r="B5963" s="160"/>
    </row>
    <row r="5964" spans="1:2" s="161" customFormat="1" ht="12.75">
      <c r="A5964" s="144"/>
      <c r="B5964" s="160"/>
    </row>
    <row r="5965" spans="1:2" s="161" customFormat="1" ht="12.75">
      <c r="A5965" s="144"/>
      <c r="B5965" s="160"/>
    </row>
    <row r="5966" spans="1:2" s="161" customFormat="1" ht="12.75">
      <c r="A5966" s="144"/>
      <c r="B5966" s="160"/>
    </row>
    <row r="5967" spans="1:2" s="161" customFormat="1" ht="12.75">
      <c r="A5967" s="144"/>
      <c r="B5967" s="160"/>
    </row>
    <row r="5968" spans="1:2" s="161" customFormat="1" ht="12.75">
      <c r="A5968" s="144"/>
      <c r="B5968" s="160"/>
    </row>
    <row r="5969" spans="1:2" s="161" customFormat="1" ht="12.75">
      <c r="A5969" s="144"/>
      <c r="B5969" s="160"/>
    </row>
    <row r="5970" spans="1:2" s="161" customFormat="1" ht="12.75">
      <c r="A5970" s="144"/>
      <c r="B5970" s="160"/>
    </row>
    <row r="5971" spans="1:2" s="161" customFormat="1" ht="12.75">
      <c r="A5971" s="144"/>
      <c r="B5971" s="160"/>
    </row>
    <row r="5972" spans="1:2" s="161" customFormat="1" ht="12.75">
      <c r="A5972" s="144"/>
      <c r="B5972" s="160"/>
    </row>
    <row r="5973" spans="1:2" s="161" customFormat="1" ht="12.75">
      <c r="A5973" s="144"/>
      <c r="B5973" s="160"/>
    </row>
    <row r="5974" spans="1:2" s="161" customFormat="1" ht="12.75">
      <c r="A5974" s="144"/>
      <c r="B5974" s="160"/>
    </row>
    <row r="5975" spans="1:2" s="161" customFormat="1" ht="12.75">
      <c r="A5975" s="144"/>
      <c r="B5975" s="160"/>
    </row>
    <row r="5976" spans="1:2" s="161" customFormat="1" ht="12.75">
      <c r="A5976" s="144"/>
      <c r="B5976" s="160"/>
    </row>
    <row r="5977" spans="1:2" s="161" customFormat="1" ht="12.75">
      <c r="A5977" s="144"/>
      <c r="B5977" s="160"/>
    </row>
    <row r="5978" spans="1:2" s="161" customFormat="1" ht="12.75">
      <c r="A5978" s="144"/>
      <c r="B5978" s="160"/>
    </row>
    <row r="5979" spans="1:2" s="161" customFormat="1" ht="12.75">
      <c r="A5979" s="144"/>
      <c r="B5979" s="160"/>
    </row>
    <row r="5980" spans="1:2" s="161" customFormat="1" ht="12.75">
      <c r="A5980" s="144"/>
      <c r="B5980" s="160"/>
    </row>
    <row r="5981" spans="1:2" s="161" customFormat="1" ht="12.75">
      <c r="A5981" s="144"/>
      <c r="B5981" s="160"/>
    </row>
    <row r="5982" spans="1:2" s="161" customFormat="1" ht="12.75">
      <c r="A5982" s="144"/>
      <c r="B5982" s="160"/>
    </row>
    <row r="5983" spans="1:2" s="161" customFormat="1" ht="12.75">
      <c r="A5983" s="144"/>
      <c r="B5983" s="160"/>
    </row>
    <row r="5984" spans="1:2" s="161" customFormat="1" ht="12.75">
      <c r="A5984" s="144"/>
      <c r="B5984" s="160"/>
    </row>
    <row r="5985" spans="1:2" s="161" customFormat="1" ht="12.75">
      <c r="A5985" s="144"/>
      <c r="B5985" s="160"/>
    </row>
    <row r="5986" spans="1:2" s="161" customFormat="1" ht="12.75">
      <c r="A5986" s="144"/>
      <c r="B5986" s="160"/>
    </row>
    <row r="5987" spans="1:2" s="161" customFormat="1" ht="12.75">
      <c r="A5987" s="144"/>
      <c r="B5987" s="160"/>
    </row>
    <row r="5988" spans="1:2" s="161" customFormat="1" ht="12.75">
      <c r="A5988" s="144"/>
      <c r="B5988" s="160"/>
    </row>
    <row r="5989" spans="1:2" s="161" customFormat="1" ht="12.75">
      <c r="A5989" s="144"/>
      <c r="B5989" s="160"/>
    </row>
    <row r="5990" spans="1:2" s="161" customFormat="1" ht="12.75">
      <c r="A5990" s="144"/>
      <c r="B5990" s="160"/>
    </row>
    <row r="5991" spans="1:2" s="161" customFormat="1" ht="12.75">
      <c r="A5991" s="144"/>
      <c r="B5991" s="160"/>
    </row>
    <row r="5992" spans="1:2" s="161" customFormat="1" ht="12.75">
      <c r="A5992" s="144"/>
      <c r="B5992" s="160"/>
    </row>
    <row r="5993" spans="1:2" s="161" customFormat="1" ht="12.75">
      <c r="A5993" s="144"/>
      <c r="B5993" s="160"/>
    </row>
    <row r="5994" spans="1:2" s="161" customFormat="1" ht="12.75">
      <c r="A5994" s="144"/>
      <c r="B5994" s="160"/>
    </row>
    <row r="5995" spans="1:2" s="161" customFormat="1" ht="12.75">
      <c r="A5995" s="144"/>
      <c r="B5995" s="160"/>
    </row>
    <row r="5996" spans="1:2" s="161" customFormat="1" ht="12.75">
      <c r="A5996" s="144"/>
      <c r="B5996" s="160"/>
    </row>
    <row r="5997" spans="1:2" s="161" customFormat="1" ht="12.75">
      <c r="A5997" s="144"/>
      <c r="B5997" s="160"/>
    </row>
    <row r="5998" spans="1:2" s="161" customFormat="1" ht="12.75">
      <c r="A5998" s="144"/>
      <c r="B5998" s="160"/>
    </row>
    <row r="5999" spans="1:2" s="161" customFormat="1" ht="12.75">
      <c r="A5999" s="144"/>
      <c r="B5999" s="160"/>
    </row>
    <row r="6000" spans="1:2" s="161" customFormat="1" ht="12.75">
      <c r="A6000" s="144"/>
      <c r="B6000" s="160"/>
    </row>
    <row r="6001" spans="1:2" s="161" customFormat="1" ht="12.75">
      <c r="A6001" s="144"/>
      <c r="B6001" s="160"/>
    </row>
    <row r="6002" spans="1:2" s="161" customFormat="1" ht="12.75">
      <c r="A6002" s="144"/>
      <c r="B6002" s="160"/>
    </row>
    <row r="6003" spans="1:2" s="161" customFormat="1" ht="12.75">
      <c r="A6003" s="144"/>
      <c r="B6003" s="160"/>
    </row>
    <row r="6004" spans="1:2" s="161" customFormat="1" ht="12.75">
      <c r="A6004" s="144"/>
      <c r="B6004" s="160"/>
    </row>
    <row r="6005" spans="1:2" s="161" customFormat="1" ht="12.75">
      <c r="A6005" s="144"/>
      <c r="B6005" s="160"/>
    </row>
    <row r="6006" spans="1:2" s="161" customFormat="1" ht="12.75">
      <c r="A6006" s="144"/>
      <c r="B6006" s="160"/>
    </row>
    <row r="6007" spans="1:2" s="161" customFormat="1" ht="12.75">
      <c r="A6007" s="144"/>
      <c r="B6007" s="160"/>
    </row>
    <row r="6008" spans="1:2" s="161" customFormat="1" ht="12.75">
      <c r="A6008" s="144"/>
      <c r="B6008" s="160"/>
    </row>
    <row r="6009" spans="1:2" s="161" customFormat="1" ht="12.75">
      <c r="A6009" s="144"/>
      <c r="B6009" s="160"/>
    </row>
    <row r="6010" spans="1:2" s="161" customFormat="1" ht="12.75">
      <c r="A6010" s="144"/>
      <c r="B6010" s="160"/>
    </row>
    <row r="6011" spans="1:2" s="161" customFormat="1" ht="12.75">
      <c r="A6011" s="144"/>
      <c r="B6011" s="160"/>
    </row>
    <row r="6012" spans="1:2" s="161" customFormat="1" ht="12.75">
      <c r="A6012" s="144"/>
      <c r="B6012" s="160"/>
    </row>
    <row r="6013" spans="1:2" s="161" customFormat="1" ht="12.75">
      <c r="A6013" s="144"/>
      <c r="B6013" s="160"/>
    </row>
    <row r="6014" spans="1:2" s="161" customFormat="1" ht="12.75">
      <c r="A6014" s="144"/>
      <c r="B6014" s="160"/>
    </row>
    <row r="6015" spans="1:2" s="161" customFormat="1" ht="12.75">
      <c r="A6015" s="144"/>
      <c r="B6015" s="160"/>
    </row>
    <row r="6016" spans="1:2" s="161" customFormat="1" ht="12.75">
      <c r="A6016" s="144"/>
      <c r="B6016" s="160"/>
    </row>
    <row r="6017" spans="1:2" s="161" customFormat="1" ht="12.75">
      <c r="A6017" s="144"/>
      <c r="B6017" s="160"/>
    </row>
    <row r="6018" spans="1:2" s="161" customFormat="1" ht="12.75">
      <c r="A6018" s="144"/>
      <c r="B6018" s="160"/>
    </row>
    <row r="6019" spans="1:2" s="161" customFormat="1" ht="12.75">
      <c r="A6019" s="144"/>
      <c r="B6019" s="160"/>
    </row>
    <row r="6020" spans="1:2" s="161" customFormat="1" ht="12.75">
      <c r="A6020" s="144"/>
      <c r="B6020" s="160"/>
    </row>
    <row r="6021" spans="1:2" s="161" customFormat="1" ht="12.75">
      <c r="A6021" s="144"/>
      <c r="B6021" s="160"/>
    </row>
    <row r="6022" spans="1:2" s="161" customFormat="1" ht="12.75">
      <c r="A6022" s="144"/>
      <c r="B6022" s="160"/>
    </row>
    <row r="6023" spans="1:2" s="161" customFormat="1" ht="12.75">
      <c r="A6023" s="144"/>
      <c r="B6023" s="160"/>
    </row>
    <row r="6024" spans="1:2" s="161" customFormat="1" ht="12.75">
      <c r="A6024" s="144"/>
      <c r="B6024" s="160"/>
    </row>
    <row r="6025" spans="1:2" s="161" customFormat="1" ht="12.75">
      <c r="A6025" s="144"/>
      <c r="B6025" s="160"/>
    </row>
    <row r="6026" spans="1:2" s="161" customFormat="1" ht="12.75">
      <c r="A6026" s="144"/>
      <c r="B6026" s="160"/>
    </row>
    <row r="6027" spans="1:2" s="161" customFormat="1" ht="12.75">
      <c r="A6027" s="144"/>
      <c r="B6027" s="160"/>
    </row>
    <row r="6028" spans="1:2" s="161" customFormat="1" ht="12.75">
      <c r="A6028" s="144"/>
      <c r="B6028" s="160"/>
    </row>
    <row r="6029" spans="1:2" s="161" customFormat="1" ht="12.75">
      <c r="A6029" s="144"/>
      <c r="B6029" s="160"/>
    </row>
    <row r="6030" spans="1:2" s="161" customFormat="1" ht="12.75">
      <c r="A6030" s="144"/>
      <c r="B6030" s="160"/>
    </row>
    <row r="6031" spans="1:2" s="161" customFormat="1" ht="12.75">
      <c r="A6031" s="144"/>
      <c r="B6031" s="160"/>
    </row>
    <row r="6032" spans="1:2" s="161" customFormat="1" ht="12.75">
      <c r="A6032" s="144"/>
      <c r="B6032" s="160"/>
    </row>
    <row r="6033" spans="1:2" s="161" customFormat="1" ht="12.75">
      <c r="A6033" s="144"/>
      <c r="B6033" s="160"/>
    </row>
    <row r="6034" spans="1:2" s="161" customFormat="1" ht="12.75">
      <c r="A6034" s="144"/>
      <c r="B6034" s="160"/>
    </row>
    <row r="6035" spans="1:2" s="161" customFormat="1" ht="12.75">
      <c r="A6035" s="144"/>
      <c r="B6035" s="160"/>
    </row>
    <row r="6036" spans="1:2" s="161" customFormat="1" ht="12.75">
      <c r="A6036" s="144"/>
      <c r="B6036" s="160"/>
    </row>
    <row r="6037" spans="1:2" s="161" customFormat="1" ht="12.75">
      <c r="A6037" s="144"/>
      <c r="B6037" s="160"/>
    </row>
    <row r="6038" spans="1:2" s="161" customFormat="1" ht="12.75">
      <c r="A6038" s="144"/>
      <c r="B6038" s="160"/>
    </row>
    <row r="6039" spans="1:2" s="161" customFormat="1" ht="12.75">
      <c r="A6039" s="144"/>
      <c r="B6039" s="160"/>
    </row>
    <row r="6040" spans="1:2" s="161" customFormat="1" ht="12.75">
      <c r="A6040" s="144"/>
      <c r="B6040" s="160"/>
    </row>
    <row r="6041" spans="1:2" s="161" customFormat="1" ht="12.75">
      <c r="A6041" s="144"/>
      <c r="B6041" s="160"/>
    </row>
    <row r="6042" spans="1:2" s="161" customFormat="1" ht="12.75">
      <c r="A6042" s="144"/>
      <c r="B6042" s="160"/>
    </row>
    <row r="6043" spans="1:2" s="161" customFormat="1" ht="12.75">
      <c r="A6043" s="144"/>
      <c r="B6043" s="160"/>
    </row>
    <row r="6044" spans="1:2" s="161" customFormat="1" ht="12.75">
      <c r="A6044" s="144"/>
      <c r="B6044" s="160"/>
    </row>
    <row r="6045" spans="1:2" s="161" customFormat="1" ht="12.75">
      <c r="A6045" s="144"/>
      <c r="B6045" s="160"/>
    </row>
    <row r="6046" spans="1:2" s="161" customFormat="1" ht="12.75">
      <c r="A6046" s="144"/>
      <c r="B6046" s="160"/>
    </row>
    <row r="6047" spans="1:2" s="161" customFormat="1" ht="12.75">
      <c r="A6047" s="144"/>
      <c r="B6047" s="160"/>
    </row>
    <row r="6048" spans="1:2" s="161" customFormat="1" ht="12.75">
      <c r="A6048" s="144"/>
      <c r="B6048" s="160"/>
    </row>
    <row r="6049" spans="1:2" s="161" customFormat="1" ht="12.75">
      <c r="A6049" s="144"/>
      <c r="B6049" s="160"/>
    </row>
    <row r="6050" spans="1:2" s="161" customFormat="1" ht="12.75">
      <c r="A6050" s="144"/>
      <c r="B6050" s="160"/>
    </row>
    <row r="6051" spans="1:2" s="161" customFormat="1" ht="12.75">
      <c r="A6051" s="144"/>
      <c r="B6051" s="160"/>
    </row>
    <row r="6052" spans="1:2" s="161" customFormat="1" ht="12.75">
      <c r="A6052" s="144"/>
      <c r="B6052" s="160"/>
    </row>
    <row r="6053" spans="1:2" s="161" customFormat="1" ht="12.75">
      <c r="A6053" s="144"/>
      <c r="B6053" s="160"/>
    </row>
    <row r="6054" spans="1:2" s="161" customFormat="1" ht="12.75">
      <c r="A6054" s="144"/>
      <c r="B6054" s="160"/>
    </row>
    <row r="6055" spans="1:2" s="161" customFormat="1" ht="12.75">
      <c r="A6055" s="144"/>
      <c r="B6055" s="160"/>
    </row>
    <row r="6056" spans="1:2" s="161" customFormat="1" ht="12.75">
      <c r="A6056" s="144"/>
      <c r="B6056" s="160"/>
    </row>
    <row r="6057" spans="1:2" s="161" customFormat="1" ht="12.75">
      <c r="A6057" s="144"/>
      <c r="B6057" s="160"/>
    </row>
    <row r="6058" spans="1:2" s="161" customFormat="1" ht="12.75">
      <c r="A6058" s="144"/>
      <c r="B6058" s="160"/>
    </row>
    <row r="6059" spans="1:2" s="161" customFormat="1" ht="12.75">
      <c r="A6059" s="144"/>
      <c r="B6059" s="160"/>
    </row>
    <row r="6060" spans="1:2" s="161" customFormat="1" ht="12.75">
      <c r="A6060" s="144"/>
      <c r="B6060" s="160"/>
    </row>
    <row r="6061" spans="1:2" s="161" customFormat="1" ht="12.75">
      <c r="A6061" s="144"/>
      <c r="B6061" s="160"/>
    </row>
    <row r="6062" spans="1:2" s="161" customFormat="1" ht="12.75">
      <c r="A6062" s="144"/>
      <c r="B6062" s="160"/>
    </row>
    <row r="6063" spans="1:2" s="161" customFormat="1" ht="12.75">
      <c r="A6063" s="144"/>
      <c r="B6063" s="160"/>
    </row>
    <row r="6064" spans="1:2" s="161" customFormat="1" ht="12.75">
      <c r="A6064" s="144"/>
      <c r="B6064" s="160"/>
    </row>
    <row r="6065" spans="1:2" s="161" customFormat="1" ht="12.75">
      <c r="A6065" s="144"/>
      <c r="B6065" s="160"/>
    </row>
    <row r="6066" spans="1:2" s="161" customFormat="1" ht="12.75">
      <c r="A6066" s="144"/>
      <c r="B6066" s="160"/>
    </row>
    <row r="6067" spans="1:2" s="161" customFormat="1" ht="12.75">
      <c r="A6067" s="144"/>
      <c r="B6067" s="160"/>
    </row>
    <row r="6068" spans="1:2" s="161" customFormat="1" ht="12.75">
      <c r="A6068" s="144"/>
      <c r="B6068" s="160"/>
    </row>
    <row r="6069" spans="1:2" s="161" customFormat="1" ht="12.75">
      <c r="A6069" s="144"/>
      <c r="B6069" s="160"/>
    </row>
    <row r="6070" spans="1:2" s="161" customFormat="1" ht="12.75">
      <c r="A6070" s="144"/>
      <c r="B6070" s="160"/>
    </row>
    <row r="6071" spans="1:2" s="161" customFormat="1" ht="12.75">
      <c r="A6071" s="144"/>
      <c r="B6071" s="160"/>
    </row>
    <row r="6072" spans="1:2" s="161" customFormat="1" ht="12.75">
      <c r="A6072" s="144"/>
      <c r="B6072" s="160"/>
    </row>
    <row r="6073" spans="1:2" s="161" customFormat="1" ht="12.75">
      <c r="A6073" s="144"/>
      <c r="B6073" s="160"/>
    </row>
    <row r="6074" spans="1:2" s="161" customFormat="1" ht="12.75">
      <c r="A6074" s="144"/>
      <c r="B6074" s="160"/>
    </row>
    <row r="6075" spans="1:2" s="161" customFormat="1" ht="12.75">
      <c r="A6075" s="144"/>
      <c r="B6075" s="160"/>
    </row>
    <row r="6076" spans="1:2" s="161" customFormat="1" ht="12.75">
      <c r="A6076" s="144"/>
      <c r="B6076" s="160"/>
    </row>
    <row r="6077" spans="1:2" s="161" customFormat="1" ht="12.75">
      <c r="A6077" s="144"/>
      <c r="B6077" s="160"/>
    </row>
    <row r="6078" spans="1:2" s="161" customFormat="1" ht="12.75">
      <c r="A6078" s="144"/>
      <c r="B6078" s="160"/>
    </row>
    <row r="6079" spans="1:2" s="161" customFormat="1" ht="12.75">
      <c r="A6079" s="144"/>
      <c r="B6079" s="160"/>
    </row>
    <row r="6080" spans="1:2" s="161" customFormat="1" ht="12.75">
      <c r="A6080" s="144"/>
      <c r="B6080" s="160"/>
    </row>
    <row r="6081" spans="1:2" s="161" customFormat="1" ht="12.75">
      <c r="A6081" s="144"/>
      <c r="B6081" s="160"/>
    </row>
    <row r="6082" spans="1:2" s="161" customFormat="1" ht="12.75">
      <c r="A6082" s="144"/>
      <c r="B6082" s="160"/>
    </row>
    <row r="6083" spans="1:2" s="161" customFormat="1" ht="12.75">
      <c r="A6083" s="144"/>
      <c r="B6083" s="160"/>
    </row>
    <row r="6084" spans="1:2" s="161" customFormat="1" ht="12.75">
      <c r="A6084" s="144"/>
      <c r="B6084" s="160"/>
    </row>
    <row r="6085" spans="1:2" s="161" customFormat="1" ht="12.75">
      <c r="A6085" s="144"/>
      <c r="B6085" s="160"/>
    </row>
    <row r="6086" spans="1:2" s="161" customFormat="1" ht="12.75">
      <c r="A6086" s="144"/>
      <c r="B6086" s="160"/>
    </row>
    <row r="6087" spans="1:2" s="161" customFormat="1" ht="12.75">
      <c r="A6087" s="144"/>
      <c r="B6087" s="160"/>
    </row>
    <row r="6088" spans="1:2" s="161" customFormat="1" ht="12.75">
      <c r="A6088" s="144"/>
      <c r="B6088" s="160"/>
    </row>
    <row r="6089" spans="1:2" s="161" customFormat="1" ht="12.75">
      <c r="A6089" s="144"/>
      <c r="B6089" s="160"/>
    </row>
    <row r="6090" spans="1:2" s="161" customFormat="1" ht="12.75">
      <c r="A6090" s="144"/>
      <c r="B6090" s="160"/>
    </row>
    <row r="6091" spans="1:2" s="161" customFormat="1" ht="12.75">
      <c r="A6091" s="144"/>
      <c r="B6091" s="160"/>
    </row>
    <row r="6092" spans="1:2" s="161" customFormat="1" ht="12.75">
      <c r="A6092" s="144"/>
      <c r="B6092" s="160"/>
    </row>
    <row r="6093" spans="1:2" s="161" customFormat="1" ht="12.75">
      <c r="A6093" s="144"/>
      <c r="B6093" s="160"/>
    </row>
    <row r="6094" spans="1:2" s="161" customFormat="1" ht="12.75">
      <c r="A6094" s="144"/>
      <c r="B6094" s="160"/>
    </row>
    <row r="6095" spans="1:2" s="161" customFormat="1" ht="12.75">
      <c r="A6095" s="144"/>
      <c r="B6095" s="160"/>
    </row>
    <row r="6096" spans="1:2" s="161" customFormat="1" ht="12.75">
      <c r="A6096" s="144"/>
      <c r="B6096" s="160"/>
    </row>
    <row r="6097" spans="1:2" s="161" customFormat="1" ht="12.75">
      <c r="A6097" s="144"/>
      <c r="B6097" s="160"/>
    </row>
    <row r="6098" spans="1:2" s="161" customFormat="1" ht="12.75">
      <c r="A6098" s="144"/>
      <c r="B6098" s="160"/>
    </row>
    <row r="6099" spans="1:2" s="161" customFormat="1" ht="12.75">
      <c r="A6099" s="144"/>
      <c r="B6099" s="160"/>
    </row>
    <row r="6100" spans="1:2" s="161" customFormat="1" ht="12.75">
      <c r="A6100" s="144"/>
      <c r="B6100" s="160"/>
    </row>
    <row r="6101" spans="1:2" s="161" customFormat="1" ht="12.75">
      <c r="A6101" s="144"/>
      <c r="B6101" s="160"/>
    </row>
    <row r="6102" spans="1:2" s="161" customFormat="1" ht="12.75">
      <c r="A6102" s="144"/>
      <c r="B6102" s="160"/>
    </row>
    <row r="6103" spans="1:2" s="161" customFormat="1" ht="12.75">
      <c r="A6103" s="144"/>
      <c r="B6103" s="160"/>
    </row>
    <row r="6104" spans="1:2" s="161" customFormat="1" ht="12.75">
      <c r="A6104" s="144"/>
      <c r="B6104" s="160"/>
    </row>
    <row r="6105" spans="1:2" s="161" customFormat="1" ht="12.75">
      <c r="A6105" s="144"/>
      <c r="B6105" s="160"/>
    </row>
    <row r="6106" spans="1:2" s="161" customFormat="1" ht="12.75">
      <c r="A6106" s="144"/>
      <c r="B6106" s="160"/>
    </row>
    <row r="6107" spans="1:2" s="161" customFormat="1" ht="12.75">
      <c r="A6107" s="144"/>
      <c r="B6107" s="160"/>
    </row>
    <row r="6108" spans="1:2" s="161" customFormat="1" ht="12.75">
      <c r="A6108" s="144"/>
      <c r="B6108" s="160"/>
    </row>
    <row r="6109" spans="1:2" s="161" customFormat="1" ht="12.75">
      <c r="A6109" s="144"/>
      <c r="B6109" s="160"/>
    </row>
    <row r="6110" spans="1:2" s="161" customFormat="1" ht="12.75">
      <c r="A6110" s="144"/>
      <c r="B6110" s="160"/>
    </row>
    <row r="6111" spans="1:2" s="161" customFormat="1" ht="12.75">
      <c r="A6111" s="144"/>
      <c r="B6111" s="160"/>
    </row>
    <row r="6112" spans="1:2" s="161" customFormat="1" ht="12.75">
      <c r="A6112" s="144"/>
      <c r="B6112" s="160"/>
    </row>
    <row r="6113" spans="1:2" s="161" customFormat="1" ht="12.75">
      <c r="A6113" s="144"/>
      <c r="B6113" s="160"/>
    </row>
    <row r="6114" spans="1:2" s="161" customFormat="1" ht="12.75">
      <c r="A6114" s="144"/>
      <c r="B6114" s="160"/>
    </row>
    <row r="6115" spans="1:2" s="161" customFormat="1" ht="12.75">
      <c r="A6115" s="144"/>
      <c r="B6115" s="160"/>
    </row>
    <row r="6116" spans="1:2" s="161" customFormat="1" ht="12.75">
      <c r="A6116" s="144"/>
      <c r="B6116" s="160"/>
    </row>
    <row r="6117" spans="1:2" s="161" customFormat="1" ht="12.75">
      <c r="A6117" s="144"/>
      <c r="B6117" s="160"/>
    </row>
    <row r="6118" spans="1:2" s="161" customFormat="1" ht="12.75">
      <c r="A6118" s="144"/>
      <c r="B6118" s="160"/>
    </row>
    <row r="6119" spans="1:2" s="161" customFormat="1" ht="12.75">
      <c r="A6119" s="144"/>
      <c r="B6119" s="160"/>
    </row>
    <row r="6120" spans="1:2" s="161" customFormat="1" ht="12.75">
      <c r="A6120" s="144"/>
      <c r="B6120" s="160"/>
    </row>
    <row r="6121" spans="1:2" s="161" customFormat="1" ht="12.75">
      <c r="A6121" s="144"/>
      <c r="B6121" s="160"/>
    </row>
    <row r="6122" spans="1:2" s="161" customFormat="1" ht="12.75">
      <c r="A6122" s="144"/>
      <c r="B6122" s="160"/>
    </row>
    <row r="6123" spans="1:2" s="161" customFormat="1" ht="12.75">
      <c r="A6123" s="144"/>
      <c r="B6123" s="160"/>
    </row>
    <row r="6124" spans="1:2" s="161" customFormat="1" ht="12.75">
      <c r="A6124" s="144"/>
      <c r="B6124" s="160"/>
    </row>
    <row r="6125" spans="1:2" s="161" customFormat="1" ht="12.75">
      <c r="A6125" s="144"/>
      <c r="B6125" s="160"/>
    </row>
    <row r="6126" spans="1:2" s="161" customFormat="1" ht="12.75">
      <c r="A6126" s="144"/>
      <c r="B6126" s="160"/>
    </row>
    <row r="6127" spans="1:2" s="161" customFormat="1" ht="12.75">
      <c r="A6127" s="144"/>
      <c r="B6127" s="160"/>
    </row>
    <row r="6128" spans="1:2" s="161" customFormat="1" ht="12.75">
      <c r="A6128" s="144"/>
      <c r="B6128" s="160"/>
    </row>
    <row r="6129" spans="1:2" s="161" customFormat="1" ht="12.75">
      <c r="A6129" s="144"/>
      <c r="B6129" s="160"/>
    </row>
    <row r="6130" spans="1:2" s="161" customFormat="1" ht="12.75">
      <c r="A6130" s="144"/>
      <c r="B6130" s="160"/>
    </row>
    <row r="6131" spans="1:2" s="161" customFormat="1" ht="12.75">
      <c r="A6131" s="144"/>
      <c r="B6131" s="160"/>
    </row>
    <row r="6132" spans="1:2" s="161" customFormat="1" ht="12.75">
      <c r="A6132" s="144"/>
      <c r="B6132" s="160"/>
    </row>
    <row r="6133" spans="1:2" s="161" customFormat="1" ht="12.75">
      <c r="A6133" s="144"/>
      <c r="B6133" s="160"/>
    </row>
    <row r="6134" spans="1:2" s="161" customFormat="1" ht="12.75">
      <c r="A6134" s="144"/>
      <c r="B6134" s="160"/>
    </row>
    <row r="6135" spans="1:2" s="161" customFormat="1" ht="12.75">
      <c r="A6135" s="144"/>
      <c r="B6135" s="160"/>
    </row>
    <row r="6136" spans="1:2" s="161" customFormat="1" ht="12.75">
      <c r="A6136" s="144"/>
      <c r="B6136" s="160"/>
    </row>
    <row r="6137" spans="1:2" s="161" customFormat="1" ht="12.75">
      <c r="A6137" s="144"/>
      <c r="B6137" s="160"/>
    </row>
    <row r="6138" spans="1:2" s="161" customFormat="1" ht="12.75">
      <c r="A6138" s="144"/>
      <c r="B6138" s="160"/>
    </row>
    <row r="6139" spans="1:2" s="161" customFormat="1" ht="12.75">
      <c r="A6139" s="144"/>
      <c r="B6139" s="160"/>
    </row>
    <row r="6140" spans="1:2" s="161" customFormat="1" ht="12.75">
      <c r="A6140" s="144"/>
      <c r="B6140" s="160"/>
    </row>
    <row r="6141" spans="1:2" s="161" customFormat="1" ht="12.75">
      <c r="A6141" s="144"/>
      <c r="B6141" s="160"/>
    </row>
    <row r="6142" spans="1:2" s="161" customFormat="1" ht="12.75">
      <c r="A6142" s="144"/>
      <c r="B6142" s="160"/>
    </row>
    <row r="6143" spans="1:2" s="161" customFormat="1" ht="12.75">
      <c r="A6143" s="144"/>
      <c r="B6143" s="160"/>
    </row>
    <row r="6144" spans="1:2" s="161" customFormat="1" ht="12.75">
      <c r="A6144" s="144"/>
      <c r="B6144" s="160"/>
    </row>
    <row r="6145" spans="1:2" s="161" customFormat="1" ht="12.75">
      <c r="A6145" s="144"/>
      <c r="B6145" s="160"/>
    </row>
    <row r="6146" spans="1:2" s="161" customFormat="1" ht="12.75">
      <c r="A6146" s="144"/>
      <c r="B6146" s="160"/>
    </row>
    <row r="6147" spans="1:2" s="161" customFormat="1" ht="12.75">
      <c r="A6147" s="144"/>
      <c r="B6147" s="160"/>
    </row>
    <row r="6148" spans="1:2" s="161" customFormat="1" ht="12.75">
      <c r="A6148" s="144"/>
      <c r="B6148" s="160"/>
    </row>
    <row r="6149" spans="1:2" s="161" customFormat="1" ht="12.75">
      <c r="A6149" s="144"/>
      <c r="B6149" s="160"/>
    </row>
    <row r="6150" spans="1:2" s="161" customFormat="1" ht="12.75">
      <c r="A6150" s="144"/>
      <c r="B6150" s="160"/>
    </row>
    <row r="6151" spans="1:2" s="161" customFormat="1" ht="12.75">
      <c r="A6151" s="144"/>
      <c r="B6151" s="160"/>
    </row>
    <row r="6152" spans="1:2" s="161" customFormat="1" ht="12.75">
      <c r="A6152" s="144"/>
      <c r="B6152" s="160"/>
    </row>
    <row r="6153" spans="1:2" s="161" customFormat="1" ht="12.75">
      <c r="A6153" s="144"/>
      <c r="B6153" s="160"/>
    </row>
    <row r="6154" spans="1:2" s="161" customFormat="1" ht="12.75">
      <c r="A6154" s="144"/>
      <c r="B6154" s="160"/>
    </row>
    <row r="6155" spans="1:2" s="161" customFormat="1" ht="12.75">
      <c r="A6155" s="144"/>
      <c r="B6155" s="160"/>
    </row>
    <row r="6156" spans="1:2" s="161" customFormat="1" ht="12.75">
      <c r="A6156" s="144"/>
      <c r="B6156" s="160"/>
    </row>
    <row r="6157" spans="1:2" s="161" customFormat="1" ht="12.75">
      <c r="A6157" s="144"/>
      <c r="B6157" s="160"/>
    </row>
    <row r="6158" spans="1:2" s="161" customFormat="1" ht="12.75">
      <c r="A6158" s="144"/>
      <c r="B6158" s="160"/>
    </row>
    <row r="6159" spans="1:2" s="161" customFormat="1" ht="12.75">
      <c r="A6159" s="144"/>
      <c r="B6159" s="160"/>
    </row>
    <row r="6160" spans="1:2" s="161" customFormat="1" ht="12.75">
      <c r="A6160" s="144"/>
      <c r="B6160" s="160"/>
    </row>
    <row r="6161" spans="1:2" s="161" customFormat="1" ht="12.75">
      <c r="A6161" s="144"/>
      <c r="B6161" s="160"/>
    </row>
    <row r="6162" spans="1:2" s="161" customFormat="1" ht="12.75">
      <c r="A6162" s="144"/>
      <c r="B6162" s="160"/>
    </row>
    <row r="6163" spans="1:2" s="161" customFormat="1" ht="12.75">
      <c r="A6163" s="144"/>
      <c r="B6163" s="160"/>
    </row>
    <row r="6164" spans="1:2" s="161" customFormat="1" ht="12.75">
      <c r="A6164" s="144"/>
      <c r="B6164" s="160"/>
    </row>
    <row r="6165" spans="1:2" s="161" customFormat="1" ht="12.75">
      <c r="A6165" s="144"/>
      <c r="B6165" s="160"/>
    </row>
    <row r="6166" spans="1:2" s="161" customFormat="1" ht="12.75">
      <c r="A6166" s="144"/>
      <c r="B6166" s="160"/>
    </row>
    <row r="6167" spans="1:2" s="161" customFormat="1" ht="12.75">
      <c r="A6167" s="144"/>
      <c r="B6167" s="160"/>
    </row>
    <row r="6168" spans="1:2" s="161" customFormat="1" ht="12.75">
      <c r="A6168" s="144"/>
      <c r="B6168" s="160"/>
    </row>
    <row r="6169" spans="1:2" s="161" customFormat="1" ht="12.75">
      <c r="A6169" s="144"/>
      <c r="B6169" s="160"/>
    </row>
    <row r="6170" spans="1:2" s="161" customFormat="1" ht="12.75">
      <c r="A6170" s="144"/>
      <c r="B6170" s="160"/>
    </row>
    <row r="6171" spans="1:2" s="161" customFormat="1" ht="12.75">
      <c r="A6171" s="144"/>
      <c r="B6171" s="160"/>
    </row>
    <row r="6172" spans="1:2" s="161" customFormat="1" ht="12.75">
      <c r="A6172" s="144"/>
      <c r="B6172" s="160"/>
    </row>
    <row r="6173" spans="1:2" s="161" customFormat="1" ht="12.75">
      <c r="A6173" s="144"/>
      <c r="B6173" s="160"/>
    </row>
    <row r="6174" spans="1:2" s="161" customFormat="1" ht="12.75">
      <c r="A6174" s="144"/>
      <c r="B6174" s="160"/>
    </row>
    <row r="6175" spans="1:2" s="161" customFormat="1" ht="12.75">
      <c r="A6175" s="144"/>
      <c r="B6175" s="160"/>
    </row>
    <row r="6176" spans="1:2" s="161" customFormat="1" ht="12.75">
      <c r="A6176" s="144"/>
      <c r="B6176" s="160"/>
    </row>
    <row r="6177" spans="1:2" s="161" customFormat="1" ht="12.75">
      <c r="A6177" s="144"/>
      <c r="B6177" s="160"/>
    </row>
    <row r="6178" spans="1:2" s="161" customFormat="1" ht="12.75">
      <c r="A6178" s="144"/>
      <c r="B6178" s="160"/>
    </row>
    <row r="6179" spans="1:2" s="161" customFormat="1" ht="12.75">
      <c r="A6179" s="144"/>
      <c r="B6179" s="160"/>
    </row>
    <row r="6180" spans="1:2" s="161" customFormat="1" ht="12.75">
      <c r="A6180" s="144"/>
      <c r="B6180" s="160"/>
    </row>
    <row r="6181" spans="1:2" s="161" customFormat="1" ht="12.75">
      <c r="A6181" s="144"/>
      <c r="B6181" s="160"/>
    </row>
    <row r="6182" spans="1:2" s="161" customFormat="1" ht="12.75">
      <c r="A6182" s="144"/>
      <c r="B6182" s="160"/>
    </row>
    <row r="6183" spans="1:2" s="161" customFormat="1" ht="12.75">
      <c r="A6183" s="144"/>
      <c r="B6183" s="160"/>
    </row>
    <row r="6184" spans="1:2" s="161" customFormat="1" ht="12.75">
      <c r="A6184" s="144"/>
      <c r="B6184" s="160"/>
    </row>
    <row r="6185" spans="1:2" s="161" customFormat="1" ht="12.75">
      <c r="A6185" s="144"/>
      <c r="B6185" s="160"/>
    </row>
    <row r="6186" spans="1:2" s="161" customFormat="1" ht="12.75">
      <c r="A6186" s="144"/>
      <c r="B6186" s="160"/>
    </row>
    <row r="6187" spans="1:2" s="161" customFormat="1" ht="12.75">
      <c r="A6187" s="144"/>
      <c r="B6187" s="160"/>
    </row>
    <row r="6188" spans="1:2" s="161" customFormat="1" ht="12.75">
      <c r="A6188" s="144"/>
      <c r="B6188" s="160"/>
    </row>
    <row r="6189" spans="1:2" s="161" customFormat="1" ht="12.75">
      <c r="A6189" s="144"/>
      <c r="B6189" s="160"/>
    </row>
    <row r="6190" spans="1:2" s="161" customFormat="1" ht="12.75">
      <c r="A6190" s="144"/>
      <c r="B6190" s="160"/>
    </row>
    <row r="6191" spans="1:2" s="161" customFormat="1" ht="12.75">
      <c r="A6191" s="144"/>
      <c r="B6191" s="160"/>
    </row>
    <row r="6192" spans="1:2" s="161" customFormat="1" ht="12.75">
      <c r="A6192" s="144"/>
      <c r="B6192" s="160"/>
    </row>
    <row r="6193" spans="1:2" s="161" customFormat="1" ht="12.75">
      <c r="A6193" s="144"/>
      <c r="B6193" s="160"/>
    </row>
    <row r="6194" spans="1:2" s="161" customFormat="1" ht="12.75">
      <c r="A6194" s="144"/>
      <c r="B6194" s="160"/>
    </row>
    <row r="6195" spans="1:2" s="161" customFormat="1" ht="12.75">
      <c r="A6195" s="144"/>
      <c r="B6195" s="160"/>
    </row>
    <row r="6196" spans="1:2" s="161" customFormat="1" ht="12.75">
      <c r="A6196" s="144"/>
      <c r="B6196" s="160"/>
    </row>
    <row r="6197" spans="1:2" s="161" customFormat="1" ht="12.75">
      <c r="A6197" s="144"/>
      <c r="B6197" s="160"/>
    </row>
    <row r="6198" spans="1:2" s="161" customFormat="1" ht="12.75">
      <c r="A6198" s="144"/>
      <c r="B6198" s="160"/>
    </row>
    <row r="6199" spans="1:2" s="161" customFormat="1" ht="12.75">
      <c r="A6199" s="144"/>
      <c r="B6199" s="160"/>
    </row>
    <row r="6200" spans="1:2" s="161" customFormat="1" ht="12.75">
      <c r="A6200" s="144"/>
      <c r="B6200" s="160"/>
    </row>
    <row r="6201" spans="1:2" s="161" customFormat="1" ht="12.75">
      <c r="A6201" s="144"/>
      <c r="B6201" s="160"/>
    </row>
    <row r="6202" spans="1:2" s="161" customFormat="1" ht="12.75">
      <c r="A6202" s="144"/>
      <c r="B6202" s="160"/>
    </row>
    <row r="6203" spans="1:2" s="161" customFormat="1" ht="12.75">
      <c r="A6203" s="144"/>
      <c r="B6203" s="160"/>
    </row>
    <row r="6204" spans="1:2" s="161" customFormat="1" ht="12.75">
      <c r="A6204" s="144"/>
      <c r="B6204" s="160"/>
    </row>
    <row r="6205" spans="1:2" s="161" customFormat="1" ht="12.75">
      <c r="A6205" s="144"/>
      <c r="B6205" s="160"/>
    </row>
    <row r="6206" spans="1:2" s="161" customFormat="1" ht="12.75">
      <c r="A6206" s="144"/>
      <c r="B6206" s="160"/>
    </row>
    <row r="6207" spans="1:2" s="161" customFormat="1" ht="12.75">
      <c r="A6207" s="144"/>
      <c r="B6207" s="160"/>
    </row>
    <row r="6208" spans="1:2" s="161" customFormat="1" ht="12.75">
      <c r="A6208" s="144"/>
      <c r="B6208" s="160"/>
    </row>
    <row r="6209" spans="1:2" s="161" customFormat="1" ht="12.75">
      <c r="A6209" s="144"/>
      <c r="B6209" s="160"/>
    </row>
    <row r="6210" spans="1:2" s="161" customFormat="1" ht="12.75">
      <c r="A6210" s="144"/>
      <c r="B6210" s="160"/>
    </row>
    <row r="6211" spans="1:2" s="161" customFormat="1" ht="12.75">
      <c r="A6211" s="144"/>
      <c r="B6211" s="160"/>
    </row>
    <row r="6212" spans="1:2" s="161" customFormat="1" ht="12.75">
      <c r="A6212" s="144"/>
      <c r="B6212" s="160"/>
    </row>
    <row r="6213" spans="1:2" s="161" customFormat="1" ht="12.75">
      <c r="A6213" s="144"/>
      <c r="B6213" s="160"/>
    </row>
    <row r="6214" spans="1:2" s="161" customFormat="1" ht="12.75">
      <c r="A6214" s="144"/>
      <c r="B6214" s="160"/>
    </row>
    <row r="6215" spans="1:2" s="161" customFormat="1" ht="12.75">
      <c r="A6215" s="144"/>
      <c r="B6215" s="160"/>
    </row>
    <row r="6216" spans="1:2" s="161" customFormat="1" ht="12.75">
      <c r="A6216" s="144"/>
      <c r="B6216" s="160"/>
    </row>
    <row r="6217" spans="1:2" s="161" customFormat="1" ht="12.75">
      <c r="A6217" s="144"/>
      <c r="B6217" s="160"/>
    </row>
    <row r="6218" spans="1:2" s="161" customFormat="1" ht="12.75">
      <c r="A6218" s="144"/>
      <c r="B6218" s="160"/>
    </row>
    <row r="6219" spans="1:2" s="161" customFormat="1" ht="12.75">
      <c r="A6219" s="144"/>
      <c r="B6219" s="160"/>
    </row>
    <row r="6220" spans="1:2" s="161" customFormat="1" ht="12.75">
      <c r="A6220" s="144"/>
      <c r="B6220" s="160"/>
    </row>
    <row r="6221" spans="1:2" s="161" customFormat="1" ht="12.75">
      <c r="A6221" s="144"/>
      <c r="B6221" s="160"/>
    </row>
    <row r="6222" spans="1:2" s="161" customFormat="1" ht="12.75">
      <c r="A6222" s="144"/>
      <c r="B6222" s="160"/>
    </row>
    <row r="6223" spans="1:2" s="161" customFormat="1" ht="12.75">
      <c r="A6223" s="144"/>
      <c r="B6223" s="160"/>
    </row>
    <row r="6224" spans="1:2" s="161" customFormat="1" ht="12.75">
      <c r="A6224" s="144"/>
      <c r="B6224" s="160"/>
    </row>
    <row r="6225" spans="1:2" s="161" customFormat="1" ht="12.75">
      <c r="A6225" s="144"/>
      <c r="B6225" s="160"/>
    </row>
    <row r="6226" spans="1:2" s="161" customFormat="1" ht="12.75">
      <c r="A6226" s="144"/>
      <c r="B6226" s="160"/>
    </row>
    <row r="6227" spans="1:2" s="161" customFormat="1" ht="12.75">
      <c r="A6227" s="144"/>
      <c r="B6227" s="160"/>
    </row>
    <row r="6228" spans="1:2" s="161" customFormat="1" ht="12.75">
      <c r="A6228" s="144"/>
      <c r="B6228" s="160"/>
    </row>
    <row r="6229" spans="1:2" s="161" customFormat="1" ht="12.75">
      <c r="A6229" s="144"/>
      <c r="B6229" s="160"/>
    </row>
    <row r="6230" spans="1:2" s="161" customFormat="1" ht="12.75">
      <c r="A6230" s="144"/>
      <c r="B6230" s="160"/>
    </row>
    <row r="6231" spans="1:2" s="161" customFormat="1" ht="12.75">
      <c r="A6231" s="144"/>
      <c r="B6231" s="160"/>
    </row>
    <row r="6232" spans="1:2" s="161" customFormat="1" ht="12.75">
      <c r="A6232" s="144"/>
      <c r="B6232" s="160"/>
    </row>
    <row r="6233" spans="1:2" s="161" customFormat="1" ht="12.75">
      <c r="A6233" s="144"/>
      <c r="B6233" s="160"/>
    </row>
    <row r="6234" spans="1:2" s="161" customFormat="1" ht="12.75">
      <c r="A6234" s="144"/>
      <c r="B6234" s="160"/>
    </row>
    <row r="6235" spans="1:2" s="161" customFormat="1" ht="12.75">
      <c r="A6235" s="144"/>
      <c r="B6235" s="160"/>
    </row>
    <row r="6236" spans="1:2" s="161" customFormat="1" ht="12.75">
      <c r="A6236" s="144"/>
      <c r="B6236" s="160"/>
    </row>
    <row r="6237" spans="1:2" s="161" customFormat="1" ht="12.75">
      <c r="A6237" s="144"/>
      <c r="B6237" s="160"/>
    </row>
    <row r="6238" spans="1:2" s="161" customFormat="1" ht="12.75">
      <c r="A6238" s="144"/>
      <c r="B6238" s="160"/>
    </row>
    <row r="6239" spans="1:2" s="161" customFormat="1" ht="12.75">
      <c r="A6239" s="144"/>
      <c r="B6239" s="160"/>
    </row>
    <row r="6240" spans="1:2" s="161" customFormat="1" ht="12.75">
      <c r="A6240" s="144"/>
      <c r="B6240" s="160"/>
    </row>
    <row r="6241" spans="1:2" s="161" customFormat="1" ht="12.75">
      <c r="A6241" s="144"/>
      <c r="B6241" s="160"/>
    </row>
    <row r="6242" spans="1:2" s="161" customFormat="1" ht="12.75">
      <c r="A6242" s="144"/>
      <c r="B6242" s="160"/>
    </row>
    <row r="6243" spans="1:2" s="161" customFormat="1" ht="12.75">
      <c r="A6243" s="144"/>
      <c r="B6243" s="160"/>
    </row>
    <row r="6244" spans="1:2" s="161" customFormat="1" ht="12.75">
      <c r="A6244" s="144"/>
      <c r="B6244" s="160"/>
    </row>
    <row r="6245" spans="1:2" s="161" customFormat="1" ht="12.75">
      <c r="A6245" s="144"/>
      <c r="B6245" s="160"/>
    </row>
    <row r="6246" spans="1:2" s="161" customFormat="1" ht="12.75">
      <c r="A6246" s="144"/>
      <c r="B6246" s="160"/>
    </row>
    <row r="6247" spans="1:2" s="161" customFormat="1" ht="12.75">
      <c r="A6247" s="144"/>
      <c r="B6247" s="160"/>
    </row>
    <row r="6248" spans="1:2" s="161" customFormat="1" ht="12.75">
      <c r="A6248" s="144"/>
      <c r="B6248" s="160"/>
    </row>
    <row r="6249" spans="1:2" s="161" customFormat="1" ht="12.75">
      <c r="A6249" s="144"/>
      <c r="B6249" s="160"/>
    </row>
    <row r="6250" spans="1:2" s="161" customFormat="1" ht="12.75">
      <c r="A6250" s="144"/>
      <c r="B6250" s="160"/>
    </row>
    <row r="6251" spans="1:2" s="161" customFormat="1" ht="12.75">
      <c r="A6251" s="144"/>
      <c r="B6251" s="160"/>
    </row>
    <row r="6252" spans="1:2" s="161" customFormat="1" ht="12.75">
      <c r="A6252" s="144"/>
      <c r="B6252" s="160"/>
    </row>
    <row r="6253" spans="1:2" s="161" customFormat="1" ht="12.75">
      <c r="A6253" s="144"/>
      <c r="B6253" s="160"/>
    </row>
    <row r="6254" spans="1:2" s="161" customFormat="1" ht="12.75">
      <c r="A6254" s="144"/>
      <c r="B6254" s="160"/>
    </row>
    <row r="6255" spans="1:2" s="161" customFormat="1" ht="12.75">
      <c r="A6255" s="144"/>
      <c r="B6255" s="160"/>
    </row>
    <row r="6256" spans="1:2" s="161" customFormat="1" ht="12.75">
      <c r="A6256" s="144"/>
      <c r="B6256" s="160"/>
    </row>
    <row r="6257" spans="1:2" s="161" customFormat="1" ht="12.75">
      <c r="A6257" s="144"/>
      <c r="B6257" s="160"/>
    </row>
    <row r="6258" spans="1:2" s="161" customFormat="1" ht="12.75">
      <c r="A6258" s="144"/>
      <c r="B6258" s="160"/>
    </row>
    <row r="6259" spans="1:2" s="161" customFormat="1" ht="12.75">
      <c r="A6259" s="144"/>
      <c r="B6259" s="160"/>
    </row>
    <row r="6260" spans="1:2" s="161" customFormat="1" ht="12.75">
      <c r="A6260" s="144"/>
      <c r="B6260" s="160"/>
    </row>
    <row r="6261" spans="1:2" s="161" customFormat="1" ht="12.75">
      <c r="A6261" s="144"/>
      <c r="B6261" s="160"/>
    </row>
    <row r="6262" spans="1:2" s="161" customFormat="1" ht="12.75">
      <c r="A6262" s="144"/>
      <c r="B6262" s="160"/>
    </row>
    <row r="6263" spans="1:2" s="161" customFormat="1" ht="12.75">
      <c r="A6263" s="144"/>
      <c r="B6263" s="160"/>
    </row>
    <row r="6264" spans="1:2" s="161" customFormat="1" ht="12.75">
      <c r="A6264" s="144"/>
      <c r="B6264" s="160"/>
    </row>
    <row r="6265" spans="1:2" s="161" customFormat="1" ht="12.75">
      <c r="A6265" s="144"/>
      <c r="B6265" s="160"/>
    </row>
    <row r="6266" spans="1:2" s="161" customFormat="1" ht="12.75">
      <c r="A6266" s="144"/>
      <c r="B6266" s="160"/>
    </row>
    <row r="6267" spans="1:2" s="161" customFormat="1" ht="12.75">
      <c r="A6267" s="144"/>
      <c r="B6267" s="160"/>
    </row>
    <row r="6268" spans="1:2" s="161" customFormat="1" ht="12.75">
      <c r="A6268" s="144"/>
      <c r="B6268" s="160"/>
    </row>
    <row r="6269" spans="1:2" s="161" customFormat="1" ht="12.75">
      <c r="A6269" s="144"/>
      <c r="B6269" s="160"/>
    </row>
    <row r="6270" spans="1:2" s="161" customFormat="1" ht="12.75">
      <c r="A6270" s="144"/>
      <c r="B6270" s="160"/>
    </row>
    <row r="6271" spans="1:2" s="161" customFormat="1" ht="12.75">
      <c r="A6271" s="144"/>
      <c r="B6271" s="160"/>
    </row>
    <row r="6272" spans="1:2" s="161" customFormat="1" ht="12.75">
      <c r="A6272" s="144"/>
      <c r="B6272" s="160"/>
    </row>
    <row r="6273" spans="1:2" s="161" customFormat="1" ht="12.75">
      <c r="A6273" s="144"/>
      <c r="B6273" s="160"/>
    </row>
    <row r="6274" spans="1:2" s="161" customFormat="1" ht="12.75">
      <c r="A6274" s="144"/>
      <c r="B6274" s="160"/>
    </row>
    <row r="6275" spans="1:2" s="161" customFormat="1" ht="12.75">
      <c r="A6275" s="144"/>
      <c r="B6275" s="160"/>
    </row>
    <row r="6276" spans="1:2" s="161" customFormat="1" ht="12.75">
      <c r="A6276" s="144"/>
      <c r="B6276" s="160"/>
    </row>
    <row r="6277" spans="1:2" s="161" customFormat="1" ht="12.75">
      <c r="A6277" s="144"/>
      <c r="B6277" s="160"/>
    </row>
    <row r="6278" spans="1:2" s="161" customFormat="1" ht="12.75">
      <c r="A6278" s="144"/>
      <c r="B6278" s="160"/>
    </row>
    <row r="6279" spans="1:2" s="161" customFormat="1" ht="12.75">
      <c r="A6279" s="144"/>
      <c r="B6279" s="160"/>
    </row>
    <row r="6280" spans="1:2" s="161" customFormat="1" ht="12.75">
      <c r="A6280" s="144"/>
      <c r="B6280" s="160"/>
    </row>
    <row r="6281" spans="1:2" s="161" customFormat="1" ht="12.75">
      <c r="A6281" s="144"/>
      <c r="B6281" s="160"/>
    </row>
    <row r="6282" spans="1:2" s="161" customFormat="1" ht="12.75">
      <c r="A6282" s="144"/>
      <c r="B6282" s="160"/>
    </row>
    <row r="6283" spans="1:2" s="161" customFormat="1" ht="12.75">
      <c r="A6283" s="144"/>
      <c r="B6283" s="160"/>
    </row>
    <row r="6284" spans="1:2" s="161" customFormat="1" ht="12.75">
      <c r="A6284" s="144"/>
      <c r="B6284" s="160"/>
    </row>
    <row r="6285" spans="1:2" s="161" customFormat="1" ht="12.75">
      <c r="A6285" s="144"/>
      <c r="B6285" s="160"/>
    </row>
    <row r="6286" spans="1:2" s="161" customFormat="1" ht="12.75">
      <c r="A6286" s="144"/>
      <c r="B6286" s="160"/>
    </row>
    <row r="6287" spans="1:2" s="161" customFormat="1" ht="12.75">
      <c r="A6287" s="144"/>
      <c r="B6287" s="160"/>
    </row>
    <row r="6288" spans="1:2" s="161" customFormat="1" ht="12.75">
      <c r="A6288" s="144"/>
      <c r="B6288" s="160"/>
    </row>
    <row r="6289" spans="1:2" s="161" customFormat="1" ht="12.75">
      <c r="A6289" s="144"/>
      <c r="B6289" s="160"/>
    </row>
    <row r="6290" spans="1:2" s="161" customFormat="1" ht="12.75">
      <c r="A6290" s="144"/>
      <c r="B6290" s="160"/>
    </row>
    <row r="6291" spans="1:2" s="161" customFormat="1" ht="12.75">
      <c r="A6291" s="144"/>
      <c r="B6291" s="160"/>
    </row>
    <row r="6292" spans="1:2" s="161" customFormat="1" ht="12.75">
      <c r="A6292" s="144"/>
      <c r="B6292" s="160"/>
    </row>
    <row r="6293" spans="1:2" s="161" customFormat="1" ht="12.75">
      <c r="A6293" s="144"/>
      <c r="B6293" s="160"/>
    </row>
    <row r="6294" spans="1:2" s="161" customFormat="1" ht="12.75">
      <c r="A6294" s="144"/>
      <c r="B6294" s="160"/>
    </row>
    <row r="6295" spans="1:2" s="161" customFormat="1" ht="12.75">
      <c r="A6295" s="144"/>
      <c r="B6295" s="160"/>
    </row>
    <row r="6296" spans="1:2" s="161" customFormat="1" ht="12.75">
      <c r="A6296" s="144"/>
      <c r="B6296" s="160"/>
    </row>
    <row r="6297" spans="1:2" s="161" customFormat="1" ht="12.75">
      <c r="A6297" s="144"/>
      <c r="B6297" s="160"/>
    </row>
    <row r="6298" spans="1:2" s="161" customFormat="1" ht="12.75">
      <c r="A6298" s="144"/>
      <c r="B6298" s="160"/>
    </row>
    <row r="6299" spans="1:2" s="161" customFormat="1" ht="12.75">
      <c r="A6299" s="144"/>
      <c r="B6299" s="160"/>
    </row>
    <row r="6300" spans="1:2" s="161" customFormat="1" ht="12.75">
      <c r="A6300" s="144"/>
      <c r="B6300" s="160"/>
    </row>
    <row r="6301" spans="1:2" s="161" customFormat="1" ht="12.75">
      <c r="A6301" s="144"/>
      <c r="B6301" s="160"/>
    </row>
    <row r="6302" spans="1:2" s="161" customFormat="1" ht="12.75">
      <c r="A6302" s="144"/>
      <c r="B6302" s="160"/>
    </row>
    <row r="6303" spans="1:2" s="161" customFormat="1" ht="12.75">
      <c r="A6303" s="144"/>
      <c r="B6303" s="160"/>
    </row>
    <row r="6304" spans="1:2" s="161" customFormat="1" ht="12.75">
      <c r="A6304" s="144"/>
      <c r="B6304" s="160"/>
    </row>
    <row r="6305" spans="1:2" s="161" customFormat="1" ht="12.75">
      <c r="A6305" s="144"/>
      <c r="B6305" s="160"/>
    </row>
    <row r="6306" spans="1:2" s="161" customFormat="1" ht="12.75">
      <c r="A6306" s="144"/>
      <c r="B6306" s="160"/>
    </row>
    <row r="6307" spans="1:2" s="161" customFormat="1" ht="12.75">
      <c r="A6307" s="144"/>
      <c r="B6307" s="160"/>
    </row>
    <row r="6308" spans="1:2" s="161" customFormat="1" ht="12.75">
      <c r="A6308" s="144"/>
      <c r="B6308" s="160"/>
    </row>
    <row r="6309" spans="1:2" s="161" customFormat="1" ht="12.75">
      <c r="A6309" s="144"/>
      <c r="B6309" s="160"/>
    </row>
    <row r="6310" spans="1:2" s="161" customFormat="1" ht="12.75">
      <c r="A6310" s="144"/>
      <c r="B6310" s="160"/>
    </row>
    <row r="6311" spans="1:2" s="161" customFormat="1" ht="12.75">
      <c r="A6311" s="144"/>
      <c r="B6311" s="160"/>
    </row>
    <row r="6312" spans="1:2" s="161" customFormat="1" ht="12.75">
      <c r="A6312" s="144"/>
      <c r="B6312" s="160"/>
    </row>
    <row r="6313" spans="1:2" s="161" customFormat="1" ht="12.75">
      <c r="A6313" s="144"/>
      <c r="B6313" s="160"/>
    </row>
    <row r="6314" spans="1:2" s="161" customFormat="1" ht="12.75">
      <c r="A6314" s="144"/>
      <c r="B6314" s="160"/>
    </row>
    <row r="6315" spans="1:2" s="161" customFormat="1" ht="12.75">
      <c r="A6315" s="144"/>
      <c r="B6315" s="160"/>
    </row>
    <row r="6316" spans="1:2" s="161" customFormat="1" ht="12.75">
      <c r="A6316" s="144"/>
      <c r="B6316" s="160"/>
    </row>
    <row r="6317" spans="1:2" s="161" customFormat="1" ht="12.75">
      <c r="A6317" s="144"/>
      <c r="B6317" s="160"/>
    </row>
    <row r="6318" spans="1:2" s="161" customFormat="1" ht="12.75">
      <c r="A6318" s="144"/>
      <c r="B6318" s="160"/>
    </row>
    <row r="6319" spans="1:2" s="161" customFormat="1" ht="12.75">
      <c r="A6319" s="144"/>
      <c r="B6319" s="160"/>
    </row>
    <row r="6320" spans="1:2" s="161" customFormat="1" ht="12.75">
      <c r="A6320" s="144"/>
      <c r="B6320" s="160"/>
    </row>
    <row r="6321" spans="1:2" s="161" customFormat="1" ht="12.75">
      <c r="A6321" s="144"/>
      <c r="B6321" s="160"/>
    </row>
    <row r="6322" spans="1:2" s="161" customFormat="1" ht="12.75">
      <c r="A6322" s="144"/>
      <c r="B6322" s="160"/>
    </row>
    <row r="6323" spans="1:2" s="161" customFormat="1" ht="12.75">
      <c r="A6323" s="144"/>
      <c r="B6323" s="160"/>
    </row>
    <row r="6324" spans="1:2" s="161" customFormat="1" ht="12.75">
      <c r="A6324" s="144"/>
      <c r="B6324" s="160"/>
    </row>
    <row r="6325" spans="1:2" s="161" customFormat="1" ht="12.75">
      <c r="A6325" s="144"/>
      <c r="B6325" s="160"/>
    </row>
    <row r="6326" spans="1:2" s="161" customFormat="1" ht="12.75">
      <c r="A6326" s="144"/>
      <c r="B6326" s="160"/>
    </row>
    <row r="6327" spans="1:2" s="161" customFormat="1" ht="12.75">
      <c r="A6327" s="144"/>
      <c r="B6327" s="160"/>
    </row>
    <row r="6328" spans="1:2" s="161" customFormat="1" ht="12.75">
      <c r="A6328" s="144"/>
      <c r="B6328" s="160"/>
    </row>
    <row r="6329" spans="1:2" s="161" customFormat="1" ht="12.75">
      <c r="A6329" s="144"/>
      <c r="B6329" s="160"/>
    </row>
    <row r="6330" spans="1:2" s="161" customFormat="1" ht="12.75">
      <c r="A6330" s="144"/>
      <c r="B6330" s="160"/>
    </row>
    <row r="6331" spans="1:2" s="161" customFormat="1" ht="12.75">
      <c r="A6331" s="144"/>
      <c r="B6331" s="160"/>
    </row>
    <row r="6332" spans="1:2" s="161" customFormat="1" ht="12.75">
      <c r="A6332" s="144"/>
      <c r="B6332" s="160"/>
    </row>
    <row r="6333" spans="1:2" s="161" customFormat="1" ht="12.75">
      <c r="A6333" s="144"/>
      <c r="B6333" s="160"/>
    </row>
    <row r="6334" spans="1:2" s="161" customFormat="1" ht="12.75">
      <c r="A6334" s="144"/>
      <c r="B6334" s="160"/>
    </row>
    <row r="6335" spans="1:2" s="161" customFormat="1" ht="12.75">
      <c r="A6335" s="144"/>
      <c r="B6335" s="160"/>
    </row>
    <row r="6336" spans="1:2" s="161" customFormat="1" ht="12.75">
      <c r="A6336" s="144"/>
      <c r="B6336" s="160"/>
    </row>
    <row r="6337" spans="1:2" s="161" customFormat="1" ht="12.75">
      <c r="A6337" s="144"/>
      <c r="B6337" s="160"/>
    </row>
    <row r="6338" spans="1:2" s="161" customFormat="1" ht="12.75">
      <c r="A6338" s="144"/>
      <c r="B6338" s="160"/>
    </row>
    <row r="6339" spans="1:2" s="161" customFormat="1" ht="12.75">
      <c r="A6339" s="144"/>
      <c r="B6339" s="160"/>
    </row>
    <row r="6340" spans="1:2" s="161" customFormat="1" ht="12.75">
      <c r="A6340" s="144"/>
      <c r="B6340" s="160"/>
    </row>
    <row r="6341" spans="1:2" s="161" customFormat="1" ht="12.75">
      <c r="A6341" s="144"/>
      <c r="B6341" s="160"/>
    </row>
    <row r="6342" spans="1:2" s="161" customFormat="1" ht="12.75">
      <c r="A6342" s="144"/>
      <c r="B6342" s="160"/>
    </row>
    <row r="6343" spans="1:2" s="161" customFormat="1" ht="12.75">
      <c r="A6343" s="144"/>
      <c r="B6343" s="160"/>
    </row>
    <row r="6344" spans="1:2" s="161" customFormat="1" ht="12.75">
      <c r="A6344" s="144"/>
      <c r="B6344" s="160"/>
    </row>
    <row r="6345" spans="1:2" s="161" customFormat="1" ht="12.75">
      <c r="A6345" s="144"/>
      <c r="B6345" s="160"/>
    </row>
    <row r="6346" spans="1:2" s="161" customFormat="1" ht="12.75">
      <c r="A6346" s="144"/>
      <c r="B6346" s="160"/>
    </row>
    <row r="6347" spans="1:2" s="161" customFormat="1" ht="12.75">
      <c r="A6347" s="144"/>
      <c r="B6347" s="160"/>
    </row>
    <row r="6348" spans="1:2" s="161" customFormat="1" ht="12.75">
      <c r="A6348" s="144"/>
      <c r="B6348" s="160"/>
    </row>
    <row r="6349" spans="1:2" s="161" customFormat="1" ht="12.75">
      <c r="A6349" s="144"/>
      <c r="B6349" s="160"/>
    </row>
    <row r="6350" spans="1:2" s="161" customFormat="1" ht="12.75">
      <c r="A6350" s="144"/>
      <c r="B6350" s="160"/>
    </row>
    <row r="6351" spans="1:2" s="161" customFormat="1" ht="12.75">
      <c r="A6351" s="144"/>
      <c r="B6351" s="160"/>
    </row>
    <row r="6352" spans="1:2" s="161" customFormat="1" ht="12.75">
      <c r="A6352" s="144"/>
      <c r="B6352" s="160"/>
    </row>
    <row r="6353" spans="1:2" s="161" customFormat="1" ht="12.75">
      <c r="A6353" s="144"/>
      <c r="B6353" s="160"/>
    </row>
    <row r="6354" spans="1:2" s="161" customFormat="1" ht="12.75">
      <c r="A6354" s="144"/>
      <c r="B6354" s="160"/>
    </row>
    <row r="6355" spans="1:2" s="161" customFormat="1" ht="12.75">
      <c r="A6355" s="144"/>
      <c r="B6355" s="160"/>
    </row>
    <row r="6356" spans="1:2" s="161" customFormat="1" ht="12.75">
      <c r="A6356" s="144"/>
      <c r="B6356" s="160"/>
    </row>
    <row r="6357" spans="1:2" s="161" customFormat="1" ht="12.75">
      <c r="A6357" s="144"/>
      <c r="B6357" s="160"/>
    </row>
    <row r="6358" spans="1:2" s="161" customFormat="1" ht="12.75">
      <c r="A6358" s="144"/>
      <c r="B6358" s="160"/>
    </row>
    <row r="6359" spans="1:2" s="161" customFormat="1" ht="12.75">
      <c r="A6359" s="144"/>
      <c r="B6359" s="160"/>
    </row>
    <row r="6360" spans="1:2" s="161" customFormat="1" ht="12.75">
      <c r="A6360" s="144"/>
      <c r="B6360" s="160"/>
    </row>
    <row r="6361" spans="1:2" s="161" customFormat="1" ht="12.75">
      <c r="A6361" s="144"/>
      <c r="B6361" s="160"/>
    </row>
    <row r="6362" spans="1:2" s="161" customFormat="1" ht="12.75">
      <c r="A6362" s="144"/>
      <c r="B6362" s="160"/>
    </row>
    <row r="6363" spans="1:2" s="161" customFormat="1" ht="12.75">
      <c r="A6363" s="144"/>
      <c r="B6363" s="160"/>
    </row>
    <row r="6364" spans="1:2" s="161" customFormat="1" ht="12.75">
      <c r="A6364" s="144"/>
      <c r="B6364" s="160"/>
    </row>
    <row r="6365" spans="1:2" s="161" customFormat="1" ht="12.75">
      <c r="A6365" s="144"/>
      <c r="B6365" s="160"/>
    </row>
    <row r="6366" spans="1:2" s="161" customFormat="1" ht="12.75">
      <c r="A6366" s="144"/>
      <c r="B6366" s="160"/>
    </row>
    <row r="6367" spans="1:2" s="161" customFormat="1" ht="12.75">
      <c r="A6367" s="144"/>
      <c r="B6367" s="160"/>
    </row>
    <row r="6368" spans="1:2" s="161" customFormat="1" ht="12.75">
      <c r="A6368" s="144"/>
      <c r="B6368" s="160"/>
    </row>
    <row r="6369" spans="1:2" s="161" customFormat="1" ht="12.75">
      <c r="A6369" s="144"/>
      <c r="B6369" s="160"/>
    </row>
    <row r="6370" spans="1:2" s="161" customFormat="1" ht="12.75">
      <c r="A6370" s="144"/>
      <c r="B6370" s="160"/>
    </row>
    <row r="6371" spans="1:2" s="161" customFormat="1" ht="12.75">
      <c r="A6371" s="144"/>
      <c r="B6371" s="160"/>
    </row>
    <row r="6372" spans="1:2" s="161" customFormat="1" ht="12.75">
      <c r="A6372" s="144"/>
      <c r="B6372" s="160"/>
    </row>
    <row r="6373" spans="1:2" s="161" customFormat="1" ht="12.75">
      <c r="A6373" s="144"/>
      <c r="B6373" s="160"/>
    </row>
    <row r="6374" spans="1:2" s="161" customFormat="1" ht="12.75">
      <c r="A6374" s="144"/>
      <c r="B6374" s="160"/>
    </row>
    <row r="6375" spans="1:2" s="161" customFormat="1" ht="12.75">
      <c r="A6375" s="144"/>
      <c r="B6375" s="160"/>
    </row>
    <row r="6376" spans="1:2" s="161" customFormat="1" ht="12.75">
      <c r="A6376" s="144"/>
      <c r="B6376" s="160"/>
    </row>
    <row r="6377" spans="1:2" s="161" customFormat="1" ht="12.75">
      <c r="A6377" s="144"/>
      <c r="B6377" s="160"/>
    </row>
    <row r="6378" spans="1:2" s="161" customFormat="1" ht="12.75">
      <c r="A6378" s="144"/>
      <c r="B6378" s="160"/>
    </row>
    <row r="6379" spans="1:2" s="161" customFormat="1" ht="12.75">
      <c r="A6379" s="144"/>
      <c r="B6379" s="160"/>
    </row>
    <row r="6380" spans="1:2" s="161" customFormat="1" ht="12.75">
      <c r="A6380" s="144"/>
      <c r="B6380" s="160"/>
    </row>
    <row r="6381" spans="1:2" s="161" customFormat="1" ht="12.75">
      <c r="A6381" s="144"/>
      <c r="B6381" s="160"/>
    </row>
    <row r="6382" spans="1:2" s="161" customFormat="1" ht="12.75">
      <c r="A6382" s="144"/>
      <c r="B6382" s="160"/>
    </row>
    <row r="6383" spans="1:2" s="161" customFormat="1" ht="12.75">
      <c r="A6383" s="144"/>
      <c r="B6383" s="160"/>
    </row>
    <row r="6384" spans="1:2" s="161" customFormat="1" ht="12.75">
      <c r="A6384" s="144"/>
      <c r="B6384" s="160"/>
    </row>
    <row r="6385" spans="1:2" s="161" customFormat="1" ht="12.75">
      <c r="A6385" s="144"/>
      <c r="B6385" s="160"/>
    </row>
    <row r="6386" spans="1:2" s="161" customFormat="1" ht="12.75">
      <c r="A6386" s="144"/>
      <c r="B6386" s="160"/>
    </row>
    <row r="6387" spans="1:2" s="161" customFormat="1" ht="12.75">
      <c r="A6387" s="144"/>
      <c r="B6387" s="160"/>
    </row>
    <row r="6388" spans="1:2" s="161" customFormat="1" ht="12.75">
      <c r="A6388" s="144"/>
      <c r="B6388" s="160"/>
    </row>
    <row r="6389" spans="1:2" s="161" customFormat="1" ht="12.75">
      <c r="A6389" s="144"/>
      <c r="B6389" s="160"/>
    </row>
    <row r="6390" spans="1:2" s="161" customFormat="1" ht="12.75">
      <c r="A6390" s="144"/>
      <c r="B6390" s="160"/>
    </row>
    <row r="6391" spans="1:2" s="161" customFormat="1" ht="12.75">
      <c r="A6391" s="144"/>
      <c r="B6391" s="160"/>
    </row>
    <row r="6392" spans="1:2" s="161" customFormat="1" ht="12.75">
      <c r="A6392" s="144"/>
      <c r="B6392" s="160"/>
    </row>
    <row r="6393" spans="1:2" s="161" customFormat="1" ht="12.75">
      <c r="A6393" s="144"/>
      <c r="B6393" s="160"/>
    </row>
    <row r="6394" spans="1:2" s="161" customFormat="1" ht="12.75">
      <c r="A6394" s="144"/>
      <c r="B6394" s="160"/>
    </row>
    <row r="6395" spans="1:2" s="161" customFormat="1" ht="12.75">
      <c r="A6395" s="144"/>
      <c r="B6395" s="160"/>
    </row>
    <row r="6396" spans="1:2" s="161" customFormat="1" ht="12.75">
      <c r="A6396" s="144"/>
      <c r="B6396" s="160"/>
    </row>
    <row r="6397" spans="1:2" s="161" customFormat="1" ht="12.75">
      <c r="A6397" s="144"/>
      <c r="B6397" s="160"/>
    </row>
    <row r="6398" spans="1:2" s="161" customFormat="1" ht="12.75">
      <c r="A6398" s="144"/>
      <c r="B6398" s="160"/>
    </row>
    <row r="6399" spans="1:2" s="161" customFormat="1" ht="12.75">
      <c r="A6399" s="144"/>
      <c r="B6399" s="160"/>
    </row>
    <row r="6400" spans="1:2" s="161" customFormat="1" ht="12.75">
      <c r="A6400" s="144"/>
      <c r="B6400" s="160"/>
    </row>
    <row r="6401" spans="1:2" s="161" customFormat="1" ht="12.75">
      <c r="A6401" s="144"/>
      <c r="B6401" s="160"/>
    </row>
    <row r="6402" spans="1:2" s="161" customFormat="1" ht="12.75">
      <c r="A6402" s="144"/>
      <c r="B6402" s="160"/>
    </row>
    <row r="6403" spans="1:2" s="161" customFormat="1" ht="12.75">
      <c r="A6403" s="144"/>
      <c r="B6403" s="160"/>
    </row>
    <row r="6404" spans="1:2" s="161" customFormat="1" ht="12.75">
      <c r="A6404" s="144"/>
      <c r="B6404" s="160"/>
    </row>
    <row r="6405" spans="1:2" s="161" customFormat="1" ht="12.75">
      <c r="A6405" s="144"/>
      <c r="B6405" s="160"/>
    </row>
    <row r="6406" spans="1:2" s="161" customFormat="1" ht="12.75">
      <c r="A6406" s="144"/>
      <c r="B6406" s="160"/>
    </row>
    <row r="6407" spans="1:2" s="161" customFormat="1" ht="12.75">
      <c r="A6407" s="144"/>
      <c r="B6407" s="160"/>
    </row>
    <row r="6408" spans="1:2" s="161" customFormat="1" ht="12.75">
      <c r="A6408" s="144"/>
      <c r="B6408" s="160"/>
    </row>
    <row r="6409" spans="1:2" s="161" customFormat="1" ht="12.75">
      <c r="A6409" s="144"/>
      <c r="B6409" s="160"/>
    </row>
    <row r="6410" spans="1:2" s="161" customFormat="1" ht="12.75">
      <c r="A6410" s="144"/>
      <c r="B6410" s="160"/>
    </row>
    <row r="6411" spans="1:2" s="161" customFormat="1" ht="12.75">
      <c r="A6411" s="144"/>
      <c r="B6411" s="160"/>
    </row>
    <row r="6412" spans="1:2" s="161" customFormat="1" ht="12.75">
      <c r="A6412" s="144"/>
      <c r="B6412" s="160"/>
    </row>
    <row r="6413" spans="1:2" s="161" customFormat="1" ht="12.75">
      <c r="A6413" s="144"/>
      <c r="B6413" s="160"/>
    </row>
    <row r="6414" spans="1:2" s="161" customFormat="1" ht="12.75">
      <c r="A6414" s="144"/>
      <c r="B6414" s="160"/>
    </row>
    <row r="6415" spans="1:2" s="161" customFormat="1" ht="12.75">
      <c r="A6415" s="144"/>
      <c r="B6415" s="160"/>
    </row>
    <row r="6416" spans="1:2" s="161" customFormat="1" ht="12.75">
      <c r="A6416" s="144"/>
      <c r="B6416" s="160"/>
    </row>
    <row r="6417" spans="1:2" s="161" customFormat="1" ht="12.75">
      <c r="A6417" s="144"/>
      <c r="B6417" s="160"/>
    </row>
    <row r="6418" spans="1:2" s="161" customFormat="1" ht="12.75">
      <c r="A6418" s="144"/>
      <c r="B6418" s="160"/>
    </row>
    <row r="6419" spans="1:2" s="161" customFormat="1" ht="12.75">
      <c r="A6419" s="144"/>
      <c r="B6419" s="160"/>
    </row>
    <row r="6420" spans="1:2" s="161" customFormat="1" ht="12.75">
      <c r="A6420" s="144"/>
      <c r="B6420" s="160"/>
    </row>
    <row r="6421" spans="1:2" s="161" customFormat="1" ht="12.75">
      <c r="A6421" s="144"/>
      <c r="B6421" s="160"/>
    </row>
    <row r="6422" spans="1:2" s="161" customFormat="1" ht="12.75">
      <c r="A6422" s="144"/>
      <c r="B6422" s="160"/>
    </row>
    <row r="6423" spans="1:2" s="161" customFormat="1" ht="12.75">
      <c r="A6423" s="144"/>
      <c r="B6423" s="160"/>
    </row>
    <row r="6424" spans="1:2" s="161" customFormat="1" ht="12.75">
      <c r="A6424" s="144"/>
      <c r="B6424" s="160"/>
    </row>
    <row r="6425" spans="1:2" s="161" customFormat="1" ht="12.75">
      <c r="A6425" s="144"/>
      <c r="B6425" s="160"/>
    </row>
    <row r="6426" spans="1:2" s="161" customFormat="1" ht="12.75">
      <c r="A6426" s="144"/>
      <c r="B6426" s="160"/>
    </row>
    <row r="6427" spans="1:2" s="161" customFormat="1" ht="12.75">
      <c r="A6427" s="144"/>
      <c r="B6427" s="160"/>
    </row>
    <row r="6428" spans="1:2" s="161" customFormat="1" ht="12.75">
      <c r="A6428" s="144"/>
      <c r="B6428" s="160"/>
    </row>
    <row r="6429" spans="1:2" s="161" customFormat="1" ht="12.75">
      <c r="A6429" s="144"/>
      <c r="B6429" s="160"/>
    </row>
    <row r="6430" spans="1:2" s="161" customFormat="1" ht="12.75">
      <c r="A6430" s="144"/>
      <c r="B6430" s="160"/>
    </row>
    <row r="6431" spans="1:2" s="161" customFormat="1" ht="12.75">
      <c r="A6431" s="144"/>
      <c r="B6431" s="160"/>
    </row>
    <row r="6432" spans="1:2" s="161" customFormat="1" ht="12.75">
      <c r="A6432" s="144"/>
      <c r="B6432" s="160"/>
    </row>
    <row r="6433" spans="1:2" s="161" customFormat="1" ht="12.75">
      <c r="A6433" s="144"/>
      <c r="B6433" s="160"/>
    </row>
    <row r="6434" spans="1:2" s="161" customFormat="1" ht="12.75">
      <c r="A6434" s="144"/>
      <c r="B6434" s="160"/>
    </row>
    <row r="6435" spans="1:2" s="161" customFormat="1" ht="12.75">
      <c r="A6435" s="144"/>
      <c r="B6435" s="160"/>
    </row>
    <row r="6436" spans="1:2" s="161" customFormat="1" ht="12.75">
      <c r="A6436" s="144"/>
      <c r="B6436" s="160"/>
    </row>
    <row r="6437" spans="1:2" s="161" customFormat="1" ht="12.75">
      <c r="A6437" s="144"/>
      <c r="B6437" s="160"/>
    </row>
    <row r="6438" spans="1:2" s="161" customFormat="1" ht="12.75">
      <c r="A6438" s="144"/>
      <c r="B6438" s="160"/>
    </row>
    <row r="6439" spans="1:2" s="161" customFormat="1" ht="12.75">
      <c r="A6439" s="144"/>
      <c r="B6439" s="160"/>
    </row>
    <row r="6440" spans="1:2" s="161" customFormat="1" ht="12.75">
      <c r="A6440" s="144"/>
      <c r="B6440" s="160"/>
    </row>
    <row r="6441" spans="1:2" s="161" customFormat="1" ht="12.75">
      <c r="A6441" s="144"/>
      <c r="B6441" s="160"/>
    </row>
    <row r="6442" spans="1:2" s="161" customFormat="1" ht="12.75">
      <c r="A6442" s="144"/>
      <c r="B6442" s="160"/>
    </row>
    <row r="6443" spans="1:2" s="161" customFormat="1" ht="12.75">
      <c r="A6443" s="144"/>
      <c r="B6443" s="160"/>
    </row>
    <row r="6444" spans="1:2" s="161" customFormat="1" ht="12.75">
      <c r="A6444" s="144"/>
      <c r="B6444" s="160"/>
    </row>
    <row r="6445" spans="1:2" s="161" customFormat="1" ht="12.75">
      <c r="A6445" s="144"/>
      <c r="B6445" s="160"/>
    </row>
    <row r="6446" spans="1:2" s="161" customFormat="1" ht="12.75">
      <c r="A6446" s="144"/>
      <c r="B6446" s="160"/>
    </row>
    <row r="6447" spans="1:2" s="161" customFormat="1" ht="12.75">
      <c r="A6447" s="144"/>
      <c r="B6447" s="160"/>
    </row>
    <row r="6448" spans="1:2" s="161" customFormat="1" ht="12.75">
      <c r="A6448" s="144"/>
      <c r="B6448" s="160"/>
    </row>
    <row r="6449" spans="1:2" s="161" customFormat="1" ht="12.75">
      <c r="A6449" s="144"/>
      <c r="B6449" s="160"/>
    </row>
    <row r="6450" spans="1:2" s="161" customFormat="1" ht="12.75">
      <c r="A6450" s="144"/>
      <c r="B6450" s="160"/>
    </row>
    <row r="6451" spans="1:2" s="161" customFormat="1" ht="12.75">
      <c r="A6451" s="144"/>
      <c r="B6451" s="160"/>
    </row>
    <row r="6452" spans="1:2" s="161" customFormat="1" ht="12.75">
      <c r="A6452" s="144"/>
      <c r="B6452" s="160"/>
    </row>
    <row r="6453" spans="1:2" s="161" customFormat="1" ht="12.75">
      <c r="A6453" s="144"/>
      <c r="B6453" s="160"/>
    </row>
    <row r="6454" spans="1:2" s="161" customFormat="1" ht="12.75">
      <c r="A6454" s="144"/>
      <c r="B6454" s="160"/>
    </row>
    <row r="6455" spans="1:2" s="161" customFormat="1" ht="12.75">
      <c r="A6455" s="144"/>
      <c r="B6455" s="160"/>
    </row>
    <row r="6456" spans="1:2" s="161" customFormat="1" ht="12.75">
      <c r="A6456" s="144"/>
      <c r="B6456" s="160"/>
    </row>
    <row r="6457" spans="1:2" s="161" customFormat="1" ht="12.75">
      <c r="A6457" s="144"/>
      <c r="B6457" s="160"/>
    </row>
    <row r="6458" spans="1:2" s="161" customFormat="1" ht="12.75">
      <c r="A6458" s="144"/>
      <c r="B6458" s="160"/>
    </row>
    <row r="6459" spans="1:2" s="161" customFormat="1" ht="12.75">
      <c r="A6459" s="144"/>
      <c r="B6459" s="160"/>
    </row>
    <row r="6460" spans="1:2" s="161" customFormat="1" ht="12.75">
      <c r="A6460" s="144"/>
      <c r="B6460" s="160"/>
    </row>
    <row r="6461" spans="1:2" s="161" customFormat="1" ht="12.75">
      <c r="A6461" s="144"/>
      <c r="B6461" s="160"/>
    </row>
    <row r="6462" spans="1:2" s="161" customFormat="1" ht="12.75">
      <c r="A6462" s="144"/>
      <c r="B6462" s="160"/>
    </row>
    <row r="6463" spans="1:2" s="161" customFormat="1" ht="12.75">
      <c r="A6463" s="144"/>
      <c r="B6463" s="160"/>
    </row>
    <row r="6464" spans="1:2" s="161" customFormat="1" ht="12.75">
      <c r="A6464" s="144"/>
      <c r="B6464" s="160"/>
    </row>
    <row r="6465" spans="1:2" s="161" customFormat="1" ht="12.75">
      <c r="A6465" s="144"/>
      <c r="B6465" s="160"/>
    </row>
    <row r="6466" spans="1:2" s="161" customFormat="1" ht="12.75">
      <c r="A6466" s="144"/>
      <c r="B6466" s="160"/>
    </row>
    <row r="6467" spans="1:2" s="161" customFormat="1" ht="12.75">
      <c r="A6467" s="144"/>
      <c r="B6467" s="160"/>
    </row>
    <row r="6468" spans="1:2" s="161" customFormat="1" ht="12.75">
      <c r="A6468" s="144"/>
      <c r="B6468" s="160"/>
    </row>
    <row r="6469" spans="1:2" s="161" customFormat="1" ht="12.75">
      <c r="A6469" s="144"/>
      <c r="B6469" s="160"/>
    </row>
    <row r="6470" spans="1:2" s="161" customFormat="1" ht="12.75">
      <c r="A6470" s="144"/>
      <c r="B6470" s="160"/>
    </row>
    <row r="6471" spans="1:2" s="161" customFormat="1" ht="12.75">
      <c r="A6471" s="144"/>
      <c r="B6471" s="160"/>
    </row>
    <row r="6472" spans="1:2" s="161" customFormat="1" ht="12.75">
      <c r="A6472" s="144"/>
      <c r="B6472" s="160"/>
    </row>
    <row r="6473" spans="1:2" s="161" customFormat="1" ht="12.75">
      <c r="A6473" s="144"/>
      <c r="B6473" s="160"/>
    </row>
    <row r="6474" spans="1:2" s="161" customFormat="1" ht="12.75">
      <c r="A6474" s="144"/>
      <c r="B6474" s="160"/>
    </row>
    <row r="6475" spans="1:2" s="161" customFormat="1" ht="12.75">
      <c r="A6475" s="144"/>
      <c r="B6475" s="160"/>
    </row>
    <row r="6476" spans="1:2" s="161" customFormat="1" ht="12.75">
      <c r="A6476" s="144"/>
      <c r="B6476" s="160"/>
    </row>
    <row r="6477" spans="1:2" s="161" customFormat="1" ht="12.75">
      <c r="A6477" s="144"/>
      <c r="B6477" s="160"/>
    </row>
    <row r="6478" spans="1:2" s="161" customFormat="1" ht="12.75">
      <c r="A6478" s="144"/>
      <c r="B6478" s="160"/>
    </row>
    <row r="6479" spans="1:2" s="161" customFormat="1" ht="12.75">
      <c r="A6479" s="144"/>
      <c r="B6479" s="160"/>
    </row>
    <row r="6480" spans="1:2" s="161" customFormat="1" ht="12.75">
      <c r="A6480" s="144"/>
      <c r="B6480" s="160"/>
    </row>
    <row r="6481" spans="1:2" s="161" customFormat="1" ht="12.75">
      <c r="A6481" s="144"/>
      <c r="B6481" s="160"/>
    </row>
    <row r="6482" spans="1:2" s="161" customFormat="1" ht="12.75">
      <c r="A6482" s="144"/>
      <c r="B6482" s="160"/>
    </row>
    <row r="6483" spans="1:2" s="161" customFormat="1" ht="12.75">
      <c r="A6483" s="144"/>
      <c r="B6483" s="160"/>
    </row>
    <row r="6484" spans="1:2" s="161" customFormat="1" ht="12.75">
      <c r="A6484" s="144"/>
      <c r="B6484" s="160"/>
    </row>
    <row r="6485" spans="1:2" s="161" customFormat="1" ht="12.75">
      <c r="A6485" s="144"/>
      <c r="B6485" s="160"/>
    </row>
    <row r="6486" spans="1:2" s="161" customFormat="1" ht="12.75">
      <c r="A6486" s="144"/>
      <c r="B6486" s="160"/>
    </row>
    <row r="6487" spans="1:2" s="161" customFormat="1" ht="12.75">
      <c r="A6487" s="144"/>
      <c r="B6487" s="160"/>
    </row>
    <row r="6488" spans="1:2" s="161" customFormat="1" ht="12.75">
      <c r="A6488" s="144"/>
      <c r="B6488" s="160"/>
    </row>
    <row r="6489" spans="1:2" s="161" customFormat="1" ht="12.75">
      <c r="A6489" s="144"/>
      <c r="B6489" s="160"/>
    </row>
    <row r="6490" spans="1:2" s="161" customFormat="1" ht="12.75">
      <c r="A6490" s="144"/>
      <c r="B6490" s="160"/>
    </row>
    <row r="6491" spans="1:2" s="161" customFormat="1" ht="12.75">
      <c r="A6491" s="144"/>
      <c r="B6491" s="160"/>
    </row>
    <row r="6492" spans="1:2" s="161" customFormat="1" ht="12.75">
      <c r="A6492" s="144"/>
      <c r="B6492" s="160"/>
    </row>
    <row r="6493" spans="1:2" s="161" customFormat="1" ht="12.75">
      <c r="A6493" s="144"/>
      <c r="B6493" s="160"/>
    </row>
    <row r="6494" spans="1:2" s="161" customFormat="1" ht="12.75">
      <c r="A6494" s="144"/>
      <c r="B6494" s="160"/>
    </row>
    <row r="6495" spans="1:2" s="161" customFormat="1" ht="12.75">
      <c r="A6495" s="144"/>
      <c r="B6495" s="160"/>
    </row>
    <row r="6496" spans="1:2" s="161" customFormat="1" ht="12.75">
      <c r="A6496" s="144"/>
      <c r="B6496" s="160"/>
    </row>
    <row r="6497" spans="1:2" s="161" customFormat="1" ht="12.75">
      <c r="A6497" s="144"/>
      <c r="B6497" s="160"/>
    </row>
    <row r="6498" spans="1:2" s="161" customFormat="1" ht="12.75">
      <c r="A6498" s="144"/>
      <c r="B6498" s="160"/>
    </row>
    <row r="6499" spans="1:2" s="161" customFormat="1" ht="12.75">
      <c r="A6499" s="144"/>
      <c r="B6499" s="160"/>
    </row>
    <row r="6500" spans="1:2" s="161" customFormat="1" ht="12.75">
      <c r="A6500" s="144"/>
      <c r="B6500" s="160"/>
    </row>
    <row r="6501" spans="1:2" s="161" customFormat="1" ht="12.75">
      <c r="A6501" s="144"/>
      <c r="B6501" s="160"/>
    </row>
    <row r="6502" spans="1:2" s="161" customFormat="1" ht="12.75">
      <c r="A6502" s="144"/>
      <c r="B6502" s="160"/>
    </row>
    <row r="6503" spans="1:2" s="161" customFormat="1" ht="12.75">
      <c r="A6503" s="144"/>
      <c r="B6503" s="160"/>
    </row>
    <row r="6504" spans="1:2" s="161" customFormat="1" ht="12.75">
      <c r="A6504" s="144"/>
      <c r="B6504" s="160"/>
    </row>
    <row r="6505" spans="1:2" s="161" customFormat="1" ht="12.75">
      <c r="A6505" s="144"/>
      <c r="B6505" s="160"/>
    </row>
    <row r="6506" spans="1:2" s="161" customFormat="1" ht="12.75">
      <c r="A6506" s="144"/>
      <c r="B6506" s="160"/>
    </row>
    <row r="6507" spans="1:2" s="161" customFormat="1" ht="12.75">
      <c r="A6507" s="144"/>
      <c r="B6507" s="160"/>
    </row>
    <row r="6508" spans="1:2" s="161" customFormat="1" ht="12.75">
      <c r="A6508" s="144"/>
      <c r="B6508" s="160"/>
    </row>
    <row r="6509" spans="1:2" s="161" customFormat="1" ht="12.75">
      <c r="A6509" s="144"/>
      <c r="B6509" s="160"/>
    </row>
    <row r="6510" spans="1:2" s="161" customFormat="1" ht="12.75">
      <c r="A6510" s="144"/>
      <c r="B6510" s="160"/>
    </row>
    <row r="6511" spans="1:2" s="161" customFormat="1" ht="12.75">
      <c r="A6511" s="144"/>
      <c r="B6511" s="160"/>
    </row>
    <row r="6512" spans="1:2" s="161" customFormat="1" ht="12.75">
      <c r="A6512" s="144"/>
      <c r="B6512" s="160"/>
    </row>
    <row r="6513" spans="1:2" s="161" customFormat="1" ht="12.75">
      <c r="A6513" s="144"/>
      <c r="B6513" s="160"/>
    </row>
    <row r="6514" spans="1:2" s="161" customFormat="1" ht="12.75">
      <c r="A6514" s="144"/>
      <c r="B6514" s="160"/>
    </row>
    <row r="6515" spans="1:2" s="161" customFormat="1" ht="12.75">
      <c r="A6515" s="144"/>
      <c r="B6515" s="160"/>
    </row>
    <row r="6516" spans="1:2" s="161" customFormat="1" ht="12.75">
      <c r="A6516" s="144"/>
      <c r="B6516" s="160"/>
    </row>
    <row r="6517" spans="1:2" s="161" customFormat="1" ht="12.75">
      <c r="A6517" s="144"/>
      <c r="B6517" s="160"/>
    </row>
    <row r="6518" spans="1:2" s="161" customFormat="1" ht="12.75">
      <c r="A6518" s="144"/>
      <c r="B6518" s="160"/>
    </row>
    <row r="6519" spans="1:2" s="161" customFormat="1" ht="12.75">
      <c r="A6519" s="144"/>
      <c r="B6519" s="160"/>
    </row>
    <row r="6520" spans="1:2" s="161" customFormat="1" ht="12.75">
      <c r="A6520" s="144"/>
      <c r="B6520" s="160"/>
    </row>
    <row r="6521" spans="1:2" s="161" customFormat="1" ht="12.75">
      <c r="A6521" s="144"/>
      <c r="B6521" s="160"/>
    </row>
    <row r="6522" spans="1:2" s="161" customFormat="1" ht="12.75">
      <c r="A6522" s="144"/>
      <c r="B6522" s="160"/>
    </row>
    <row r="6523" spans="1:2" s="161" customFormat="1" ht="12.75">
      <c r="A6523" s="144"/>
      <c r="B6523" s="160"/>
    </row>
    <row r="6524" spans="1:2" s="161" customFormat="1" ht="12.75">
      <c r="A6524" s="144"/>
      <c r="B6524" s="160"/>
    </row>
    <row r="6525" spans="1:2" s="161" customFormat="1" ht="12.75">
      <c r="A6525" s="144"/>
      <c r="B6525" s="160"/>
    </row>
    <row r="6526" spans="1:2" s="161" customFormat="1" ht="12.75">
      <c r="A6526" s="144"/>
      <c r="B6526" s="160"/>
    </row>
    <row r="6527" spans="1:2" s="161" customFormat="1" ht="12.75">
      <c r="A6527" s="144"/>
      <c r="B6527" s="160"/>
    </row>
    <row r="6528" spans="1:2" s="161" customFormat="1" ht="12.75">
      <c r="A6528" s="144"/>
      <c r="B6528" s="160"/>
    </row>
    <row r="6529" spans="1:2" s="161" customFormat="1" ht="12.75">
      <c r="A6529" s="144"/>
      <c r="B6529" s="160"/>
    </row>
    <row r="6530" spans="1:2" s="161" customFormat="1" ht="12.75">
      <c r="A6530" s="144"/>
      <c r="B6530" s="160"/>
    </row>
    <row r="6531" spans="1:2" s="161" customFormat="1" ht="12.75">
      <c r="A6531" s="144"/>
      <c r="B6531" s="160"/>
    </row>
    <row r="6532" spans="1:2" s="161" customFormat="1" ht="12.75">
      <c r="A6532" s="144"/>
      <c r="B6532" s="160"/>
    </row>
    <row r="6533" spans="1:2" s="161" customFormat="1" ht="12.75">
      <c r="A6533" s="144"/>
      <c r="B6533" s="160"/>
    </row>
    <row r="6534" spans="1:2" s="161" customFormat="1" ht="12.75">
      <c r="A6534" s="144"/>
      <c r="B6534" s="160"/>
    </row>
    <row r="6535" spans="1:2" s="161" customFormat="1" ht="12.75">
      <c r="A6535" s="144"/>
      <c r="B6535" s="160"/>
    </row>
    <row r="6536" spans="1:2" s="161" customFormat="1" ht="12.75">
      <c r="A6536" s="144"/>
      <c r="B6536" s="160"/>
    </row>
    <row r="6537" spans="1:2" s="161" customFormat="1" ht="12.75">
      <c r="A6537" s="144"/>
      <c r="B6537" s="160"/>
    </row>
    <row r="6538" spans="1:2" s="161" customFormat="1" ht="12.75">
      <c r="A6538" s="144"/>
      <c r="B6538" s="160"/>
    </row>
    <row r="6539" spans="1:2" s="161" customFormat="1" ht="12.75">
      <c r="A6539" s="144"/>
      <c r="B6539" s="160"/>
    </row>
    <row r="6540" spans="1:2" s="161" customFormat="1" ht="12.75">
      <c r="A6540" s="144"/>
      <c r="B6540" s="160"/>
    </row>
    <row r="6541" spans="1:2" s="161" customFormat="1" ht="12.75">
      <c r="A6541" s="144"/>
      <c r="B6541" s="160"/>
    </row>
    <row r="6542" spans="1:2" s="161" customFormat="1" ht="12.75">
      <c r="A6542" s="144"/>
      <c r="B6542" s="160"/>
    </row>
    <row r="6543" spans="1:2" s="161" customFormat="1" ht="12.75">
      <c r="A6543" s="144"/>
      <c r="B6543" s="160"/>
    </row>
    <row r="6544" spans="1:2" s="161" customFormat="1" ht="12.75">
      <c r="A6544" s="144"/>
      <c r="B6544" s="160"/>
    </row>
    <row r="6545" spans="1:2" s="161" customFormat="1" ht="12.75">
      <c r="A6545" s="144"/>
      <c r="B6545" s="160"/>
    </row>
    <row r="6546" spans="1:2" s="161" customFormat="1" ht="12.75">
      <c r="A6546" s="144"/>
      <c r="B6546" s="160"/>
    </row>
    <row r="6547" spans="1:2" s="161" customFormat="1" ht="12.75">
      <c r="A6547" s="144"/>
      <c r="B6547" s="160"/>
    </row>
    <row r="6548" spans="1:2" s="161" customFormat="1" ht="12.75">
      <c r="A6548" s="144"/>
      <c r="B6548" s="160"/>
    </row>
    <row r="6549" spans="1:2" s="161" customFormat="1" ht="12.75">
      <c r="A6549" s="144"/>
      <c r="B6549" s="160"/>
    </row>
    <row r="6550" spans="1:2" s="161" customFormat="1" ht="12.75">
      <c r="A6550" s="144"/>
      <c r="B6550" s="160"/>
    </row>
    <row r="6551" spans="1:2" s="161" customFormat="1" ht="12.75">
      <c r="A6551" s="144"/>
      <c r="B6551" s="160"/>
    </row>
    <row r="6552" spans="1:2" s="161" customFormat="1" ht="12.75">
      <c r="A6552" s="144"/>
      <c r="B6552" s="160"/>
    </row>
    <row r="6553" spans="1:2" s="161" customFormat="1" ht="12.75">
      <c r="A6553" s="144"/>
      <c r="B6553" s="160"/>
    </row>
    <row r="6554" spans="1:2" s="161" customFormat="1" ht="12.75">
      <c r="A6554" s="144"/>
      <c r="B6554" s="160"/>
    </row>
    <row r="6555" spans="1:2" s="161" customFormat="1" ht="12.75">
      <c r="A6555" s="144"/>
      <c r="B6555" s="160"/>
    </row>
    <row r="6556" spans="1:2" s="161" customFormat="1" ht="12.75">
      <c r="A6556" s="144"/>
      <c r="B6556" s="160"/>
    </row>
    <row r="6557" spans="1:2" s="161" customFormat="1" ht="12.75">
      <c r="A6557" s="144"/>
      <c r="B6557" s="160"/>
    </row>
    <row r="6558" spans="1:2" s="161" customFormat="1" ht="12.75">
      <c r="A6558" s="144"/>
      <c r="B6558" s="160"/>
    </row>
    <row r="6559" spans="1:2" s="161" customFormat="1" ht="12.75">
      <c r="A6559" s="144"/>
      <c r="B6559" s="160"/>
    </row>
    <row r="6560" spans="1:2" s="161" customFormat="1" ht="12.75">
      <c r="A6560" s="144"/>
      <c r="B6560" s="160"/>
    </row>
    <row r="6561" spans="1:2" s="161" customFormat="1" ht="12.75">
      <c r="A6561" s="144"/>
      <c r="B6561" s="160"/>
    </row>
    <row r="6562" spans="1:2" s="161" customFormat="1" ht="12.75">
      <c r="A6562" s="144"/>
      <c r="B6562" s="160"/>
    </row>
    <row r="6563" spans="1:2" s="161" customFormat="1" ht="12.75">
      <c r="A6563" s="144"/>
      <c r="B6563" s="160"/>
    </row>
    <row r="6564" spans="1:2" s="161" customFormat="1" ht="12.75">
      <c r="A6564" s="144"/>
      <c r="B6564" s="160"/>
    </row>
    <row r="6565" spans="1:2" s="161" customFormat="1" ht="12.75">
      <c r="A6565" s="144"/>
      <c r="B6565" s="160"/>
    </row>
    <row r="6566" spans="1:2" s="161" customFormat="1" ht="12.75">
      <c r="A6566" s="144"/>
      <c r="B6566" s="160"/>
    </row>
    <row r="6567" spans="1:2" s="161" customFormat="1" ht="12.75">
      <c r="A6567" s="144"/>
      <c r="B6567" s="160"/>
    </row>
    <row r="6568" spans="1:2" s="161" customFormat="1" ht="12.75">
      <c r="A6568" s="144"/>
      <c r="B6568" s="160"/>
    </row>
    <row r="6569" spans="1:2" s="161" customFormat="1" ht="12.75">
      <c r="A6569" s="144"/>
      <c r="B6569" s="160"/>
    </row>
    <row r="6570" spans="1:2" s="161" customFormat="1" ht="12.75">
      <c r="A6570" s="144"/>
      <c r="B6570" s="160"/>
    </row>
    <row r="6571" spans="1:2" s="161" customFormat="1" ht="12.75">
      <c r="A6571" s="144"/>
      <c r="B6571" s="160"/>
    </row>
    <row r="6572" spans="1:2" s="161" customFormat="1" ht="12.75">
      <c r="A6572" s="144"/>
      <c r="B6572" s="160"/>
    </row>
    <row r="6573" spans="1:2" s="161" customFormat="1" ht="12.75">
      <c r="A6573" s="144"/>
      <c r="B6573" s="160"/>
    </row>
    <row r="6574" spans="1:2" s="161" customFormat="1" ht="12.75">
      <c r="A6574" s="144"/>
      <c r="B6574" s="160"/>
    </row>
    <row r="6575" spans="1:2" s="161" customFormat="1" ht="12.75">
      <c r="A6575" s="144"/>
      <c r="B6575" s="160"/>
    </row>
    <row r="6576" spans="1:2" s="161" customFormat="1" ht="12.75">
      <c r="A6576" s="144"/>
      <c r="B6576" s="160"/>
    </row>
    <row r="6577" spans="1:2" s="161" customFormat="1" ht="12.75">
      <c r="A6577" s="144"/>
      <c r="B6577" s="160"/>
    </row>
    <row r="6578" spans="1:2" s="161" customFormat="1" ht="12.75">
      <c r="A6578" s="144"/>
      <c r="B6578" s="160"/>
    </row>
    <row r="6579" spans="1:2" s="161" customFormat="1" ht="12.75">
      <c r="A6579" s="144"/>
      <c r="B6579" s="160"/>
    </row>
    <row r="6580" spans="1:2" s="161" customFormat="1" ht="12.75">
      <c r="A6580" s="144"/>
      <c r="B6580" s="160"/>
    </row>
    <row r="6581" spans="1:2" s="161" customFormat="1" ht="12.75">
      <c r="A6581" s="144"/>
      <c r="B6581" s="160"/>
    </row>
    <row r="6582" spans="1:2" s="161" customFormat="1" ht="12.75">
      <c r="A6582" s="144"/>
      <c r="B6582" s="160"/>
    </row>
    <row r="6583" spans="1:2" s="161" customFormat="1" ht="12.75">
      <c r="A6583" s="144"/>
      <c r="B6583" s="160"/>
    </row>
    <row r="6584" spans="1:2" s="161" customFormat="1" ht="12.75">
      <c r="A6584" s="144"/>
      <c r="B6584" s="160"/>
    </row>
    <row r="6585" spans="1:2" s="161" customFormat="1" ht="12.75">
      <c r="A6585" s="144"/>
      <c r="B6585" s="160"/>
    </row>
    <row r="6586" spans="1:2" s="161" customFormat="1" ht="12.75">
      <c r="A6586" s="144"/>
      <c r="B6586" s="160"/>
    </row>
    <row r="6587" spans="1:2" s="161" customFormat="1" ht="12.75">
      <c r="A6587" s="144"/>
      <c r="B6587" s="160"/>
    </row>
    <row r="6588" spans="1:2" s="161" customFormat="1" ht="12.75">
      <c r="A6588" s="144"/>
      <c r="B6588" s="160"/>
    </row>
    <row r="6589" spans="1:2" s="161" customFormat="1" ht="12.75">
      <c r="A6589" s="144"/>
      <c r="B6589" s="160"/>
    </row>
    <row r="6590" spans="1:2" s="161" customFormat="1" ht="12.75">
      <c r="A6590" s="144"/>
      <c r="B6590" s="160"/>
    </row>
    <row r="6591" spans="1:2" s="161" customFormat="1" ht="12.75">
      <c r="A6591" s="144"/>
      <c r="B6591" s="160"/>
    </row>
    <row r="6592" spans="1:2" s="161" customFormat="1" ht="12.75">
      <c r="A6592" s="144"/>
      <c r="B6592" s="160"/>
    </row>
    <row r="6593" spans="1:2" s="161" customFormat="1" ht="12.75">
      <c r="A6593" s="144"/>
      <c r="B6593" s="160"/>
    </row>
    <row r="6594" spans="1:2" s="161" customFormat="1" ht="12.75">
      <c r="A6594" s="144"/>
      <c r="B6594" s="160"/>
    </row>
    <row r="6595" spans="1:2" s="161" customFormat="1" ht="12.75">
      <c r="A6595" s="144"/>
      <c r="B6595" s="160"/>
    </row>
    <row r="6596" spans="1:2" s="161" customFormat="1" ht="12.75">
      <c r="A6596" s="144"/>
      <c r="B6596" s="160"/>
    </row>
    <row r="6597" spans="1:2" s="161" customFormat="1" ht="12.75">
      <c r="A6597" s="144"/>
      <c r="B6597" s="160"/>
    </row>
    <row r="6598" spans="1:2" s="161" customFormat="1" ht="12.75">
      <c r="A6598" s="144"/>
      <c r="B6598" s="160"/>
    </row>
    <row r="6599" spans="1:2" s="161" customFormat="1" ht="12.75">
      <c r="A6599" s="144"/>
      <c r="B6599" s="160"/>
    </row>
    <row r="6600" spans="1:2" s="161" customFormat="1" ht="12.75">
      <c r="A6600" s="144"/>
      <c r="B6600" s="160"/>
    </row>
    <row r="6601" spans="1:2" s="161" customFormat="1" ht="12.75">
      <c r="A6601" s="144"/>
      <c r="B6601" s="160"/>
    </row>
    <row r="6602" spans="1:2" s="161" customFormat="1" ht="12.75">
      <c r="A6602" s="144"/>
      <c r="B6602" s="160"/>
    </row>
    <row r="6603" spans="1:2" s="161" customFormat="1" ht="12.75">
      <c r="A6603" s="144"/>
      <c r="B6603" s="160"/>
    </row>
    <row r="6604" spans="1:2" s="161" customFormat="1" ht="12.75">
      <c r="A6604" s="144"/>
      <c r="B6604" s="160"/>
    </row>
    <row r="6605" spans="1:2" s="161" customFormat="1" ht="12.75">
      <c r="A6605" s="144"/>
      <c r="B6605" s="160"/>
    </row>
    <row r="6606" spans="1:2" s="161" customFormat="1" ht="12.75">
      <c r="A6606" s="144"/>
      <c r="B6606" s="160"/>
    </row>
    <row r="6607" spans="1:2" s="161" customFormat="1" ht="12.75">
      <c r="A6607" s="144"/>
      <c r="B6607" s="160"/>
    </row>
    <row r="6608" spans="1:2" s="161" customFormat="1" ht="12.75">
      <c r="A6608" s="144"/>
      <c r="B6608" s="160"/>
    </row>
    <row r="6609" spans="1:7" s="161" customFormat="1" ht="12.75">
      <c r="A6609" s="144"/>
      <c r="B6609" s="160"/>
    </row>
    <row r="6610" spans="1:7" s="161" customFormat="1" ht="12.75">
      <c r="A6610" s="144"/>
      <c r="B6610" s="160"/>
    </row>
    <row r="6611" spans="1:7" s="161" customFormat="1" ht="12.75">
      <c r="A6611" s="144"/>
      <c r="B6611" s="160"/>
    </row>
    <row r="6612" spans="1:7" s="161" customFormat="1" ht="12.75">
      <c r="A6612" s="144"/>
      <c r="B6612" s="160"/>
    </row>
    <row r="6613" spans="1:7" s="161" customFormat="1" ht="12.75">
      <c r="A6613" s="144"/>
      <c r="B6613" s="160"/>
    </row>
    <row r="6614" spans="1:7" s="161" customFormat="1" ht="12.75">
      <c r="A6614" s="144"/>
      <c r="B6614" s="160"/>
    </row>
    <row r="6615" spans="1:7" s="161" customFormat="1" ht="12.75">
      <c r="A6615" s="144"/>
      <c r="B6615" s="160"/>
    </row>
    <row r="6616" spans="1:7" ht="12.75">
      <c r="F6616" s="161"/>
      <c r="G6616" s="161"/>
    </row>
    <row r="6617" spans="1:7" ht="12.75">
      <c r="F6617" s="161"/>
      <c r="G6617" s="161"/>
    </row>
    <row r="6618" spans="1:7" ht="12.75">
      <c r="F6618" s="161"/>
      <c r="G6618" s="161"/>
    </row>
    <row r="6619" spans="1:7" ht="12.75">
      <c r="F6619" s="161"/>
      <c r="G6619" s="161"/>
    </row>
    <row r="6620" spans="1:7" ht="12.75">
      <c r="F6620" s="161"/>
      <c r="G6620" s="161"/>
    </row>
    <row r="6621" spans="1:7" ht="12.75">
      <c r="F6621" s="161"/>
      <c r="G6621" s="161"/>
    </row>
    <row r="6622" spans="1:7" ht="12.75">
      <c r="F6622" s="161"/>
      <c r="G6622" s="161"/>
    </row>
    <row r="6623" spans="1:7" ht="12.75">
      <c r="F6623" s="161"/>
      <c r="G6623" s="161"/>
    </row>
    <row r="6624" spans="1:7" ht="12.75">
      <c r="F6624" s="161"/>
      <c r="G6624" s="161"/>
    </row>
    <row r="6625" spans="6:7" ht="12.75">
      <c r="F6625" s="161"/>
      <c r="G6625" s="161"/>
    </row>
    <row r="6626" spans="6:7" ht="12.75">
      <c r="F6626" s="161"/>
      <c r="G6626" s="161"/>
    </row>
    <row r="6627" spans="6:7" ht="12.75">
      <c r="F6627" s="161"/>
      <c r="G6627" s="161"/>
    </row>
    <row r="6628" spans="6:7" ht="12.75">
      <c r="F6628" s="161"/>
      <c r="G6628" s="161"/>
    </row>
    <row r="6629" spans="6:7" ht="12.75">
      <c r="F6629" s="161"/>
      <c r="G6629" s="161"/>
    </row>
    <row r="6630" spans="6:7" ht="12.75">
      <c r="F6630" s="161"/>
      <c r="G6630" s="161"/>
    </row>
    <row r="6631" spans="6:7" ht="12.75">
      <c r="F6631" s="161"/>
      <c r="G6631" s="161"/>
    </row>
    <row r="6632" spans="6:7" ht="12.75">
      <c r="F6632" s="161"/>
      <c r="G6632" s="161"/>
    </row>
    <row r="6633" spans="6:7" ht="12.75">
      <c r="F6633" s="161"/>
      <c r="G6633" s="161"/>
    </row>
    <row r="6634" spans="6:7" ht="12.75">
      <c r="F6634" s="161"/>
      <c r="G6634" s="161"/>
    </row>
    <row r="6635" spans="6:7" ht="12.75">
      <c r="F6635" s="161"/>
      <c r="G6635" s="161"/>
    </row>
    <row r="6636" spans="6:7" ht="12.75">
      <c r="F6636" s="161"/>
      <c r="G6636" s="161"/>
    </row>
    <row r="6637" spans="6:7" ht="12.75">
      <c r="F6637" s="161"/>
      <c r="G6637" s="161"/>
    </row>
    <row r="6638" spans="6:7" ht="12.75">
      <c r="F6638" s="161"/>
      <c r="G6638" s="161"/>
    </row>
    <row r="6639" spans="6:7" ht="12.75">
      <c r="F6639" s="161"/>
      <c r="G6639" s="161"/>
    </row>
    <row r="6640" spans="6:7" ht="12.75">
      <c r="F6640" s="161"/>
      <c r="G6640" s="161"/>
    </row>
    <row r="6641" spans="6:7" ht="12.75">
      <c r="F6641" s="161"/>
      <c r="G6641" s="161"/>
    </row>
    <row r="6642" spans="6:7" ht="12.75">
      <c r="F6642" s="161"/>
      <c r="G6642" s="161"/>
    </row>
    <row r="6643" spans="6:7" ht="12.75">
      <c r="F6643" s="161"/>
      <c r="G6643" s="161"/>
    </row>
    <row r="6644" spans="6:7" ht="12.75">
      <c r="F6644" s="161"/>
      <c r="G6644" s="161"/>
    </row>
    <row r="6645" spans="6:7" ht="12.75">
      <c r="F6645" s="161"/>
      <c r="G6645" s="161"/>
    </row>
    <row r="6646" spans="6:7" ht="12.75">
      <c r="F6646" s="161"/>
      <c r="G6646" s="161"/>
    </row>
    <row r="6647" spans="6:7" ht="12.75">
      <c r="F6647" s="161"/>
      <c r="G6647" s="161"/>
    </row>
    <row r="6648" spans="6:7" ht="12.75">
      <c r="F6648" s="161"/>
      <c r="G6648" s="161"/>
    </row>
    <row r="6649" spans="6:7" ht="12.75">
      <c r="F6649" s="161"/>
      <c r="G6649" s="161"/>
    </row>
    <row r="6650" spans="6:7" ht="12.75">
      <c r="F6650" s="161"/>
      <c r="G6650" s="161"/>
    </row>
    <row r="6651" spans="6:7" ht="12.75">
      <c r="F6651" s="161"/>
      <c r="G6651" s="161"/>
    </row>
    <row r="6652" spans="6:7" ht="12.75">
      <c r="F6652" s="161"/>
      <c r="G6652" s="161"/>
    </row>
    <row r="6653" spans="6:7" ht="12.75">
      <c r="F6653" s="161"/>
      <c r="G6653" s="161"/>
    </row>
    <row r="6654" spans="6:7" ht="12.75">
      <c r="F6654" s="161"/>
      <c r="G6654" s="161"/>
    </row>
    <row r="6655" spans="6:7" ht="12.75">
      <c r="F6655" s="161"/>
      <c r="G6655" s="161"/>
    </row>
    <row r="6656" spans="6:7" ht="12.75">
      <c r="F6656" s="161"/>
      <c r="G6656" s="161"/>
    </row>
    <row r="6657" spans="6:7" ht="12.75">
      <c r="F6657" s="161"/>
      <c r="G6657" s="161"/>
    </row>
    <row r="6658" spans="6:7" ht="12.75">
      <c r="F6658" s="161"/>
      <c r="G6658" s="161"/>
    </row>
    <row r="6659" spans="6:7" ht="12.75">
      <c r="F6659" s="161"/>
      <c r="G6659" s="161"/>
    </row>
    <row r="6660" spans="6:7" ht="12.75">
      <c r="F6660" s="161"/>
      <c r="G6660" s="161"/>
    </row>
    <row r="6661" spans="6:7" ht="12.75">
      <c r="F6661" s="161"/>
      <c r="G6661" s="161"/>
    </row>
    <row r="6662" spans="6:7" ht="12.75">
      <c r="F6662" s="161"/>
      <c r="G6662" s="161"/>
    </row>
    <row r="6663" spans="6:7" ht="12.75">
      <c r="F6663" s="161"/>
      <c r="G6663" s="161"/>
    </row>
    <row r="6664" spans="6:7" ht="12.75">
      <c r="F6664" s="161"/>
      <c r="G6664" s="161"/>
    </row>
    <row r="6665" spans="6:7" ht="12.75">
      <c r="F6665" s="161"/>
      <c r="G6665" s="161"/>
    </row>
    <row r="6666" spans="6:7" ht="12.75">
      <c r="F6666" s="161"/>
      <c r="G6666" s="161"/>
    </row>
    <row r="6667" spans="6:7" ht="12.75">
      <c r="F6667" s="161"/>
      <c r="G6667" s="161"/>
    </row>
    <row r="6668" spans="6:7" ht="12.75">
      <c r="F6668" s="161"/>
      <c r="G6668" s="161"/>
    </row>
    <row r="6669" spans="6:7" ht="12.75">
      <c r="F6669" s="161"/>
      <c r="G6669" s="161"/>
    </row>
    <row r="6670" spans="6:7" ht="12.75">
      <c r="F6670" s="161"/>
      <c r="G6670" s="161"/>
    </row>
    <row r="6671" spans="6:7" ht="12.75">
      <c r="F6671" s="161"/>
      <c r="G6671" s="161"/>
    </row>
    <row r="6672" spans="6:7" ht="12.75">
      <c r="F6672" s="161"/>
      <c r="G6672" s="161"/>
    </row>
    <row r="6673" spans="6:7" ht="12.75">
      <c r="F6673" s="161"/>
      <c r="G6673" s="161"/>
    </row>
    <row r="6674" spans="6:7" ht="12.75">
      <c r="F6674" s="161"/>
      <c r="G6674" s="161"/>
    </row>
    <row r="6675" spans="6:7" ht="12.75">
      <c r="F6675" s="161"/>
      <c r="G6675" s="161"/>
    </row>
    <row r="6676" spans="6:7" ht="12.75">
      <c r="F6676" s="161"/>
      <c r="G6676" s="161"/>
    </row>
    <row r="6677" spans="6:7" ht="12.75">
      <c r="F6677" s="161"/>
      <c r="G6677" s="161"/>
    </row>
    <row r="6678" spans="6:7" ht="12.75">
      <c r="F6678" s="161"/>
      <c r="G6678" s="161"/>
    </row>
    <row r="6679" spans="6:7" ht="12.75">
      <c r="F6679" s="161"/>
      <c r="G6679" s="161"/>
    </row>
    <row r="6680" spans="6:7" ht="12.75">
      <c r="F6680" s="161"/>
      <c r="G6680" s="161"/>
    </row>
    <row r="6681" spans="6:7" ht="12.75">
      <c r="F6681" s="161"/>
      <c r="G6681" s="161"/>
    </row>
    <row r="6682" spans="6:7" ht="12.75">
      <c r="F6682" s="161"/>
      <c r="G6682" s="161"/>
    </row>
    <row r="6683" spans="6:7" ht="12.75">
      <c r="F6683" s="161"/>
      <c r="G6683" s="161"/>
    </row>
    <row r="6684" spans="6:7" ht="12.75">
      <c r="F6684" s="161"/>
      <c r="G6684" s="161"/>
    </row>
    <row r="6685" spans="6:7" ht="12.75">
      <c r="F6685" s="161"/>
      <c r="G6685" s="161"/>
    </row>
    <row r="6686" spans="6:7" ht="12.75">
      <c r="F6686" s="161"/>
      <c r="G6686" s="161"/>
    </row>
    <row r="6687" spans="6:7" ht="12.75">
      <c r="F6687" s="161"/>
      <c r="G6687" s="161"/>
    </row>
    <row r="6688" spans="6:7" ht="12.75">
      <c r="F6688" s="161"/>
      <c r="G6688" s="161"/>
    </row>
    <row r="6689" spans="6:7" ht="12.75">
      <c r="F6689" s="161"/>
      <c r="G6689" s="161"/>
    </row>
    <row r="6690" spans="6:7" ht="12.75">
      <c r="F6690" s="161"/>
      <c r="G6690" s="161"/>
    </row>
    <row r="6691" spans="6:7" ht="12.75">
      <c r="F6691" s="161"/>
      <c r="G6691" s="161"/>
    </row>
    <row r="6692" spans="6:7" ht="12.75">
      <c r="F6692" s="161"/>
      <c r="G6692" s="161"/>
    </row>
    <row r="6693" spans="6:7" ht="12.75">
      <c r="F6693" s="161"/>
      <c r="G6693" s="161"/>
    </row>
    <row r="6694" spans="6:7" ht="12.75">
      <c r="F6694" s="161"/>
      <c r="G6694" s="161"/>
    </row>
    <row r="6695" spans="6:7" ht="12.75">
      <c r="F6695" s="161"/>
      <c r="G6695" s="161"/>
    </row>
    <row r="6696" spans="6:7" ht="12.75">
      <c r="F6696" s="161"/>
      <c r="G6696" s="161"/>
    </row>
    <row r="6697" spans="6:7" ht="12.75">
      <c r="F6697" s="161"/>
      <c r="G6697" s="161"/>
    </row>
    <row r="6698" spans="6:7" ht="12.75">
      <c r="F6698" s="161"/>
      <c r="G6698" s="161"/>
    </row>
    <row r="6699" spans="6:7" ht="12.75">
      <c r="F6699" s="161"/>
      <c r="G6699" s="161"/>
    </row>
    <row r="6700" spans="6:7" ht="12.75">
      <c r="F6700" s="161"/>
      <c r="G6700" s="161"/>
    </row>
    <row r="6701" spans="6:7" ht="12.75">
      <c r="F6701" s="161"/>
      <c r="G6701" s="161"/>
    </row>
    <row r="6702" spans="6:7" ht="12.75">
      <c r="F6702" s="161"/>
      <c r="G6702" s="161"/>
    </row>
    <row r="6703" spans="6:7" ht="12.75">
      <c r="F6703" s="161"/>
      <c r="G6703" s="161"/>
    </row>
    <row r="6704" spans="6:7" ht="12.75">
      <c r="F6704" s="161"/>
      <c r="G6704" s="161"/>
    </row>
    <row r="6705" spans="6:7" ht="12.75">
      <c r="F6705" s="161"/>
      <c r="G6705" s="161"/>
    </row>
    <row r="6706" spans="6:7" ht="12.75">
      <c r="F6706" s="161"/>
      <c r="G6706" s="161"/>
    </row>
    <row r="6707" spans="6:7" ht="12.75">
      <c r="F6707" s="161"/>
      <c r="G6707" s="161"/>
    </row>
    <row r="6708" spans="6:7" ht="12.75">
      <c r="F6708" s="161"/>
      <c r="G6708" s="161"/>
    </row>
    <row r="6709" spans="6:7" ht="12.75">
      <c r="F6709" s="161"/>
      <c r="G6709" s="161"/>
    </row>
    <row r="6710" spans="6:7" ht="12.75">
      <c r="F6710" s="161"/>
      <c r="G6710" s="161"/>
    </row>
    <row r="6711" spans="6:7" ht="12.75">
      <c r="F6711" s="161"/>
      <c r="G6711" s="161"/>
    </row>
    <row r="6712" spans="6:7" ht="12.75">
      <c r="F6712" s="161"/>
      <c r="G6712" s="161"/>
    </row>
    <row r="6713" spans="6:7" ht="12.75">
      <c r="F6713" s="161"/>
      <c r="G6713" s="161"/>
    </row>
    <row r="6714" spans="6:7" ht="12.75">
      <c r="F6714" s="161"/>
      <c r="G6714" s="161"/>
    </row>
    <row r="6715" spans="6:7" ht="12.75">
      <c r="F6715" s="161"/>
      <c r="G6715" s="161"/>
    </row>
    <row r="6716" spans="6:7" ht="12.75">
      <c r="F6716" s="161"/>
      <c r="G6716" s="161"/>
    </row>
    <row r="6717" spans="6:7" ht="12.75">
      <c r="F6717" s="161"/>
      <c r="G6717" s="161"/>
    </row>
    <row r="6718" spans="6:7" ht="12.75">
      <c r="F6718" s="161"/>
      <c r="G6718" s="161"/>
    </row>
    <row r="6719" spans="6:7" ht="12.75">
      <c r="F6719" s="161"/>
      <c r="G6719" s="161"/>
    </row>
    <row r="6720" spans="6:7" ht="12.75">
      <c r="F6720" s="161"/>
      <c r="G6720" s="161"/>
    </row>
    <row r="6721" spans="6:7" ht="12.75">
      <c r="F6721" s="161"/>
      <c r="G6721" s="161"/>
    </row>
    <row r="6722" spans="6:7" ht="12.75">
      <c r="F6722" s="161"/>
      <c r="G6722" s="161"/>
    </row>
    <row r="6723" spans="6:7" ht="12.75">
      <c r="F6723" s="161"/>
      <c r="G6723" s="161"/>
    </row>
    <row r="6724" spans="6:7" ht="12.75">
      <c r="F6724" s="161"/>
      <c r="G6724" s="161"/>
    </row>
    <row r="6725" spans="6:7" ht="12.75">
      <c r="F6725" s="161"/>
      <c r="G6725" s="161"/>
    </row>
    <row r="6726" spans="6:7" ht="12.75">
      <c r="F6726" s="161"/>
      <c r="G6726" s="161"/>
    </row>
    <row r="6727" spans="6:7" ht="12.75">
      <c r="F6727" s="161"/>
      <c r="G6727" s="161"/>
    </row>
    <row r="6728" spans="6:7" ht="12.75">
      <c r="F6728" s="161"/>
      <c r="G6728" s="161"/>
    </row>
    <row r="6729" spans="6:7" ht="12.75">
      <c r="F6729" s="161"/>
      <c r="G6729" s="161"/>
    </row>
    <row r="6730" spans="6:7" ht="12.75">
      <c r="F6730" s="161"/>
      <c r="G6730" s="161"/>
    </row>
    <row r="6731" spans="6:7" ht="12.75">
      <c r="F6731" s="161"/>
      <c r="G6731" s="161"/>
    </row>
    <row r="6732" spans="6:7" ht="12.75">
      <c r="F6732" s="161"/>
      <c r="G6732" s="161"/>
    </row>
    <row r="6733" spans="6:7" ht="12.75">
      <c r="F6733" s="161"/>
      <c r="G6733" s="161"/>
    </row>
    <row r="6734" spans="6:7" ht="12.75">
      <c r="F6734" s="161"/>
      <c r="G6734" s="161"/>
    </row>
    <row r="6735" spans="6:7" ht="12.75">
      <c r="F6735" s="161"/>
      <c r="G6735" s="161"/>
    </row>
    <row r="6736" spans="6:7" ht="12.75">
      <c r="F6736" s="161"/>
      <c r="G6736" s="161"/>
    </row>
    <row r="6737" spans="6:7" ht="12.75">
      <c r="F6737" s="161"/>
      <c r="G6737" s="161"/>
    </row>
    <row r="6738" spans="6:7" ht="12.75">
      <c r="F6738" s="161"/>
      <c r="G6738" s="161"/>
    </row>
    <row r="6739" spans="6:7" ht="12.75">
      <c r="F6739" s="161"/>
      <c r="G6739" s="161"/>
    </row>
    <row r="6740" spans="6:7" ht="12.75">
      <c r="F6740" s="161"/>
      <c r="G6740" s="161"/>
    </row>
    <row r="6741" spans="6:7" ht="12.75">
      <c r="F6741" s="161"/>
      <c r="G6741" s="161"/>
    </row>
    <row r="6742" spans="6:7" ht="12.75">
      <c r="F6742" s="161"/>
      <c r="G6742" s="161"/>
    </row>
    <row r="6743" spans="6:7" ht="12.75">
      <c r="F6743" s="161"/>
      <c r="G6743" s="161"/>
    </row>
    <row r="6744" spans="6:7" ht="12.75">
      <c r="F6744" s="161"/>
      <c r="G6744" s="161"/>
    </row>
    <row r="6745" spans="6:7" ht="12.75">
      <c r="F6745" s="161"/>
      <c r="G6745" s="161"/>
    </row>
    <row r="6746" spans="6:7" ht="12.75">
      <c r="F6746" s="161"/>
      <c r="G6746" s="161"/>
    </row>
    <row r="6747" spans="6:7" ht="12.75">
      <c r="F6747" s="161"/>
      <c r="G6747" s="161"/>
    </row>
    <row r="6748" spans="6:7" ht="12.75">
      <c r="F6748" s="161"/>
      <c r="G6748" s="161"/>
    </row>
    <row r="6749" spans="6:7" ht="12.75">
      <c r="F6749" s="161"/>
      <c r="G6749" s="161"/>
    </row>
    <row r="6750" spans="6:7" ht="12.75">
      <c r="F6750" s="161"/>
      <c r="G6750" s="161"/>
    </row>
    <row r="6751" spans="6:7" ht="12.75">
      <c r="F6751" s="161"/>
      <c r="G6751" s="161"/>
    </row>
    <row r="6752" spans="6:7" ht="12.75">
      <c r="F6752" s="161"/>
      <c r="G6752" s="161"/>
    </row>
    <row r="6753" spans="6:7" ht="12.75">
      <c r="F6753" s="161"/>
      <c r="G6753" s="161"/>
    </row>
    <row r="6754" spans="6:7" ht="12.75">
      <c r="F6754" s="161"/>
      <c r="G6754" s="161"/>
    </row>
    <row r="6755" spans="6:7" ht="12.75">
      <c r="F6755" s="161"/>
      <c r="G6755" s="161"/>
    </row>
    <row r="6756" spans="6:7" ht="12.75">
      <c r="F6756" s="161"/>
      <c r="G6756" s="161"/>
    </row>
    <row r="6757" spans="6:7" ht="12.75">
      <c r="F6757" s="161"/>
      <c r="G6757" s="161"/>
    </row>
    <row r="6758" spans="6:7" ht="12.75">
      <c r="F6758" s="161"/>
      <c r="G6758" s="161"/>
    </row>
    <row r="6759" spans="6:7" ht="12.75">
      <c r="F6759" s="161"/>
      <c r="G6759" s="161"/>
    </row>
    <row r="6760" spans="6:7" ht="12.75">
      <c r="F6760" s="161"/>
      <c r="G6760" s="161"/>
    </row>
    <row r="6761" spans="6:7" ht="12.75">
      <c r="F6761" s="161"/>
      <c r="G6761" s="161"/>
    </row>
  </sheetData>
  <sortState ref="A2946:A2950">
    <sortCondition ref="A2946:A2950"/>
  </sortState>
  <mergeCells count="64">
    <mergeCell ref="A2279:A2280"/>
    <mergeCell ref="A2402:A2403"/>
    <mergeCell ref="A2546:A2547"/>
    <mergeCell ref="A2816:A2817"/>
    <mergeCell ref="A1521:A1522"/>
    <mergeCell ref="A1611:A1612"/>
    <mergeCell ref="A1799:A1800"/>
    <mergeCell ref="A1939:A1940"/>
    <mergeCell ref="A2087:A2088"/>
    <mergeCell ref="A385:A386"/>
    <mergeCell ref="A626:A627"/>
    <mergeCell ref="A729:A730"/>
    <mergeCell ref="A935:A936"/>
    <mergeCell ref="A1144:A1145"/>
    <mergeCell ref="B1521:B1522"/>
    <mergeCell ref="B935:B936"/>
    <mergeCell ref="D2087:D2088"/>
    <mergeCell ref="D1799:D1800"/>
    <mergeCell ref="C1939:C1940"/>
    <mergeCell ref="D1939:D1940"/>
    <mergeCell ref="C1521:C1522"/>
    <mergeCell ref="D1521:D1522"/>
    <mergeCell ref="C1611:C1612"/>
    <mergeCell ref="C1799:C1800"/>
    <mergeCell ref="C1144:C1145"/>
    <mergeCell ref="D1144:D1145"/>
    <mergeCell ref="D2279:D2280"/>
    <mergeCell ref="B4:B5"/>
    <mergeCell ref="B213:B214"/>
    <mergeCell ref="B1799:B1800"/>
    <mergeCell ref="B1939:B1940"/>
    <mergeCell ref="B385:B386"/>
    <mergeCell ref="B729:B730"/>
    <mergeCell ref="B1144:B1145"/>
    <mergeCell ref="C2087:C2088"/>
    <mergeCell ref="B1611:B1612"/>
    <mergeCell ref="C2279:C2280"/>
    <mergeCell ref="C729:C730"/>
    <mergeCell ref="D729:D730"/>
    <mergeCell ref="C935:C936"/>
    <mergeCell ref="D935:D936"/>
    <mergeCell ref="D1611:D1612"/>
    <mergeCell ref="B2816:B2817"/>
    <mergeCell ref="B2087:B2088"/>
    <mergeCell ref="B2279:B2280"/>
    <mergeCell ref="B2402:B2403"/>
    <mergeCell ref="B2546:B2547"/>
    <mergeCell ref="D2816:D2817"/>
    <mergeCell ref="C2402:C2403"/>
    <mergeCell ref="D2402:D2403"/>
    <mergeCell ref="C2546:C2547"/>
    <mergeCell ref="D2546:D2547"/>
    <mergeCell ref="C2816:C2817"/>
    <mergeCell ref="B626:B627"/>
    <mergeCell ref="C626:C627"/>
    <mergeCell ref="D626:D627"/>
    <mergeCell ref="C385:C386"/>
    <mergeCell ref="D385:D386"/>
    <mergeCell ref="A4:A5"/>
    <mergeCell ref="C4:C5"/>
    <mergeCell ref="D4:D5"/>
    <mergeCell ref="C213:C214"/>
    <mergeCell ref="D213:D214"/>
    <mergeCell ref="A213:A214"/>
  </mergeCells>
  <phoneticPr fontId="0" type="noConversion"/>
  <pageMargins left="0.75" right="0.16" top="1" bottom="1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23"/>
  <sheetViews>
    <sheetView zoomScaleNormal="100" workbookViewId="0">
      <pane ySplit="4" topLeftCell="A8" activePane="bottomLeft" state="frozen"/>
      <selection pane="bottomLeft" activeCell="B22" sqref="B22"/>
    </sheetView>
  </sheetViews>
  <sheetFormatPr defaultColWidth="9.140625" defaultRowHeight="15"/>
  <cols>
    <col min="1" max="1" width="9.42578125" style="96" customWidth="1"/>
    <col min="2" max="2" width="23.28515625" style="96" customWidth="1"/>
    <col min="3" max="3" width="8.140625" style="96" customWidth="1"/>
    <col min="4" max="4" width="7.42578125" style="96" customWidth="1"/>
    <col min="5" max="5" width="8.140625" style="96" customWidth="1"/>
    <col min="6" max="6" width="7.85546875" style="96" customWidth="1"/>
    <col min="7" max="7" width="10.140625" style="96" customWidth="1"/>
    <col min="8" max="8" width="9.85546875" style="96" customWidth="1"/>
    <col min="9" max="9" width="9.42578125" style="96" customWidth="1"/>
    <col min="10" max="10" width="18.42578125" style="96" customWidth="1"/>
    <col min="11" max="11" width="10" style="96" customWidth="1"/>
    <col min="12" max="16384" width="9.140625" style="96"/>
  </cols>
  <sheetData>
    <row r="1" spans="1:11" ht="22.5" customHeight="1">
      <c r="A1" s="259" t="s">
        <v>108</v>
      </c>
      <c r="B1" s="260"/>
      <c r="C1" s="260"/>
      <c r="D1" s="260"/>
      <c r="E1" s="260"/>
      <c r="F1" s="260"/>
      <c r="G1" s="260"/>
      <c r="H1" s="260"/>
    </row>
    <row r="2" spans="1:11" ht="24.95" customHeight="1">
      <c r="J2" s="97"/>
      <c r="K2" s="98"/>
    </row>
    <row r="3" spans="1:11" ht="24.75" customHeight="1">
      <c r="A3" s="261" t="s">
        <v>109</v>
      </c>
      <c r="B3" s="263" t="s">
        <v>110</v>
      </c>
      <c r="C3" s="265" t="s">
        <v>111</v>
      </c>
      <c r="D3" s="266"/>
      <c r="E3" s="265" t="s">
        <v>112</v>
      </c>
      <c r="F3" s="266"/>
      <c r="G3" s="265" t="s">
        <v>113</v>
      </c>
      <c r="H3" s="267"/>
    </row>
    <row r="4" spans="1:11" ht="33.75">
      <c r="A4" s="262"/>
      <c r="B4" s="264"/>
      <c r="C4" s="99" t="s">
        <v>114</v>
      </c>
      <c r="D4" s="100" t="s">
        <v>115</v>
      </c>
      <c r="E4" s="100" t="s">
        <v>116</v>
      </c>
      <c r="F4" s="100" t="s">
        <v>117</v>
      </c>
      <c r="G4" s="101" t="s">
        <v>118</v>
      </c>
      <c r="H4" s="102" t="s">
        <v>119</v>
      </c>
    </row>
    <row r="5" spans="1:11" ht="15" customHeight="1">
      <c r="A5" s="103" t="s">
        <v>120</v>
      </c>
      <c r="B5" s="104" t="s">
        <v>121</v>
      </c>
      <c r="C5" s="105">
        <v>31270525</v>
      </c>
      <c r="D5" s="105">
        <v>312705</v>
      </c>
      <c r="E5" s="105">
        <v>38382576</v>
      </c>
      <c r="F5" s="105">
        <v>123</v>
      </c>
      <c r="G5" s="105" t="s">
        <v>122</v>
      </c>
      <c r="H5" s="106" t="s">
        <v>122</v>
      </c>
    </row>
    <row r="6" spans="1:11" ht="15" customHeight="1">
      <c r="A6" s="103" t="s">
        <v>120</v>
      </c>
      <c r="B6" s="107" t="s">
        <v>123</v>
      </c>
      <c r="C6" s="105"/>
      <c r="D6" s="105"/>
      <c r="E6" s="105"/>
      <c r="F6" s="105"/>
      <c r="G6" s="105"/>
      <c r="H6" s="106"/>
    </row>
    <row r="7" spans="1:11" ht="15" customHeight="1">
      <c r="A7" s="103" t="s">
        <v>107</v>
      </c>
      <c r="B7" s="108" t="s">
        <v>66</v>
      </c>
      <c r="C7" s="109">
        <v>1994670</v>
      </c>
      <c r="D7" s="109">
        <v>19947</v>
      </c>
      <c r="E7" s="109">
        <v>2900163</v>
      </c>
      <c r="F7" s="109">
        <v>145</v>
      </c>
      <c r="G7" s="109">
        <v>7</v>
      </c>
      <c r="H7" s="110">
        <v>5</v>
      </c>
    </row>
    <row r="8" spans="1:11" ht="15" customHeight="1">
      <c r="A8" s="103" t="s">
        <v>124</v>
      </c>
      <c r="B8" s="108" t="s">
        <v>67</v>
      </c>
      <c r="C8" s="109">
        <v>1797134</v>
      </c>
      <c r="D8" s="109">
        <v>17971</v>
      </c>
      <c r="E8" s="109">
        <v>2072373</v>
      </c>
      <c r="F8" s="109">
        <v>115</v>
      </c>
      <c r="G8" s="109">
        <v>10</v>
      </c>
      <c r="H8" s="110">
        <v>10</v>
      </c>
    </row>
    <row r="9" spans="1:11" ht="15" customHeight="1">
      <c r="A9" s="103" t="s">
        <v>125</v>
      </c>
      <c r="B9" s="108" t="s">
        <v>126</v>
      </c>
      <c r="C9" s="109">
        <v>2512246</v>
      </c>
      <c r="D9" s="109">
        <v>25123</v>
      </c>
      <c r="E9" s="109">
        <v>2108270</v>
      </c>
      <c r="F9" s="109">
        <v>84</v>
      </c>
      <c r="G9" s="109">
        <v>3</v>
      </c>
      <c r="H9" s="110">
        <v>9</v>
      </c>
    </row>
    <row r="10" spans="1:11" ht="15" customHeight="1">
      <c r="A10" s="103" t="s">
        <v>127</v>
      </c>
      <c r="B10" s="108" t="s">
        <v>69</v>
      </c>
      <c r="C10" s="109">
        <v>1398793</v>
      </c>
      <c r="D10" s="109">
        <v>13988</v>
      </c>
      <c r="E10" s="109">
        <v>1011592</v>
      </c>
      <c r="F10" s="109">
        <v>72</v>
      </c>
      <c r="G10" s="109">
        <v>13</v>
      </c>
      <c r="H10" s="110">
        <v>15</v>
      </c>
    </row>
    <row r="11" spans="1:11" ht="15" customHeight="1">
      <c r="A11" s="103" t="s">
        <v>128</v>
      </c>
      <c r="B11" s="108" t="s">
        <v>70</v>
      </c>
      <c r="C11" s="109">
        <v>1821895</v>
      </c>
      <c r="D11" s="109">
        <v>18219</v>
      </c>
      <c r="E11" s="109">
        <v>2454779</v>
      </c>
      <c r="F11" s="109">
        <v>135</v>
      </c>
      <c r="G11" s="109">
        <v>9</v>
      </c>
      <c r="H11" s="110">
        <v>6</v>
      </c>
    </row>
    <row r="12" spans="1:11" ht="15" customHeight="1">
      <c r="A12" s="103" t="s">
        <v>129</v>
      </c>
      <c r="B12" s="108" t="s">
        <v>72</v>
      </c>
      <c r="C12" s="109">
        <v>1518279</v>
      </c>
      <c r="D12" s="109">
        <v>15183</v>
      </c>
      <c r="E12" s="109">
        <v>3410901</v>
      </c>
      <c r="F12" s="109">
        <v>225</v>
      </c>
      <c r="G12" s="109">
        <v>12</v>
      </c>
      <c r="H12" s="110">
        <v>4</v>
      </c>
    </row>
    <row r="13" spans="1:11" ht="15" customHeight="1">
      <c r="A13" s="103" t="s">
        <v>130</v>
      </c>
      <c r="B13" s="108" t="s">
        <v>73</v>
      </c>
      <c r="C13" s="109">
        <v>3555847</v>
      </c>
      <c r="D13" s="109">
        <v>35559</v>
      </c>
      <c r="E13" s="109">
        <v>5423168</v>
      </c>
      <c r="F13" s="109">
        <v>153</v>
      </c>
      <c r="G13" s="109">
        <v>1</v>
      </c>
      <c r="H13" s="110">
        <v>1</v>
      </c>
    </row>
    <row r="14" spans="1:11" ht="15" customHeight="1">
      <c r="A14" s="103" t="s">
        <v>131</v>
      </c>
      <c r="B14" s="108" t="s">
        <v>75</v>
      </c>
      <c r="C14" s="109">
        <v>941187</v>
      </c>
      <c r="D14" s="109">
        <v>9412</v>
      </c>
      <c r="E14" s="109">
        <v>982626</v>
      </c>
      <c r="F14" s="109">
        <v>104</v>
      </c>
      <c r="G14" s="109">
        <v>16</v>
      </c>
      <c r="H14" s="110">
        <v>16</v>
      </c>
    </row>
    <row r="15" spans="1:11" ht="15" customHeight="1">
      <c r="A15" s="103" t="s">
        <v>132</v>
      </c>
      <c r="B15" s="108" t="s">
        <v>77</v>
      </c>
      <c r="C15" s="109">
        <v>1784576</v>
      </c>
      <c r="D15" s="109">
        <v>17846</v>
      </c>
      <c r="E15" s="109">
        <v>2127164</v>
      </c>
      <c r="F15" s="109">
        <v>119</v>
      </c>
      <c r="G15" s="109">
        <v>11</v>
      </c>
      <c r="H15" s="110">
        <v>8</v>
      </c>
    </row>
    <row r="16" spans="1:11" ht="15" customHeight="1">
      <c r="A16" s="103" t="s">
        <v>133</v>
      </c>
      <c r="B16" s="108" t="s">
        <v>78</v>
      </c>
      <c r="C16" s="109">
        <v>2018702</v>
      </c>
      <c r="D16" s="109">
        <v>20187</v>
      </c>
      <c r="E16" s="109">
        <v>1178353</v>
      </c>
      <c r="F16" s="109">
        <v>58</v>
      </c>
      <c r="G16" s="109">
        <v>6</v>
      </c>
      <c r="H16" s="110">
        <v>14</v>
      </c>
    </row>
    <row r="17" spans="1:8" ht="15" customHeight="1">
      <c r="A17" s="103" t="s">
        <v>134</v>
      </c>
      <c r="B17" s="108" t="s">
        <v>79</v>
      </c>
      <c r="C17" s="109">
        <v>1832368</v>
      </c>
      <c r="D17" s="109">
        <v>18323</v>
      </c>
      <c r="E17" s="109">
        <v>2343928</v>
      </c>
      <c r="F17" s="109">
        <v>128</v>
      </c>
      <c r="G17" s="109">
        <v>8</v>
      </c>
      <c r="H17" s="110">
        <v>7</v>
      </c>
    </row>
    <row r="18" spans="1:8" ht="15" customHeight="1">
      <c r="A18" s="103" t="s">
        <v>135</v>
      </c>
      <c r="B18" s="108" t="s">
        <v>81</v>
      </c>
      <c r="C18" s="109">
        <v>1233309</v>
      </c>
      <c r="D18" s="109">
        <v>12333</v>
      </c>
      <c r="E18" s="109">
        <v>4517635</v>
      </c>
      <c r="F18" s="109">
        <v>366</v>
      </c>
      <c r="G18" s="109">
        <v>14</v>
      </c>
      <c r="H18" s="110">
        <v>2</v>
      </c>
    </row>
    <row r="19" spans="1:8" ht="15" customHeight="1">
      <c r="A19" s="103" t="s">
        <v>136</v>
      </c>
      <c r="B19" s="108" t="s">
        <v>82</v>
      </c>
      <c r="C19" s="109">
        <v>1171050</v>
      </c>
      <c r="D19" s="109">
        <v>11710</v>
      </c>
      <c r="E19" s="109">
        <v>1233961</v>
      </c>
      <c r="F19" s="109">
        <v>105</v>
      </c>
      <c r="G19" s="109">
        <v>15</v>
      </c>
      <c r="H19" s="110">
        <v>13</v>
      </c>
    </row>
    <row r="20" spans="1:8" ht="15" customHeight="1">
      <c r="A20" s="103" t="s">
        <v>137</v>
      </c>
      <c r="B20" s="108" t="s">
        <v>83</v>
      </c>
      <c r="C20" s="109">
        <v>2417347</v>
      </c>
      <c r="D20" s="109">
        <v>24173</v>
      </c>
      <c r="E20" s="109">
        <v>1422737</v>
      </c>
      <c r="F20" s="109">
        <v>59</v>
      </c>
      <c r="G20" s="109">
        <v>4</v>
      </c>
      <c r="H20" s="110">
        <v>12</v>
      </c>
    </row>
    <row r="21" spans="1:8" ht="15" customHeight="1">
      <c r="A21" s="103" t="s">
        <v>138</v>
      </c>
      <c r="B21" s="108" t="s">
        <v>84</v>
      </c>
      <c r="C21" s="109">
        <v>2982650</v>
      </c>
      <c r="D21" s="109">
        <v>29826</v>
      </c>
      <c r="E21" s="109">
        <v>3498733</v>
      </c>
      <c r="F21" s="109">
        <v>117</v>
      </c>
      <c r="G21" s="109">
        <v>2</v>
      </c>
      <c r="H21" s="110">
        <v>3</v>
      </c>
    </row>
    <row r="22" spans="1:8" ht="15" customHeight="1">
      <c r="A22" s="103" t="s">
        <v>139</v>
      </c>
      <c r="B22" s="108" t="s">
        <v>85</v>
      </c>
      <c r="C22" s="109">
        <v>2290472</v>
      </c>
      <c r="D22" s="109">
        <v>22905</v>
      </c>
      <c r="E22" s="109">
        <v>1696193</v>
      </c>
      <c r="F22" s="109">
        <v>74</v>
      </c>
      <c r="G22" s="109">
        <v>5</v>
      </c>
      <c r="H22" s="110">
        <v>11</v>
      </c>
    </row>
    <row r="23" spans="1:8" ht="0" hidden="1" customHeight="1"/>
  </sheetData>
  <mergeCells count="6">
    <mergeCell ref="A1:H1"/>
    <mergeCell ref="A3:A4"/>
    <mergeCell ref="B3:B4"/>
    <mergeCell ref="C3:D3"/>
    <mergeCell ref="E3:F3"/>
    <mergeCell ref="G3:H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469"/>
  <sheetViews>
    <sheetView zoomScaleNormal="100" workbookViewId="0">
      <pane ySplit="4" topLeftCell="A452" activePane="bottomLeft" state="frozen"/>
      <selection pane="bottomLeft" activeCell="A462" sqref="A462:A464"/>
    </sheetView>
  </sheetViews>
  <sheetFormatPr defaultColWidth="9.140625" defaultRowHeight="15"/>
  <cols>
    <col min="1" max="1" width="9.5703125" style="96" customWidth="1"/>
    <col min="2" max="2" width="23.7109375" style="96" customWidth="1"/>
    <col min="3" max="3" width="7.7109375" style="96" customWidth="1"/>
    <col min="4" max="4" width="7.28515625" style="96" customWidth="1"/>
    <col min="5" max="5" width="8.28515625" style="96" customWidth="1"/>
    <col min="6" max="6" width="8.140625" style="96" customWidth="1"/>
    <col min="7" max="7" width="10" style="96" customWidth="1"/>
    <col min="8" max="8" width="8.42578125" style="96" customWidth="1"/>
    <col min="9" max="9" width="8" style="96" customWidth="1"/>
    <col min="10" max="10" width="18.42578125" style="96" customWidth="1"/>
    <col min="11" max="11" width="11" style="96" customWidth="1"/>
    <col min="12" max="16384" width="9.140625" style="96"/>
  </cols>
  <sheetData>
    <row r="1" spans="1:11" ht="24.95" customHeight="1">
      <c r="A1" s="259" t="s">
        <v>140</v>
      </c>
      <c r="B1" s="260"/>
      <c r="C1" s="260"/>
      <c r="D1" s="260"/>
      <c r="E1" s="260"/>
      <c r="F1" s="260"/>
      <c r="G1" s="260"/>
      <c r="H1" s="260"/>
    </row>
    <row r="2" spans="1:11" ht="24.95" customHeight="1">
      <c r="J2" s="97"/>
      <c r="K2" s="98"/>
    </row>
    <row r="3" spans="1:11" ht="27" customHeight="1">
      <c r="A3" s="261" t="s">
        <v>141</v>
      </c>
      <c r="B3" s="263" t="s">
        <v>142</v>
      </c>
      <c r="C3" s="265" t="s">
        <v>143</v>
      </c>
      <c r="D3" s="270"/>
      <c r="E3" s="265" t="s">
        <v>144</v>
      </c>
      <c r="F3" s="270"/>
      <c r="G3" s="265" t="s">
        <v>145</v>
      </c>
      <c r="H3" s="271"/>
    </row>
    <row r="4" spans="1:11" ht="33.75">
      <c r="A4" s="262"/>
      <c r="B4" s="264"/>
      <c r="C4" s="99" t="s">
        <v>146</v>
      </c>
      <c r="D4" s="100" t="s">
        <v>147</v>
      </c>
      <c r="E4" s="100" t="s">
        <v>148</v>
      </c>
      <c r="F4" s="100" t="s">
        <v>149</v>
      </c>
      <c r="G4" s="101" t="s">
        <v>150</v>
      </c>
      <c r="H4" s="102" t="s">
        <v>151</v>
      </c>
    </row>
    <row r="5" spans="1:11" ht="15" customHeight="1">
      <c r="A5" s="272" t="s">
        <v>86</v>
      </c>
      <c r="B5" s="272"/>
      <c r="C5" s="272"/>
      <c r="D5" s="272"/>
      <c r="E5" s="272"/>
      <c r="F5" s="272"/>
      <c r="G5" s="272"/>
      <c r="H5" s="272"/>
    </row>
    <row r="6" spans="1:11" ht="15" customHeight="1">
      <c r="A6" s="111"/>
      <c r="B6" s="112" t="s">
        <v>152</v>
      </c>
      <c r="C6" s="113"/>
      <c r="D6" s="113"/>
      <c r="E6" s="113"/>
      <c r="F6" s="113"/>
      <c r="G6" s="113"/>
      <c r="H6" s="113"/>
    </row>
    <row r="7" spans="1:11" ht="15" customHeight="1">
      <c r="A7" s="114" t="s">
        <v>120</v>
      </c>
      <c r="B7" s="115" t="s">
        <v>153</v>
      </c>
      <c r="C7" s="116"/>
      <c r="D7" s="116"/>
      <c r="E7" s="116"/>
      <c r="F7" s="116"/>
      <c r="G7" s="116"/>
      <c r="H7" s="117"/>
    </row>
    <row r="8" spans="1:11" ht="15" customHeight="1">
      <c r="A8" s="103" t="s">
        <v>104</v>
      </c>
      <c r="B8" s="108" t="s">
        <v>154</v>
      </c>
      <c r="C8" s="109">
        <v>130351</v>
      </c>
      <c r="D8" s="109">
        <v>1304</v>
      </c>
      <c r="E8" s="109">
        <v>90103</v>
      </c>
      <c r="F8" s="109">
        <v>69</v>
      </c>
      <c r="G8" s="109">
        <v>64</v>
      </c>
      <c r="H8" s="110">
        <v>97</v>
      </c>
    </row>
    <row r="9" spans="1:11" ht="15" customHeight="1">
      <c r="A9" s="103" t="s">
        <v>105</v>
      </c>
      <c r="B9" s="108" t="s">
        <v>155</v>
      </c>
      <c r="C9" s="109">
        <v>47851</v>
      </c>
      <c r="D9" s="109">
        <v>479</v>
      </c>
      <c r="E9" s="109">
        <v>100813</v>
      </c>
      <c r="F9" s="109">
        <v>211</v>
      </c>
      <c r="G9" s="109">
        <v>285</v>
      </c>
      <c r="H9" s="110">
        <v>80</v>
      </c>
    </row>
    <row r="10" spans="1:11" ht="15" customHeight="1">
      <c r="A10" s="103" t="s">
        <v>106</v>
      </c>
      <c r="B10" s="108" t="s">
        <v>156</v>
      </c>
      <c r="C10" s="109">
        <v>44327</v>
      </c>
      <c r="D10" s="109">
        <v>443</v>
      </c>
      <c r="E10" s="109">
        <v>89102</v>
      </c>
      <c r="F10" s="109">
        <v>201</v>
      </c>
      <c r="G10" s="109">
        <v>293</v>
      </c>
      <c r="H10" s="110">
        <v>102</v>
      </c>
    </row>
    <row r="11" spans="1:11" ht="15" customHeight="1">
      <c r="A11" s="103" t="s">
        <v>157</v>
      </c>
      <c r="B11" s="108" t="s">
        <v>158</v>
      </c>
      <c r="C11" s="109">
        <v>73827</v>
      </c>
      <c r="D11" s="109">
        <v>738</v>
      </c>
      <c r="E11" s="109">
        <v>34870</v>
      </c>
      <c r="F11" s="109">
        <v>47</v>
      </c>
      <c r="G11" s="109">
        <v>199</v>
      </c>
      <c r="H11" s="110">
        <v>300</v>
      </c>
    </row>
    <row r="12" spans="1:11" ht="15" customHeight="1">
      <c r="A12" s="103" t="s">
        <v>159</v>
      </c>
      <c r="B12" s="108" t="s">
        <v>160</v>
      </c>
      <c r="C12" s="109">
        <v>58155</v>
      </c>
      <c r="D12" s="109">
        <v>582</v>
      </c>
      <c r="E12" s="109">
        <v>50116</v>
      </c>
      <c r="F12" s="109">
        <v>86</v>
      </c>
      <c r="G12" s="109">
        <v>261</v>
      </c>
      <c r="H12" s="110">
        <v>241</v>
      </c>
    </row>
    <row r="13" spans="1:11" ht="15" customHeight="1">
      <c r="A13" s="103" t="s">
        <v>161</v>
      </c>
      <c r="B13" s="108" t="s">
        <v>162</v>
      </c>
      <c r="C13" s="109">
        <v>62714</v>
      </c>
      <c r="D13" s="109">
        <v>627</v>
      </c>
      <c r="E13" s="109">
        <v>63591</v>
      </c>
      <c r="F13" s="109">
        <v>101</v>
      </c>
      <c r="G13" s="109">
        <v>242</v>
      </c>
      <c r="H13" s="110">
        <v>184</v>
      </c>
    </row>
    <row r="14" spans="1:11" ht="15" customHeight="1">
      <c r="A14" s="103" t="s">
        <v>163</v>
      </c>
      <c r="B14" s="108" t="s">
        <v>164</v>
      </c>
      <c r="C14" s="109">
        <v>39569</v>
      </c>
      <c r="D14" s="109">
        <v>396</v>
      </c>
      <c r="E14" s="109">
        <v>43239</v>
      </c>
      <c r="F14" s="109">
        <v>109</v>
      </c>
      <c r="G14" s="109">
        <v>301</v>
      </c>
      <c r="H14" s="110">
        <v>271</v>
      </c>
    </row>
    <row r="15" spans="1:11" ht="15" customHeight="1">
      <c r="A15" s="103" t="s">
        <v>165</v>
      </c>
      <c r="B15" s="108" t="s">
        <v>166</v>
      </c>
      <c r="C15" s="109">
        <v>164330</v>
      </c>
      <c r="D15" s="109">
        <v>1642</v>
      </c>
      <c r="E15" s="109">
        <v>157996</v>
      </c>
      <c r="F15" s="109">
        <v>96</v>
      </c>
      <c r="G15" s="109">
        <v>25</v>
      </c>
      <c r="H15" s="110">
        <v>18</v>
      </c>
    </row>
    <row r="16" spans="1:11" ht="15" customHeight="1">
      <c r="A16" s="103" t="s">
        <v>167</v>
      </c>
      <c r="B16" s="108" t="s">
        <v>168</v>
      </c>
      <c r="C16" s="109">
        <v>74408</v>
      </c>
      <c r="D16" s="109">
        <v>744</v>
      </c>
      <c r="E16" s="109">
        <v>55166</v>
      </c>
      <c r="F16" s="109">
        <v>74</v>
      </c>
      <c r="G16" s="109">
        <v>196</v>
      </c>
      <c r="H16" s="110">
        <v>224</v>
      </c>
    </row>
    <row r="17" spans="1:8" ht="15" customHeight="1">
      <c r="A17" s="103" t="s">
        <v>169</v>
      </c>
      <c r="B17" s="108" t="s">
        <v>170</v>
      </c>
      <c r="C17" s="109">
        <v>42830</v>
      </c>
      <c r="D17" s="109">
        <v>428</v>
      </c>
      <c r="E17" s="109">
        <v>54254</v>
      </c>
      <c r="F17" s="109">
        <v>127</v>
      </c>
      <c r="G17" s="109">
        <v>296</v>
      </c>
      <c r="H17" s="110">
        <v>229</v>
      </c>
    </row>
    <row r="18" spans="1:8" ht="15" customHeight="1">
      <c r="A18" s="103" t="s">
        <v>171</v>
      </c>
      <c r="B18" s="108" t="s">
        <v>172</v>
      </c>
      <c r="C18" s="109">
        <v>71162</v>
      </c>
      <c r="D18" s="109">
        <v>712</v>
      </c>
      <c r="E18" s="109">
        <v>106150</v>
      </c>
      <c r="F18" s="109">
        <v>149</v>
      </c>
      <c r="G18" s="109">
        <v>212</v>
      </c>
      <c r="H18" s="110">
        <v>75</v>
      </c>
    </row>
    <row r="19" spans="1:8" ht="15" customHeight="1">
      <c r="A19" s="103" t="s">
        <v>173</v>
      </c>
      <c r="B19" s="108" t="s">
        <v>174</v>
      </c>
      <c r="C19" s="109">
        <v>70969</v>
      </c>
      <c r="D19" s="109">
        <v>710</v>
      </c>
      <c r="E19" s="109">
        <v>45925</v>
      </c>
      <c r="F19" s="109">
        <v>65</v>
      </c>
      <c r="G19" s="109">
        <v>214</v>
      </c>
      <c r="H19" s="110">
        <v>257</v>
      </c>
    </row>
    <row r="20" spans="1:8" ht="15" customHeight="1">
      <c r="A20" s="103" t="s">
        <v>175</v>
      </c>
      <c r="B20" s="108" t="s">
        <v>176</v>
      </c>
      <c r="C20" s="109">
        <v>71493</v>
      </c>
      <c r="D20" s="109">
        <v>715</v>
      </c>
      <c r="E20" s="109">
        <v>36999</v>
      </c>
      <c r="F20" s="109">
        <v>52</v>
      </c>
      <c r="G20" s="109">
        <v>209</v>
      </c>
      <c r="H20" s="110">
        <v>293</v>
      </c>
    </row>
    <row r="21" spans="1:8" ht="15" customHeight="1">
      <c r="A21" s="103" t="s">
        <v>177</v>
      </c>
      <c r="B21" s="108" t="s">
        <v>178</v>
      </c>
      <c r="C21" s="109">
        <v>104931</v>
      </c>
      <c r="D21" s="109">
        <v>1049</v>
      </c>
      <c r="E21" s="109">
        <v>107269</v>
      </c>
      <c r="F21" s="109">
        <v>102</v>
      </c>
      <c r="G21" s="109">
        <v>112</v>
      </c>
      <c r="H21" s="110">
        <v>72</v>
      </c>
    </row>
    <row r="22" spans="1:8" ht="15" customHeight="1">
      <c r="A22" s="103" t="s">
        <v>179</v>
      </c>
      <c r="B22" s="108" t="s">
        <v>180</v>
      </c>
      <c r="C22" s="109">
        <v>52410</v>
      </c>
      <c r="D22" s="109">
        <v>524</v>
      </c>
      <c r="E22" s="109">
        <v>76752</v>
      </c>
      <c r="F22" s="109">
        <v>146</v>
      </c>
      <c r="G22" s="109">
        <v>276</v>
      </c>
      <c r="H22" s="110">
        <v>141</v>
      </c>
    </row>
    <row r="23" spans="1:8" ht="15" customHeight="1">
      <c r="A23" s="103" t="s">
        <v>181</v>
      </c>
      <c r="B23" s="108" t="s">
        <v>182</v>
      </c>
      <c r="C23" s="109">
        <v>77946</v>
      </c>
      <c r="D23" s="109">
        <v>779</v>
      </c>
      <c r="E23" s="109">
        <v>63065</v>
      </c>
      <c r="F23" s="109">
        <v>81</v>
      </c>
      <c r="G23" s="109">
        <v>185</v>
      </c>
      <c r="H23" s="110">
        <v>187</v>
      </c>
    </row>
    <row r="24" spans="1:8" ht="15" customHeight="1">
      <c r="A24" s="103" t="s">
        <v>183</v>
      </c>
      <c r="B24" s="108" t="s">
        <v>184</v>
      </c>
      <c r="C24" s="109">
        <v>62206</v>
      </c>
      <c r="D24" s="109">
        <v>622</v>
      </c>
      <c r="E24" s="109">
        <v>43570</v>
      </c>
      <c r="F24" s="109">
        <v>70</v>
      </c>
      <c r="G24" s="109">
        <v>246</v>
      </c>
      <c r="H24" s="110">
        <v>267</v>
      </c>
    </row>
    <row r="25" spans="1:8" ht="15" customHeight="1">
      <c r="A25" s="103" t="s">
        <v>185</v>
      </c>
      <c r="B25" s="108" t="s">
        <v>186</v>
      </c>
      <c r="C25" s="109">
        <v>70414</v>
      </c>
      <c r="D25" s="109">
        <v>704</v>
      </c>
      <c r="E25" s="109">
        <v>55079</v>
      </c>
      <c r="F25" s="109">
        <v>78</v>
      </c>
      <c r="G25" s="109">
        <v>216</v>
      </c>
      <c r="H25" s="110">
        <v>225</v>
      </c>
    </row>
    <row r="26" spans="1:8" ht="15" customHeight="1">
      <c r="A26" s="103" t="s">
        <v>187</v>
      </c>
      <c r="B26" s="108" t="s">
        <v>188</v>
      </c>
      <c r="C26" s="109">
        <v>74114</v>
      </c>
      <c r="D26" s="109">
        <v>741</v>
      </c>
      <c r="E26" s="109">
        <v>156921</v>
      </c>
      <c r="F26" s="109">
        <v>212</v>
      </c>
      <c r="G26" s="109">
        <v>197</v>
      </c>
      <c r="H26" s="110">
        <v>20</v>
      </c>
    </row>
    <row r="27" spans="1:8" ht="15" customHeight="1">
      <c r="A27" s="103" t="s">
        <v>189</v>
      </c>
      <c r="B27" s="108" t="s">
        <v>190</v>
      </c>
      <c r="C27" s="109">
        <v>102478</v>
      </c>
      <c r="D27" s="109">
        <v>1025</v>
      </c>
      <c r="E27" s="109">
        <v>85253</v>
      </c>
      <c r="F27" s="109">
        <v>83</v>
      </c>
      <c r="G27" s="109">
        <v>121</v>
      </c>
      <c r="H27" s="110">
        <v>113</v>
      </c>
    </row>
    <row r="28" spans="1:8" ht="15" customHeight="1">
      <c r="A28" s="103" t="s">
        <v>191</v>
      </c>
      <c r="B28" s="108" t="s">
        <v>192</v>
      </c>
      <c r="C28" s="109">
        <v>43022</v>
      </c>
      <c r="D28" s="109">
        <v>430</v>
      </c>
      <c r="E28" s="109">
        <v>55611</v>
      </c>
      <c r="F28" s="109">
        <v>129</v>
      </c>
      <c r="G28" s="109">
        <v>295</v>
      </c>
      <c r="H28" s="110">
        <v>220</v>
      </c>
    </row>
    <row r="29" spans="1:8" ht="15" customHeight="1">
      <c r="A29" s="103" t="s">
        <v>193</v>
      </c>
      <c r="B29" s="108" t="s">
        <v>194</v>
      </c>
      <c r="C29" s="109">
        <v>67496</v>
      </c>
      <c r="D29" s="109">
        <v>675</v>
      </c>
      <c r="E29" s="109">
        <v>46818</v>
      </c>
      <c r="F29" s="109">
        <v>69</v>
      </c>
      <c r="G29" s="109">
        <v>229</v>
      </c>
      <c r="H29" s="110">
        <v>255</v>
      </c>
    </row>
    <row r="30" spans="1:8" ht="15" customHeight="1">
      <c r="A30" s="103" t="s">
        <v>195</v>
      </c>
      <c r="B30" s="108" t="s">
        <v>196</v>
      </c>
      <c r="C30" s="109">
        <v>111770</v>
      </c>
      <c r="D30" s="109">
        <v>1118</v>
      </c>
      <c r="E30" s="109">
        <v>151385</v>
      </c>
      <c r="F30" s="109">
        <v>135</v>
      </c>
      <c r="G30" s="109">
        <v>104</v>
      </c>
      <c r="H30" s="110">
        <v>26</v>
      </c>
    </row>
    <row r="31" spans="1:8" ht="15" customHeight="1">
      <c r="A31" s="103" t="s">
        <v>197</v>
      </c>
      <c r="B31" s="108" t="s">
        <v>198</v>
      </c>
      <c r="C31" s="109">
        <v>80153</v>
      </c>
      <c r="D31" s="109">
        <v>802</v>
      </c>
      <c r="E31" s="109">
        <v>64802</v>
      </c>
      <c r="F31" s="109">
        <v>81</v>
      </c>
      <c r="G31" s="109">
        <v>180</v>
      </c>
      <c r="H31" s="110">
        <v>181</v>
      </c>
    </row>
    <row r="32" spans="1:8" ht="15" customHeight="1">
      <c r="A32" s="103" t="s">
        <v>199</v>
      </c>
      <c r="B32" s="108" t="s">
        <v>200</v>
      </c>
      <c r="C32" s="109">
        <v>83860</v>
      </c>
      <c r="D32" s="109">
        <v>839</v>
      </c>
      <c r="E32" s="109">
        <v>89188</v>
      </c>
      <c r="F32" s="109">
        <v>106</v>
      </c>
      <c r="G32" s="109">
        <v>167</v>
      </c>
      <c r="H32" s="110">
        <v>101</v>
      </c>
    </row>
    <row r="33" spans="1:8" ht="15" customHeight="1">
      <c r="A33" s="103" t="s">
        <v>201</v>
      </c>
      <c r="B33" s="108" t="s">
        <v>202</v>
      </c>
      <c r="C33" s="109">
        <v>57581</v>
      </c>
      <c r="D33" s="109">
        <v>576</v>
      </c>
      <c r="E33" s="109">
        <v>43490</v>
      </c>
      <c r="F33" s="109">
        <v>76</v>
      </c>
      <c r="G33" s="109">
        <v>264</v>
      </c>
      <c r="H33" s="110">
        <v>269</v>
      </c>
    </row>
    <row r="34" spans="1:8" ht="15" customHeight="1">
      <c r="A34" s="103" t="s">
        <v>120</v>
      </c>
      <c r="B34" s="118" t="s">
        <v>203</v>
      </c>
      <c r="C34" s="109"/>
      <c r="D34" s="109"/>
      <c r="E34" s="109"/>
      <c r="F34" s="109"/>
      <c r="G34" s="109"/>
      <c r="H34" s="110"/>
    </row>
    <row r="35" spans="1:8" ht="15" customHeight="1">
      <c r="A35" s="114" t="s">
        <v>120</v>
      </c>
      <c r="B35" s="115" t="s">
        <v>204</v>
      </c>
      <c r="C35" s="116"/>
      <c r="D35" s="116"/>
      <c r="E35" s="116"/>
      <c r="F35" s="116"/>
      <c r="G35" s="116"/>
      <c r="H35" s="117"/>
    </row>
    <row r="36" spans="1:8" ht="15" customHeight="1">
      <c r="A36" s="103" t="s">
        <v>205</v>
      </c>
      <c r="B36" s="108" t="s">
        <v>206</v>
      </c>
      <c r="C36" s="109">
        <v>10922</v>
      </c>
      <c r="D36" s="109">
        <v>109</v>
      </c>
      <c r="E36" s="109">
        <v>79061</v>
      </c>
      <c r="F36" s="109">
        <v>724</v>
      </c>
      <c r="G36" s="109">
        <v>25</v>
      </c>
      <c r="H36" s="110">
        <v>45</v>
      </c>
    </row>
    <row r="37" spans="1:8" ht="15" customHeight="1">
      <c r="A37" s="103" t="s">
        <v>207</v>
      </c>
      <c r="B37" s="108" t="s">
        <v>208</v>
      </c>
      <c r="C37" s="109">
        <v>5629</v>
      </c>
      <c r="D37" s="109">
        <v>56</v>
      </c>
      <c r="E37" s="109">
        <v>99350</v>
      </c>
      <c r="F37" s="109">
        <v>1765</v>
      </c>
      <c r="G37" s="109">
        <v>50</v>
      </c>
      <c r="H37" s="110">
        <v>39</v>
      </c>
    </row>
    <row r="38" spans="1:8" ht="15" customHeight="1">
      <c r="A38" s="103" t="s">
        <v>209</v>
      </c>
      <c r="B38" s="108" t="s">
        <v>210</v>
      </c>
      <c r="C38" s="109">
        <v>8470</v>
      </c>
      <c r="D38" s="109">
        <v>85</v>
      </c>
      <c r="E38" s="109">
        <v>111356</v>
      </c>
      <c r="F38" s="109">
        <v>1315</v>
      </c>
      <c r="G38" s="109">
        <v>34</v>
      </c>
      <c r="H38" s="110">
        <v>33</v>
      </c>
    </row>
    <row r="39" spans="1:8" ht="15" customHeight="1">
      <c r="A39" s="103" t="s">
        <v>211</v>
      </c>
      <c r="B39" s="108" t="s">
        <v>212</v>
      </c>
      <c r="C39" s="109">
        <v>29282</v>
      </c>
      <c r="D39" s="109">
        <v>293</v>
      </c>
      <c r="E39" s="109">
        <v>642869</v>
      </c>
      <c r="F39" s="109">
        <v>2195</v>
      </c>
      <c r="G39" s="109">
        <v>5</v>
      </c>
      <c r="H39" s="110">
        <v>4</v>
      </c>
    </row>
    <row r="40" spans="1:8" ht="15" customHeight="1">
      <c r="A40" s="268" t="s">
        <v>213</v>
      </c>
      <c r="B40" s="268"/>
      <c r="C40" s="268"/>
      <c r="D40" s="268"/>
      <c r="E40" s="268"/>
      <c r="F40" s="268"/>
      <c r="G40" s="268"/>
      <c r="H40" s="269"/>
    </row>
    <row r="41" spans="1:8" ht="15" customHeight="1">
      <c r="A41" s="103" t="s">
        <v>120</v>
      </c>
      <c r="B41" s="118" t="s">
        <v>214</v>
      </c>
      <c r="C41" s="109"/>
      <c r="D41" s="109"/>
      <c r="E41" s="109"/>
      <c r="F41" s="109"/>
      <c r="G41" s="109"/>
      <c r="H41" s="110"/>
    </row>
    <row r="42" spans="1:8" ht="15" customHeight="1">
      <c r="A42" s="114"/>
      <c r="B42" s="115" t="s">
        <v>215</v>
      </c>
      <c r="C42" s="116"/>
      <c r="D42" s="116"/>
      <c r="E42" s="116"/>
      <c r="F42" s="116"/>
      <c r="G42" s="116"/>
      <c r="H42" s="117"/>
    </row>
    <row r="43" spans="1:8" ht="15" customHeight="1">
      <c r="A43" s="103" t="s">
        <v>216</v>
      </c>
      <c r="B43" s="108" t="s">
        <v>217</v>
      </c>
      <c r="C43" s="109">
        <v>47463</v>
      </c>
      <c r="D43" s="109">
        <v>475</v>
      </c>
      <c r="E43" s="109">
        <v>55066</v>
      </c>
      <c r="F43" s="109">
        <v>116</v>
      </c>
      <c r="G43" s="109">
        <v>286</v>
      </c>
      <c r="H43" s="110">
        <v>226</v>
      </c>
    </row>
    <row r="44" spans="1:8" ht="15" customHeight="1">
      <c r="A44" s="103" t="s">
        <v>218</v>
      </c>
      <c r="B44" s="108" t="s">
        <v>219</v>
      </c>
      <c r="C44" s="109">
        <v>103997</v>
      </c>
      <c r="D44" s="109">
        <v>1040</v>
      </c>
      <c r="E44" s="109">
        <v>79097</v>
      </c>
      <c r="F44" s="109">
        <v>76</v>
      </c>
      <c r="G44" s="109">
        <v>116</v>
      </c>
      <c r="H44" s="110">
        <v>131</v>
      </c>
    </row>
    <row r="45" spans="1:8" ht="15" customHeight="1">
      <c r="A45" s="103" t="s">
        <v>220</v>
      </c>
      <c r="B45" s="108" t="s">
        <v>221</v>
      </c>
      <c r="C45" s="109">
        <v>139412</v>
      </c>
      <c r="D45" s="109">
        <v>1394</v>
      </c>
      <c r="E45" s="109">
        <v>118683</v>
      </c>
      <c r="F45" s="109">
        <v>85</v>
      </c>
      <c r="G45" s="109">
        <v>48</v>
      </c>
      <c r="H45" s="110">
        <v>49</v>
      </c>
    </row>
    <row r="46" spans="1:8" ht="15" customHeight="1">
      <c r="A46" s="103" t="s">
        <v>222</v>
      </c>
      <c r="B46" s="108" t="s">
        <v>223</v>
      </c>
      <c r="C46" s="109">
        <v>52694</v>
      </c>
      <c r="D46" s="109">
        <v>527</v>
      </c>
      <c r="E46" s="109">
        <v>51925</v>
      </c>
      <c r="F46" s="109">
        <v>99</v>
      </c>
      <c r="G46" s="109">
        <v>275</v>
      </c>
      <c r="H46" s="110">
        <v>236</v>
      </c>
    </row>
    <row r="47" spans="1:8" ht="15" customHeight="1">
      <c r="A47" s="103" t="s">
        <v>224</v>
      </c>
      <c r="B47" s="108" t="s">
        <v>225</v>
      </c>
      <c r="C47" s="109">
        <v>61285</v>
      </c>
      <c r="D47" s="109">
        <v>613</v>
      </c>
      <c r="E47" s="109">
        <v>45018</v>
      </c>
      <c r="F47" s="109">
        <v>73</v>
      </c>
      <c r="G47" s="109">
        <v>254</v>
      </c>
      <c r="H47" s="110">
        <v>262</v>
      </c>
    </row>
    <row r="48" spans="1:8" ht="15" customHeight="1">
      <c r="A48" s="103" t="s">
        <v>226</v>
      </c>
      <c r="B48" s="108" t="s">
        <v>227</v>
      </c>
      <c r="C48" s="109">
        <v>72776</v>
      </c>
      <c r="D48" s="109">
        <v>728</v>
      </c>
      <c r="E48" s="109">
        <v>40238</v>
      </c>
      <c r="F48" s="109">
        <v>55</v>
      </c>
      <c r="G48" s="109">
        <v>205</v>
      </c>
      <c r="H48" s="110">
        <v>284</v>
      </c>
    </row>
    <row r="49" spans="1:8" ht="15" customHeight="1">
      <c r="A49" s="103" t="s">
        <v>228</v>
      </c>
      <c r="B49" s="108" t="s">
        <v>229</v>
      </c>
      <c r="C49" s="109">
        <v>122518</v>
      </c>
      <c r="D49" s="109">
        <v>1225</v>
      </c>
      <c r="E49" s="109">
        <v>159814</v>
      </c>
      <c r="F49" s="109">
        <v>130</v>
      </c>
      <c r="G49" s="109">
        <v>78</v>
      </c>
      <c r="H49" s="110">
        <v>17</v>
      </c>
    </row>
    <row r="50" spans="1:8" ht="15" customHeight="1">
      <c r="A50" s="103" t="s">
        <v>230</v>
      </c>
      <c r="B50" s="108" t="s">
        <v>231</v>
      </c>
      <c r="C50" s="109">
        <v>101574</v>
      </c>
      <c r="D50" s="109">
        <v>1016</v>
      </c>
      <c r="E50" s="109">
        <v>65750</v>
      </c>
      <c r="F50" s="109">
        <v>65</v>
      </c>
      <c r="G50" s="109">
        <v>123</v>
      </c>
      <c r="H50" s="110">
        <v>176</v>
      </c>
    </row>
    <row r="51" spans="1:8" ht="15" customHeight="1">
      <c r="A51" s="103" t="s">
        <v>232</v>
      </c>
      <c r="B51" s="108" t="s">
        <v>233</v>
      </c>
      <c r="C51" s="109">
        <v>67512</v>
      </c>
      <c r="D51" s="109">
        <v>675</v>
      </c>
      <c r="E51" s="109">
        <v>45619</v>
      </c>
      <c r="F51" s="109">
        <v>68</v>
      </c>
      <c r="G51" s="109">
        <v>228</v>
      </c>
      <c r="H51" s="110">
        <v>259</v>
      </c>
    </row>
    <row r="52" spans="1:8" ht="15" customHeight="1">
      <c r="A52" s="103" t="s">
        <v>234</v>
      </c>
      <c r="B52" s="108" t="s">
        <v>235</v>
      </c>
      <c r="C52" s="109">
        <v>112008</v>
      </c>
      <c r="D52" s="109">
        <v>1120</v>
      </c>
      <c r="E52" s="109">
        <v>86311</v>
      </c>
      <c r="F52" s="109">
        <v>77</v>
      </c>
      <c r="G52" s="109">
        <v>101</v>
      </c>
      <c r="H52" s="110">
        <v>109</v>
      </c>
    </row>
    <row r="53" spans="1:8" ht="15" customHeight="1">
      <c r="A53" s="103" t="s">
        <v>236</v>
      </c>
      <c r="B53" s="108" t="s">
        <v>237</v>
      </c>
      <c r="C53" s="109">
        <v>60720</v>
      </c>
      <c r="D53" s="109">
        <v>607</v>
      </c>
      <c r="E53" s="109">
        <v>40321</v>
      </c>
      <c r="F53" s="109">
        <v>66</v>
      </c>
      <c r="G53" s="109">
        <v>256</v>
      </c>
      <c r="H53" s="110">
        <v>283</v>
      </c>
    </row>
    <row r="54" spans="1:8" ht="15" customHeight="1">
      <c r="A54" s="103" t="s">
        <v>238</v>
      </c>
      <c r="B54" s="108" t="s">
        <v>239</v>
      </c>
      <c r="C54" s="109">
        <v>58647</v>
      </c>
      <c r="D54" s="109">
        <v>586</v>
      </c>
      <c r="E54" s="109">
        <v>43486</v>
      </c>
      <c r="F54" s="109">
        <v>74</v>
      </c>
      <c r="G54" s="109">
        <v>259</v>
      </c>
      <c r="H54" s="110">
        <v>270</v>
      </c>
    </row>
    <row r="55" spans="1:8" ht="15" customHeight="1">
      <c r="A55" s="103" t="s">
        <v>240</v>
      </c>
      <c r="B55" s="108" t="s">
        <v>241</v>
      </c>
      <c r="C55" s="109">
        <v>79109</v>
      </c>
      <c r="D55" s="109">
        <v>791</v>
      </c>
      <c r="E55" s="109">
        <v>41056</v>
      </c>
      <c r="F55" s="109">
        <v>52</v>
      </c>
      <c r="G55" s="109">
        <v>183</v>
      </c>
      <c r="H55" s="110">
        <v>280</v>
      </c>
    </row>
    <row r="56" spans="1:8" ht="15" customHeight="1">
      <c r="A56" s="103" t="s">
        <v>242</v>
      </c>
      <c r="B56" s="108" t="s">
        <v>243</v>
      </c>
      <c r="C56" s="109">
        <v>147418</v>
      </c>
      <c r="D56" s="109">
        <v>1474</v>
      </c>
      <c r="E56" s="109">
        <v>98952</v>
      </c>
      <c r="F56" s="109">
        <v>67</v>
      </c>
      <c r="G56" s="109">
        <v>39</v>
      </c>
      <c r="H56" s="110">
        <v>82</v>
      </c>
    </row>
    <row r="57" spans="1:8" ht="15" customHeight="1">
      <c r="A57" s="103" t="s">
        <v>244</v>
      </c>
      <c r="B57" s="108" t="s">
        <v>245</v>
      </c>
      <c r="C57" s="109">
        <v>123042</v>
      </c>
      <c r="D57" s="109">
        <v>1230</v>
      </c>
      <c r="E57" s="109">
        <v>108345</v>
      </c>
      <c r="F57" s="109">
        <v>88</v>
      </c>
      <c r="G57" s="109">
        <v>77</v>
      </c>
      <c r="H57" s="110">
        <v>70</v>
      </c>
    </row>
    <row r="58" spans="1:8" ht="15" customHeight="1">
      <c r="A58" s="103" t="s">
        <v>246</v>
      </c>
      <c r="B58" s="108" t="s">
        <v>247</v>
      </c>
      <c r="C58" s="109">
        <v>107546</v>
      </c>
      <c r="D58" s="109">
        <v>1075</v>
      </c>
      <c r="E58" s="109">
        <v>48383</v>
      </c>
      <c r="F58" s="109">
        <v>45</v>
      </c>
      <c r="G58" s="109">
        <v>107</v>
      </c>
      <c r="H58" s="110">
        <v>248</v>
      </c>
    </row>
    <row r="59" spans="1:8" ht="15" customHeight="1">
      <c r="A59" s="103" t="s">
        <v>248</v>
      </c>
      <c r="B59" s="108" t="s">
        <v>249</v>
      </c>
      <c r="C59" s="109">
        <v>50195</v>
      </c>
      <c r="D59" s="109">
        <v>502</v>
      </c>
      <c r="E59" s="109">
        <v>34194</v>
      </c>
      <c r="F59" s="109">
        <v>68</v>
      </c>
      <c r="G59" s="109">
        <v>280</v>
      </c>
      <c r="H59" s="110">
        <v>302</v>
      </c>
    </row>
    <row r="60" spans="1:8" ht="15" customHeight="1">
      <c r="A60" s="103" t="s">
        <v>250</v>
      </c>
      <c r="B60" s="108" t="s">
        <v>251</v>
      </c>
      <c r="C60" s="109">
        <v>147363</v>
      </c>
      <c r="D60" s="109">
        <v>1474</v>
      </c>
      <c r="E60" s="109">
        <v>86037</v>
      </c>
      <c r="F60" s="109">
        <v>58</v>
      </c>
      <c r="G60" s="109">
        <v>40</v>
      </c>
      <c r="H60" s="110">
        <v>111</v>
      </c>
    </row>
    <row r="61" spans="1:8" ht="15" customHeight="1">
      <c r="A61" s="103" t="s">
        <v>252</v>
      </c>
      <c r="B61" s="108" t="s">
        <v>253</v>
      </c>
      <c r="C61" s="109">
        <v>98477</v>
      </c>
      <c r="D61" s="109">
        <v>985</v>
      </c>
      <c r="E61" s="109">
        <v>70190</v>
      </c>
      <c r="F61" s="109">
        <v>71</v>
      </c>
      <c r="G61" s="109">
        <v>132</v>
      </c>
      <c r="H61" s="110">
        <v>165</v>
      </c>
    </row>
    <row r="62" spans="1:8" ht="15" customHeight="1">
      <c r="A62" s="103" t="s">
        <v>120</v>
      </c>
      <c r="B62" s="118" t="s">
        <v>203</v>
      </c>
      <c r="C62" s="109"/>
      <c r="D62" s="109"/>
      <c r="E62" s="109"/>
      <c r="F62" s="109"/>
      <c r="G62" s="109"/>
      <c r="H62" s="110"/>
    </row>
    <row r="63" spans="1:8" ht="15" customHeight="1">
      <c r="A63" s="114" t="s">
        <v>120</v>
      </c>
      <c r="B63" s="115" t="s">
        <v>204</v>
      </c>
      <c r="C63" s="116"/>
      <c r="D63" s="116"/>
      <c r="E63" s="116"/>
      <c r="F63" s="116"/>
      <c r="G63" s="116"/>
      <c r="H63" s="117"/>
    </row>
    <row r="64" spans="1:8" ht="15" customHeight="1">
      <c r="A64" s="103" t="s">
        <v>254</v>
      </c>
      <c r="B64" s="108" t="s">
        <v>255</v>
      </c>
      <c r="C64" s="109">
        <v>17598</v>
      </c>
      <c r="D64" s="109">
        <v>176</v>
      </c>
      <c r="E64" s="109">
        <v>348190</v>
      </c>
      <c r="F64" s="109">
        <v>1979</v>
      </c>
      <c r="G64" s="109">
        <v>11</v>
      </c>
      <c r="H64" s="110">
        <v>8</v>
      </c>
    </row>
    <row r="65" spans="1:8" ht="15" customHeight="1">
      <c r="A65" s="103" t="s">
        <v>256</v>
      </c>
      <c r="B65" s="108" t="s">
        <v>257</v>
      </c>
      <c r="C65" s="109">
        <v>5776</v>
      </c>
      <c r="D65" s="109">
        <v>58</v>
      </c>
      <c r="E65" s="109">
        <v>94368</v>
      </c>
      <c r="F65" s="109">
        <v>1634</v>
      </c>
      <c r="G65" s="109">
        <v>48</v>
      </c>
      <c r="H65" s="110">
        <v>40</v>
      </c>
    </row>
    <row r="66" spans="1:8" ht="15" customHeight="1">
      <c r="A66" s="103" t="s">
        <v>258</v>
      </c>
      <c r="B66" s="108" t="s">
        <v>259</v>
      </c>
      <c r="C66" s="109">
        <v>11572</v>
      </c>
      <c r="D66" s="109">
        <v>116</v>
      </c>
      <c r="E66" s="109">
        <v>201447</v>
      </c>
      <c r="F66" s="109">
        <v>1741</v>
      </c>
      <c r="G66" s="109">
        <v>22</v>
      </c>
      <c r="H66" s="110">
        <v>15</v>
      </c>
    </row>
    <row r="67" spans="1:8" ht="15" customHeight="1">
      <c r="A67" s="103" t="s">
        <v>260</v>
      </c>
      <c r="B67" s="108" t="s">
        <v>261</v>
      </c>
      <c r="C67" s="109">
        <v>8432</v>
      </c>
      <c r="D67" s="109">
        <v>84</v>
      </c>
      <c r="E67" s="109">
        <v>109883</v>
      </c>
      <c r="F67" s="109">
        <v>1303</v>
      </c>
      <c r="G67" s="109">
        <v>35</v>
      </c>
      <c r="H67" s="110">
        <v>34</v>
      </c>
    </row>
    <row r="68" spans="1:8" ht="15" customHeight="1">
      <c r="A68" s="268" t="s">
        <v>2</v>
      </c>
      <c r="B68" s="268"/>
      <c r="C68" s="268"/>
      <c r="D68" s="268"/>
      <c r="E68" s="268"/>
      <c r="F68" s="268"/>
      <c r="G68" s="268"/>
      <c r="H68" s="269"/>
    </row>
    <row r="69" spans="1:8" ht="15" customHeight="1">
      <c r="A69" s="103" t="s">
        <v>120</v>
      </c>
      <c r="B69" s="118" t="s">
        <v>214</v>
      </c>
      <c r="C69" s="109"/>
      <c r="D69" s="109"/>
      <c r="E69" s="109"/>
      <c r="F69" s="109"/>
      <c r="G69" s="109"/>
      <c r="H69" s="110"/>
    </row>
    <row r="70" spans="1:8" ht="15" customHeight="1">
      <c r="A70" s="114"/>
      <c r="B70" s="115" t="s">
        <v>215</v>
      </c>
      <c r="C70" s="116"/>
      <c r="D70" s="116"/>
      <c r="E70" s="116"/>
      <c r="F70" s="116"/>
      <c r="G70" s="116"/>
      <c r="H70" s="117"/>
    </row>
    <row r="71" spans="1:8" ht="15" customHeight="1">
      <c r="A71" s="103" t="s">
        <v>262</v>
      </c>
      <c r="B71" s="108" t="s">
        <v>263</v>
      </c>
      <c r="C71" s="109">
        <v>275426</v>
      </c>
      <c r="D71" s="109">
        <v>2754</v>
      </c>
      <c r="E71" s="109">
        <v>110772</v>
      </c>
      <c r="F71" s="109">
        <v>40</v>
      </c>
      <c r="G71" s="109">
        <v>3</v>
      </c>
      <c r="H71" s="110">
        <v>66</v>
      </c>
    </row>
    <row r="72" spans="1:8" ht="15" customHeight="1">
      <c r="A72" s="103" t="s">
        <v>264</v>
      </c>
      <c r="B72" s="108" t="s">
        <v>265</v>
      </c>
      <c r="C72" s="109">
        <v>168110</v>
      </c>
      <c r="D72" s="109">
        <v>1681</v>
      </c>
      <c r="E72" s="109">
        <v>100919</v>
      </c>
      <c r="F72" s="109">
        <v>60</v>
      </c>
      <c r="G72" s="109">
        <v>20</v>
      </c>
      <c r="H72" s="110">
        <v>79</v>
      </c>
    </row>
    <row r="73" spans="1:8" ht="15" customHeight="1">
      <c r="A73" s="103" t="s">
        <v>266</v>
      </c>
      <c r="B73" s="108" t="s">
        <v>267</v>
      </c>
      <c r="C73" s="109">
        <v>188560</v>
      </c>
      <c r="D73" s="109">
        <v>1886</v>
      </c>
      <c r="E73" s="109">
        <v>78014</v>
      </c>
      <c r="F73" s="109">
        <v>41</v>
      </c>
      <c r="G73" s="109">
        <v>11</v>
      </c>
      <c r="H73" s="110">
        <v>136</v>
      </c>
    </row>
    <row r="74" spans="1:8" ht="15" customHeight="1">
      <c r="A74" s="103" t="s">
        <v>268</v>
      </c>
      <c r="B74" s="108" t="s">
        <v>269</v>
      </c>
      <c r="C74" s="109">
        <v>126802</v>
      </c>
      <c r="D74" s="109">
        <v>1268</v>
      </c>
      <c r="E74" s="109">
        <v>62847</v>
      </c>
      <c r="F74" s="109">
        <v>50</v>
      </c>
      <c r="G74" s="109">
        <v>70</v>
      </c>
      <c r="H74" s="110">
        <v>189</v>
      </c>
    </row>
    <row r="75" spans="1:8" ht="15" customHeight="1">
      <c r="A75" s="103" t="s">
        <v>270</v>
      </c>
      <c r="B75" s="108" t="s">
        <v>271</v>
      </c>
      <c r="C75" s="109">
        <v>87528</v>
      </c>
      <c r="D75" s="109">
        <v>876</v>
      </c>
      <c r="E75" s="109">
        <v>45709</v>
      </c>
      <c r="F75" s="109">
        <v>52</v>
      </c>
      <c r="G75" s="109">
        <v>160</v>
      </c>
      <c r="H75" s="110">
        <v>258</v>
      </c>
    </row>
    <row r="76" spans="1:8" ht="15" customHeight="1">
      <c r="A76" s="103" t="s">
        <v>272</v>
      </c>
      <c r="B76" s="108" t="s">
        <v>273</v>
      </c>
      <c r="C76" s="109">
        <v>103144</v>
      </c>
      <c r="D76" s="109">
        <v>1032</v>
      </c>
      <c r="E76" s="109">
        <v>63258</v>
      </c>
      <c r="F76" s="109">
        <v>61</v>
      </c>
      <c r="G76" s="109">
        <v>118</v>
      </c>
      <c r="H76" s="110">
        <v>186</v>
      </c>
    </row>
    <row r="77" spans="1:8" ht="15" customHeight="1">
      <c r="A77" s="103" t="s">
        <v>274</v>
      </c>
      <c r="B77" s="108" t="s">
        <v>275</v>
      </c>
      <c r="C77" s="109">
        <v>100530</v>
      </c>
      <c r="D77" s="109">
        <v>1005</v>
      </c>
      <c r="E77" s="109">
        <v>95348</v>
      </c>
      <c r="F77" s="109">
        <v>95</v>
      </c>
      <c r="G77" s="109">
        <v>127</v>
      </c>
      <c r="H77" s="110">
        <v>89</v>
      </c>
    </row>
    <row r="78" spans="1:8" ht="15" customHeight="1">
      <c r="A78" s="103" t="s">
        <v>276</v>
      </c>
      <c r="B78" s="108" t="s">
        <v>277</v>
      </c>
      <c r="C78" s="109">
        <v>128874</v>
      </c>
      <c r="D78" s="109">
        <v>1289</v>
      </c>
      <c r="E78" s="109">
        <v>88352</v>
      </c>
      <c r="F78" s="109">
        <v>69</v>
      </c>
      <c r="G78" s="109">
        <v>66</v>
      </c>
      <c r="H78" s="110">
        <v>104</v>
      </c>
    </row>
    <row r="79" spans="1:8" ht="15" customHeight="1">
      <c r="A79" s="103" t="s">
        <v>278</v>
      </c>
      <c r="B79" s="108" t="s">
        <v>279</v>
      </c>
      <c r="C79" s="109">
        <v>167953</v>
      </c>
      <c r="D79" s="109">
        <v>1680</v>
      </c>
      <c r="E79" s="109">
        <v>155566</v>
      </c>
      <c r="F79" s="109">
        <v>93</v>
      </c>
      <c r="G79" s="109">
        <v>21</v>
      </c>
      <c r="H79" s="110">
        <v>21</v>
      </c>
    </row>
    <row r="80" spans="1:8" ht="15" customHeight="1">
      <c r="A80" s="103" t="s">
        <v>280</v>
      </c>
      <c r="B80" s="108" t="s">
        <v>281</v>
      </c>
      <c r="C80" s="109">
        <v>63664</v>
      </c>
      <c r="D80" s="109">
        <v>637</v>
      </c>
      <c r="E80" s="109">
        <v>57331</v>
      </c>
      <c r="F80" s="109">
        <v>90</v>
      </c>
      <c r="G80" s="109">
        <v>241</v>
      </c>
      <c r="H80" s="110">
        <v>207</v>
      </c>
    </row>
    <row r="81" spans="1:8" ht="15" customHeight="1">
      <c r="A81" s="103" t="s">
        <v>282</v>
      </c>
      <c r="B81" s="108" t="s">
        <v>283</v>
      </c>
      <c r="C81" s="109">
        <v>139421</v>
      </c>
      <c r="D81" s="109">
        <v>1394</v>
      </c>
      <c r="E81" s="109">
        <v>106816</v>
      </c>
      <c r="F81" s="109">
        <v>77</v>
      </c>
      <c r="G81" s="109">
        <v>47</v>
      </c>
      <c r="H81" s="110">
        <v>74</v>
      </c>
    </row>
    <row r="82" spans="1:8" ht="15" customHeight="1">
      <c r="A82" s="103" t="s">
        <v>284</v>
      </c>
      <c r="B82" s="108" t="s">
        <v>285</v>
      </c>
      <c r="C82" s="109">
        <v>81002</v>
      </c>
      <c r="D82" s="109">
        <v>810</v>
      </c>
      <c r="E82" s="109">
        <v>59208</v>
      </c>
      <c r="F82" s="109">
        <v>73</v>
      </c>
      <c r="G82" s="109">
        <v>176</v>
      </c>
      <c r="H82" s="110">
        <v>199</v>
      </c>
    </row>
    <row r="83" spans="1:8" ht="15" customHeight="1">
      <c r="A83" s="103" t="s">
        <v>286</v>
      </c>
      <c r="B83" s="108" t="s">
        <v>287</v>
      </c>
      <c r="C83" s="109">
        <v>95220</v>
      </c>
      <c r="D83" s="109">
        <v>952</v>
      </c>
      <c r="E83" s="109">
        <v>34711</v>
      </c>
      <c r="F83" s="109">
        <v>36</v>
      </c>
      <c r="G83" s="109">
        <v>142</v>
      </c>
      <c r="H83" s="110">
        <v>301</v>
      </c>
    </row>
    <row r="84" spans="1:8" ht="15" customHeight="1">
      <c r="A84" s="103" t="s">
        <v>288</v>
      </c>
      <c r="B84" s="108" t="s">
        <v>289</v>
      </c>
      <c r="C84" s="109">
        <v>93409</v>
      </c>
      <c r="D84" s="109">
        <v>934</v>
      </c>
      <c r="E84" s="109">
        <v>113173</v>
      </c>
      <c r="F84" s="109">
        <v>121</v>
      </c>
      <c r="G84" s="109">
        <v>146</v>
      </c>
      <c r="H84" s="110">
        <v>59</v>
      </c>
    </row>
    <row r="85" spans="1:8" ht="15" customHeight="1">
      <c r="A85" s="103" t="s">
        <v>290</v>
      </c>
      <c r="B85" s="108" t="s">
        <v>291</v>
      </c>
      <c r="C85" s="109">
        <v>96506</v>
      </c>
      <c r="D85" s="109">
        <v>965</v>
      </c>
      <c r="E85" s="109">
        <v>58858</v>
      </c>
      <c r="F85" s="109">
        <v>61</v>
      </c>
      <c r="G85" s="109">
        <v>138</v>
      </c>
      <c r="H85" s="110">
        <v>203</v>
      </c>
    </row>
    <row r="86" spans="1:8" ht="15" customHeight="1">
      <c r="A86" s="103" t="s">
        <v>292</v>
      </c>
      <c r="B86" s="108" t="s">
        <v>293</v>
      </c>
      <c r="C86" s="109">
        <v>61453</v>
      </c>
      <c r="D86" s="109">
        <v>615</v>
      </c>
      <c r="E86" s="109">
        <v>55988</v>
      </c>
      <c r="F86" s="109">
        <v>91</v>
      </c>
      <c r="G86" s="109">
        <v>253</v>
      </c>
      <c r="H86" s="110">
        <v>218</v>
      </c>
    </row>
    <row r="87" spans="1:8" ht="15" customHeight="1">
      <c r="A87" s="103" t="s">
        <v>294</v>
      </c>
      <c r="B87" s="108" t="s">
        <v>188</v>
      </c>
      <c r="C87" s="109">
        <v>46835</v>
      </c>
      <c r="D87" s="109">
        <v>468</v>
      </c>
      <c r="E87" s="109">
        <v>71840</v>
      </c>
      <c r="F87" s="109">
        <v>153</v>
      </c>
      <c r="G87" s="109">
        <v>289</v>
      </c>
      <c r="H87" s="110">
        <v>158</v>
      </c>
    </row>
    <row r="88" spans="1:8" ht="15" customHeight="1">
      <c r="A88" s="103" t="s">
        <v>295</v>
      </c>
      <c r="B88" s="108" t="s">
        <v>296</v>
      </c>
      <c r="C88" s="109">
        <v>148889</v>
      </c>
      <c r="D88" s="109">
        <v>1489</v>
      </c>
      <c r="E88" s="109">
        <v>82762</v>
      </c>
      <c r="F88" s="109">
        <v>56</v>
      </c>
      <c r="G88" s="109">
        <v>37</v>
      </c>
      <c r="H88" s="110">
        <v>120</v>
      </c>
    </row>
    <row r="89" spans="1:8" ht="15" customHeight="1">
      <c r="A89" s="103" t="s">
        <v>297</v>
      </c>
      <c r="B89" s="108" t="s">
        <v>298</v>
      </c>
      <c r="C89" s="109">
        <v>125642</v>
      </c>
      <c r="D89" s="109">
        <v>1256</v>
      </c>
      <c r="E89" s="109">
        <v>38353</v>
      </c>
      <c r="F89" s="109">
        <v>31</v>
      </c>
      <c r="G89" s="109">
        <v>73</v>
      </c>
      <c r="H89" s="110">
        <v>290</v>
      </c>
    </row>
    <row r="90" spans="1:8" ht="15" customHeight="1">
      <c r="A90" s="103" t="s">
        <v>299</v>
      </c>
      <c r="B90" s="108" t="s">
        <v>300</v>
      </c>
      <c r="C90" s="109">
        <v>187029</v>
      </c>
      <c r="D90" s="109">
        <v>1870</v>
      </c>
      <c r="E90" s="109">
        <v>106122</v>
      </c>
      <c r="F90" s="109">
        <v>57</v>
      </c>
      <c r="G90" s="109">
        <v>12</v>
      </c>
      <c r="H90" s="110">
        <v>76</v>
      </c>
    </row>
    <row r="91" spans="1:8" ht="15" customHeight="1">
      <c r="A91" s="103" t="s">
        <v>120</v>
      </c>
      <c r="B91" s="118" t="s">
        <v>203</v>
      </c>
      <c r="C91" s="109"/>
      <c r="D91" s="109"/>
      <c r="E91" s="109"/>
      <c r="F91" s="109"/>
      <c r="G91" s="109"/>
      <c r="H91" s="110"/>
    </row>
    <row r="92" spans="1:8" ht="15" customHeight="1">
      <c r="A92" s="114" t="s">
        <v>120</v>
      </c>
      <c r="B92" s="115" t="s">
        <v>204</v>
      </c>
      <c r="C92" s="116"/>
      <c r="D92" s="116"/>
      <c r="E92" s="116"/>
      <c r="F92" s="116"/>
      <c r="G92" s="116"/>
      <c r="H92" s="117"/>
    </row>
    <row r="93" spans="1:8" ht="15" customHeight="1">
      <c r="A93" s="103" t="s">
        <v>301</v>
      </c>
      <c r="B93" s="108" t="s">
        <v>302</v>
      </c>
      <c r="C93" s="109">
        <v>4940</v>
      </c>
      <c r="D93" s="109">
        <v>49</v>
      </c>
      <c r="E93" s="109">
        <v>57170</v>
      </c>
      <c r="F93" s="109">
        <v>1157</v>
      </c>
      <c r="G93" s="109">
        <v>51</v>
      </c>
      <c r="H93" s="110">
        <v>58</v>
      </c>
    </row>
    <row r="94" spans="1:8" ht="15" customHeight="1">
      <c r="A94" s="103" t="s">
        <v>303</v>
      </c>
      <c r="B94" s="108" t="s">
        <v>304</v>
      </c>
      <c r="C94" s="109">
        <v>3528</v>
      </c>
      <c r="D94" s="109">
        <v>35</v>
      </c>
      <c r="E94" s="109">
        <v>61932</v>
      </c>
      <c r="F94" s="109">
        <v>1755</v>
      </c>
      <c r="G94" s="109">
        <v>56</v>
      </c>
      <c r="H94" s="110">
        <v>56</v>
      </c>
    </row>
    <row r="95" spans="1:8" ht="15" customHeight="1">
      <c r="A95" s="103" t="s">
        <v>305</v>
      </c>
      <c r="B95" s="108" t="s">
        <v>306</v>
      </c>
      <c r="C95" s="109">
        <v>14747</v>
      </c>
      <c r="D95" s="109">
        <v>148</v>
      </c>
      <c r="E95" s="109">
        <v>339784</v>
      </c>
      <c r="F95" s="109">
        <v>2304</v>
      </c>
      <c r="G95" s="109">
        <v>17</v>
      </c>
      <c r="H95" s="110">
        <v>9</v>
      </c>
    </row>
    <row r="96" spans="1:8" ht="15" customHeight="1">
      <c r="A96" s="103" t="s">
        <v>307</v>
      </c>
      <c r="B96" s="108" t="s">
        <v>308</v>
      </c>
      <c r="C96" s="109">
        <v>3034</v>
      </c>
      <c r="D96" s="109">
        <v>30</v>
      </c>
      <c r="E96" s="109">
        <v>63437</v>
      </c>
      <c r="F96" s="109">
        <v>2091</v>
      </c>
      <c r="G96" s="109">
        <v>62</v>
      </c>
      <c r="H96" s="110">
        <v>53</v>
      </c>
    </row>
    <row r="97" spans="1:8" ht="15" customHeight="1">
      <c r="A97" s="268" t="s">
        <v>17</v>
      </c>
      <c r="B97" s="268"/>
      <c r="C97" s="268"/>
      <c r="D97" s="268"/>
      <c r="E97" s="268"/>
      <c r="F97" s="268"/>
      <c r="G97" s="268"/>
      <c r="H97" s="269"/>
    </row>
    <row r="98" spans="1:8" ht="15" customHeight="1">
      <c r="A98" s="103" t="s">
        <v>120</v>
      </c>
      <c r="B98" s="118" t="s">
        <v>214</v>
      </c>
      <c r="C98" s="109"/>
      <c r="D98" s="109"/>
      <c r="E98" s="109"/>
      <c r="F98" s="109"/>
      <c r="G98" s="109"/>
      <c r="H98" s="110"/>
    </row>
    <row r="99" spans="1:8" ht="15" customHeight="1">
      <c r="A99" s="114"/>
      <c r="B99" s="115" t="s">
        <v>215</v>
      </c>
      <c r="C99" s="116"/>
      <c r="D99" s="116"/>
      <c r="E99" s="116"/>
      <c r="F99" s="116"/>
      <c r="G99" s="116"/>
      <c r="H99" s="117"/>
    </row>
    <row r="100" spans="1:8" ht="15" customHeight="1">
      <c r="A100" s="103" t="s">
        <v>309</v>
      </c>
      <c r="B100" s="108" t="s">
        <v>310</v>
      </c>
      <c r="C100" s="109">
        <v>121423</v>
      </c>
      <c r="D100" s="109">
        <v>1214</v>
      </c>
      <c r="E100" s="109">
        <v>71836</v>
      </c>
      <c r="F100" s="109">
        <v>59</v>
      </c>
      <c r="G100" s="109">
        <v>83</v>
      </c>
      <c r="H100" s="110">
        <v>159</v>
      </c>
    </row>
    <row r="101" spans="1:8" ht="15" customHeight="1">
      <c r="A101" s="103" t="s">
        <v>311</v>
      </c>
      <c r="B101" s="108" t="s">
        <v>312</v>
      </c>
      <c r="C101" s="109">
        <v>139125</v>
      </c>
      <c r="D101" s="109">
        <v>1391</v>
      </c>
      <c r="E101" s="109">
        <v>54829</v>
      </c>
      <c r="F101" s="109">
        <v>39</v>
      </c>
      <c r="G101" s="109">
        <v>50</v>
      </c>
      <c r="H101" s="110">
        <v>227</v>
      </c>
    </row>
    <row r="102" spans="1:8" ht="15" customHeight="1">
      <c r="A102" s="103" t="s">
        <v>313</v>
      </c>
      <c r="B102" s="108" t="s">
        <v>314</v>
      </c>
      <c r="C102" s="109">
        <v>138761</v>
      </c>
      <c r="D102" s="109">
        <v>1388</v>
      </c>
      <c r="E102" s="109">
        <v>57565</v>
      </c>
      <c r="F102" s="109">
        <v>41</v>
      </c>
      <c r="G102" s="109">
        <v>51</v>
      </c>
      <c r="H102" s="110">
        <v>205</v>
      </c>
    </row>
    <row r="103" spans="1:8" ht="15" customHeight="1">
      <c r="A103" s="103" t="s">
        <v>315</v>
      </c>
      <c r="B103" s="108" t="s">
        <v>316</v>
      </c>
      <c r="C103" s="109">
        <v>77073</v>
      </c>
      <c r="D103" s="109">
        <v>771</v>
      </c>
      <c r="E103" s="109">
        <v>86156</v>
      </c>
      <c r="F103" s="109">
        <v>112</v>
      </c>
      <c r="G103" s="109">
        <v>192</v>
      </c>
      <c r="H103" s="110">
        <v>110</v>
      </c>
    </row>
    <row r="104" spans="1:8" ht="15" customHeight="1">
      <c r="A104" s="103" t="s">
        <v>317</v>
      </c>
      <c r="B104" s="108" t="s">
        <v>318</v>
      </c>
      <c r="C104" s="109">
        <v>99929</v>
      </c>
      <c r="D104" s="109">
        <v>999</v>
      </c>
      <c r="E104" s="109">
        <v>46929</v>
      </c>
      <c r="F104" s="109">
        <v>47</v>
      </c>
      <c r="G104" s="109">
        <v>129</v>
      </c>
      <c r="H104" s="110">
        <v>254</v>
      </c>
    </row>
    <row r="105" spans="1:8" ht="15" customHeight="1">
      <c r="A105" s="103" t="s">
        <v>319</v>
      </c>
      <c r="B105" s="108" t="s">
        <v>320</v>
      </c>
      <c r="C105" s="109">
        <v>124786</v>
      </c>
      <c r="D105" s="109">
        <v>1248</v>
      </c>
      <c r="E105" s="109">
        <v>49009</v>
      </c>
      <c r="F105" s="109">
        <v>39</v>
      </c>
      <c r="G105" s="109">
        <v>75</v>
      </c>
      <c r="H105" s="110">
        <v>245</v>
      </c>
    </row>
    <row r="106" spans="1:8" ht="15" customHeight="1">
      <c r="A106" s="103" t="s">
        <v>321</v>
      </c>
      <c r="B106" s="108" t="s">
        <v>322</v>
      </c>
      <c r="C106" s="109">
        <v>117780</v>
      </c>
      <c r="D106" s="109">
        <v>1178</v>
      </c>
      <c r="E106" s="109">
        <v>35193</v>
      </c>
      <c r="F106" s="109">
        <v>30</v>
      </c>
      <c r="G106" s="109">
        <v>89</v>
      </c>
      <c r="H106" s="110">
        <v>299</v>
      </c>
    </row>
    <row r="107" spans="1:8" ht="15" customHeight="1">
      <c r="A107" s="103" t="s">
        <v>323</v>
      </c>
      <c r="B107" s="108" t="s">
        <v>324</v>
      </c>
      <c r="C107" s="109">
        <v>93657</v>
      </c>
      <c r="D107" s="109">
        <v>937</v>
      </c>
      <c r="E107" s="109">
        <v>55790</v>
      </c>
      <c r="F107" s="109">
        <v>60</v>
      </c>
      <c r="G107" s="109">
        <v>145</v>
      </c>
      <c r="H107" s="110">
        <v>219</v>
      </c>
    </row>
    <row r="108" spans="1:8" ht="15" customHeight="1">
      <c r="A108" s="103" t="s">
        <v>325</v>
      </c>
      <c r="B108" s="108" t="s">
        <v>326</v>
      </c>
      <c r="C108" s="109">
        <v>62420</v>
      </c>
      <c r="D108" s="109">
        <v>624</v>
      </c>
      <c r="E108" s="109">
        <v>38831</v>
      </c>
      <c r="F108" s="109">
        <v>62</v>
      </c>
      <c r="G108" s="109">
        <v>244</v>
      </c>
      <c r="H108" s="110">
        <v>288</v>
      </c>
    </row>
    <row r="109" spans="1:8" ht="15" customHeight="1">
      <c r="A109" s="103" t="s">
        <v>327</v>
      </c>
      <c r="B109" s="108" t="s">
        <v>328</v>
      </c>
      <c r="C109" s="109">
        <v>134975</v>
      </c>
      <c r="D109" s="109">
        <v>1350</v>
      </c>
      <c r="E109" s="109">
        <v>75559</v>
      </c>
      <c r="F109" s="109">
        <v>56</v>
      </c>
      <c r="G109" s="109">
        <v>58</v>
      </c>
      <c r="H109" s="110">
        <v>147</v>
      </c>
    </row>
    <row r="110" spans="1:8" ht="15" customHeight="1">
      <c r="A110" s="103" t="s">
        <v>329</v>
      </c>
      <c r="B110" s="108" t="s">
        <v>330</v>
      </c>
      <c r="C110" s="109">
        <v>113182</v>
      </c>
      <c r="D110" s="109">
        <v>1132</v>
      </c>
      <c r="E110" s="109">
        <v>78953</v>
      </c>
      <c r="F110" s="109">
        <v>70</v>
      </c>
      <c r="G110" s="109">
        <v>98</v>
      </c>
      <c r="H110" s="110">
        <v>132</v>
      </c>
    </row>
    <row r="111" spans="1:8" ht="15" customHeight="1">
      <c r="A111" s="103" t="s">
        <v>331</v>
      </c>
      <c r="B111" s="108" t="s">
        <v>332</v>
      </c>
      <c r="C111" s="109">
        <v>139278</v>
      </c>
      <c r="D111" s="109">
        <v>1393</v>
      </c>
      <c r="E111" s="109">
        <v>96111</v>
      </c>
      <c r="F111" s="109">
        <v>69</v>
      </c>
      <c r="G111" s="109">
        <v>49</v>
      </c>
      <c r="H111" s="110">
        <v>87</v>
      </c>
    </row>
    <row r="112" spans="1:8" ht="15" customHeight="1">
      <c r="A112" s="103" t="s">
        <v>120</v>
      </c>
      <c r="B112" s="118" t="s">
        <v>203</v>
      </c>
      <c r="C112" s="109"/>
      <c r="D112" s="109"/>
      <c r="E112" s="109"/>
      <c r="F112" s="109"/>
      <c r="G112" s="109"/>
      <c r="H112" s="110"/>
    </row>
    <row r="113" spans="1:8" ht="15" customHeight="1">
      <c r="A113" s="114" t="s">
        <v>120</v>
      </c>
      <c r="B113" s="115" t="s">
        <v>204</v>
      </c>
      <c r="C113" s="116"/>
      <c r="D113" s="116"/>
      <c r="E113" s="116"/>
      <c r="F113" s="116"/>
      <c r="G113" s="116"/>
      <c r="H113" s="117"/>
    </row>
    <row r="114" spans="1:8" ht="15" customHeight="1">
      <c r="A114" s="103" t="s">
        <v>333</v>
      </c>
      <c r="B114" s="108" t="s">
        <v>334</v>
      </c>
      <c r="C114" s="109">
        <v>8572</v>
      </c>
      <c r="D114" s="109">
        <v>86</v>
      </c>
      <c r="E114" s="109">
        <v>123609</v>
      </c>
      <c r="F114" s="109">
        <v>1442</v>
      </c>
      <c r="G114" s="109">
        <v>31</v>
      </c>
      <c r="H114" s="110">
        <v>29</v>
      </c>
    </row>
    <row r="115" spans="1:8" ht="15" customHeight="1">
      <c r="A115" s="103" t="s">
        <v>335</v>
      </c>
      <c r="B115" s="108" t="s">
        <v>336</v>
      </c>
      <c r="C115" s="109">
        <v>27832</v>
      </c>
      <c r="D115" s="109">
        <v>277</v>
      </c>
      <c r="E115" s="109">
        <v>141222</v>
      </c>
      <c r="F115" s="109">
        <v>507</v>
      </c>
      <c r="G115" s="109">
        <v>6</v>
      </c>
      <c r="H115" s="110">
        <v>24</v>
      </c>
    </row>
    <row r="116" spans="1:8" s="119" customFormat="1" ht="15" customHeight="1">
      <c r="A116" s="268" t="s">
        <v>8</v>
      </c>
      <c r="B116" s="268"/>
      <c r="C116" s="268"/>
      <c r="D116" s="268"/>
      <c r="E116" s="268"/>
      <c r="F116" s="268"/>
      <c r="G116" s="268"/>
      <c r="H116" s="269"/>
    </row>
    <row r="117" spans="1:8" ht="15" customHeight="1">
      <c r="A117" s="103" t="s">
        <v>120</v>
      </c>
      <c r="B117" s="118" t="s">
        <v>214</v>
      </c>
      <c r="C117" s="109"/>
      <c r="D117" s="109"/>
      <c r="E117" s="109"/>
      <c r="F117" s="109"/>
      <c r="G117" s="109"/>
      <c r="H117" s="110"/>
    </row>
    <row r="118" spans="1:8" ht="15" customHeight="1">
      <c r="A118" s="114"/>
      <c r="B118" s="115" t="s">
        <v>215</v>
      </c>
      <c r="C118" s="116"/>
      <c r="D118" s="116"/>
      <c r="E118" s="116"/>
      <c r="F118" s="116"/>
      <c r="G118" s="116"/>
      <c r="H118" s="117"/>
    </row>
    <row r="119" spans="1:8" ht="15" customHeight="1">
      <c r="A119" s="103" t="s">
        <v>337</v>
      </c>
      <c r="B119" s="108" t="s">
        <v>338</v>
      </c>
      <c r="C119" s="109">
        <v>96760</v>
      </c>
      <c r="D119" s="109">
        <v>968</v>
      </c>
      <c r="E119" s="109">
        <v>112779</v>
      </c>
      <c r="F119" s="109">
        <v>117</v>
      </c>
      <c r="G119" s="109">
        <v>136</v>
      </c>
      <c r="H119" s="110">
        <v>60</v>
      </c>
    </row>
    <row r="120" spans="1:8" ht="15" customHeight="1">
      <c r="A120" s="103" t="s">
        <v>339</v>
      </c>
      <c r="B120" s="108" t="s">
        <v>340</v>
      </c>
      <c r="C120" s="109">
        <v>35856</v>
      </c>
      <c r="D120" s="109">
        <v>359</v>
      </c>
      <c r="E120" s="109">
        <v>30833</v>
      </c>
      <c r="F120" s="109">
        <v>86</v>
      </c>
      <c r="G120" s="109">
        <v>308</v>
      </c>
      <c r="H120" s="110">
        <v>308</v>
      </c>
    </row>
    <row r="121" spans="1:8" ht="15" customHeight="1">
      <c r="A121" s="103" t="s">
        <v>341</v>
      </c>
      <c r="B121" s="108" t="s">
        <v>342</v>
      </c>
      <c r="C121" s="109">
        <v>88686</v>
      </c>
      <c r="D121" s="109">
        <v>887</v>
      </c>
      <c r="E121" s="109">
        <v>96569</v>
      </c>
      <c r="F121" s="109">
        <v>109</v>
      </c>
      <c r="G121" s="109">
        <v>155</v>
      </c>
      <c r="H121" s="110">
        <v>86</v>
      </c>
    </row>
    <row r="122" spans="1:8" ht="15" customHeight="1">
      <c r="A122" s="103" t="s">
        <v>343</v>
      </c>
      <c r="B122" s="108" t="s">
        <v>344</v>
      </c>
      <c r="C122" s="109">
        <v>61823</v>
      </c>
      <c r="D122" s="109">
        <v>618</v>
      </c>
      <c r="E122" s="109">
        <v>49918</v>
      </c>
      <c r="F122" s="109">
        <v>81</v>
      </c>
      <c r="G122" s="109">
        <v>248</v>
      </c>
      <c r="H122" s="110">
        <v>242</v>
      </c>
    </row>
    <row r="123" spans="1:8" ht="15" customHeight="1">
      <c r="A123" s="103" t="s">
        <v>345</v>
      </c>
      <c r="B123" s="108" t="s">
        <v>346</v>
      </c>
      <c r="C123" s="109">
        <v>77275</v>
      </c>
      <c r="D123" s="109">
        <v>773</v>
      </c>
      <c r="E123" s="109">
        <v>49747</v>
      </c>
      <c r="F123" s="109">
        <v>64</v>
      </c>
      <c r="G123" s="109">
        <v>188</v>
      </c>
      <c r="H123" s="110">
        <v>244</v>
      </c>
    </row>
    <row r="124" spans="1:8" ht="15" customHeight="1">
      <c r="A124" s="103" t="s">
        <v>347</v>
      </c>
      <c r="B124" s="108" t="s">
        <v>348</v>
      </c>
      <c r="C124" s="109">
        <v>98817</v>
      </c>
      <c r="D124" s="109">
        <v>988</v>
      </c>
      <c r="E124" s="109">
        <v>78099</v>
      </c>
      <c r="F124" s="109">
        <v>79</v>
      </c>
      <c r="G124" s="109">
        <v>131</v>
      </c>
      <c r="H124" s="110">
        <v>135</v>
      </c>
    </row>
    <row r="125" spans="1:8" ht="15" customHeight="1">
      <c r="A125" s="103" t="s">
        <v>349</v>
      </c>
      <c r="B125" s="108" t="s">
        <v>350</v>
      </c>
      <c r="C125" s="109">
        <v>49976</v>
      </c>
      <c r="D125" s="109">
        <v>500</v>
      </c>
      <c r="E125" s="109">
        <v>72179</v>
      </c>
      <c r="F125" s="109">
        <v>144</v>
      </c>
      <c r="G125" s="109">
        <v>281</v>
      </c>
      <c r="H125" s="110">
        <v>157</v>
      </c>
    </row>
    <row r="126" spans="1:8" ht="15" customHeight="1">
      <c r="A126" s="103" t="s">
        <v>351</v>
      </c>
      <c r="B126" s="108" t="s">
        <v>352</v>
      </c>
      <c r="C126" s="109">
        <v>104019</v>
      </c>
      <c r="D126" s="109">
        <v>1040</v>
      </c>
      <c r="E126" s="109">
        <v>76106</v>
      </c>
      <c r="F126" s="109">
        <v>73</v>
      </c>
      <c r="G126" s="109">
        <v>114</v>
      </c>
      <c r="H126" s="110">
        <v>144</v>
      </c>
    </row>
    <row r="127" spans="1:8" ht="15" customHeight="1">
      <c r="A127" s="103" t="s">
        <v>353</v>
      </c>
      <c r="B127" s="108" t="s">
        <v>354</v>
      </c>
      <c r="C127" s="109">
        <v>49218</v>
      </c>
      <c r="D127" s="109">
        <v>492</v>
      </c>
      <c r="E127" s="109">
        <v>119291</v>
      </c>
      <c r="F127" s="109">
        <v>242</v>
      </c>
      <c r="G127" s="109">
        <v>283</v>
      </c>
      <c r="H127" s="110">
        <v>48</v>
      </c>
    </row>
    <row r="128" spans="1:8" ht="15" customHeight="1">
      <c r="A128" s="103" t="s">
        <v>355</v>
      </c>
      <c r="B128" s="108" t="s">
        <v>356</v>
      </c>
      <c r="C128" s="109">
        <v>80382</v>
      </c>
      <c r="D128" s="109">
        <v>804</v>
      </c>
      <c r="E128" s="109">
        <v>51220</v>
      </c>
      <c r="F128" s="109">
        <v>64</v>
      </c>
      <c r="G128" s="109">
        <v>179</v>
      </c>
      <c r="H128" s="110">
        <v>239</v>
      </c>
    </row>
    <row r="129" spans="1:8" ht="15" customHeight="1">
      <c r="A129" s="103" t="s">
        <v>357</v>
      </c>
      <c r="B129" s="108" t="s">
        <v>358</v>
      </c>
      <c r="C129" s="109">
        <v>142874</v>
      </c>
      <c r="D129" s="109">
        <v>1429</v>
      </c>
      <c r="E129" s="109">
        <v>91353</v>
      </c>
      <c r="F129" s="109">
        <v>64</v>
      </c>
      <c r="G129" s="109">
        <v>43</v>
      </c>
      <c r="H129" s="110">
        <v>96</v>
      </c>
    </row>
    <row r="130" spans="1:8" ht="15" customHeight="1">
      <c r="A130" s="103" t="s">
        <v>359</v>
      </c>
      <c r="B130" s="108" t="s">
        <v>360</v>
      </c>
      <c r="C130" s="109">
        <v>88121</v>
      </c>
      <c r="D130" s="109">
        <v>881</v>
      </c>
      <c r="E130" s="109">
        <v>41108</v>
      </c>
      <c r="F130" s="109">
        <v>47</v>
      </c>
      <c r="G130" s="109">
        <v>156</v>
      </c>
      <c r="H130" s="110">
        <v>279</v>
      </c>
    </row>
    <row r="131" spans="1:8" ht="15" customHeight="1">
      <c r="A131" s="103" t="s">
        <v>361</v>
      </c>
      <c r="B131" s="108" t="s">
        <v>362</v>
      </c>
      <c r="C131" s="109">
        <v>144257</v>
      </c>
      <c r="D131" s="109">
        <v>1443</v>
      </c>
      <c r="E131" s="109">
        <v>112644</v>
      </c>
      <c r="F131" s="109">
        <v>78</v>
      </c>
      <c r="G131" s="109">
        <v>42</v>
      </c>
      <c r="H131" s="110">
        <v>61</v>
      </c>
    </row>
    <row r="132" spans="1:8" ht="15" customHeight="1">
      <c r="A132" s="103" t="s">
        <v>363</v>
      </c>
      <c r="B132" s="108" t="s">
        <v>364</v>
      </c>
      <c r="C132" s="109">
        <v>64620</v>
      </c>
      <c r="D132" s="109">
        <v>646</v>
      </c>
      <c r="E132" s="109">
        <v>48592</v>
      </c>
      <c r="F132" s="109">
        <v>75</v>
      </c>
      <c r="G132" s="109">
        <v>236</v>
      </c>
      <c r="H132" s="110">
        <v>247</v>
      </c>
    </row>
    <row r="133" spans="1:8" ht="15" customHeight="1">
      <c r="A133" s="103" t="s">
        <v>365</v>
      </c>
      <c r="B133" s="108" t="s">
        <v>366</v>
      </c>
      <c r="C133" s="109">
        <v>149083</v>
      </c>
      <c r="D133" s="109">
        <v>1491</v>
      </c>
      <c r="E133" s="109">
        <v>117674</v>
      </c>
      <c r="F133" s="109">
        <v>79</v>
      </c>
      <c r="G133" s="109">
        <v>36</v>
      </c>
      <c r="H133" s="110">
        <v>53</v>
      </c>
    </row>
    <row r="134" spans="1:8" ht="15" customHeight="1">
      <c r="A134" s="103" t="s">
        <v>367</v>
      </c>
      <c r="B134" s="108" t="s">
        <v>368</v>
      </c>
      <c r="C134" s="109">
        <v>75338</v>
      </c>
      <c r="D134" s="109">
        <v>753</v>
      </c>
      <c r="E134" s="109">
        <v>38174</v>
      </c>
      <c r="F134" s="109">
        <v>51</v>
      </c>
      <c r="G134" s="109">
        <v>193</v>
      </c>
      <c r="H134" s="110">
        <v>291</v>
      </c>
    </row>
    <row r="135" spans="1:8" ht="15" customHeight="1">
      <c r="A135" s="103" t="s">
        <v>369</v>
      </c>
      <c r="B135" s="108" t="s">
        <v>296</v>
      </c>
      <c r="C135" s="109">
        <v>102479</v>
      </c>
      <c r="D135" s="109">
        <v>1025</v>
      </c>
      <c r="E135" s="109">
        <v>116519</v>
      </c>
      <c r="F135" s="109">
        <v>114</v>
      </c>
      <c r="G135" s="109">
        <v>120</v>
      </c>
      <c r="H135" s="110">
        <v>55</v>
      </c>
    </row>
    <row r="136" spans="1:8" ht="15" customHeight="1">
      <c r="A136" s="103" t="s">
        <v>370</v>
      </c>
      <c r="B136" s="108" t="s">
        <v>371</v>
      </c>
      <c r="C136" s="109">
        <v>92648</v>
      </c>
      <c r="D136" s="109">
        <v>926</v>
      </c>
      <c r="E136" s="109">
        <v>76256</v>
      </c>
      <c r="F136" s="109">
        <v>82</v>
      </c>
      <c r="G136" s="109">
        <v>148</v>
      </c>
      <c r="H136" s="110">
        <v>143</v>
      </c>
    </row>
    <row r="137" spans="1:8" ht="15" customHeight="1">
      <c r="A137" s="103" t="s">
        <v>372</v>
      </c>
      <c r="B137" s="108" t="s">
        <v>373</v>
      </c>
      <c r="C137" s="109">
        <v>57713</v>
      </c>
      <c r="D137" s="109">
        <v>577</v>
      </c>
      <c r="E137" s="109">
        <v>42105</v>
      </c>
      <c r="F137" s="109">
        <v>73</v>
      </c>
      <c r="G137" s="109">
        <v>263</v>
      </c>
      <c r="H137" s="110">
        <v>275</v>
      </c>
    </row>
    <row r="138" spans="1:8" ht="15" customHeight="1">
      <c r="A138" s="103" t="s">
        <v>374</v>
      </c>
      <c r="B138" s="108" t="s">
        <v>375</v>
      </c>
      <c r="C138" s="109">
        <v>36923</v>
      </c>
      <c r="D138" s="109">
        <v>369</v>
      </c>
      <c r="E138" s="109">
        <v>66380</v>
      </c>
      <c r="F138" s="109">
        <v>180</v>
      </c>
      <c r="G138" s="109">
        <v>305</v>
      </c>
      <c r="H138" s="110">
        <v>173</v>
      </c>
    </row>
    <row r="139" spans="1:8" ht="15" customHeight="1">
      <c r="A139" s="103" t="s">
        <v>376</v>
      </c>
      <c r="B139" s="108" t="s">
        <v>377</v>
      </c>
      <c r="C139" s="109">
        <v>85518</v>
      </c>
      <c r="D139" s="109">
        <v>855</v>
      </c>
      <c r="E139" s="109">
        <v>166113</v>
      </c>
      <c r="F139" s="109">
        <v>194</v>
      </c>
      <c r="G139" s="109">
        <v>162</v>
      </c>
      <c r="H139" s="110">
        <v>12</v>
      </c>
    </row>
    <row r="140" spans="1:8" ht="15" customHeight="1">
      <c r="A140" s="103" t="s">
        <v>120</v>
      </c>
      <c r="B140" s="118" t="s">
        <v>203</v>
      </c>
      <c r="C140" s="109"/>
      <c r="D140" s="109"/>
      <c r="E140" s="109"/>
      <c r="F140" s="109"/>
      <c r="G140" s="109"/>
      <c r="H140" s="110"/>
    </row>
    <row r="141" spans="1:8" ht="15" customHeight="1">
      <c r="A141" s="114" t="s">
        <v>120</v>
      </c>
      <c r="B141" s="115" t="s">
        <v>204</v>
      </c>
      <c r="C141" s="116"/>
      <c r="D141" s="116"/>
      <c r="E141" s="116"/>
      <c r="F141" s="116"/>
      <c r="G141" s="116"/>
      <c r="H141" s="117"/>
    </row>
    <row r="142" spans="1:8" ht="15" customHeight="1">
      <c r="A142" s="103" t="s">
        <v>378</v>
      </c>
      <c r="B142" s="108" t="s">
        <v>379</v>
      </c>
      <c r="C142" s="109">
        <v>29325</v>
      </c>
      <c r="D142" s="109">
        <v>293</v>
      </c>
      <c r="E142" s="109">
        <v>679941</v>
      </c>
      <c r="F142" s="109">
        <v>2319</v>
      </c>
      <c r="G142" s="109">
        <v>4</v>
      </c>
      <c r="H142" s="110">
        <v>3</v>
      </c>
    </row>
    <row r="143" spans="1:8" ht="15" customHeight="1">
      <c r="A143" s="103" t="s">
        <v>380</v>
      </c>
      <c r="B143" s="108" t="s">
        <v>381</v>
      </c>
      <c r="C143" s="109">
        <v>6724</v>
      </c>
      <c r="D143" s="109">
        <v>67</v>
      </c>
      <c r="E143" s="109">
        <v>73090</v>
      </c>
      <c r="F143" s="109">
        <v>1087</v>
      </c>
      <c r="G143" s="109">
        <v>44</v>
      </c>
      <c r="H143" s="110">
        <v>49</v>
      </c>
    </row>
    <row r="144" spans="1:8" ht="15" customHeight="1">
      <c r="A144" s="103" t="s">
        <v>382</v>
      </c>
      <c r="B144" s="108" t="s">
        <v>383</v>
      </c>
      <c r="C144" s="109">
        <v>3460</v>
      </c>
      <c r="D144" s="109">
        <v>35</v>
      </c>
      <c r="E144" s="109">
        <v>48089</v>
      </c>
      <c r="F144" s="109">
        <v>1390</v>
      </c>
      <c r="G144" s="109">
        <v>57</v>
      </c>
      <c r="H144" s="110">
        <v>62</v>
      </c>
    </row>
    <row r="145" spans="1:8" ht="15" customHeight="1">
      <c r="A145" s="269" t="s">
        <v>10</v>
      </c>
      <c r="B145" s="269"/>
      <c r="C145" s="269"/>
      <c r="D145" s="269"/>
      <c r="E145" s="269"/>
      <c r="F145" s="269"/>
      <c r="G145" s="269"/>
      <c r="H145" s="269"/>
    </row>
    <row r="146" spans="1:8" ht="15" customHeight="1">
      <c r="A146" s="103" t="s">
        <v>120</v>
      </c>
      <c r="B146" s="118" t="s">
        <v>384</v>
      </c>
      <c r="C146" s="109"/>
      <c r="D146" s="109"/>
      <c r="E146" s="109"/>
      <c r="F146" s="109"/>
      <c r="G146" s="109"/>
      <c r="H146" s="110"/>
    </row>
    <row r="147" spans="1:8" ht="15" customHeight="1">
      <c r="A147" s="114"/>
      <c r="B147" s="115" t="s">
        <v>215</v>
      </c>
      <c r="C147" s="116"/>
      <c r="D147" s="116"/>
      <c r="E147" s="116"/>
      <c r="F147" s="116"/>
      <c r="G147" s="116"/>
      <c r="H147" s="117"/>
    </row>
    <row r="148" spans="1:8" ht="15" customHeight="1">
      <c r="A148" s="103" t="s">
        <v>385</v>
      </c>
      <c r="B148" s="108" t="s">
        <v>386</v>
      </c>
      <c r="C148" s="109">
        <v>64856</v>
      </c>
      <c r="D148" s="109">
        <v>649</v>
      </c>
      <c r="E148" s="109">
        <v>106858</v>
      </c>
      <c r="F148" s="109">
        <v>165</v>
      </c>
      <c r="G148" s="109">
        <v>235</v>
      </c>
      <c r="H148" s="110">
        <v>73</v>
      </c>
    </row>
    <row r="149" spans="1:8" ht="15" customHeight="1">
      <c r="A149" s="103" t="s">
        <v>387</v>
      </c>
      <c r="B149" s="108" t="s">
        <v>388</v>
      </c>
      <c r="C149" s="109">
        <v>59052</v>
      </c>
      <c r="D149" s="109">
        <v>591</v>
      </c>
      <c r="E149" s="109">
        <v>93201</v>
      </c>
      <c r="F149" s="109">
        <v>158</v>
      </c>
      <c r="G149" s="109">
        <v>257</v>
      </c>
      <c r="H149" s="110">
        <v>92</v>
      </c>
    </row>
    <row r="150" spans="1:8" ht="15" customHeight="1">
      <c r="A150" s="103" t="s">
        <v>389</v>
      </c>
      <c r="B150" s="108" t="s">
        <v>390</v>
      </c>
      <c r="C150" s="109">
        <v>37012</v>
      </c>
      <c r="D150" s="109">
        <v>370</v>
      </c>
      <c r="E150" s="109">
        <v>124536</v>
      </c>
      <c r="F150" s="109">
        <v>336</v>
      </c>
      <c r="G150" s="109">
        <v>304</v>
      </c>
      <c r="H150" s="110">
        <v>43</v>
      </c>
    </row>
    <row r="151" spans="1:8" ht="15" customHeight="1">
      <c r="A151" s="103" t="s">
        <v>391</v>
      </c>
      <c r="B151" s="108" t="s">
        <v>392</v>
      </c>
      <c r="C151" s="109">
        <v>53025</v>
      </c>
      <c r="D151" s="109">
        <v>530</v>
      </c>
      <c r="E151" s="109">
        <v>59174</v>
      </c>
      <c r="F151" s="109">
        <v>112</v>
      </c>
      <c r="G151" s="109">
        <v>274</v>
      </c>
      <c r="H151" s="110">
        <v>200</v>
      </c>
    </row>
    <row r="152" spans="1:8" ht="15" customHeight="1">
      <c r="A152" s="103" t="s">
        <v>393</v>
      </c>
      <c r="B152" s="108" t="s">
        <v>394</v>
      </c>
      <c r="C152" s="109">
        <v>96646</v>
      </c>
      <c r="D152" s="109">
        <v>966</v>
      </c>
      <c r="E152" s="109">
        <v>108886</v>
      </c>
      <c r="F152" s="109">
        <v>113</v>
      </c>
      <c r="G152" s="109">
        <v>137</v>
      </c>
      <c r="H152" s="110">
        <v>69</v>
      </c>
    </row>
    <row r="153" spans="1:8" ht="15" customHeight="1">
      <c r="A153" s="103" t="s">
        <v>395</v>
      </c>
      <c r="B153" s="108" t="s">
        <v>396</v>
      </c>
      <c r="C153" s="109">
        <v>123052</v>
      </c>
      <c r="D153" s="109">
        <v>1231</v>
      </c>
      <c r="E153" s="109">
        <v>279239</v>
      </c>
      <c r="F153" s="109">
        <v>227</v>
      </c>
      <c r="G153" s="109">
        <v>76</v>
      </c>
      <c r="H153" s="110">
        <v>2</v>
      </c>
    </row>
    <row r="154" spans="1:8" ht="15" customHeight="1">
      <c r="A154" s="103" t="s">
        <v>397</v>
      </c>
      <c r="B154" s="108" t="s">
        <v>398</v>
      </c>
      <c r="C154" s="109">
        <v>95123</v>
      </c>
      <c r="D154" s="109">
        <v>951</v>
      </c>
      <c r="E154" s="109">
        <v>131764</v>
      </c>
      <c r="F154" s="109">
        <v>139</v>
      </c>
      <c r="G154" s="109">
        <v>143</v>
      </c>
      <c r="H154" s="110">
        <v>37</v>
      </c>
    </row>
    <row r="155" spans="1:8" ht="15" customHeight="1">
      <c r="A155" s="103" t="s">
        <v>399</v>
      </c>
      <c r="B155" s="108" t="s">
        <v>400</v>
      </c>
      <c r="C155" s="109">
        <v>67629</v>
      </c>
      <c r="D155" s="109">
        <v>676</v>
      </c>
      <c r="E155" s="109">
        <v>48818</v>
      </c>
      <c r="F155" s="109">
        <v>72</v>
      </c>
      <c r="G155" s="109">
        <v>226</v>
      </c>
      <c r="H155" s="110">
        <v>246</v>
      </c>
    </row>
    <row r="156" spans="1:8" ht="15" customHeight="1">
      <c r="A156" s="103" t="s">
        <v>401</v>
      </c>
      <c r="B156" s="108" t="s">
        <v>402</v>
      </c>
      <c r="C156" s="109">
        <v>67308</v>
      </c>
      <c r="D156" s="109">
        <v>673</v>
      </c>
      <c r="E156" s="109">
        <v>127600</v>
      </c>
      <c r="F156" s="109">
        <v>190</v>
      </c>
      <c r="G156" s="109">
        <v>231</v>
      </c>
      <c r="H156" s="110">
        <v>41</v>
      </c>
    </row>
    <row r="157" spans="1:8" ht="15" customHeight="1">
      <c r="A157" s="103" t="s">
        <v>403</v>
      </c>
      <c r="B157" s="108" t="s">
        <v>404</v>
      </c>
      <c r="C157" s="109">
        <v>154980</v>
      </c>
      <c r="D157" s="109">
        <v>1549</v>
      </c>
      <c r="E157" s="109">
        <v>216796</v>
      </c>
      <c r="F157" s="109">
        <v>140</v>
      </c>
      <c r="G157" s="109">
        <v>31</v>
      </c>
      <c r="H157" s="110">
        <v>5</v>
      </c>
    </row>
    <row r="158" spans="1:8" ht="15" customHeight="1">
      <c r="A158" s="103" t="s">
        <v>405</v>
      </c>
      <c r="B158" s="108" t="s">
        <v>406</v>
      </c>
      <c r="C158" s="109">
        <v>147499</v>
      </c>
      <c r="D158" s="109">
        <v>1474</v>
      </c>
      <c r="E158" s="109">
        <v>191782</v>
      </c>
      <c r="F158" s="109">
        <v>130</v>
      </c>
      <c r="G158" s="109">
        <v>38</v>
      </c>
      <c r="H158" s="110">
        <v>8</v>
      </c>
    </row>
    <row r="159" spans="1:8" ht="15" customHeight="1">
      <c r="A159" s="103" t="s">
        <v>407</v>
      </c>
      <c r="B159" s="108" t="s">
        <v>408</v>
      </c>
      <c r="C159" s="109">
        <v>61811</v>
      </c>
      <c r="D159" s="109">
        <v>618</v>
      </c>
      <c r="E159" s="109">
        <v>111217</v>
      </c>
      <c r="F159" s="109">
        <v>180</v>
      </c>
      <c r="G159" s="109">
        <v>249</v>
      </c>
      <c r="H159" s="110">
        <v>64</v>
      </c>
    </row>
    <row r="160" spans="1:8" ht="15" customHeight="1">
      <c r="A160" s="103" t="s">
        <v>409</v>
      </c>
      <c r="B160" s="108" t="s">
        <v>410</v>
      </c>
      <c r="C160" s="109">
        <v>40558</v>
      </c>
      <c r="D160" s="109">
        <v>406</v>
      </c>
      <c r="E160" s="109">
        <v>153486</v>
      </c>
      <c r="F160" s="109">
        <v>378</v>
      </c>
      <c r="G160" s="109">
        <v>300</v>
      </c>
      <c r="H160" s="110">
        <v>23</v>
      </c>
    </row>
    <row r="161" spans="1:8" ht="15" customHeight="1">
      <c r="A161" s="103" t="s">
        <v>411</v>
      </c>
      <c r="B161" s="108" t="s">
        <v>412</v>
      </c>
      <c r="C161" s="109">
        <v>41487</v>
      </c>
      <c r="D161" s="109">
        <v>415</v>
      </c>
      <c r="E161" s="109">
        <v>43222</v>
      </c>
      <c r="F161" s="109">
        <v>104</v>
      </c>
      <c r="G161" s="109">
        <v>298</v>
      </c>
      <c r="H161" s="110">
        <v>272</v>
      </c>
    </row>
    <row r="162" spans="1:8" ht="15" customHeight="1">
      <c r="A162" s="103" t="s">
        <v>413</v>
      </c>
      <c r="B162" s="108" t="s">
        <v>414</v>
      </c>
      <c r="C162" s="109">
        <v>68571</v>
      </c>
      <c r="D162" s="109">
        <v>686</v>
      </c>
      <c r="E162" s="109">
        <v>84232</v>
      </c>
      <c r="F162" s="109">
        <v>123</v>
      </c>
      <c r="G162" s="109">
        <v>223</v>
      </c>
      <c r="H162" s="110">
        <v>116</v>
      </c>
    </row>
    <row r="163" spans="1:8" ht="15" customHeight="1">
      <c r="A163" s="103" t="s">
        <v>415</v>
      </c>
      <c r="B163" s="108" t="s">
        <v>416</v>
      </c>
      <c r="C163" s="109">
        <v>141158</v>
      </c>
      <c r="D163" s="109">
        <v>1412</v>
      </c>
      <c r="E163" s="109">
        <v>201497</v>
      </c>
      <c r="F163" s="109">
        <v>143</v>
      </c>
      <c r="G163" s="109">
        <v>46</v>
      </c>
      <c r="H163" s="110">
        <v>7</v>
      </c>
    </row>
    <row r="164" spans="1:8" ht="15" customHeight="1">
      <c r="A164" s="103" t="s">
        <v>417</v>
      </c>
      <c r="B164" s="108" t="s">
        <v>418</v>
      </c>
      <c r="C164" s="109">
        <v>47165</v>
      </c>
      <c r="D164" s="109">
        <v>472</v>
      </c>
      <c r="E164" s="109">
        <v>68072</v>
      </c>
      <c r="F164" s="109">
        <v>144</v>
      </c>
      <c r="G164" s="109">
        <v>287</v>
      </c>
      <c r="H164" s="110">
        <v>169</v>
      </c>
    </row>
    <row r="165" spans="1:8" ht="15" customHeight="1">
      <c r="A165" s="103" t="s">
        <v>419</v>
      </c>
      <c r="B165" s="108" t="s">
        <v>420</v>
      </c>
      <c r="C165" s="109">
        <v>64588</v>
      </c>
      <c r="D165" s="109">
        <v>646</v>
      </c>
      <c r="E165" s="109">
        <v>160006</v>
      </c>
      <c r="F165" s="109">
        <v>248</v>
      </c>
      <c r="G165" s="109">
        <v>237</v>
      </c>
      <c r="H165" s="110">
        <v>16</v>
      </c>
    </row>
    <row r="166" spans="1:8" ht="15" customHeight="1">
      <c r="A166" s="103" t="s">
        <v>421</v>
      </c>
      <c r="B166" s="108" t="s">
        <v>422</v>
      </c>
      <c r="C166" s="109">
        <v>41078</v>
      </c>
      <c r="D166" s="109">
        <v>411</v>
      </c>
      <c r="E166" s="109">
        <v>129136</v>
      </c>
      <c r="F166" s="109">
        <v>314</v>
      </c>
      <c r="G166" s="109">
        <v>299</v>
      </c>
      <c r="H166" s="110">
        <v>39</v>
      </c>
    </row>
    <row r="167" spans="1:8" ht="15" customHeight="1">
      <c r="A167" s="103" t="s">
        <v>120</v>
      </c>
      <c r="B167" s="118" t="s">
        <v>203</v>
      </c>
      <c r="C167" s="109"/>
      <c r="D167" s="109"/>
      <c r="E167" s="109"/>
      <c r="F167" s="109"/>
      <c r="G167" s="109"/>
      <c r="H167" s="110"/>
    </row>
    <row r="168" spans="1:8" ht="15" customHeight="1">
      <c r="A168" s="114" t="s">
        <v>120</v>
      </c>
      <c r="B168" s="115" t="s">
        <v>204</v>
      </c>
      <c r="C168" s="116"/>
      <c r="D168" s="116"/>
      <c r="E168" s="116"/>
      <c r="F168" s="116"/>
      <c r="G168" s="116"/>
      <c r="H168" s="117"/>
    </row>
    <row r="169" spans="1:8" ht="15" customHeight="1">
      <c r="A169" s="103" t="s">
        <v>423</v>
      </c>
      <c r="B169" s="108" t="s">
        <v>424</v>
      </c>
      <c r="C169" s="109">
        <v>32685</v>
      </c>
      <c r="D169" s="109">
        <v>327</v>
      </c>
      <c r="E169" s="109">
        <v>779115</v>
      </c>
      <c r="F169" s="109">
        <v>2384</v>
      </c>
      <c r="G169" s="109">
        <v>2</v>
      </c>
      <c r="H169" s="110">
        <v>2</v>
      </c>
    </row>
    <row r="170" spans="1:8" ht="15" customHeight="1">
      <c r="A170" s="103" t="s">
        <v>425</v>
      </c>
      <c r="B170" s="108" t="s">
        <v>426</v>
      </c>
      <c r="C170" s="109">
        <v>5758</v>
      </c>
      <c r="D170" s="109">
        <v>58</v>
      </c>
      <c r="E170" s="109">
        <v>83794</v>
      </c>
      <c r="F170" s="109">
        <v>1455</v>
      </c>
      <c r="G170" s="109">
        <v>49</v>
      </c>
      <c r="H170" s="110">
        <v>44</v>
      </c>
    </row>
    <row r="171" spans="1:8" ht="15" customHeight="1">
      <c r="A171" s="103" t="s">
        <v>427</v>
      </c>
      <c r="B171" s="108" t="s">
        <v>428</v>
      </c>
      <c r="C171" s="109">
        <v>7238</v>
      </c>
      <c r="D171" s="109">
        <v>72</v>
      </c>
      <c r="E171" s="109">
        <v>108470</v>
      </c>
      <c r="F171" s="109">
        <v>1499</v>
      </c>
      <c r="G171" s="109">
        <v>41</v>
      </c>
      <c r="H171" s="110">
        <v>35</v>
      </c>
    </row>
    <row r="172" spans="1:8" ht="15" customHeight="1">
      <c r="A172" s="269" t="s">
        <v>11</v>
      </c>
      <c r="B172" s="269"/>
      <c r="C172" s="269"/>
      <c r="D172" s="269"/>
      <c r="E172" s="269"/>
      <c r="F172" s="269"/>
      <c r="G172" s="269"/>
      <c r="H172" s="269"/>
    </row>
    <row r="173" spans="1:8" ht="15" customHeight="1">
      <c r="A173" s="103" t="s">
        <v>120</v>
      </c>
      <c r="B173" s="118" t="s">
        <v>214</v>
      </c>
      <c r="C173" s="109"/>
      <c r="D173" s="109"/>
      <c r="E173" s="109"/>
      <c r="F173" s="109"/>
      <c r="G173" s="109"/>
      <c r="H173" s="110"/>
    </row>
    <row r="174" spans="1:8" ht="15" customHeight="1">
      <c r="A174" s="114"/>
      <c r="B174" s="115" t="s">
        <v>215</v>
      </c>
      <c r="C174" s="116"/>
      <c r="D174" s="116"/>
      <c r="E174" s="116"/>
      <c r="F174" s="116"/>
      <c r="G174" s="116"/>
      <c r="H174" s="117"/>
    </row>
    <row r="175" spans="1:8" ht="15" customHeight="1">
      <c r="A175" s="103" t="s">
        <v>429</v>
      </c>
      <c r="B175" s="108" t="s">
        <v>430</v>
      </c>
      <c r="C175" s="109">
        <v>63910</v>
      </c>
      <c r="D175" s="109">
        <v>639</v>
      </c>
      <c r="E175" s="109">
        <v>33410</v>
      </c>
      <c r="F175" s="109">
        <v>52</v>
      </c>
      <c r="G175" s="109">
        <v>240</v>
      </c>
      <c r="H175" s="110">
        <v>306</v>
      </c>
    </row>
    <row r="176" spans="1:8" ht="15" customHeight="1">
      <c r="A176" s="103" t="s">
        <v>431</v>
      </c>
      <c r="B176" s="108" t="s">
        <v>432</v>
      </c>
      <c r="C176" s="109">
        <v>105980</v>
      </c>
      <c r="D176" s="109">
        <v>1060</v>
      </c>
      <c r="E176" s="109">
        <v>89423</v>
      </c>
      <c r="F176" s="109">
        <v>84</v>
      </c>
      <c r="G176" s="109">
        <v>111</v>
      </c>
      <c r="H176" s="110">
        <v>100</v>
      </c>
    </row>
    <row r="177" spans="1:8" ht="15" customHeight="1">
      <c r="A177" s="103" t="s">
        <v>433</v>
      </c>
      <c r="B177" s="108" t="s">
        <v>434</v>
      </c>
      <c r="C177" s="109">
        <v>128483</v>
      </c>
      <c r="D177" s="109">
        <v>1285</v>
      </c>
      <c r="E177" s="109">
        <v>108981</v>
      </c>
      <c r="F177" s="109">
        <v>85</v>
      </c>
      <c r="G177" s="109">
        <v>68</v>
      </c>
      <c r="H177" s="110">
        <v>67</v>
      </c>
    </row>
    <row r="178" spans="1:8" ht="15" customHeight="1">
      <c r="A178" s="103" t="s">
        <v>435</v>
      </c>
      <c r="B178" s="108" t="s">
        <v>436</v>
      </c>
      <c r="C178" s="109">
        <v>61481</v>
      </c>
      <c r="D178" s="109">
        <v>615</v>
      </c>
      <c r="E178" s="109">
        <v>44899</v>
      </c>
      <c r="F178" s="109">
        <v>73</v>
      </c>
      <c r="G178" s="109">
        <v>252</v>
      </c>
      <c r="H178" s="110">
        <v>263</v>
      </c>
    </row>
    <row r="179" spans="1:8" ht="15" customHeight="1">
      <c r="A179" s="103" t="s">
        <v>437</v>
      </c>
      <c r="B179" s="108" t="s">
        <v>438</v>
      </c>
      <c r="C179" s="109">
        <v>36704</v>
      </c>
      <c r="D179" s="109">
        <v>367</v>
      </c>
      <c r="E179" s="109">
        <v>95963</v>
      </c>
      <c r="F179" s="109">
        <v>261</v>
      </c>
      <c r="G179" s="109">
        <v>306</v>
      </c>
      <c r="H179" s="110">
        <v>88</v>
      </c>
    </row>
    <row r="180" spans="1:8" ht="15" customHeight="1">
      <c r="A180" s="103" t="s">
        <v>439</v>
      </c>
      <c r="B180" s="108" t="s">
        <v>440</v>
      </c>
      <c r="C180" s="109">
        <v>126773</v>
      </c>
      <c r="D180" s="109">
        <v>1268</v>
      </c>
      <c r="E180" s="109">
        <v>98311</v>
      </c>
      <c r="F180" s="109">
        <v>78</v>
      </c>
      <c r="G180" s="109">
        <v>71</v>
      </c>
      <c r="H180" s="110">
        <v>84</v>
      </c>
    </row>
    <row r="181" spans="1:8" ht="15" customHeight="1">
      <c r="A181" s="103" t="s">
        <v>441</v>
      </c>
      <c r="B181" s="108" t="s">
        <v>442</v>
      </c>
      <c r="C181" s="109">
        <v>91610</v>
      </c>
      <c r="D181" s="109">
        <v>916</v>
      </c>
      <c r="E181" s="109">
        <v>59997</v>
      </c>
      <c r="F181" s="109">
        <v>65</v>
      </c>
      <c r="G181" s="109">
        <v>151</v>
      </c>
      <c r="H181" s="110">
        <v>196</v>
      </c>
    </row>
    <row r="182" spans="1:8" ht="15" customHeight="1">
      <c r="A182" s="103" t="s">
        <v>443</v>
      </c>
      <c r="B182" s="108" t="s">
        <v>444</v>
      </c>
      <c r="C182" s="109">
        <v>39076</v>
      </c>
      <c r="D182" s="109">
        <v>391</v>
      </c>
      <c r="E182" s="109">
        <v>118585</v>
      </c>
      <c r="F182" s="109">
        <v>303</v>
      </c>
      <c r="G182" s="109">
        <v>303</v>
      </c>
      <c r="H182" s="110">
        <v>51</v>
      </c>
    </row>
    <row r="183" spans="1:8" ht="15" customHeight="1">
      <c r="A183" s="103" t="s">
        <v>445</v>
      </c>
      <c r="B183" s="108" t="s">
        <v>446</v>
      </c>
      <c r="C183" s="109">
        <v>74022</v>
      </c>
      <c r="D183" s="109">
        <v>740</v>
      </c>
      <c r="E183" s="109">
        <v>33874</v>
      </c>
      <c r="F183" s="109">
        <v>46</v>
      </c>
      <c r="G183" s="109">
        <v>198</v>
      </c>
      <c r="H183" s="110">
        <v>304</v>
      </c>
    </row>
    <row r="184" spans="1:8" ht="15" customHeight="1">
      <c r="A184" s="103" t="s">
        <v>447</v>
      </c>
      <c r="B184" s="108" t="s">
        <v>448</v>
      </c>
      <c r="C184" s="109">
        <v>77245</v>
      </c>
      <c r="D184" s="109">
        <v>772</v>
      </c>
      <c r="E184" s="109">
        <v>30774</v>
      </c>
      <c r="F184" s="109">
        <v>40</v>
      </c>
      <c r="G184" s="109">
        <v>190</v>
      </c>
      <c r="H184" s="110">
        <v>309</v>
      </c>
    </row>
    <row r="185" spans="1:8" ht="15" customHeight="1">
      <c r="A185" s="103" t="s">
        <v>449</v>
      </c>
      <c r="B185" s="108" t="s">
        <v>450</v>
      </c>
      <c r="C185" s="109">
        <v>106463</v>
      </c>
      <c r="D185" s="109">
        <v>1065</v>
      </c>
      <c r="E185" s="109">
        <v>44892</v>
      </c>
      <c r="F185" s="109">
        <v>42</v>
      </c>
      <c r="G185" s="109">
        <v>110</v>
      </c>
      <c r="H185" s="110">
        <v>264</v>
      </c>
    </row>
    <row r="186" spans="1:8" ht="15" customHeight="1">
      <c r="A186" s="103" t="s">
        <v>451</v>
      </c>
      <c r="B186" s="108" t="s">
        <v>452</v>
      </c>
      <c r="C186" s="109">
        <v>116372</v>
      </c>
      <c r="D186" s="109">
        <v>1164</v>
      </c>
      <c r="E186" s="109">
        <v>154526</v>
      </c>
      <c r="F186" s="109">
        <v>133</v>
      </c>
      <c r="G186" s="109">
        <v>91</v>
      </c>
      <c r="H186" s="110">
        <v>22</v>
      </c>
    </row>
    <row r="187" spans="1:8" ht="15" customHeight="1">
      <c r="A187" s="103" t="s">
        <v>453</v>
      </c>
      <c r="B187" s="108" t="s">
        <v>454</v>
      </c>
      <c r="C187" s="109">
        <v>118182</v>
      </c>
      <c r="D187" s="109">
        <v>1182</v>
      </c>
      <c r="E187" s="109">
        <v>72626</v>
      </c>
      <c r="F187" s="109">
        <v>61</v>
      </c>
      <c r="G187" s="109">
        <v>88</v>
      </c>
      <c r="H187" s="110">
        <v>155</v>
      </c>
    </row>
    <row r="188" spans="1:8" ht="15" customHeight="1">
      <c r="A188" s="103" t="s">
        <v>455</v>
      </c>
      <c r="B188" s="108" t="s">
        <v>456</v>
      </c>
      <c r="C188" s="109">
        <v>69479</v>
      </c>
      <c r="D188" s="109">
        <v>695</v>
      </c>
      <c r="E188" s="109">
        <v>79378</v>
      </c>
      <c r="F188" s="109">
        <v>114</v>
      </c>
      <c r="G188" s="109">
        <v>220</v>
      </c>
      <c r="H188" s="110">
        <v>128</v>
      </c>
    </row>
    <row r="189" spans="1:8" ht="15" customHeight="1">
      <c r="A189" s="103" t="s">
        <v>457</v>
      </c>
      <c r="B189" s="108" t="s">
        <v>458</v>
      </c>
      <c r="C189" s="109">
        <v>209355</v>
      </c>
      <c r="D189" s="109">
        <v>2093</v>
      </c>
      <c r="E189" s="109">
        <v>88654</v>
      </c>
      <c r="F189" s="109">
        <v>42</v>
      </c>
      <c r="G189" s="109">
        <v>7</v>
      </c>
      <c r="H189" s="110">
        <v>103</v>
      </c>
    </row>
    <row r="190" spans="1:8" ht="15" customHeight="1">
      <c r="A190" s="103" t="s">
        <v>459</v>
      </c>
      <c r="B190" s="108" t="s">
        <v>460</v>
      </c>
      <c r="C190" s="109">
        <v>121779</v>
      </c>
      <c r="D190" s="109">
        <v>1218</v>
      </c>
      <c r="E190" s="109">
        <v>72328</v>
      </c>
      <c r="F190" s="109">
        <v>59</v>
      </c>
      <c r="G190" s="109">
        <v>82</v>
      </c>
      <c r="H190" s="110">
        <v>156</v>
      </c>
    </row>
    <row r="191" spans="1:8" ht="15" customHeight="1">
      <c r="A191" s="103" t="s">
        <v>461</v>
      </c>
      <c r="B191" s="108" t="s">
        <v>462</v>
      </c>
      <c r="C191" s="109">
        <v>61592</v>
      </c>
      <c r="D191" s="109">
        <v>616</v>
      </c>
      <c r="E191" s="109">
        <v>124352</v>
      </c>
      <c r="F191" s="109">
        <v>202</v>
      </c>
      <c r="G191" s="109">
        <v>251</v>
      </c>
      <c r="H191" s="110">
        <v>44</v>
      </c>
    </row>
    <row r="192" spans="1:8" ht="15" customHeight="1">
      <c r="A192" s="103" t="s">
        <v>463</v>
      </c>
      <c r="B192" s="108" t="s">
        <v>464</v>
      </c>
      <c r="C192" s="109">
        <v>62100</v>
      </c>
      <c r="D192" s="109">
        <v>621</v>
      </c>
      <c r="E192" s="109">
        <v>188281</v>
      </c>
      <c r="F192" s="109">
        <v>303</v>
      </c>
      <c r="G192" s="109">
        <v>247</v>
      </c>
      <c r="H192" s="110">
        <v>9</v>
      </c>
    </row>
    <row r="193" spans="1:8" ht="15" customHeight="1">
      <c r="A193" s="103" t="s">
        <v>465</v>
      </c>
      <c r="B193" s="108" t="s">
        <v>466</v>
      </c>
      <c r="C193" s="109">
        <v>179663</v>
      </c>
      <c r="D193" s="109">
        <v>1796</v>
      </c>
      <c r="E193" s="109">
        <v>110952</v>
      </c>
      <c r="F193" s="109">
        <v>62</v>
      </c>
      <c r="G193" s="109">
        <v>15</v>
      </c>
      <c r="H193" s="110">
        <v>65</v>
      </c>
    </row>
    <row r="194" spans="1:8" ht="15" customHeight="1">
      <c r="A194" s="103" t="s">
        <v>467</v>
      </c>
      <c r="B194" s="108" t="s">
        <v>468</v>
      </c>
      <c r="C194" s="109">
        <v>137979</v>
      </c>
      <c r="D194" s="109">
        <v>1380</v>
      </c>
      <c r="E194" s="109">
        <v>87054</v>
      </c>
      <c r="F194" s="109">
        <v>63</v>
      </c>
      <c r="G194" s="109">
        <v>55</v>
      </c>
      <c r="H194" s="110">
        <v>105</v>
      </c>
    </row>
    <row r="195" spans="1:8" ht="15" customHeight="1">
      <c r="A195" s="103" t="s">
        <v>469</v>
      </c>
      <c r="B195" s="108" t="s">
        <v>470</v>
      </c>
      <c r="C195" s="109">
        <v>24630</v>
      </c>
      <c r="D195" s="109">
        <v>246</v>
      </c>
      <c r="E195" s="109">
        <v>165912</v>
      </c>
      <c r="F195" s="109">
        <v>674</v>
      </c>
      <c r="G195" s="109">
        <v>310</v>
      </c>
      <c r="H195" s="110">
        <v>14</v>
      </c>
    </row>
    <row r="196" spans="1:8" ht="15" customHeight="1">
      <c r="A196" s="103" t="s">
        <v>471</v>
      </c>
      <c r="B196" s="108" t="s">
        <v>472</v>
      </c>
      <c r="C196" s="109">
        <v>121862</v>
      </c>
      <c r="D196" s="109">
        <v>1219</v>
      </c>
      <c r="E196" s="109">
        <v>52511</v>
      </c>
      <c r="F196" s="109">
        <v>43</v>
      </c>
      <c r="G196" s="109">
        <v>81</v>
      </c>
      <c r="H196" s="110">
        <v>233</v>
      </c>
    </row>
    <row r="197" spans="1:8" ht="15" customHeight="1">
      <c r="A197" s="103" t="s">
        <v>473</v>
      </c>
      <c r="B197" s="108" t="s">
        <v>474</v>
      </c>
      <c r="C197" s="109">
        <v>80119</v>
      </c>
      <c r="D197" s="109">
        <v>801</v>
      </c>
      <c r="E197" s="109">
        <v>41455</v>
      </c>
      <c r="F197" s="109">
        <v>52</v>
      </c>
      <c r="G197" s="109">
        <v>181</v>
      </c>
      <c r="H197" s="110">
        <v>276</v>
      </c>
    </row>
    <row r="198" spans="1:8" ht="15" customHeight="1">
      <c r="A198" s="103" t="s">
        <v>475</v>
      </c>
      <c r="B198" s="108" t="s">
        <v>476</v>
      </c>
      <c r="C198" s="109">
        <v>82742</v>
      </c>
      <c r="D198" s="109">
        <v>827</v>
      </c>
      <c r="E198" s="109">
        <v>51824</v>
      </c>
      <c r="F198" s="109">
        <v>63</v>
      </c>
      <c r="G198" s="109">
        <v>173</v>
      </c>
      <c r="H198" s="110">
        <v>238</v>
      </c>
    </row>
    <row r="199" spans="1:8" ht="15" customHeight="1">
      <c r="A199" s="103" t="s">
        <v>477</v>
      </c>
      <c r="B199" s="108" t="s">
        <v>478</v>
      </c>
      <c r="C199" s="109">
        <v>152978</v>
      </c>
      <c r="D199" s="109">
        <v>1530</v>
      </c>
      <c r="E199" s="109">
        <v>152291</v>
      </c>
      <c r="F199" s="109">
        <v>100</v>
      </c>
      <c r="G199" s="109">
        <v>33</v>
      </c>
      <c r="H199" s="110">
        <v>25</v>
      </c>
    </row>
    <row r="200" spans="1:8" ht="15" customHeight="1">
      <c r="A200" s="103" t="s">
        <v>479</v>
      </c>
      <c r="B200" s="108" t="s">
        <v>480</v>
      </c>
      <c r="C200" s="109">
        <v>160348</v>
      </c>
      <c r="D200" s="109">
        <v>1603</v>
      </c>
      <c r="E200" s="109">
        <v>81362</v>
      </c>
      <c r="F200" s="109">
        <v>51</v>
      </c>
      <c r="G200" s="109">
        <v>28</v>
      </c>
      <c r="H200" s="110">
        <v>123</v>
      </c>
    </row>
    <row r="201" spans="1:8" ht="15" customHeight="1">
      <c r="A201" s="103" t="s">
        <v>481</v>
      </c>
      <c r="B201" s="108" t="s">
        <v>482</v>
      </c>
      <c r="C201" s="109">
        <v>85204</v>
      </c>
      <c r="D201" s="109">
        <v>852</v>
      </c>
      <c r="E201" s="109">
        <v>51954</v>
      </c>
      <c r="F201" s="109">
        <v>61</v>
      </c>
      <c r="G201" s="109">
        <v>164</v>
      </c>
      <c r="H201" s="110">
        <v>235</v>
      </c>
    </row>
    <row r="202" spans="1:8" ht="15" customHeight="1">
      <c r="A202" s="103" t="s">
        <v>483</v>
      </c>
      <c r="B202" s="108" t="s">
        <v>484</v>
      </c>
      <c r="C202" s="109">
        <v>73480</v>
      </c>
      <c r="D202" s="109">
        <v>735</v>
      </c>
      <c r="E202" s="109">
        <v>85045</v>
      </c>
      <c r="F202" s="109">
        <v>116</v>
      </c>
      <c r="G202" s="109">
        <v>201</v>
      </c>
      <c r="H202" s="110">
        <v>114</v>
      </c>
    </row>
    <row r="203" spans="1:8" ht="15" customHeight="1">
      <c r="A203" s="103" t="s">
        <v>485</v>
      </c>
      <c r="B203" s="108" t="s">
        <v>486</v>
      </c>
      <c r="C203" s="109">
        <v>113117</v>
      </c>
      <c r="D203" s="109">
        <v>1131</v>
      </c>
      <c r="E203" s="109">
        <v>53804</v>
      </c>
      <c r="F203" s="109">
        <v>48</v>
      </c>
      <c r="G203" s="109">
        <v>99</v>
      </c>
      <c r="H203" s="110">
        <v>230</v>
      </c>
    </row>
    <row r="204" spans="1:8" ht="15" customHeight="1">
      <c r="A204" s="103" t="s">
        <v>487</v>
      </c>
      <c r="B204" s="108" t="s">
        <v>488</v>
      </c>
      <c r="C204" s="109">
        <v>45181</v>
      </c>
      <c r="D204" s="109">
        <v>452</v>
      </c>
      <c r="E204" s="109">
        <v>39672</v>
      </c>
      <c r="F204" s="109">
        <v>88</v>
      </c>
      <c r="G204" s="109">
        <v>292</v>
      </c>
      <c r="H204" s="110">
        <v>285</v>
      </c>
    </row>
    <row r="205" spans="1:8" ht="15" customHeight="1">
      <c r="A205" s="103" t="s">
        <v>489</v>
      </c>
      <c r="B205" s="108" t="s">
        <v>490</v>
      </c>
      <c r="C205" s="109">
        <v>53379</v>
      </c>
      <c r="D205" s="109">
        <v>534</v>
      </c>
      <c r="E205" s="109">
        <v>118613</v>
      </c>
      <c r="F205" s="109">
        <v>222</v>
      </c>
      <c r="G205" s="109">
        <v>272</v>
      </c>
      <c r="H205" s="110">
        <v>50</v>
      </c>
    </row>
    <row r="206" spans="1:8" ht="15" customHeight="1">
      <c r="A206" s="103" t="s">
        <v>491</v>
      </c>
      <c r="B206" s="108" t="s">
        <v>492</v>
      </c>
      <c r="C206" s="109">
        <v>122076</v>
      </c>
      <c r="D206" s="109">
        <v>1221</v>
      </c>
      <c r="E206" s="109">
        <v>65822</v>
      </c>
      <c r="F206" s="109">
        <v>54</v>
      </c>
      <c r="G206" s="109">
        <v>80</v>
      </c>
      <c r="H206" s="110">
        <v>175</v>
      </c>
    </row>
    <row r="207" spans="1:8" ht="15" customHeight="1">
      <c r="A207" s="103" t="s">
        <v>493</v>
      </c>
      <c r="B207" s="108" t="s">
        <v>494</v>
      </c>
      <c r="C207" s="109">
        <v>95356</v>
      </c>
      <c r="D207" s="109">
        <v>954</v>
      </c>
      <c r="E207" s="109">
        <v>249299</v>
      </c>
      <c r="F207" s="109">
        <v>261</v>
      </c>
      <c r="G207" s="109">
        <v>141</v>
      </c>
      <c r="H207" s="110">
        <v>3</v>
      </c>
    </row>
    <row r="208" spans="1:8" ht="15" customHeight="1">
      <c r="A208" s="103" t="s">
        <v>495</v>
      </c>
      <c r="B208" s="108" t="s">
        <v>496</v>
      </c>
      <c r="C208" s="109">
        <v>87643</v>
      </c>
      <c r="D208" s="109">
        <v>876</v>
      </c>
      <c r="E208" s="109">
        <v>74220</v>
      </c>
      <c r="F208" s="109">
        <v>85</v>
      </c>
      <c r="G208" s="109">
        <v>158</v>
      </c>
      <c r="H208" s="110">
        <v>151</v>
      </c>
    </row>
    <row r="209" spans="1:8" ht="15" customHeight="1">
      <c r="A209" s="103" t="s">
        <v>497</v>
      </c>
      <c r="B209" s="108" t="s">
        <v>498</v>
      </c>
      <c r="C209" s="109">
        <v>57330</v>
      </c>
      <c r="D209" s="109">
        <v>573</v>
      </c>
      <c r="E209" s="109">
        <v>36166</v>
      </c>
      <c r="F209" s="109">
        <v>63</v>
      </c>
      <c r="G209" s="109">
        <v>266</v>
      </c>
      <c r="H209" s="110">
        <v>296</v>
      </c>
    </row>
    <row r="210" spans="1:8" ht="15" customHeight="1">
      <c r="A210" s="103" t="s">
        <v>499</v>
      </c>
      <c r="B210" s="108" t="s">
        <v>500</v>
      </c>
      <c r="C210" s="109">
        <v>80660</v>
      </c>
      <c r="D210" s="109">
        <v>807</v>
      </c>
      <c r="E210" s="109">
        <v>38515</v>
      </c>
      <c r="F210" s="109">
        <v>48</v>
      </c>
      <c r="G210" s="109">
        <v>177</v>
      </c>
      <c r="H210" s="110">
        <v>289</v>
      </c>
    </row>
    <row r="211" spans="1:8" ht="15" customHeight="1">
      <c r="A211" s="103" t="s">
        <v>501</v>
      </c>
      <c r="B211" s="108" t="s">
        <v>502</v>
      </c>
      <c r="C211" s="109">
        <v>53254</v>
      </c>
      <c r="D211" s="109">
        <v>533</v>
      </c>
      <c r="E211" s="109">
        <v>75749</v>
      </c>
      <c r="F211" s="109">
        <v>142</v>
      </c>
      <c r="G211" s="109">
        <v>273</v>
      </c>
      <c r="H211" s="110">
        <v>146</v>
      </c>
    </row>
    <row r="212" spans="1:8" ht="15" customHeight="1">
      <c r="A212" s="103" t="s">
        <v>120</v>
      </c>
      <c r="B212" s="118" t="s">
        <v>203</v>
      </c>
      <c r="C212" s="109"/>
      <c r="D212" s="109"/>
      <c r="E212" s="109"/>
      <c r="F212" s="109"/>
      <c r="G212" s="109"/>
      <c r="H212" s="110"/>
    </row>
    <row r="213" spans="1:8" ht="15" customHeight="1">
      <c r="A213" s="114" t="s">
        <v>120</v>
      </c>
      <c r="B213" s="115" t="s">
        <v>204</v>
      </c>
      <c r="C213" s="116"/>
      <c r="D213" s="116"/>
      <c r="E213" s="116"/>
      <c r="F213" s="116"/>
      <c r="G213" s="116"/>
      <c r="H213" s="117"/>
    </row>
    <row r="214" spans="1:8" ht="15" customHeight="1">
      <c r="A214" s="103" t="s">
        <v>503</v>
      </c>
      <c r="B214" s="108" t="s">
        <v>504</v>
      </c>
      <c r="C214" s="109">
        <v>3346</v>
      </c>
      <c r="D214" s="109">
        <v>33</v>
      </c>
      <c r="E214" s="109">
        <v>52055</v>
      </c>
      <c r="F214" s="109">
        <v>1556</v>
      </c>
      <c r="G214" s="109">
        <v>58</v>
      </c>
      <c r="H214" s="110">
        <v>60</v>
      </c>
    </row>
    <row r="215" spans="1:8" ht="15" customHeight="1">
      <c r="A215" s="103" t="s">
        <v>505</v>
      </c>
      <c r="B215" s="108" t="s">
        <v>506</v>
      </c>
      <c r="C215" s="109">
        <v>8804</v>
      </c>
      <c r="D215" s="109">
        <v>88</v>
      </c>
      <c r="E215" s="109">
        <v>119425</v>
      </c>
      <c r="F215" s="109">
        <v>1356</v>
      </c>
      <c r="G215" s="109">
        <v>30</v>
      </c>
      <c r="H215" s="110">
        <v>30</v>
      </c>
    </row>
    <row r="216" spans="1:8" ht="15" customHeight="1">
      <c r="A216" s="103" t="s">
        <v>507</v>
      </c>
      <c r="B216" s="108" t="s">
        <v>508</v>
      </c>
      <c r="C216" s="109">
        <v>11180</v>
      </c>
      <c r="D216" s="109">
        <v>112</v>
      </c>
      <c r="E216" s="109">
        <v>211371</v>
      </c>
      <c r="F216" s="109">
        <v>1891</v>
      </c>
      <c r="G216" s="109">
        <v>23</v>
      </c>
      <c r="H216" s="110">
        <v>14</v>
      </c>
    </row>
    <row r="217" spans="1:8" ht="15" customHeight="1">
      <c r="A217" s="103" t="s">
        <v>509</v>
      </c>
      <c r="B217" s="108" t="s">
        <v>510</v>
      </c>
      <c r="C217" s="109">
        <v>3186</v>
      </c>
      <c r="D217" s="109">
        <v>32</v>
      </c>
      <c r="E217" s="109">
        <v>78185</v>
      </c>
      <c r="F217" s="109">
        <v>2454</v>
      </c>
      <c r="G217" s="109">
        <v>61</v>
      </c>
      <c r="H217" s="110">
        <v>46</v>
      </c>
    </row>
    <row r="218" spans="1:8" ht="15" customHeight="1">
      <c r="A218" s="103" t="s">
        <v>511</v>
      </c>
      <c r="B218" s="108" t="s">
        <v>512</v>
      </c>
      <c r="C218" s="109">
        <v>51724</v>
      </c>
      <c r="D218" s="109">
        <v>517</v>
      </c>
      <c r="E218" s="109">
        <v>1790658</v>
      </c>
      <c r="F218" s="109">
        <v>3462</v>
      </c>
      <c r="G218" s="109">
        <v>1</v>
      </c>
      <c r="H218" s="110">
        <v>1</v>
      </c>
    </row>
    <row r="219" spans="1:8" ht="15" customHeight="1">
      <c r="A219" s="269" t="s">
        <v>13</v>
      </c>
      <c r="B219" s="269"/>
      <c r="C219" s="269"/>
      <c r="D219" s="269"/>
      <c r="E219" s="269"/>
      <c r="F219" s="269"/>
      <c r="G219" s="269"/>
      <c r="H219" s="269"/>
    </row>
    <row r="220" spans="1:8" ht="15" customHeight="1">
      <c r="A220" s="103" t="s">
        <v>120</v>
      </c>
      <c r="B220" s="118" t="s">
        <v>384</v>
      </c>
      <c r="C220" s="109"/>
      <c r="D220" s="109"/>
      <c r="E220" s="109"/>
      <c r="F220" s="109"/>
      <c r="G220" s="109"/>
      <c r="H220" s="110"/>
    </row>
    <row r="221" spans="1:8" ht="15" customHeight="1">
      <c r="A221" s="114"/>
      <c r="B221" s="115" t="s">
        <v>215</v>
      </c>
      <c r="C221" s="116"/>
      <c r="D221" s="116"/>
      <c r="E221" s="116"/>
      <c r="F221" s="116"/>
      <c r="G221" s="116"/>
      <c r="H221" s="117"/>
    </row>
    <row r="222" spans="1:8" ht="15" customHeight="1">
      <c r="A222" s="103" t="s">
        <v>513</v>
      </c>
      <c r="B222" s="108" t="s">
        <v>388</v>
      </c>
      <c r="C222" s="109">
        <v>87596</v>
      </c>
      <c r="D222" s="109">
        <v>876</v>
      </c>
      <c r="E222" s="109">
        <v>89804</v>
      </c>
      <c r="F222" s="109">
        <v>103</v>
      </c>
      <c r="G222" s="109">
        <v>159</v>
      </c>
      <c r="H222" s="110">
        <v>98</v>
      </c>
    </row>
    <row r="223" spans="1:8" ht="15" customHeight="1">
      <c r="A223" s="103" t="s">
        <v>514</v>
      </c>
      <c r="B223" s="108" t="s">
        <v>515</v>
      </c>
      <c r="C223" s="109">
        <v>67263</v>
      </c>
      <c r="D223" s="109">
        <v>673</v>
      </c>
      <c r="E223" s="109">
        <v>45552</v>
      </c>
      <c r="F223" s="109">
        <v>68</v>
      </c>
      <c r="G223" s="109">
        <v>232</v>
      </c>
      <c r="H223" s="110">
        <v>260</v>
      </c>
    </row>
    <row r="224" spans="1:8" ht="15" customHeight="1">
      <c r="A224" s="103" t="s">
        <v>516</v>
      </c>
      <c r="B224" s="108" t="s">
        <v>517</v>
      </c>
      <c r="C224" s="109">
        <v>62513</v>
      </c>
      <c r="D224" s="109">
        <v>625</v>
      </c>
      <c r="E224" s="109">
        <v>93880</v>
      </c>
      <c r="F224" s="109">
        <v>150</v>
      </c>
      <c r="G224" s="109">
        <v>243</v>
      </c>
      <c r="H224" s="110">
        <v>91</v>
      </c>
    </row>
    <row r="225" spans="1:8" ht="15" customHeight="1">
      <c r="A225" s="103" t="s">
        <v>518</v>
      </c>
      <c r="B225" s="108" t="s">
        <v>519</v>
      </c>
      <c r="C225" s="109">
        <v>85191</v>
      </c>
      <c r="D225" s="109">
        <v>852</v>
      </c>
      <c r="E225" s="109">
        <v>65470</v>
      </c>
      <c r="F225" s="109">
        <v>77</v>
      </c>
      <c r="G225" s="109">
        <v>165</v>
      </c>
      <c r="H225" s="110">
        <v>179</v>
      </c>
    </row>
    <row r="226" spans="1:8" ht="15" customHeight="1">
      <c r="A226" s="103" t="s">
        <v>520</v>
      </c>
      <c r="B226" s="108" t="s">
        <v>521</v>
      </c>
      <c r="C226" s="109">
        <v>44180</v>
      </c>
      <c r="D226" s="109">
        <v>442</v>
      </c>
      <c r="E226" s="109">
        <v>63747</v>
      </c>
      <c r="F226" s="109">
        <v>144</v>
      </c>
      <c r="G226" s="109">
        <v>294</v>
      </c>
      <c r="H226" s="110">
        <v>183</v>
      </c>
    </row>
    <row r="227" spans="1:8" ht="15" customHeight="1">
      <c r="A227" s="103" t="s">
        <v>522</v>
      </c>
      <c r="B227" s="108" t="s">
        <v>523</v>
      </c>
      <c r="C227" s="109">
        <v>74818</v>
      </c>
      <c r="D227" s="109">
        <v>748</v>
      </c>
      <c r="E227" s="109">
        <v>42634</v>
      </c>
      <c r="F227" s="109">
        <v>57</v>
      </c>
      <c r="G227" s="109">
        <v>194</v>
      </c>
      <c r="H227" s="110">
        <v>273</v>
      </c>
    </row>
    <row r="228" spans="1:8" ht="15" customHeight="1">
      <c r="A228" s="103" t="s">
        <v>524</v>
      </c>
      <c r="B228" s="108" t="s">
        <v>525</v>
      </c>
      <c r="C228" s="109">
        <v>122388</v>
      </c>
      <c r="D228" s="109">
        <v>1224</v>
      </c>
      <c r="E228" s="109">
        <v>135948</v>
      </c>
      <c r="F228" s="109">
        <v>111</v>
      </c>
      <c r="G228" s="109">
        <v>79</v>
      </c>
      <c r="H228" s="110">
        <v>34</v>
      </c>
    </row>
    <row r="229" spans="1:8" ht="15" customHeight="1">
      <c r="A229" s="103" t="s">
        <v>526</v>
      </c>
      <c r="B229" s="108" t="s">
        <v>527</v>
      </c>
      <c r="C229" s="109">
        <v>97338</v>
      </c>
      <c r="D229" s="109">
        <v>973</v>
      </c>
      <c r="E229" s="109">
        <v>64293</v>
      </c>
      <c r="F229" s="109">
        <v>66</v>
      </c>
      <c r="G229" s="109">
        <v>133</v>
      </c>
      <c r="H229" s="110">
        <v>182</v>
      </c>
    </row>
    <row r="230" spans="1:8" ht="15" customHeight="1">
      <c r="A230" s="103" t="s">
        <v>528</v>
      </c>
      <c r="B230" s="108" t="s">
        <v>285</v>
      </c>
      <c r="C230" s="109">
        <v>153430</v>
      </c>
      <c r="D230" s="109">
        <v>1534</v>
      </c>
      <c r="E230" s="109">
        <v>123726</v>
      </c>
      <c r="F230" s="109">
        <v>81</v>
      </c>
      <c r="G230" s="109">
        <v>32</v>
      </c>
      <c r="H230" s="110">
        <v>45</v>
      </c>
    </row>
    <row r="231" spans="1:8" ht="15" customHeight="1">
      <c r="A231" s="103" t="s">
        <v>529</v>
      </c>
      <c r="B231" s="108" t="s">
        <v>530</v>
      </c>
      <c r="C231" s="109">
        <v>57155</v>
      </c>
      <c r="D231" s="109">
        <v>572</v>
      </c>
      <c r="E231" s="109">
        <v>55237</v>
      </c>
      <c r="F231" s="109">
        <v>97</v>
      </c>
      <c r="G231" s="109">
        <v>267</v>
      </c>
      <c r="H231" s="110">
        <v>222</v>
      </c>
    </row>
    <row r="232" spans="1:8" ht="15" customHeight="1">
      <c r="A232" s="103" t="s">
        <v>531</v>
      </c>
      <c r="B232" s="108" t="s">
        <v>532</v>
      </c>
      <c r="C232" s="109">
        <v>74427</v>
      </c>
      <c r="D232" s="109">
        <v>744</v>
      </c>
      <c r="E232" s="109">
        <v>74300</v>
      </c>
      <c r="F232" s="109">
        <v>100</v>
      </c>
      <c r="G232" s="109">
        <v>195</v>
      </c>
      <c r="H232" s="110">
        <v>150</v>
      </c>
    </row>
    <row r="233" spans="1:8" ht="15" customHeight="1">
      <c r="A233" s="103" t="s">
        <v>120</v>
      </c>
      <c r="B233" s="118" t="s">
        <v>533</v>
      </c>
      <c r="C233" s="109"/>
      <c r="D233" s="109"/>
      <c r="E233" s="109"/>
      <c r="F233" s="109"/>
      <c r="G233" s="109"/>
      <c r="H233" s="110"/>
    </row>
    <row r="234" spans="1:8" ht="15" customHeight="1">
      <c r="A234" s="103" t="s">
        <v>120</v>
      </c>
      <c r="B234" s="120" t="s">
        <v>534</v>
      </c>
      <c r="C234" s="109"/>
      <c r="D234" s="109"/>
      <c r="E234" s="109"/>
      <c r="F234" s="109"/>
      <c r="G234" s="109"/>
      <c r="H234" s="110"/>
    </row>
    <row r="235" spans="1:8" ht="15" customHeight="1">
      <c r="A235" s="103" t="s">
        <v>535</v>
      </c>
      <c r="B235" s="108" t="s">
        <v>536</v>
      </c>
      <c r="C235" s="109">
        <v>14888</v>
      </c>
      <c r="D235" s="109">
        <v>149</v>
      </c>
      <c r="E235" s="109">
        <v>128035</v>
      </c>
      <c r="F235" s="109">
        <v>860</v>
      </c>
      <c r="G235" s="109">
        <v>15</v>
      </c>
      <c r="H235" s="110">
        <v>27</v>
      </c>
    </row>
    <row r="236" spans="1:8" ht="15" customHeight="1">
      <c r="A236" s="269" t="s">
        <v>16</v>
      </c>
      <c r="B236" s="269"/>
      <c r="C236" s="269"/>
      <c r="D236" s="269"/>
      <c r="E236" s="269"/>
      <c r="F236" s="269"/>
      <c r="G236" s="269"/>
      <c r="H236" s="269"/>
    </row>
    <row r="237" spans="1:8" ht="15" customHeight="1">
      <c r="A237" s="103" t="s">
        <v>120</v>
      </c>
      <c r="B237" s="118" t="s">
        <v>384</v>
      </c>
      <c r="C237" s="109"/>
      <c r="D237" s="109"/>
      <c r="E237" s="109"/>
      <c r="F237" s="109"/>
      <c r="G237" s="109"/>
      <c r="H237" s="110"/>
    </row>
    <row r="238" spans="1:8" ht="15" customHeight="1">
      <c r="A238" s="114"/>
      <c r="B238" s="115" t="s">
        <v>215</v>
      </c>
      <c r="C238" s="116"/>
      <c r="D238" s="116"/>
      <c r="E238" s="116"/>
      <c r="F238" s="116"/>
      <c r="G238" s="116"/>
      <c r="H238" s="117"/>
    </row>
    <row r="239" spans="1:8" ht="15" customHeight="1">
      <c r="A239" s="103" t="s">
        <v>537</v>
      </c>
      <c r="B239" s="108" t="s">
        <v>538</v>
      </c>
      <c r="C239" s="109">
        <v>113907</v>
      </c>
      <c r="D239" s="109">
        <v>1139</v>
      </c>
      <c r="E239" s="109">
        <v>21664</v>
      </c>
      <c r="F239" s="109">
        <v>19</v>
      </c>
      <c r="G239" s="109">
        <v>97</v>
      </c>
      <c r="H239" s="110">
        <v>313</v>
      </c>
    </row>
    <row r="240" spans="1:8" ht="15" customHeight="1">
      <c r="A240" s="103" t="s">
        <v>539</v>
      </c>
      <c r="B240" s="108" t="s">
        <v>540</v>
      </c>
      <c r="C240" s="109">
        <v>53934</v>
      </c>
      <c r="D240" s="109">
        <v>539</v>
      </c>
      <c r="E240" s="109">
        <v>65567</v>
      </c>
      <c r="F240" s="109">
        <v>122</v>
      </c>
      <c r="G240" s="109">
        <v>271</v>
      </c>
      <c r="H240" s="110">
        <v>178</v>
      </c>
    </row>
    <row r="241" spans="1:8" ht="15" customHeight="1">
      <c r="A241" s="103" t="s">
        <v>541</v>
      </c>
      <c r="B241" s="108" t="s">
        <v>542</v>
      </c>
      <c r="C241" s="109">
        <v>77748</v>
      </c>
      <c r="D241" s="109">
        <v>777</v>
      </c>
      <c r="E241" s="109">
        <v>135299</v>
      </c>
      <c r="F241" s="109">
        <v>174</v>
      </c>
      <c r="G241" s="109">
        <v>186</v>
      </c>
      <c r="H241" s="110">
        <v>35</v>
      </c>
    </row>
    <row r="242" spans="1:8" ht="15" customHeight="1">
      <c r="A242" s="103" t="s">
        <v>543</v>
      </c>
      <c r="B242" s="108" t="s">
        <v>544</v>
      </c>
      <c r="C242" s="109">
        <v>102866</v>
      </c>
      <c r="D242" s="109">
        <v>1029</v>
      </c>
      <c r="E242" s="109">
        <v>120247</v>
      </c>
      <c r="F242" s="109">
        <v>117</v>
      </c>
      <c r="G242" s="109">
        <v>119</v>
      </c>
      <c r="H242" s="110">
        <v>46</v>
      </c>
    </row>
    <row r="243" spans="1:8" ht="15" customHeight="1">
      <c r="A243" s="103" t="s">
        <v>545</v>
      </c>
      <c r="B243" s="108" t="s">
        <v>546</v>
      </c>
      <c r="C243" s="109">
        <v>83087</v>
      </c>
      <c r="D243" s="109">
        <v>831</v>
      </c>
      <c r="E243" s="109">
        <v>113450</v>
      </c>
      <c r="F243" s="109">
        <v>137</v>
      </c>
      <c r="G243" s="109">
        <v>172</v>
      </c>
      <c r="H243" s="110">
        <v>58</v>
      </c>
    </row>
    <row r="244" spans="1:8" ht="15" customHeight="1">
      <c r="A244" s="103" t="s">
        <v>547</v>
      </c>
      <c r="B244" s="108" t="s">
        <v>548</v>
      </c>
      <c r="C244" s="109">
        <v>77317</v>
      </c>
      <c r="D244" s="109">
        <v>774</v>
      </c>
      <c r="E244" s="109">
        <v>62246</v>
      </c>
      <c r="F244" s="109">
        <v>81</v>
      </c>
      <c r="G244" s="109">
        <v>187</v>
      </c>
      <c r="H244" s="110">
        <v>191</v>
      </c>
    </row>
    <row r="245" spans="1:8" ht="15" customHeight="1">
      <c r="A245" s="103" t="s">
        <v>549</v>
      </c>
      <c r="B245" s="108" t="s">
        <v>312</v>
      </c>
      <c r="C245" s="109">
        <v>99311</v>
      </c>
      <c r="D245" s="109">
        <v>993</v>
      </c>
      <c r="E245" s="109">
        <v>112283</v>
      </c>
      <c r="F245" s="109">
        <v>113</v>
      </c>
      <c r="G245" s="109">
        <v>130</v>
      </c>
      <c r="H245" s="110">
        <v>62</v>
      </c>
    </row>
    <row r="246" spans="1:8" ht="15" customHeight="1">
      <c r="A246" s="103" t="s">
        <v>550</v>
      </c>
      <c r="B246" s="108" t="s">
        <v>551</v>
      </c>
      <c r="C246" s="109">
        <v>83494</v>
      </c>
      <c r="D246" s="109">
        <v>835</v>
      </c>
      <c r="E246" s="109">
        <v>26441</v>
      </c>
      <c r="F246" s="109">
        <v>32</v>
      </c>
      <c r="G246" s="109">
        <v>169</v>
      </c>
      <c r="H246" s="110">
        <v>311</v>
      </c>
    </row>
    <row r="247" spans="1:8" ht="15" customHeight="1">
      <c r="A247" s="103" t="s">
        <v>552</v>
      </c>
      <c r="B247" s="108" t="s">
        <v>553</v>
      </c>
      <c r="C247" s="109">
        <v>58371</v>
      </c>
      <c r="D247" s="109">
        <v>584</v>
      </c>
      <c r="E247" s="109">
        <v>69370</v>
      </c>
      <c r="F247" s="109">
        <v>119</v>
      </c>
      <c r="G247" s="109">
        <v>260</v>
      </c>
      <c r="H247" s="110">
        <v>168</v>
      </c>
    </row>
    <row r="248" spans="1:8" ht="15" customHeight="1">
      <c r="A248" s="103" t="s">
        <v>554</v>
      </c>
      <c r="B248" s="108" t="s">
        <v>555</v>
      </c>
      <c r="C248" s="109">
        <v>130837</v>
      </c>
      <c r="D248" s="109">
        <v>1308</v>
      </c>
      <c r="E248" s="109">
        <v>55217</v>
      </c>
      <c r="F248" s="109">
        <v>42</v>
      </c>
      <c r="G248" s="109">
        <v>61</v>
      </c>
      <c r="H248" s="110">
        <v>223</v>
      </c>
    </row>
    <row r="249" spans="1:8" ht="15" customHeight="1">
      <c r="A249" s="103" t="s">
        <v>556</v>
      </c>
      <c r="B249" s="108" t="s">
        <v>557</v>
      </c>
      <c r="C249" s="109">
        <v>45184</v>
      </c>
      <c r="D249" s="109">
        <v>452</v>
      </c>
      <c r="E249" s="109">
        <v>81049</v>
      </c>
      <c r="F249" s="109">
        <v>179</v>
      </c>
      <c r="G249" s="109">
        <v>291</v>
      </c>
      <c r="H249" s="110">
        <v>124</v>
      </c>
    </row>
    <row r="250" spans="1:8" ht="15" customHeight="1">
      <c r="A250" s="103" t="s">
        <v>558</v>
      </c>
      <c r="B250" s="108" t="s">
        <v>559</v>
      </c>
      <c r="C250" s="109">
        <v>88050</v>
      </c>
      <c r="D250" s="109">
        <v>881</v>
      </c>
      <c r="E250" s="109">
        <v>136660</v>
      </c>
      <c r="F250" s="109">
        <v>155</v>
      </c>
      <c r="G250" s="109">
        <v>157</v>
      </c>
      <c r="H250" s="110">
        <v>32</v>
      </c>
    </row>
    <row r="251" spans="1:8" ht="15" customHeight="1">
      <c r="A251" s="103" t="s">
        <v>560</v>
      </c>
      <c r="B251" s="108" t="s">
        <v>561</v>
      </c>
      <c r="C251" s="109">
        <v>78564</v>
      </c>
      <c r="D251" s="109">
        <v>786</v>
      </c>
      <c r="E251" s="109">
        <v>66589</v>
      </c>
      <c r="F251" s="109">
        <v>85</v>
      </c>
      <c r="G251" s="109">
        <v>184</v>
      </c>
      <c r="H251" s="110">
        <v>171</v>
      </c>
    </row>
    <row r="252" spans="1:8" ht="15" customHeight="1">
      <c r="A252" s="103" t="s">
        <v>562</v>
      </c>
      <c r="B252" s="108" t="s">
        <v>563</v>
      </c>
      <c r="C252" s="109">
        <v>121122</v>
      </c>
      <c r="D252" s="109">
        <v>1211</v>
      </c>
      <c r="E252" s="109">
        <v>74061</v>
      </c>
      <c r="F252" s="109">
        <v>61</v>
      </c>
      <c r="G252" s="109">
        <v>85</v>
      </c>
      <c r="H252" s="110">
        <v>152</v>
      </c>
    </row>
    <row r="253" spans="1:8" ht="15" customHeight="1">
      <c r="A253" s="103" t="s">
        <v>564</v>
      </c>
      <c r="B253" s="108" t="s">
        <v>565</v>
      </c>
      <c r="C253" s="109">
        <v>69802</v>
      </c>
      <c r="D253" s="109">
        <v>698</v>
      </c>
      <c r="E253" s="109">
        <v>78362</v>
      </c>
      <c r="F253" s="109">
        <v>112</v>
      </c>
      <c r="G253" s="109">
        <v>218</v>
      </c>
      <c r="H253" s="110">
        <v>133</v>
      </c>
    </row>
    <row r="254" spans="1:8" ht="15" customHeight="1">
      <c r="A254" s="103" t="s">
        <v>566</v>
      </c>
      <c r="B254" s="108" t="s">
        <v>567</v>
      </c>
      <c r="C254" s="109">
        <v>54831</v>
      </c>
      <c r="D254" s="109">
        <v>548</v>
      </c>
      <c r="E254" s="109">
        <v>74515</v>
      </c>
      <c r="F254" s="109">
        <v>136</v>
      </c>
      <c r="G254" s="109">
        <v>269</v>
      </c>
      <c r="H254" s="110">
        <v>149</v>
      </c>
    </row>
    <row r="255" spans="1:8" ht="15" customHeight="1">
      <c r="A255" s="103" t="s">
        <v>568</v>
      </c>
      <c r="B255" s="108" t="s">
        <v>569</v>
      </c>
      <c r="C255" s="109">
        <v>114713</v>
      </c>
      <c r="D255" s="109">
        <v>1147</v>
      </c>
      <c r="E255" s="109">
        <v>169438</v>
      </c>
      <c r="F255" s="109">
        <v>148</v>
      </c>
      <c r="G255" s="109">
        <v>95</v>
      </c>
      <c r="H255" s="110">
        <v>11</v>
      </c>
    </row>
    <row r="256" spans="1:8" ht="15" customHeight="1">
      <c r="A256" s="103" t="s">
        <v>570</v>
      </c>
      <c r="B256" s="108" t="s">
        <v>571</v>
      </c>
      <c r="C256" s="109">
        <v>115643</v>
      </c>
      <c r="D256" s="109">
        <v>1156</v>
      </c>
      <c r="E256" s="109">
        <v>94385</v>
      </c>
      <c r="F256" s="109">
        <v>82</v>
      </c>
      <c r="G256" s="109">
        <v>94</v>
      </c>
      <c r="H256" s="110">
        <v>90</v>
      </c>
    </row>
    <row r="257" spans="1:8" ht="15" customHeight="1">
      <c r="A257" s="103" t="s">
        <v>572</v>
      </c>
      <c r="B257" s="108" t="s">
        <v>573</v>
      </c>
      <c r="C257" s="109">
        <v>83174</v>
      </c>
      <c r="D257" s="109">
        <v>832</v>
      </c>
      <c r="E257" s="109">
        <v>106037</v>
      </c>
      <c r="F257" s="109">
        <v>127</v>
      </c>
      <c r="G257" s="109">
        <v>171</v>
      </c>
      <c r="H257" s="110">
        <v>77</v>
      </c>
    </row>
    <row r="258" spans="1:8" ht="15" customHeight="1">
      <c r="A258" s="103" t="s">
        <v>574</v>
      </c>
      <c r="B258" s="108" t="s">
        <v>575</v>
      </c>
      <c r="C258" s="109">
        <v>50347</v>
      </c>
      <c r="D258" s="109">
        <v>504</v>
      </c>
      <c r="E258" s="109">
        <v>61386</v>
      </c>
      <c r="F258" s="109">
        <v>122</v>
      </c>
      <c r="G258" s="109">
        <v>279</v>
      </c>
      <c r="H258" s="110">
        <v>193</v>
      </c>
    </row>
    <row r="259" spans="1:8" ht="15" customHeight="1">
      <c r="A259" s="103" t="s">
        <v>576</v>
      </c>
      <c r="B259" s="108" t="s">
        <v>577</v>
      </c>
      <c r="C259" s="109">
        <v>52106</v>
      </c>
      <c r="D259" s="109">
        <v>521</v>
      </c>
      <c r="E259" s="109">
        <v>52965</v>
      </c>
      <c r="F259" s="109">
        <v>102</v>
      </c>
      <c r="G259" s="109">
        <v>278</v>
      </c>
      <c r="H259" s="110">
        <v>232</v>
      </c>
    </row>
    <row r="260" spans="1:8" ht="15" customHeight="1">
      <c r="A260" s="103" t="s">
        <v>120</v>
      </c>
      <c r="B260" s="118" t="s">
        <v>203</v>
      </c>
      <c r="C260" s="109"/>
      <c r="D260" s="109"/>
      <c r="E260" s="109"/>
      <c r="F260" s="109"/>
      <c r="G260" s="109"/>
      <c r="H260" s="110"/>
    </row>
    <row r="261" spans="1:8" ht="15" customHeight="1">
      <c r="A261" s="114" t="s">
        <v>120</v>
      </c>
      <c r="B261" s="115" t="s">
        <v>204</v>
      </c>
      <c r="C261" s="116"/>
      <c r="D261" s="116"/>
      <c r="E261" s="116"/>
      <c r="F261" s="116"/>
      <c r="G261" s="116"/>
      <c r="H261" s="117"/>
    </row>
    <row r="262" spans="1:8" ht="15" customHeight="1">
      <c r="A262" s="103" t="s">
        <v>578</v>
      </c>
      <c r="B262" s="108" t="s">
        <v>579</v>
      </c>
      <c r="C262" s="109">
        <v>4350</v>
      </c>
      <c r="D262" s="109">
        <v>44</v>
      </c>
      <c r="E262" s="109">
        <v>46291</v>
      </c>
      <c r="F262" s="109">
        <v>1064</v>
      </c>
      <c r="G262" s="109">
        <v>53</v>
      </c>
      <c r="H262" s="110">
        <v>64</v>
      </c>
    </row>
    <row r="263" spans="1:8" ht="15" customHeight="1">
      <c r="A263" s="103" t="s">
        <v>580</v>
      </c>
      <c r="B263" s="108" t="s">
        <v>581</v>
      </c>
      <c r="C263" s="109">
        <v>4617</v>
      </c>
      <c r="D263" s="109">
        <v>46</v>
      </c>
      <c r="E263" s="109">
        <v>60689</v>
      </c>
      <c r="F263" s="109">
        <v>1314</v>
      </c>
      <c r="G263" s="109">
        <v>52</v>
      </c>
      <c r="H263" s="110">
        <v>57</v>
      </c>
    </row>
    <row r="264" spans="1:8" ht="15" customHeight="1">
      <c r="A264" s="103" t="s">
        <v>582</v>
      </c>
      <c r="B264" s="108" t="s">
        <v>583</v>
      </c>
      <c r="C264" s="109">
        <v>12661</v>
      </c>
      <c r="D264" s="109">
        <v>126</v>
      </c>
      <c r="E264" s="109">
        <v>196208</v>
      </c>
      <c r="F264" s="109">
        <v>1550</v>
      </c>
      <c r="G264" s="109">
        <v>20</v>
      </c>
      <c r="H264" s="110">
        <v>17</v>
      </c>
    </row>
    <row r="265" spans="1:8" ht="15" customHeight="1">
      <c r="A265" s="103" t="s">
        <v>584</v>
      </c>
      <c r="B265" s="108" t="s">
        <v>585</v>
      </c>
      <c r="C265" s="109">
        <v>8540</v>
      </c>
      <c r="D265" s="109">
        <v>85</v>
      </c>
      <c r="E265" s="109">
        <v>46745</v>
      </c>
      <c r="F265" s="109">
        <v>547</v>
      </c>
      <c r="G265" s="109">
        <v>32</v>
      </c>
      <c r="H265" s="110">
        <v>63</v>
      </c>
    </row>
    <row r="266" spans="1:8" ht="15" customHeight="1">
      <c r="A266" s="269" t="s">
        <v>20</v>
      </c>
      <c r="B266" s="269"/>
      <c r="C266" s="269"/>
      <c r="D266" s="269"/>
      <c r="E266" s="269"/>
      <c r="F266" s="269"/>
      <c r="G266" s="269"/>
      <c r="H266" s="269"/>
    </row>
    <row r="267" spans="1:8" ht="15" customHeight="1">
      <c r="A267" s="103" t="s">
        <v>120</v>
      </c>
      <c r="B267" s="118" t="s">
        <v>384</v>
      </c>
      <c r="C267" s="109"/>
      <c r="D267" s="109"/>
      <c r="E267" s="109"/>
      <c r="F267" s="109"/>
      <c r="G267" s="109"/>
      <c r="H267" s="110"/>
    </row>
    <row r="268" spans="1:8" ht="15" customHeight="1">
      <c r="A268" s="114"/>
      <c r="B268" s="115" t="s">
        <v>215</v>
      </c>
      <c r="C268" s="116"/>
      <c r="D268" s="116"/>
      <c r="E268" s="116"/>
      <c r="F268" s="116"/>
      <c r="G268" s="116"/>
      <c r="H268" s="117"/>
    </row>
    <row r="269" spans="1:8" ht="15" customHeight="1">
      <c r="A269" s="103" t="s">
        <v>586</v>
      </c>
      <c r="B269" s="108" t="s">
        <v>587</v>
      </c>
      <c r="C269" s="109">
        <v>165939</v>
      </c>
      <c r="D269" s="109">
        <v>1659</v>
      </c>
      <c r="E269" s="109">
        <v>58068</v>
      </c>
      <c r="F269" s="109">
        <v>35</v>
      </c>
      <c r="G269" s="109">
        <v>23</v>
      </c>
      <c r="H269" s="110">
        <v>204</v>
      </c>
    </row>
    <row r="270" spans="1:8" ht="15" customHeight="1">
      <c r="A270" s="103" t="s">
        <v>588</v>
      </c>
      <c r="B270" s="108" t="s">
        <v>589</v>
      </c>
      <c r="C270" s="109">
        <v>297644</v>
      </c>
      <c r="D270" s="109">
        <v>2975</v>
      </c>
      <c r="E270" s="109">
        <v>149611</v>
      </c>
      <c r="F270" s="109">
        <v>50</v>
      </c>
      <c r="G270" s="109">
        <v>1</v>
      </c>
      <c r="H270" s="110">
        <v>27</v>
      </c>
    </row>
    <row r="271" spans="1:8" ht="15" customHeight="1">
      <c r="A271" s="103" t="s">
        <v>590</v>
      </c>
      <c r="B271" s="108" t="s">
        <v>591</v>
      </c>
      <c r="C271" s="109">
        <v>138509</v>
      </c>
      <c r="D271" s="109">
        <v>1385</v>
      </c>
      <c r="E271" s="109">
        <v>54353</v>
      </c>
      <c r="F271" s="109">
        <v>39</v>
      </c>
      <c r="G271" s="109">
        <v>53</v>
      </c>
      <c r="H271" s="110">
        <v>228</v>
      </c>
    </row>
    <row r="272" spans="1:8" ht="15" customHeight="1">
      <c r="A272" s="103" t="s">
        <v>592</v>
      </c>
      <c r="B272" s="108" t="s">
        <v>593</v>
      </c>
      <c r="C272" s="109">
        <v>96762</v>
      </c>
      <c r="D272" s="109">
        <v>968</v>
      </c>
      <c r="E272" s="109">
        <v>47210</v>
      </c>
      <c r="F272" s="109">
        <v>49</v>
      </c>
      <c r="G272" s="109">
        <v>135</v>
      </c>
      <c r="H272" s="110">
        <v>251</v>
      </c>
    </row>
    <row r="273" spans="1:8" ht="15" customHeight="1">
      <c r="A273" s="103" t="s">
        <v>594</v>
      </c>
      <c r="B273" s="108" t="s">
        <v>595</v>
      </c>
      <c r="C273" s="109">
        <v>162353</v>
      </c>
      <c r="D273" s="109">
        <v>1624</v>
      </c>
      <c r="E273" s="109">
        <v>42610</v>
      </c>
      <c r="F273" s="109">
        <v>26</v>
      </c>
      <c r="G273" s="109">
        <v>26</v>
      </c>
      <c r="H273" s="110">
        <v>274</v>
      </c>
    </row>
    <row r="274" spans="1:8" ht="15" customHeight="1">
      <c r="A274" s="103" t="s">
        <v>596</v>
      </c>
      <c r="B274" s="108" t="s">
        <v>597</v>
      </c>
      <c r="C274" s="109">
        <v>94010</v>
      </c>
      <c r="D274" s="109">
        <v>940</v>
      </c>
      <c r="E274" s="109">
        <v>38057</v>
      </c>
      <c r="F274" s="109">
        <v>40</v>
      </c>
      <c r="G274" s="109">
        <v>144</v>
      </c>
      <c r="H274" s="110">
        <v>292</v>
      </c>
    </row>
    <row r="275" spans="1:8" ht="15" customHeight="1">
      <c r="A275" s="103" t="s">
        <v>598</v>
      </c>
      <c r="B275" s="108" t="s">
        <v>599</v>
      </c>
      <c r="C275" s="109">
        <v>135459</v>
      </c>
      <c r="D275" s="109">
        <v>1355</v>
      </c>
      <c r="E275" s="109">
        <v>50943</v>
      </c>
      <c r="F275" s="109">
        <v>38</v>
      </c>
      <c r="G275" s="109">
        <v>57</v>
      </c>
      <c r="H275" s="110">
        <v>240</v>
      </c>
    </row>
    <row r="276" spans="1:8" ht="15" customHeight="1">
      <c r="A276" s="103" t="s">
        <v>600</v>
      </c>
      <c r="B276" s="108" t="s">
        <v>601</v>
      </c>
      <c r="C276" s="109">
        <v>138179</v>
      </c>
      <c r="D276" s="109">
        <v>1382</v>
      </c>
      <c r="E276" s="109">
        <v>40412</v>
      </c>
      <c r="F276" s="109">
        <v>29</v>
      </c>
      <c r="G276" s="109">
        <v>54</v>
      </c>
      <c r="H276" s="110">
        <v>282</v>
      </c>
    </row>
    <row r="277" spans="1:8" ht="15" customHeight="1">
      <c r="A277" s="103" t="s">
        <v>602</v>
      </c>
      <c r="B277" s="108" t="s">
        <v>603</v>
      </c>
      <c r="C277" s="109">
        <v>85517</v>
      </c>
      <c r="D277" s="109">
        <v>855</v>
      </c>
      <c r="E277" s="109">
        <v>19914</v>
      </c>
      <c r="F277" s="109">
        <v>23</v>
      </c>
      <c r="G277" s="109">
        <v>163</v>
      </c>
      <c r="H277" s="110">
        <v>314</v>
      </c>
    </row>
    <row r="278" spans="1:8" ht="15" customHeight="1">
      <c r="A278" s="103" t="s">
        <v>604</v>
      </c>
      <c r="B278" s="108" t="s">
        <v>605</v>
      </c>
      <c r="C278" s="109">
        <v>145946</v>
      </c>
      <c r="D278" s="109">
        <v>1459</v>
      </c>
      <c r="E278" s="109">
        <v>44193</v>
      </c>
      <c r="F278" s="109">
        <v>30</v>
      </c>
      <c r="G278" s="109">
        <v>41</v>
      </c>
      <c r="H278" s="110">
        <v>265</v>
      </c>
    </row>
    <row r="279" spans="1:8" ht="15" customHeight="1">
      <c r="A279" s="103" t="s">
        <v>606</v>
      </c>
      <c r="B279" s="108" t="s">
        <v>607</v>
      </c>
      <c r="C279" s="109">
        <v>205450</v>
      </c>
      <c r="D279" s="109">
        <v>2055</v>
      </c>
      <c r="E279" s="109">
        <v>66686</v>
      </c>
      <c r="F279" s="109">
        <v>32</v>
      </c>
      <c r="G279" s="109">
        <v>8</v>
      </c>
      <c r="H279" s="110">
        <v>170</v>
      </c>
    </row>
    <row r="280" spans="1:8" ht="15" customHeight="1">
      <c r="A280" s="103" t="s">
        <v>608</v>
      </c>
      <c r="B280" s="108" t="s">
        <v>609</v>
      </c>
      <c r="C280" s="109">
        <v>130700</v>
      </c>
      <c r="D280" s="109">
        <v>1307</v>
      </c>
      <c r="E280" s="109">
        <v>35674</v>
      </c>
      <c r="F280" s="109">
        <v>27</v>
      </c>
      <c r="G280" s="109">
        <v>63</v>
      </c>
      <c r="H280" s="110">
        <v>297</v>
      </c>
    </row>
    <row r="281" spans="1:8" ht="15" customHeight="1">
      <c r="A281" s="103" t="s">
        <v>610</v>
      </c>
      <c r="B281" s="108" t="s">
        <v>611</v>
      </c>
      <c r="C281" s="109">
        <v>128891</v>
      </c>
      <c r="D281" s="109">
        <v>1289</v>
      </c>
      <c r="E281" s="109">
        <v>56860</v>
      </c>
      <c r="F281" s="109">
        <v>44</v>
      </c>
      <c r="G281" s="109">
        <v>65</v>
      </c>
      <c r="H281" s="110">
        <v>212</v>
      </c>
    </row>
    <row r="282" spans="1:8" ht="15" customHeight="1">
      <c r="A282" s="103" t="s">
        <v>612</v>
      </c>
      <c r="B282" s="108" t="s">
        <v>613</v>
      </c>
      <c r="C282" s="109">
        <v>73312</v>
      </c>
      <c r="D282" s="109">
        <v>733</v>
      </c>
      <c r="E282" s="109">
        <v>43505</v>
      </c>
      <c r="F282" s="109">
        <v>59</v>
      </c>
      <c r="G282" s="109">
        <v>202</v>
      </c>
      <c r="H282" s="110">
        <v>268</v>
      </c>
    </row>
    <row r="283" spans="1:8" ht="15" customHeight="1">
      <c r="A283" s="103" t="s">
        <v>120</v>
      </c>
      <c r="B283" s="118" t="s">
        <v>203</v>
      </c>
      <c r="C283" s="109"/>
      <c r="D283" s="109"/>
      <c r="E283" s="109"/>
      <c r="F283" s="109"/>
      <c r="G283" s="109"/>
      <c r="H283" s="110"/>
    </row>
    <row r="284" spans="1:8" ht="15" customHeight="1">
      <c r="A284" s="114" t="s">
        <v>120</v>
      </c>
      <c r="B284" s="115" t="s">
        <v>204</v>
      </c>
      <c r="C284" s="116"/>
      <c r="D284" s="116"/>
      <c r="E284" s="116"/>
      <c r="F284" s="116"/>
      <c r="G284" s="116"/>
      <c r="H284" s="117"/>
    </row>
    <row r="285" spans="1:8" ht="15" customHeight="1">
      <c r="A285" s="103" t="s">
        <v>614</v>
      </c>
      <c r="B285" s="108" t="s">
        <v>615</v>
      </c>
      <c r="C285" s="109">
        <v>10213</v>
      </c>
      <c r="D285" s="109">
        <v>102</v>
      </c>
      <c r="E285" s="109">
        <v>297554</v>
      </c>
      <c r="F285" s="109">
        <v>2913</v>
      </c>
      <c r="G285" s="109">
        <v>26</v>
      </c>
      <c r="H285" s="110">
        <v>10</v>
      </c>
    </row>
    <row r="286" spans="1:8" ht="15" customHeight="1">
      <c r="A286" s="103" t="s">
        <v>616</v>
      </c>
      <c r="B286" s="108" t="s">
        <v>617</v>
      </c>
      <c r="C286" s="109">
        <v>3267</v>
      </c>
      <c r="D286" s="109">
        <v>33</v>
      </c>
      <c r="E286" s="109">
        <v>62945</v>
      </c>
      <c r="F286" s="109">
        <v>1927</v>
      </c>
      <c r="G286" s="109">
        <v>60</v>
      </c>
      <c r="H286" s="110">
        <v>54</v>
      </c>
    </row>
    <row r="287" spans="1:8" ht="15" customHeight="1">
      <c r="A287" s="103" t="s">
        <v>618</v>
      </c>
      <c r="B287" s="108" t="s">
        <v>619</v>
      </c>
      <c r="C287" s="109">
        <v>6551</v>
      </c>
      <c r="D287" s="109">
        <v>66</v>
      </c>
      <c r="E287" s="109">
        <v>69758</v>
      </c>
      <c r="F287" s="109">
        <v>1065</v>
      </c>
      <c r="G287" s="109">
        <v>46</v>
      </c>
      <c r="H287" s="110">
        <v>50</v>
      </c>
    </row>
    <row r="288" spans="1:8" ht="15" customHeight="1">
      <c r="A288" s="269" t="s">
        <v>21</v>
      </c>
      <c r="B288" s="269"/>
      <c r="C288" s="269"/>
      <c r="D288" s="269"/>
      <c r="E288" s="269"/>
      <c r="F288" s="269"/>
      <c r="G288" s="269"/>
      <c r="H288" s="269"/>
    </row>
    <row r="289" spans="1:8" ht="15" customHeight="1">
      <c r="A289" s="103" t="s">
        <v>120</v>
      </c>
      <c r="B289" s="118" t="s">
        <v>384</v>
      </c>
      <c r="C289" s="109"/>
      <c r="D289" s="109"/>
      <c r="E289" s="109"/>
      <c r="F289" s="109"/>
      <c r="G289" s="109"/>
      <c r="H289" s="110"/>
    </row>
    <row r="290" spans="1:8" ht="15" customHeight="1">
      <c r="A290" s="114"/>
      <c r="B290" s="115" t="s">
        <v>215</v>
      </c>
      <c r="C290" s="116"/>
      <c r="D290" s="116"/>
      <c r="E290" s="116"/>
      <c r="F290" s="116"/>
      <c r="G290" s="116"/>
      <c r="H290" s="117"/>
    </row>
    <row r="291" spans="1:8" ht="15" customHeight="1">
      <c r="A291" s="103" t="s">
        <v>620</v>
      </c>
      <c r="B291" s="108" t="s">
        <v>621</v>
      </c>
      <c r="C291" s="109">
        <v>219207</v>
      </c>
      <c r="D291" s="109">
        <v>2192</v>
      </c>
      <c r="E291" s="109">
        <v>79198</v>
      </c>
      <c r="F291" s="109">
        <v>36</v>
      </c>
      <c r="G291" s="109">
        <v>6</v>
      </c>
      <c r="H291" s="110">
        <v>129</v>
      </c>
    </row>
    <row r="292" spans="1:8" ht="15" customHeight="1">
      <c r="A292" s="103" t="s">
        <v>622</v>
      </c>
      <c r="B292" s="108" t="s">
        <v>623</v>
      </c>
      <c r="C292" s="109">
        <v>136421</v>
      </c>
      <c r="D292" s="109">
        <v>1364</v>
      </c>
      <c r="E292" s="109">
        <v>97645</v>
      </c>
      <c r="F292" s="109">
        <v>72</v>
      </c>
      <c r="G292" s="109">
        <v>56</v>
      </c>
      <c r="H292" s="110">
        <v>85</v>
      </c>
    </row>
    <row r="293" spans="1:8" ht="15" customHeight="1">
      <c r="A293" s="103" t="s">
        <v>624</v>
      </c>
      <c r="B293" s="108" t="s">
        <v>625</v>
      </c>
      <c r="C293" s="109">
        <v>157527</v>
      </c>
      <c r="D293" s="109">
        <v>1575</v>
      </c>
      <c r="E293" s="109">
        <v>56085</v>
      </c>
      <c r="F293" s="109">
        <v>36</v>
      </c>
      <c r="G293" s="109">
        <v>30</v>
      </c>
      <c r="H293" s="110">
        <v>217</v>
      </c>
    </row>
    <row r="294" spans="1:8" ht="15" customHeight="1">
      <c r="A294" s="103" t="s">
        <v>626</v>
      </c>
      <c r="B294" s="108" t="s">
        <v>627</v>
      </c>
      <c r="C294" s="109">
        <v>79375</v>
      </c>
      <c r="D294" s="109">
        <v>794</v>
      </c>
      <c r="E294" s="109">
        <v>118489</v>
      </c>
      <c r="F294" s="109">
        <v>149</v>
      </c>
      <c r="G294" s="109">
        <v>182</v>
      </c>
      <c r="H294" s="110">
        <v>52</v>
      </c>
    </row>
    <row r="295" spans="1:8" ht="15" customHeight="1">
      <c r="A295" s="103" t="s">
        <v>628</v>
      </c>
      <c r="B295" s="108" t="s">
        <v>629</v>
      </c>
      <c r="C295" s="109">
        <v>112054</v>
      </c>
      <c r="D295" s="109">
        <v>1121</v>
      </c>
      <c r="E295" s="109">
        <v>139397</v>
      </c>
      <c r="F295" s="109">
        <v>124</v>
      </c>
      <c r="G295" s="109">
        <v>100</v>
      </c>
      <c r="H295" s="110">
        <v>31</v>
      </c>
    </row>
    <row r="296" spans="1:8" ht="15" customHeight="1">
      <c r="A296" s="103" t="s">
        <v>630</v>
      </c>
      <c r="B296" s="108" t="s">
        <v>631</v>
      </c>
      <c r="C296" s="109">
        <v>116567</v>
      </c>
      <c r="D296" s="109">
        <v>1166</v>
      </c>
      <c r="E296" s="109">
        <v>72688</v>
      </c>
      <c r="F296" s="109">
        <v>62</v>
      </c>
      <c r="G296" s="109">
        <v>90</v>
      </c>
      <c r="H296" s="110">
        <v>154</v>
      </c>
    </row>
    <row r="297" spans="1:8" ht="15" customHeight="1">
      <c r="A297" s="103" t="s">
        <v>632</v>
      </c>
      <c r="B297" s="108" t="s">
        <v>633</v>
      </c>
      <c r="C297" s="109">
        <v>83470</v>
      </c>
      <c r="D297" s="109">
        <v>835</v>
      </c>
      <c r="E297" s="109">
        <v>83174</v>
      </c>
      <c r="F297" s="109">
        <v>100</v>
      </c>
      <c r="G297" s="109">
        <v>170</v>
      </c>
      <c r="H297" s="110">
        <v>118</v>
      </c>
    </row>
    <row r="298" spans="1:8" ht="15" customHeight="1">
      <c r="A298" s="103" t="s">
        <v>634</v>
      </c>
      <c r="B298" s="108" t="s">
        <v>635</v>
      </c>
      <c r="C298" s="109">
        <v>70777</v>
      </c>
      <c r="D298" s="109">
        <v>708</v>
      </c>
      <c r="E298" s="109">
        <v>66115</v>
      </c>
      <c r="F298" s="109">
        <v>93</v>
      </c>
      <c r="G298" s="109">
        <v>215</v>
      </c>
      <c r="H298" s="110">
        <v>174</v>
      </c>
    </row>
    <row r="299" spans="1:8" ht="15" customHeight="1">
      <c r="A299" s="103" t="s">
        <v>636</v>
      </c>
      <c r="B299" s="108" t="s">
        <v>637</v>
      </c>
      <c r="C299" s="109">
        <v>49423</v>
      </c>
      <c r="D299" s="109">
        <v>494</v>
      </c>
      <c r="E299" s="109">
        <v>63470</v>
      </c>
      <c r="F299" s="109">
        <v>128</v>
      </c>
      <c r="G299" s="109">
        <v>282</v>
      </c>
      <c r="H299" s="110">
        <v>185</v>
      </c>
    </row>
    <row r="300" spans="1:8" ht="15" customHeight="1">
      <c r="A300" s="103" t="s">
        <v>638</v>
      </c>
      <c r="B300" s="108" t="s">
        <v>456</v>
      </c>
      <c r="C300" s="109">
        <v>67408</v>
      </c>
      <c r="D300" s="109">
        <v>674</v>
      </c>
      <c r="E300" s="109">
        <v>35580</v>
      </c>
      <c r="F300" s="109">
        <v>53</v>
      </c>
      <c r="G300" s="109">
        <v>230</v>
      </c>
      <c r="H300" s="110">
        <v>298</v>
      </c>
    </row>
    <row r="301" spans="1:8" ht="15" customHeight="1">
      <c r="A301" s="103" t="s">
        <v>639</v>
      </c>
      <c r="B301" s="108" t="s">
        <v>640</v>
      </c>
      <c r="C301" s="109">
        <v>58118</v>
      </c>
      <c r="D301" s="109">
        <v>581</v>
      </c>
      <c r="E301" s="109">
        <v>86684</v>
      </c>
      <c r="F301" s="109">
        <v>149</v>
      </c>
      <c r="G301" s="109">
        <v>262</v>
      </c>
      <c r="H301" s="110">
        <v>108</v>
      </c>
    </row>
    <row r="302" spans="1:8" ht="15" customHeight="1">
      <c r="A302" s="103" t="s">
        <v>641</v>
      </c>
      <c r="B302" s="108" t="s">
        <v>642</v>
      </c>
      <c r="C302" s="109">
        <v>230424</v>
      </c>
      <c r="D302" s="109">
        <v>2304</v>
      </c>
      <c r="E302" s="109">
        <v>98686</v>
      </c>
      <c r="F302" s="109">
        <v>43</v>
      </c>
      <c r="G302" s="109">
        <v>4</v>
      </c>
      <c r="H302" s="110">
        <v>83</v>
      </c>
    </row>
    <row r="303" spans="1:8" ht="15" customHeight="1">
      <c r="A303" s="103" t="s">
        <v>643</v>
      </c>
      <c r="B303" s="108" t="s">
        <v>644</v>
      </c>
      <c r="C303" s="109">
        <v>134534</v>
      </c>
      <c r="D303" s="109">
        <v>1345</v>
      </c>
      <c r="E303" s="109">
        <v>128186</v>
      </c>
      <c r="F303" s="109">
        <v>95</v>
      </c>
      <c r="G303" s="109">
        <v>59</v>
      </c>
      <c r="H303" s="110">
        <v>40</v>
      </c>
    </row>
    <row r="304" spans="1:8" ht="15" customHeight="1">
      <c r="A304" s="103" t="s">
        <v>645</v>
      </c>
      <c r="B304" s="108" t="s">
        <v>646</v>
      </c>
      <c r="C304" s="109">
        <v>73074</v>
      </c>
      <c r="D304" s="109">
        <v>731</v>
      </c>
      <c r="E304" s="109">
        <v>41302</v>
      </c>
      <c r="F304" s="109">
        <v>57</v>
      </c>
      <c r="G304" s="109">
        <v>203</v>
      </c>
      <c r="H304" s="110">
        <v>277</v>
      </c>
    </row>
    <row r="305" spans="1:8" ht="15" customHeight="1">
      <c r="A305" s="103" t="s">
        <v>647</v>
      </c>
      <c r="B305" s="108" t="s">
        <v>648</v>
      </c>
      <c r="C305" s="109">
        <v>69711</v>
      </c>
      <c r="D305" s="109">
        <v>697</v>
      </c>
      <c r="E305" s="109">
        <v>115728</v>
      </c>
      <c r="F305" s="109">
        <v>166</v>
      </c>
      <c r="G305" s="109">
        <v>219</v>
      </c>
      <c r="H305" s="110">
        <v>56</v>
      </c>
    </row>
    <row r="306" spans="1:8" ht="15" customHeight="1">
      <c r="A306" s="103" t="s">
        <v>649</v>
      </c>
      <c r="B306" s="108" t="s">
        <v>650</v>
      </c>
      <c r="C306" s="109">
        <v>128525</v>
      </c>
      <c r="D306" s="109">
        <v>1285</v>
      </c>
      <c r="E306" s="109">
        <v>217846</v>
      </c>
      <c r="F306" s="109">
        <v>169</v>
      </c>
      <c r="G306" s="109">
        <v>67</v>
      </c>
      <c r="H306" s="110">
        <v>4</v>
      </c>
    </row>
    <row r="307" spans="1:8" ht="15" customHeight="1">
      <c r="A307" s="103" t="s">
        <v>120</v>
      </c>
      <c r="B307" s="118" t="s">
        <v>203</v>
      </c>
      <c r="C307" s="109"/>
      <c r="D307" s="109"/>
      <c r="E307" s="109"/>
      <c r="F307" s="109"/>
      <c r="G307" s="109"/>
      <c r="H307" s="110"/>
    </row>
    <row r="308" spans="1:8" ht="15" customHeight="1">
      <c r="A308" s="114" t="s">
        <v>120</v>
      </c>
      <c r="B308" s="115" t="s">
        <v>204</v>
      </c>
      <c r="C308" s="116"/>
      <c r="D308" s="116"/>
      <c r="E308" s="116"/>
      <c r="F308" s="116"/>
      <c r="G308" s="116"/>
      <c r="H308" s="117"/>
    </row>
    <row r="309" spans="1:8" ht="15" customHeight="1">
      <c r="A309" s="103" t="s">
        <v>651</v>
      </c>
      <c r="B309" s="108" t="s">
        <v>652</v>
      </c>
      <c r="C309" s="109">
        <v>26196</v>
      </c>
      <c r="D309" s="109">
        <v>262</v>
      </c>
      <c r="E309" s="109">
        <v>470907</v>
      </c>
      <c r="F309" s="109">
        <v>1798</v>
      </c>
      <c r="G309" s="109">
        <v>7</v>
      </c>
      <c r="H309" s="110">
        <v>6</v>
      </c>
    </row>
    <row r="310" spans="1:8" ht="15" customHeight="1">
      <c r="A310" s="103" t="s">
        <v>653</v>
      </c>
      <c r="B310" s="108" t="s">
        <v>654</v>
      </c>
      <c r="C310" s="109">
        <v>13514</v>
      </c>
      <c r="D310" s="109">
        <v>135</v>
      </c>
      <c r="E310" s="109">
        <v>246348</v>
      </c>
      <c r="F310" s="109">
        <v>1823</v>
      </c>
      <c r="G310" s="109">
        <v>18</v>
      </c>
      <c r="H310" s="110">
        <v>12</v>
      </c>
    </row>
    <row r="311" spans="1:8" ht="15" customHeight="1">
      <c r="A311" s="103" t="s">
        <v>655</v>
      </c>
      <c r="B311" s="108" t="s">
        <v>656</v>
      </c>
      <c r="C311" s="109">
        <v>4315</v>
      </c>
      <c r="D311" s="109">
        <v>43</v>
      </c>
      <c r="E311" s="109">
        <v>90681</v>
      </c>
      <c r="F311" s="109">
        <v>2102</v>
      </c>
      <c r="G311" s="109">
        <v>54</v>
      </c>
      <c r="H311" s="110">
        <v>42</v>
      </c>
    </row>
    <row r="312" spans="1:8" ht="15" customHeight="1">
      <c r="A312" s="103" t="s">
        <v>657</v>
      </c>
      <c r="B312" s="108" t="s">
        <v>658</v>
      </c>
      <c r="C312" s="109">
        <v>1728</v>
      </c>
      <c r="D312" s="109">
        <v>17</v>
      </c>
      <c r="E312" s="109">
        <v>35719</v>
      </c>
      <c r="F312" s="109">
        <v>2067</v>
      </c>
      <c r="G312" s="109">
        <v>64</v>
      </c>
      <c r="H312" s="110">
        <v>66</v>
      </c>
    </row>
    <row r="313" spans="1:8" ht="15" customHeight="1">
      <c r="A313" s="269" t="s">
        <v>22</v>
      </c>
      <c r="B313" s="269"/>
      <c r="C313" s="269"/>
      <c r="D313" s="269"/>
      <c r="E313" s="269"/>
      <c r="F313" s="269"/>
      <c r="G313" s="269"/>
      <c r="H313" s="269"/>
    </row>
    <row r="314" spans="1:8" ht="15" customHeight="1">
      <c r="A314" s="103" t="s">
        <v>120</v>
      </c>
      <c r="B314" s="118" t="s">
        <v>384</v>
      </c>
      <c r="C314" s="109"/>
      <c r="D314" s="109"/>
      <c r="E314" s="109"/>
      <c r="F314" s="109"/>
      <c r="G314" s="109"/>
      <c r="H314" s="110"/>
    </row>
    <row r="315" spans="1:8" ht="15" customHeight="1">
      <c r="A315" s="114"/>
      <c r="B315" s="115" t="s">
        <v>215</v>
      </c>
      <c r="C315" s="116"/>
      <c r="D315" s="116"/>
      <c r="E315" s="116"/>
      <c r="F315" s="116"/>
      <c r="G315" s="116"/>
      <c r="H315" s="117"/>
    </row>
    <row r="316" spans="1:8" ht="15" customHeight="1">
      <c r="A316" s="103" t="s">
        <v>659</v>
      </c>
      <c r="B316" s="108" t="s">
        <v>660</v>
      </c>
      <c r="C316" s="109">
        <v>36413</v>
      </c>
      <c r="D316" s="109">
        <v>364</v>
      </c>
      <c r="E316" s="109">
        <v>148089</v>
      </c>
      <c r="F316" s="109">
        <v>407</v>
      </c>
      <c r="G316" s="109">
        <v>307</v>
      </c>
      <c r="H316" s="110">
        <v>28</v>
      </c>
    </row>
    <row r="317" spans="1:8" ht="15" customHeight="1">
      <c r="A317" s="103" t="s">
        <v>661</v>
      </c>
      <c r="B317" s="108" t="s">
        <v>591</v>
      </c>
      <c r="C317" s="109">
        <v>45864</v>
      </c>
      <c r="D317" s="109">
        <v>459</v>
      </c>
      <c r="E317" s="109">
        <v>165960</v>
      </c>
      <c r="F317" s="109">
        <v>362</v>
      </c>
      <c r="G317" s="109">
        <v>290</v>
      </c>
      <c r="H317" s="110">
        <v>13</v>
      </c>
    </row>
    <row r="318" spans="1:8" ht="15" customHeight="1">
      <c r="A318" s="103" t="s">
        <v>662</v>
      </c>
      <c r="B318" s="108" t="s">
        <v>663</v>
      </c>
      <c r="C318" s="109">
        <v>15815</v>
      </c>
      <c r="D318" s="109">
        <v>158</v>
      </c>
      <c r="E318" s="109">
        <v>59776</v>
      </c>
      <c r="F318" s="109">
        <v>378</v>
      </c>
      <c r="G318" s="109">
        <v>313</v>
      </c>
      <c r="H318" s="110">
        <v>198</v>
      </c>
    </row>
    <row r="319" spans="1:8" ht="15" customHeight="1">
      <c r="A319" s="103" t="s">
        <v>664</v>
      </c>
      <c r="B319" s="108" t="s">
        <v>665</v>
      </c>
      <c r="C319" s="109">
        <v>73029</v>
      </c>
      <c r="D319" s="109">
        <v>730</v>
      </c>
      <c r="E319" s="109">
        <v>178191</v>
      </c>
      <c r="F319" s="109">
        <v>244</v>
      </c>
      <c r="G319" s="109">
        <v>204</v>
      </c>
      <c r="H319" s="110">
        <v>10</v>
      </c>
    </row>
    <row r="320" spans="1:8" ht="15" customHeight="1">
      <c r="A320" s="103" t="s">
        <v>666</v>
      </c>
      <c r="B320" s="108" t="s">
        <v>667</v>
      </c>
      <c r="C320" s="109">
        <v>152205</v>
      </c>
      <c r="D320" s="109">
        <v>1521</v>
      </c>
      <c r="E320" s="109">
        <v>134555</v>
      </c>
      <c r="F320" s="109">
        <v>88</v>
      </c>
      <c r="G320" s="109">
        <v>34</v>
      </c>
      <c r="H320" s="110">
        <v>36</v>
      </c>
    </row>
    <row r="321" spans="1:8" ht="15" customHeight="1">
      <c r="A321" s="103" t="s">
        <v>668</v>
      </c>
      <c r="B321" s="108" t="s">
        <v>669</v>
      </c>
      <c r="C321" s="109">
        <v>66437</v>
      </c>
      <c r="D321" s="109">
        <v>664</v>
      </c>
      <c r="E321" s="109">
        <v>115528</v>
      </c>
      <c r="F321" s="109">
        <v>174</v>
      </c>
      <c r="G321" s="109">
        <v>234</v>
      </c>
      <c r="H321" s="110">
        <v>57</v>
      </c>
    </row>
    <row r="322" spans="1:8" ht="15" customHeight="1">
      <c r="A322" s="103" t="s">
        <v>670</v>
      </c>
      <c r="B322" s="108" t="s">
        <v>671</v>
      </c>
      <c r="C322" s="109">
        <v>88859</v>
      </c>
      <c r="D322" s="109">
        <v>889</v>
      </c>
      <c r="E322" s="109">
        <v>84591</v>
      </c>
      <c r="F322" s="109">
        <v>95</v>
      </c>
      <c r="G322" s="109">
        <v>154</v>
      </c>
      <c r="H322" s="110">
        <v>115</v>
      </c>
    </row>
    <row r="323" spans="1:8" ht="15" customHeight="1">
      <c r="A323" s="103" t="s">
        <v>672</v>
      </c>
      <c r="B323" s="108" t="s">
        <v>673</v>
      </c>
      <c r="C323" s="109">
        <v>82225</v>
      </c>
      <c r="D323" s="109">
        <v>822</v>
      </c>
      <c r="E323" s="109">
        <v>76451</v>
      </c>
      <c r="F323" s="109">
        <v>93</v>
      </c>
      <c r="G323" s="109">
        <v>174</v>
      </c>
      <c r="H323" s="110">
        <v>142</v>
      </c>
    </row>
    <row r="324" spans="1:8" ht="15" customHeight="1">
      <c r="A324" s="103" t="s">
        <v>674</v>
      </c>
      <c r="B324" s="108" t="s">
        <v>675</v>
      </c>
      <c r="C324" s="109">
        <v>23310</v>
      </c>
      <c r="D324" s="109">
        <v>233</v>
      </c>
      <c r="E324" s="109">
        <v>98990</v>
      </c>
      <c r="F324" s="109">
        <v>425</v>
      </c>
      <c r="G324" s="109">
        <v>311</v>
      </c>
      <c r="H324" s="110">
        <v>81</v>
      </c>
    </row>
    <row r="325" spans="1:8" ht="15" customHeight="1">
      <c r="A325" s="103" t="s">
        <v>676</v>
      </c>
      <c r="B325" s="108" t="s">
        <v>677</v>
      </c>
      <c r="C325" s="109">
        <v>47925</v>
      </c>
      <c r="D325" s="109">
        <v>479</v>
      </c>
      <c r="E325" s="109">
        <v>70880</v>
      </c>
      <c r="F325" s="109">
        <v>148</v>
      </c>
      <c r="G325" s="109">
        <v>284</v>
      </c>
      <c r="H325" s="110">
        <v>163</v>
      </c>
    </row>
    <row r="326" spans="1:8" ht="15" customHeight="1">
      <c r="A326" s="103" t="s">
        <v>678</v>
      </c>
      <c r="B326" s="108" t="s">
        <v>679</v>
      </c>
      <c r="C326" s="109">
        <v>47116</v>
      </c>
      <c r="D326" s="109">
        <v>471</v>
      </c>
      <c r="E326" s="109">
        <v>111539</v>
      </c>
      <c r="F326" s="109">
        <v>237</v>
      </c>
      <c r="G326" s="109">
        <v>288</v>
      </c>
      <c r="H326" s="110">
        <v>63</v>
      </c>
    </row>
    <row r="327" spans="1:8" ht="15" customHeight="1">
      <c r="A327" s="103" t="s">
        <v>680</v>
      </c>
      <c r="B327" s="108" t="s">
        <v>681</v>
      </c>
      <c r="C327" s="109">
        <v>54376</v>
      </c>
      <c r="D327" s="109">
        <v>544</v>
      </c>
      <c r="E327" s="109">
        <v>108211</v>
      </c>
      <c r="F327" s="109">
        <v>199</v>
      </c>
      <c r="G327" s="109">
        <v>270</v>
      </c>
      <c r="H327" s="110">
        <v>71</v>
      </c>
    </row>
    <row r="328" spans="1:8" ht="15" customHeight="1">
      <c r="A328" s="103" t="s">
        <v>682</v>
      </c>
      <c r="B328" s="108" t="s">
        <v>683</v>
      </c>
      <c r="C328" s="109">
        <v>22364</v>
      </c>
      <c r="D328" s="109">
        <v>224</v>
      </c>
      <c r="E328" s="109">
        <v>78213</v>
      </c>
      <c r="F328" s="109">
        <v>350</v>
      </c>
      <c r="G328" s="109">
        <v>312</v>
      </c>
      <c r="H328" s="110">
        <v>134</v>
      </c>
    </row>
    <row r="329" spans="1:8" ht="15" customHeight="1">
      <c r="A329" s="103" t="s">
        <v>684</v>
      </c>
      <c r="B329" s="108" t="s">
        <v>685</v>
      </c>
      <c r="C329" s="109">
        <v>64419</v>
      </c>
      <c r="D329" s="109">
        <v>644</v>
      </c>
      <c r="E329" s="109">
        <v>140519</v>
      </c>
      <c r="F329" s="109">
        <v>218</v>
      </c>
      <c r="G329" s="109">
        <v>238</v>
      </c>
      <c r="H329" s="110">
        <v>30</v>
      </c>
    </row>
    <row r="330" spans="1:8" ht="15" customHeight="1">
      <c r="A330" s="103" t="s">
        <v>686</v>
      </c>
      <c r="B330" s="108" t="s">
        <v>687</v>
      </c>
      <c r="C330" s="109">
        <v>28675</v>
      </c>
      <c r="D330" s="109">
        <v>287</v>
      </c>
      <c r="E330" s="109">
        <v>157088</v>
      </c>
      <c r="F330" s="109">
        <v>548</v>
      </c>
      <c r="G330" s="109">
        <v>309</v>
      </c>
      <c r="H330" s="110">
        <v>19</v>
      </c>
    </row>
    <row r="331" spans="1:8" ht="15" customHeight="1">
      <c r="A331" s="103" t="s">
        <v>688</v>
      </c>
      <c r="B331" s="108" t="s">
        <v>689</v>
      </c>
      <c r="C331" s="109">
        <v>100223</v>
      </c>
      <c r="D331" s="109">
        <v>1003</v>
      </c>
      <c r="E331" s="109">
        <v>117624</v>
      </c>
      <c r="F331" s="109">
        <v>117</v>
      </c>
      <c r="G331" s="109">
        <v>128</v>
      </c>
      <c r="H331" s="110">
        <v>54</v>
      </c>
    </row>
    <row r="332" spans="1:8" ht="15" customHeight="1">
      <c r="A332" s="103" t="s">
        <v>690</v>
      </c>
      <c r="B332" s="108" t="s">
        <v>691</v>
      </c>
      <c r="C332" s="109">
        <v>104006</v>
      </c>
      <c r="D332" s="109">
        <v>1040</v>
      </c>
      <c r="E332" s="109">
        <v>152756</v>
      </c>
      <c r="F332" s="109">
        <v>147</v>
      </c>
      <c r="G332" s="109">
        <v>115</v>
      </c>
      <c r="H332" s="110">
        <v>24</v>
      </c>
    </row>
    <row r="333" spans="1:8" ht="15" customHeight="1">
      <c r="A333" s="103" t="s">
        <v>120</v>
      </c>
      <c r="B333" s="118" t="s">
        <v>203</v>
      </c>
      <c r="C333" s="109"/>
      <c r="D333" s="109"/>
      <c r="E333" s="109"/>
      <c r="F333" s="109"/>
      <c r="G333" s="109"/>
      <c r="H333" s="110"/>
    </row>
    <row r="334" spans="1:8" ht="15" customHeight="1">
      <c r="A334" s="114" t="s">
        <v>120</v>
      </c>
      <c r="B334" s="115" t="s">
        <v>204</v>
      </c>
      <c r="C334" s="116"/>
      <c r="D334" s="116"/>
      <c r="E334" s="116"/>
      <c r="F334" s="116"/>
      <c r="G334" s="116"/>
      <c r="H334" s="117"/>
    </row>
    <row r="335" spans="1:8" ht="15" customHeight="1">
      <c r="A335" s="103" t="s">
        <v>692</v>
      </c>
      <c r="B335" s="108" t="s">
        <v>693</v>
      </c>
      <c r="C335" s="109">
        <v>12451</v>
      </c>
      <c r="D335" s="109">
        <v>125</v>
      </c>
      <c r="E335" s="109">
        <v>170663</v>
      </c>
      <c r="F335" s="109">
        <v>1371</v>
      </c>
      <c r="G335" s="109">
        <v>21</v>
      </c>
      <c r="H335" s="110">
        <v>22</v>
      </c>
    </row>
    <row r="336" spans="1:8" ht="15" customHeight="1">
      <c r="A336" s="103" t="s">
        <v>694</v>
      </c>
      <c r="B336" s="108" t="s">
        <v>695</v>
      </c>
      <c r="C336" s="109">
        <v>6944</v>
      </c>
      <c r="D336" s="109">
        <v>69</v>
      </c>
      <c r="E336" s="109">
        <v>165263</v>
      </c>
      <c r="F336" s="109">
        <v>2380</v>
      </c>
      <c r="G336" s="109">
        <v>42</v>
      </c>
      <c r="H336" s="110">
        <v>23</v>
      </c>
    </row>
    <row r="337" spans="1:8" ht="15" customHeight="1">
      <c r="A337" s="103" t="s">
        <v>696</v>
      </c>
      <c r="B337" s="108" t="s">
        <v>697</v>
      </c>
      <c r="C337" s="109">
        <v>3324</v>
      </c>
      <c r="D337" s="109">
        <v>33</v>
      </c>
      <c r="E337" s="109">
        <v>107807</v>
      </c>
      <c r="F337" s="109">
        <v>3243</v>
      </c>
      <c r="G337" s="109">
        <v>59</v>
      </c>
      <c r="H337" s="110">
        <v>36</v>
      </c>
    </row>
    <row r="338" spans="1:8" ht="15" customHeight="1">
      <c r="A338" s="103" t="s">
        <v>698</v>
      </c>
      <c r="B338" s="108" t="s">
        <v>699</v>
      </c>
      <c r="C338" s="109">
        <v>15971</v>
      </c>
      <c r="D338" s="109">
        <v>160</v>
      </c>
      <c r="E338" s="109">
        <v>220433</v>
      </c>
      <c r="F338" s="109">
        <v>1380</v>
      </c>
      <c r="G338" s="109">
        <v>13</v>
      </c>
      <c r="H338" s="110">
        <v>13</v>
      </c>
    </row>
    <row r="339" spans="1:8" ht="15" customHeight="1">
      <c r="A339" s="103" t="s">
        <v>700</v>
      </c>
      <c r="B339" s="108" t="s">
        <v>701</v>
      </c>
      <c r="C339" s="109">
        <v>18873</v>
      </c>
      <c r="D339" s="109">
        <v>189</v>
      </c>
      <c r="E339" s="109">
        <v>119373</v>
      </c>
      <c r="F339" s="109">
        <v>633</v>
      </c>
      <c r="G339" s="109">
        <v>10</v>
      </c>
      <c r="H339" s="110">
        <v>31</v>
      </c>
    </row>
    <row r="340" spans="1:8" ht="15" customHeight="1">
      <c r="A340" s="103" t="s">
        <v>702</v>
      </c>
      <c r="B340" s="108" t="s">
        <v>703</v>
      </c>
      <c r="C340" s="109">
        <v>13388</v>
      </c>
      <c r="D340" s="109">
        <v>134</v>
      </c>
      <c r="E340" s="109">
        <v>178603</v>
      </c>
      <c r="F340" s="109">
        <v>1334</v>
      </c>
      <c r="G340" s="109">
        <v>19</v>
      </c>
      <c r="H340" s="110">
        <v>19</v>
      </c>
    </row>
    <row r="341" spans="1:8" ht="15" customHeight="1">
      <c r="A341" s="103" t="s">
        <v>704</v>
      </c>
      <c r="B341" s="108" t="s">
        <v>705</v>
      </c>
      <c r="C341" s="109">
        <v>8533</v>
      </c>
      <c r="D341" s="109">
        <v>85</v>
      </c>
      <c r="E341" s="109">
        <v>88743</v>
      </c>
      <c r="F341" s="109">
        <v>1040</v>
      </c>
      <c r="G341" s="109">
        <v>33</v>
      </c>
      <c r="H341" s="110">
        <v>43</v>
      </c>
    </row>
    <row r="342" spans="1:8" ht="15" customHeight="1">
      <c r="A342" s="103" t="s">
        <v>706</v>
      </c>
      <c r="B342" s="108" t="s">
        <v>707</v>
      </c>
      <c r="C342" s="109">
        <v>15259</v>
      </c>
      <c r="D342" s="109">
        <v>153</v>
      </c>
      <c r="E342" s="109">
        <v>91115</v>
      </c>
      <c r="F342" s="109">
        <v>597</v>
      </c>
      <c r="G342" s="109">
        <v>14</v>
      </c>
      <c r="H342" s="110">
        <v>41</v>
      </c>
    </row>
    <row r="343" spans="1:8" ht="15" customHeight="1">
      <c r="A343" s="103" t="s">
        <v>708</v>
      </c>
      <c r="B343" s="108" t="s">
        <v>709</v>
      </c>
      <c r="C343" s="109">
        <v>16464</v>
      </c>
      <c r="D343" s="109">
        <v>165</v>
      </c>
      <c r="E343" s="109">
        <v>292774</v>
      </c>
      <c r="F343" s="109">
        <v>1778</v>
      </c>
      <c r="G343" s="109">
        <v>12</v>
      </c>
      <c r="H343" s="110">
        <v>11</v>
      </c>
    </row>
    <row r="344" spans="1:8" ht="15" customHeight="1">
      <c r="A344" s="103" t="s">
        <v>710</v>
      </c>
      <c r="B344" s="108" t="s">
        <v>711</v>
      </c>
      <c r="C344" s="109">
        <v>6562</v>
      </c>
      <c r="D344" s="109">
        <v>66</v>
      </c>
      <c r="E344" s="109">
        <v>74618</v>
      </c>
      <c r="F344" s="109">
        <v>1137</v>
      </c>
      <c r="G344" s="109">
        <v>45</v>
      </c>
      <c r="H344" s="110">
        <v>47</v>
      </c>
    </row>
    <row r="345" spans="1:8" ht="15" customHeight="1">
      <c r="A345" s="103" t="s">
        <v>712</v>
      </c>
      <c r="B345" s="108" t="s">
        <v>713</v>
      </c>
      <c r="C345" s="109">
        <v>3998</v>
      </c>
      <c r="D345" s="109">
        <v>40</v>
      </c>
      <c r="E345" s="109">
        <v>55030</v>
      </c>
      <c r="F345" s="109">
        <v>1376</v>
      </c>
      <c r="G345" s="109">
        <v>55</v>
      </c>
      <c r="H345" s="110">
        <v>59</v>
      </c>
    </row>
    <row r="346" spans="1:8" ht="15" customHeight="1">
      <c r="A346" s="103" t="s">
        <v>714</v>
      </c>
      <c r="B346" s="108" t="s">
        <v>715</v>
      </c>
      <c r="C346" s="109">
        <v>7773</v>
      </c>
      <c r="D346" s="109">
        <v>78</v>
      </c>
      <c r="E346" s="109">
        <v>137360</v>
      </c>
      <c r="F346" s="109">
        <v>1767</v>
      </c>
      <c r="G346" s="109">
        <v>40</v>
      </c>
      <c r="H346" s="110">
        <v>26</v>
      </c>
    </row>
    <row r="347" spans="1:8" ht="15" customHeight="1">
      <c r="A347" s="103" t="s">
        <v>716</v>
      </c>
      <c r="B347" s="108" t="s">
        <v>717</v>
      </c>
      <c r="C347" s="109">
        <v>14836</v>
      </c>
      <c r="D347" s="109">
        <v>148</v>
      </c>
      <c r="E347" s="109">
        <v>138098</v>
      </c>
      <c r="F347" s="109">
        <v>931</v>
      </c>
      <c r="G347" s="109">
        <v>16</v>
      </c>
      <c r="H347" s="110">
        <v>25</v>
      </c>
    </row>
    <row r="348" spans="1:8" ht="15" customHeight="1">
      <c r="A348" s="103" t="s">
        <v>718</v>
      </c>
      <c r="B348" s="108" t="s">
        <v>719</v>
      </c>
      <c r="C348" s="109">
        <v>2550</v>
      </c>
      <c r="D348" s="109">
        <v>25</v>
      </c>
      <c r="E348" s="109">
        <v>66841</v>
      </c>
      <c r="F348" s="109">
        <v>2621</v>
      </c>
      <c r="G348" s="109">
        <v>63</v>
      </c>
      <c r="H348" s="110">
        <v>51</v>
      </c>
    </row>
    <row r="349" spans="1:8" ht="15" customHeight="1">
      <c r="A349" s="103" t="s">
        <v>720</v>
      </c>
      <c r="B349" s="108" t="s">
        <v>721</v>
      </c>
      <c r="C349" s="109">
        <v>9106</v>
      </c>
      <c r="D349" s="109">
        <v>91</v>
      </c>
      <c r="E349" s="109">
        <v>199974</v>
      </c>
      <c r="F349" s="109">
        <v>2196</v>
      </c>
      <c r="G349" s="109">
        <v>28</v>
      </c>
      <c r="H349" s="110">
        <v>16</v>
      </c>
    </row>
    <row r="350" spans="1:8" ht="15" customHeight="1">
      <c r="A350" s="103" t="s">
        <v>722</v>
      </c>
      <c r="B350" s="108" t="s">
        <v>723</v>
      </c>
      <c r="C350" s="109">
        <v>1331</v>
      </c>
      <c r="D350" s="109">
        <v>13</v>
      </c>
      <c r="E350" s="109">
        <v>49557</v>
      </c>
      <c r="F350" s="109">
        <v>3723</v>
      </c>
      <c r="G350" s="109">
        <v>65</v>
      </c>
      <c r="H350" s="110">
        <v>61</v>
      </c>
    </row>
    <row r="351" spans="1:8" ht="15" customHeight="1">
      <c r="A351" s="103" t="s">
        <v>724</v>
      </c>
      <c r="B351" s="108" t="s">
        <v>725</v>
      </c>
      <c r="C351" s="109">
        <v>8181</v>
      </c>
      <c r="D351" s="109">
        <v>82</v>
      </c>
      <c r="E351" s="109">
        <v>127590</v>
      </c>
      <c r="F351" s="109">
        <v>1560</v>
      </c>
      <c r="G351" s="109">
        <v>37</v>
      </c>
      <c r="H351" s="110">
        <v>28</v>
      </c>
    </row>
    <row r="352" spans="1:8" ht="15" customHeight="1">
      <c r="A352" s="103" t="s">
        <v>726</v>
      </c>
      <c r="B352" s="108" t="s">
        <v>727</v>
      </c>
      <c r="C352" s="109">
        <v>8040</v>
      </c>
      <c r="D352" s="109">
        <v>80</v>
      </c>
      <c r="E352" s="109">
        <v>172360</v>
      </c>
      <c r="F352" s="109">
        <v>2144</v>
      </c>
      <c r="G352" s="109">
        <v>38</v>
      </c>
      <c r="H352" s="110">
        <v>20</v>
      </c>
    </row>
    <row r="353" spans="1:8" ht="15" customHeight="1">
      <c r="A353" s="103" t="s">
        <v>728</v>
      </c>
      <c r="B353" s="108" t="s">
        <v>729</v>
      </c>
      <c r="C353" s="109">
        <v>6464</v>
      </c>
      <c r="D353" s="109">
        <v>65</v>
      </c>
      <c r="E353" s="109">
        <v>62472</v>
      </c>
      <c r="F353" s="109">
        <v>966</v>
      </c>
      <c r="G353" s="109">
        <v>47</v>
      </c>
      <c r="H353" s="110">
        <v>55</v>
      </c>
    </row>
    <row r="354" spans="1:8" s="119" customFormat="1" ht="15" customHeight="1">
      <c r="A354" s="268" t="s">
        <v>23</v>
      </c>
      <c r="B354" s="268"/>
      <c r="C354" s="268"/>
      <c r="D354" s="268"/>
      <c r="E354" s="268"/>
      <c r="F354" s="268"/>
      <c r="G354" s="268"/>
      <c r="H354" s="269"/>
    </row>
    <row r="355" spans="1:8" ht="15" customHeight="1">
      <c r="A355" s="103" t="s">
        <v>120</v>
      </c>
      <c r="B355" s="118" t="s">
        <v>384</v>
      </c>
      <c r="C355" s="109"/>
      <c r="D355" s="109"/>
      <c r="E355" s="109"/>
      <c r="F355" s="109"/>
      <c r="G355" s="109"/>
      <c r="H355" s="110"/>
    </row>
    <row r="356" spans="1:8" ht="15" customHeight="1">
      <c r="A356" s="114"/>
      <c r="B356" s="115" t="s">
        <v>215</v>
      </c>
      <c r="C356" s="116"/>
      <c r="D356" s="116"/>
      <c r="E356" s="116"/>
      <c r="F356" s="116"/>
      <c r="G356" s="116"/>
      <c r="H356" s="117"/>
    </row>
    <row r="357" spans="1:8" ht="15" customHeight="1">
      <c r="A357" s="103" t="s">
        <v>730</v>
      </c>
      <c r="B357" s="108" t="s">
        <v>731</v>
      </c>
      <c r="C357" s="109">
        <v>96800</v>
      </c>
      <c r="D357" s="109">
        <v>968</v>
      </c>
      <c r="E357" s="109">
        <v>71596</v>
      </c>
      <c r="F357" s="109">
        <v>74</v>
      </c>
      <c r="G357" s="109">
        <v>134</v>
      </c>
      <c r="H357" s="110">
        <v>161</v>
      </c>
    </row>
    <row r="358" spans="1:8" ht="15" customHeight="1">
      <c r="A358" s="103" t="s">
        <v>732</v>
      </c>
      <c r="B358" s="108" t="s">
        <v>733</v>
      </c>
      <c r="C358" s="109">
        <v>125696</v>
      </c>
      <c r="D358" s="109">
        <v>1257</v>
      </c>
      <c r="E358" s="109">
        <v>85379</v>
      </c>
      <c r="F358" s="109">
        <v>68</v>
      </c>
      <c r="G358" s="109">
        <v>72</v>
      </c>
      <c r="H358" s="110">
        <v>112</v>
      </c>
    </row>
    <row r="359" spans="1:8" ht="15" customHeight="1">
      <c r="A359" s="103" t="s">
        <v>734</v>
      </c>
      <c r="B359" s="108" t="s">
        <v>735</v>
      </c>
      <c r="C359" s="109">
        <v>42218</v>
      </c>
      <c r="D359" s="109">
        <v>422</v>
      </c>
      <c r="E359" s="109">
        <v>33619</v>
      </c>
      <c r="F359" s="109">
        <v>80</v>
      </c>
      <c r="G359" s="109">
        <v>297</v>
      </c>
      <c r="H359" s="110">
        <v>305</v>
      </c>
    </row>
    <row r="360" spans="1:8" ht="15" customHeight="1">
      <c r="A360" s="103" t="s">
        <v>736</v>
      </c>
      <c r="B360" s="108" t="s">
        <v>737</v>
      </c>
      <c r="C360" s="109">
        <v>224607</v>
      </c>
      <c r="D360" s="109">
        <v>2246</v>
      </c>
      <c r="E360" s="109">
        <v>211259</v>
      </c>
      <c r="F360" s="109">
        <v>94</v>
      </c>
      <c r="G360" s="109">
        <v>5</v>
      </c>
      <c r="H360" s="110">
        <v>6</v>
      </c>
    </row>
    <row r="361" spans="1:8" ht="15" customHeight="1">
      <c r="A361" s="103" t="s">
        <v>738</v>
      </c>
      <c r="B361" s="108" t="s">
        <v>739</v>
      </c>
      <c r="C361" s="109">
        <v>113972</v>
      </c>
      <c r="D361" s="109">
        <v>1139</v>
      </c>
      <c r="E361" s="109">
        <v>79858</v>
      </c>
      <c r="F361" s="109">
        <v>70</v>
      </c>
      <c r="G361" s="109">
        <v>96</v>
      </c>
      <c r="H361" s="110">
        <v>126</v>
      </c>
    </row>
    <row r="362" spans="1:8" ht="15" customHeight="1">
      <c r="A362" s="103" t="s">
        <v>740</v>
      </c>
      <c r="B362" s="108" t="s">
        <v>741</v>
      </c>
      <c r="C362" s="109">
        <v>91090</v>
      </c>
      <c r="D362" s="109">
        <v>911</v>
      </c>
      <c r="E362" s="109">
        <v>52089</v>
      </c>
      <c r="F362" s="109">
        <v>57</v>
      </c>
      <c r="G362" s="109">
        <v>152</v>
      </c>
      <c r="H362" s="110">
        <v>234</v>
      </c>
    </row>
    <row r="363" spans="1:8" ht="15" customHeight="1">
      <c r="A363" s="103" t="s">
        <v>742</v>
      </c>
      <c r="B363" s="108" t="s">
        <v>743</v>
      </c>
      <c r="C363" s="109">
        <v>61678</v>
      </c>
      <c r="D363" s="109">
        <v>617</v>
      </c>
      <c r="E363" s="109">
        <v>108964</v>
      </c>
      <c r="F363" s="109">
        <v>177</v>
      </c>
      <c r="G363" s="109">
        <v>250</v>
      </c>
      <c r="H363" s="110">
        <v>68</v>
      </c>
    </row>
    <row r="364" spans="1:8" ht="15" customHeight="1">
      <c r="A364" s="103" t="s">
        <v>744</v>
      </c>
      <c r="B364" s="108" t="s">
        <v>745</v>
      </c>
      <c r="C364" s="109">
        <v>61285</v>
      </c>
      <c r="D364" s="109">
        <v>613</v>
      </c>
      <c r="E364" s="109">
        <v>38926</v>
      </c>
      <c r="F364" s="109">
        <v>64</v>
      </c>
      <c r="G364" s="109">
        <v>254</v>
      </c>
      <c r="H364" s="110">
        <v>287</v>
      </c>
    </row>
    <row r="365" spans="1:8" ht="15" customHeight="1">
      <c r="A365" s="103" t="s">
        <v>746</v>
      </c>
      <c r="B365" s="108" t="s">
        <v>747</v>
      </c>
      <c r="C365" s="109">
        <v>67589</v>
      </c>
      <c r="D365" s="109">
        <v>676</v>
      </c>
      <c r="E365" s="109">
        <v>77017</v>
      </c>
      <c r="F365" s="109">
        <v>114</v>
      </c>
      <c r="G365" s="109">
        <v>227</v>
      </c>
      <c r="H365" s="110">
        <v>140</v>
      </c>
    </row>
    <row r="366" spans="1:8" ht="15" customHeight="1">
      <c r="A366" s="103" t="s">
        <v>748</v>
      </c>
      <c r="B366" s="108" t="s">
        <v>749</v>
      </c>
      <c r="C366" s="109">
        <v>39543</v>
      </c>
      <c r="D366" s="109">
        <v>395</v>
      </c>
      <c r="E366" s="109">
        <v>73991</v>
      </c>
      <c r="F366" s="109">
        <v>187</v>
      </c>
      <c r="G366" s="109">
        <v>302</v>
      </c>
      <c r="H366" s="110">
        <v>153</v>
      </c>
    </row>
    <row r="367" spans="1:8" ht="15" customHeight="1">
      <c r="A367" s="103" t="s">
        <v>750</v>
      </c>
      <c r="B367" s="108" t="s">
        <v>751</v>
      </c>
      <c r="C367" s="109">
        <v>52341</v>
      </c>
      <c r="D367" s="109">
        <v>523</v>
      </c>
      <c r="E367" s="109">
        <v>89576</v>
      </c>
      <c r="F367" s="109">
        <v>171</v>
      </c>
      <c r="G367" s="109">
        <v>277</v>
      </c>
      <c r="H367" s="110">
        <v>99</v>
      </c>
    </row>
    <row r="368" spans="1:8" ht="15" customHeight="1">
      <c r="A368" s="103" t="s">
        <v>752</v>
      </c>
      <c r="B368" s="108" t="s">
        <v>753</v>
      </c>
      <c r="C368" s="109">
        <v>92480</v>
      </c>
      <c r="D368" s="109">
        <v>925</v>
      </c>
      <c r="E368" s="109">
        <v>71776</v>
      </c>
      <c r="F368" s="109">
        <v>78</v>
      </c>
      <c r="G368" s="109">
        <v>150</v>
      </c>
      <c r="H368" s="110">
        <v>160</v>
      </c>
    </row>
    <row r="369" spans="1:8" ht="15" customHeight="1">
      <c r="A369" s="103" t="s">
        <v>754</v>
      </c>
      <c r="B369" s="108" t="s">
        <v>755</v>
      </c>
      <c r="C369" s="109">
        <v>90786</v>
      </c>
      <c r="D369" s="109">
        <v>908</v>
      </c>
      <c r="E369" s="109">
        <v>45059</v>
      </c>
      <c r="F369" s="109">
        <v>50</v>
      </c>
      <c r="G369" s="109">
        <v>153</v>
      </c>
      <c r="H369" s="110">
        <v>261</v>
      </c>
    </row>
    <row r="370" spans="1:8" ht="15" customHeight="1">
      <c r="A370" s="103" t="s">
        <v>120</v>
      </c>
      <c r="B370" s="118" t="s">
        <v>533</v>
      </c>
      <c r="C370" s="109"/>
      <c r="D370" s="109"/>
      <c r="E370" s="109"/>
      <c r="F370" s="109"/>
      <c r="G370" s="109"/>
      <c r="H370" s="110"/>
    </row>
    <row r="371" spans="1:8" ht="15" customHeight="1">
      <c r="A371" s="103" t="s">
        <v>120</v>
      </c>
      <c r="B371" s="120" t="s">
        <v>534</v>
      </c>
      <c r="C371" s="109"/>
      <c r="D371" s="109"/>
      <c r="E371" s="109"/>
      <c r="F371" s="109"/>
      <c r="G371" s="109"/>
      <c r="H371" s="110"/>
    </row>
    <row r="372" spans="1:8" ht="15" customHeight="1">
      <c r="A372" s="103" t="s">
        <v>756</v>
      </c>
      <c r="B372" s="108" t="s">
        <v>757</v>
      </c>
      <c r="C372" s="109">
        <v>10965</v>
      </c>
      <c r="D372" s="109">
        <v>110</v>
      </c>
      <c r="E372" s="109">
        <v>194852</v>
      </c>
      <c r="F372" s="109">
        <v>1777</v>
      </c>
      <c r="G372" s="109">
        <v>24</v>
      </c>
      <c r="H372" s="110">
        <v>18</v>
      </c>
    </row>
    <row r="373" spans="1:8" ht="15" customHeight="1">
      <c r="A373" s="269" t="s">
        <v>758</v>
      </c>
      <c r="B373" s="269"/>
      <c r="C373" s="269"/>
      <c r="D373" s="269"/>
      <c r="E373" s="269"/>
      <c r="F373" s="269"/>
      <c r="G373" s="269"/>
      <c r="H373" s="269"/>
    </row>
    <row r="374" spans="1:8" ht="15" customHeight="1">
      <c r="A374" s="103" t="s">
        <v>120</v>
      </c>
      <c r="B374" s="118" t="s">
        <v>384</v>
      </c>
      <c r="C374" s="109"/>
      <c r="D374" s="109"/>
      <c r="E374" s="109"/>
      <c r="F374" s="109"/>
      <c r="G374" s="109"/>
      <c r="H374" s="110"/>
    </row>
    <row r="375" spans="1:8" ht="15" customHeight="1">
      <c r="A375" s="114"/>
      <c r="B375" s="115" t="s">
        <v>215</v>
      </c>
      <c r="C375" s="116"/>
      <c r="D375" s="116"/>
      <c r="E375" s="116"/>
      <c r="F375" s="116"/>
      <c r="G375" s="116"/>
      <c r="H375" s="117"/>
    </row>
    <row r="376" spans="1:8" ht="15" customHeight="1">
      <c r="A376" s="103" t="s">
        <v>759</v>
      </c>
      <c r="B376" s="108" t="s">
        <v>760</v>
      </c>
      <c r="C376" s="109">
        <v>130749</v>
      </c>
      <c r="D376" s="109">
        <v>1307</v>
      </c>
      <c r="E376" s="109">
        <v>57231</v>
      </c>
      <c r="F376" s="109">
        <v>44</v>
      </c>
      <c r="G376" s="109">
        <v>62</v>
      </c>
      <c r="H376" s="110">
        <v>208</v>
      </c>
    </row>
    <row r="377" spans="1:8" ht="15" customHeight="1">
      <c r="A377" s="103" t="s">
        <v>761</v>
      </c>
      <c r="B377" s="108" t="s">
        <v>762</v>
      </c>
      <c r="C377" s="109">
        <v>120165</v>
      </c>
      <c r="D377" s="109">
        <v>1202</v>
      </c>
      <c r="E377" s="109">
        <v>41034</v>
      </c>
      <c r="F377" s="109">
        <v>34</v>
      </c>
      <c r="G377" s="109">
        <v>86</v>
      </c>
      <c r="H377" s="110">
        <v>281</v>
      </c>
    </row>
    <row r="378" spans="1:8" ht="15" customHeight="1">
      <c r="A378" s="103" t="s">
        <v>763</v>
      </c>
      <c r="B378" s="108" t="s">
        <v>764</v>
      </c>
      <c r="C378" s="109">
        <v>95393</v>
      </c>
      <c r="D378" s="109">
        <v>954</v>
      </c>
      <c r="E378" s="109">
        <v>65139</v>
      </c>
      <c r="F378" s="109">
        <v>68</v>
      </c>
      <c r="G378" s="109">
        <v>140</v>
      </c>
      <c r="H378" s="110">
        <v>180</v>
      </c>
    </row>
    <row r="379" spans="1:8" ht="15" customHeight="1">
      <c r="A379" s="103" t="s">
        <v>765</v>
      </c>
      <c r="B379" s="108" t="s">
        <v>766</v>
      </c>
      <c r="C379" s="109">
        <v>141558</v>
      </c>
      <c r="D379" s="109">
        <v>1416</v>
      </c>
      <c r="E379" s="109">
        <v>57211</v>
      </c>
      <c r="F379" s="109">
        <v>40</v>
      </c>
      <c r="G379" s="109">
        <v>44</v>
      </c>
      <c r="H379" s="110">
        <v>209</v>
      </c>
    </row>
    <row r="380" spans="1:8" ht="15" customHeight="1">
      <c r="A380" s="103" t="s">
        <v>767</v>
      </c>
      <c r="B380" s="108" t="s">
        <v>768</v>
      </c>
      <c r="C380" s="109">
        <v>111279</v>
      </c>
      <c r="D380" s="109">
        <v>1113</v>
      </c>
      <c r="E380" s="109">
        <v>91560</v>
      </c>
      <c r="F380" s="109">
        <v>82</v>
      </c>
      <c r="G380" s="109">
        <v>105</v>
      </c>
      <c r="H380" s="110">
        <v>95</v>
      </c>
    </row>
    <row r="381" spans="1:8" ht="15" customHeight="1">
      <c r="A381" s="103" t="s">
        <v>769</v>
      </c>
      <c r="B381" s="108" t="s">
        <v>770</v>
      </c>
      <c r="C381" s="109">
        <v>111951</v>
      </c>
      <c r="D381" s="109">
        <v>1120</v>
      </c>
      <c r="E381" s="109">
        <v>56565</v>
      </c>
      <c r="F381" s="109">
        <v>51</v>
      </c>
      <c r="G381" s="109">
        <v>102</v>
      </c>
      <c r="H381" s="110">
        <v>213</v>
      </c>
    </row>
    <row r="382" spans="1:8" ht="15" customHeight="1">
      <c r="A382" s="103" t="s">
        <v>771</v>
      </c>
      <c r="B382" s="108" t="s">
        <v>772</v>
      </c>
      <c r="C382" s="109">
        <v>77229</v>
      </c>
      <c r="D382" s="109">
        <v>772</v>
      </c>
      <c r="E382" s="109">
        <v>26689</v>
      </c>
      <c r="F382" s="109">
        <v>35</v>
      </c>
      <c r="G382" s="109">
        <v>191</v>
      </c>
      <c r="H382" s="110">
        <v>310</v>
      </c>
    </row>
    <row r="383" spans="1:8" ht="15" customHeight="1">
      <c r="A383" s="103" t="s">
        <v>773</v>
      </c>
      <c r="B383" s="108" t="s">
        <v>774</v>
      </c>
      <c r="C383" s="109">
        <v>138522</v>
      </c>
      <c r="D383" s="109">
        <v>1385</v>
      </c>
      <c r="E383" s="109">
        <v>92879</v>
      </c>
      <c r="F383" s="109">
        <v>67</v>
      </c>
      <c r="G383" s="109">
        <v>52</v>
      </c>
      <c r="H383" s="110">
        <v>93</v>
      </c>
    </row>
    <row r="384" spans="1:8" ht="15" customHeight="1">
      <c r="A384" s="103" t="s">
        <v>775</v>
      </c>
      <c r="B384" s="108" t="s">
        <v>776</v>
      </c>
      <c r="C384" s="109">
        <v>121299</v>
      </c>
      <c r="D384" s="109">
        <v>1213</v>
      </c>
      <c r="E384" s="109">
        <v>62283</v>
      </c>
      <c r="F384" s="109">
        <v>51</v>
      </c>
      <c r="G384" s="109">
        <v>84</v>
      </c>
      <c r="H384" s="110">
        <v>190</v>
      </c>
    </row>
    <row r="385" spans="1:8" ht="15" customHeight="1">
      <c r="A385" s="103" t="s">
        <v>777</v>
      </c>
      <c r="B385" s="108" t="s">
        <v>778</v>
      </c>
      <c r="C385" s="109">
        <v>92500</v>
      </c>
      <c r="D385" s="109">
        <v>925</v>
      </c>
      <c r="E385" s="109">
        <v>41180</v>
      </c>
      <c r="F385" s="109">
        <v>45</v>
      </c>
      <c r="G385" s="109">
        <v>149</v>
      </c>
      <c r="H385" s="110">
        <v>278</v>
      </c>
    </row>
    <row r="386" spans="1:8" ht="15" customHeight="1">
      <c r="A386" s="103" t="s">
        <v>779</v>
      </c>
      <c r="B386" s="108" t="s">
        <v>780</v>
      </c>
      <c r="C386" s="109">
        <v>106538</v>
      </c>
      <c r="D386" s="109">
        <v>1065</v>
      </c>
      <c r="E386" s="109">
        <v>49762</v>
      </c>
      <c r="F386" s="109">
        <v>47</v>
      </c>
      <c r="G386" s="109">
        <v>108</v>
      </c>
      <c r="H386" s="110">
        <v>243</v>
      </c>
    </row>
    <row r="387" spans="1:8" ht="15" customHeight="1">
      <c r="A387" s="103" t="s">
        <v>781</v>
      </c>
      <c r="B387" s="108" t="s">
        <v>782</v>
      </c>
      <c r="C387" s="109">
        <v>96064</v>
      </c>
      <c r="D387" s="109">
        <v>961</v>
      </c>
      <c r="E387" s="109">
        <v>32857</v>
      </c>
      <c r="F387" s="109">
        <v>34</v>
      </c>
      <c r="G387" s="109">
        <v>139</v>
      </c>
      <c r="H387" s="110">
        <v>307</v>
      </c>
    </row>
    <row r="388" spans="1:8" ht="15" customHeight="1">
      <c r="A388" s="103" t="s">
        <v>783</v>
      </c>
      <c r="B388" s="108" t="s">
        <v>784</v>
      </c>
      <c r="C388" s="109">
        <v>69393</v>
      </c>
      <c r="D388" s="109">
        <v>694</v>
      </c>
      <c r="E388" s="109">
        <v>43822</v>
      </c>
      <c r="F388" s="109">
        <v>63</v>
      </c>
      <c r="G388" s="109">
        <v>221</v>
      </c>
      <c r="H388" s="110">
        <v>266</v>
      </c>
    </row>
    <row r="389" spans="1:8" ht="15" customHeight="1">
      <c r="A389" s="103" t="s">
        <v>785</v>
      </c>
      <c r="B389" s="108" t="s">
        <v>786</v>
      </c>
      <c r="C389" s="109">
        <v>87360</v>
      </c>
      <c r="D389" s="109">
        <v>874</v>
      </c>
      <c r="E389" s="109">
        <v>34148</v>
      </c>
      <c r="F389" s="109">
        <v>39</v>
      </c>
      <c r="G389" s="109">
        <v>161</v>
      </c>
      <c r="H389" s="110">
        <v>303</v>
      </c>
    </row>
    <row r="390" spans="1:8" ht="15" customHeight="1">
      <c r="A390" s="103" t="s">
        <v>787</v>
      </c>
      <c r="B390" s="108" t="s">
        <v>788</v>
      </c>
      <c r="C390" s="109">
        <v>283802</v>
      </c>
      <c r="D390" s="109">
        <v>2837</v>
      </c>
      <c r="E390" s="109">
        <v>126781</v>
      </c>
      <c r="F390" s="109">
        <v>45</v>
      </c>
      <c r="G390" s="109">
        <v>2</v>
      </c>
      <c r="H390" s="110">
        <v>42</v>
      </c>
    </row>
    <row r="391" spans="1:8" ht="15" customHeight="1">
      <c r="A391" s="103" t="s">
        <v>789</v>
      </c>
      <c r="B391" s="108" t="s">
        <v>790</v>
      </c>
      <c r="C391" s="109">
        <v>176629</v>
      </c>
      <c r="D391" s="109">
        <v>1766</v>
      </c>
      <c r="E391" s="109">
        <v>104151</v>
      </c>
      <c r="F391" s="109">
        <v>59</v>
      </c>
      <c r="G391" s="109">
        <v>17</v>
      </c>
      <c r="H391" s="110">
        <v>78</v>
      </c>
    </row>
    <row r="392" spans="1:8" ht="15" customHeight="1">
      <c r="A392" s="103" t="s">
        <v>791</v>
      </c>
      <c r="B392" s="108" t="s">
        <v>792</v>
      </c>
      <c r="C392" s="109">
        <v>177458</v>
      </c>
      <c r="D392" s="109">
        <v>1775</v>
      </c>
      <c r="E392" s="109">
        <v>56135</v>
      </c>
      <c r="F392" s="109">
        <v>32</v>
      </c>
      <c r="G392" s="109">
        <v>16</v>
      </c>
      <c r="H392" s="110">
        <v>215</v>
      </c>
    </row>
    <row r="393" spans="1:8" ht="15" customHeight="1">
      <c r="A393" s="103" t="s">
        <v>793</v>
      </c>
      <c r="B393" s="108" t="s">
        <v>794</v>
      </c>
      <c r="C393" s="109">
        <v>193321</v>
      </c>
      <c r="D393" s="109">
        <v>1933</v>
      </c>
      <c r="E393" s="109">
        <v>69376</v>
      </c>
      <c r="F393" s="109">
        <v>36</v>
      </c>
      <c r="G393" s="109">
        <v>9</v>
      </c>
      <c r="H393" s="110">
        <v>167</v>
      </c>
    </row>
    <row r="394" spans="1:8" ht="15" customHeight="1">
      <c r="A394" s="103" t="s">
        <v>795</v>
      </c>
      <c r="B394" s="108" t="s">
        <v>796</v>
      </c>
      <c r="C394" s="109">
        <v>69322</v>
      </c>
      <c r="D394" s="109">
        <v>693</v>
      </c>
      <c r="E394" s="109">
        <v>22638</v>
      </c>
      <c r="F394" s="109">
        <v>33</v>
      </c>
      <c r="G394" s="109">
        <v>222</v>
      </c>
      <c r="H394" s="110">
        <v>312</v>
      </c>
    </row>
    <row r="395" spans="1:8" ht="15" customHeight="1">
      <c r="A395" s="103" t="s">
        <v>120</v>
      </c>
      <c r="B395" s="118" t="s">
        <v>203</v>
      </c>
      <c r="C395" s="109"/>
      <c r="D395" s="109"/>
      <c r="E395" s="109"/>
      <c r="F395" s="109"/>
      <c r="G395" s="109"/>
      <c r="H395" s="110"/>
    </row>
    <row r="396" spans="1:8" ht="15" customHeight="1">
      <c r="A396" s="114" t="s">
        <v>120</v>
      </c>
      <c r="B396" s="115" t="s">
        <v>204</v>
      </c>
      <c r="C396" s="116"/>
      <c r="D396" s="116"/>
      <c r="E396" s="116"/>
      <c r="F396" s="116"/>
      <c r="G396" s="116"/>
      <c r="H396" s="117"/>
    </row>
    <row r="397" spans="1:8" ht="15" customHeight="1">
      <c r="A397" s="103" t="s">
        <v>797</v>
      </c>
      <c r="B397" s="108" t="s">
        <v>798</v>
      </c>
      <c r="C397" s="109">
        <v>7982</v>
      </c>
      <c r="D397" s="109">
        <v>80</v>
      </c>
      <c r="E397" s="109">
        <v>119317</v>
      </c>
      <c r="F397" s="109">
        <v>1495</v>
      </c>
      <c r="G397" s="109">
        <v>39</v>
      </c>
      <c r="H397" s="110">
        <v>32</v>
      </c>
    </row>
    <row r="398" spans="1:8" ht="15" customHeight="1">
      <c r="A398" s="103" t="s">
        <v>799</v>
      </c>
      <c r="B398" s="108" t="s">
        <v>800</v>
      </c>
      <c r="C398" s="109">
        <v>8833</v>
      </c>
      <c r="D398" s="109">
        <v>88</v>
      </c>
      <c r="E398" s="109">
        <v>171979</v>
      </c>
      <c r="F398" s="109">
        <v>1947</v>
      </c>
      <c r="G398" s="109">
        <v>29</v>
      </c>
      <c r="H398" s="110">
        <v>21</v>
      </c>
    </row>
    <row r="399" spans="1:8" ht="15" customHeight="1">
      <c r="A399" s="269" t="s">
        <v>24</v>
      </c>
      <c r="B399" s="269"/>
      <c r="C399" s="269"/>
      <c r="D399" s="269"/>
      <c r="E399" s="269"/>
      <c r="F399" s="269"/>
      <c r="G399" s="269"/>
      <c r="H399" s="269"/>
    </row>
    <row r="400" spans="1:8" ht="15" customHeight="1">
      <c r="A400" s="103" t="s">
        <v>120</v>
      </c>
      <c r="B400" s="118" t="s">
        <v>384</v>
      </c>
      <c r="C400" s="109"/>
      <c r="D400" s="109"/>
      <c r="E400" s="109"/>
      <c r="F400" s="109"/>
      <c r="G400" s="109"/>
      <c r="H400" s="110"/>
    </row>
    <row r="401" spans="1:8" ht="15" customHeight="1">
      <c r="A401" s="114"/>
      <c r="B401" s="115" t="s">
        <v>215</v>
      </c>
      <c r="C401" s="116"/>
      <c r="D401" s="116"/>
      <c r="E401" s="116"/>
      <c r="F401" s="116"/>
      <c r="G401" s="116"/>
      <c r="H401" s="117"/>
    </row>
    <row r="402" spans="1:8" ht="15" customHeight="1">
      <c r="A402" s="103" t="s">
        <v>801</v>
      </c>
      <c r="B402" s="108" t="s">
        <v>802</v>
      </c>
      <c r="C402" s="109">
        <v>68506</v>
      </c>
      <c r="D402" s="109">
        <v>685</v>
      </c>
      <c r="E402" s="109">
        <v>47055</v>
      </c>
      <c r="F402" s="109">
        <v>69</v>
      </c>
      <c r="G402" s="109">
        <v>224</v>
      </c>
      <c r="H402" s="110">
        <v>252</v>
      </c>
    </row>
    <row r="403" spans="1:8" ht="15" customHeight="1">
      <c r="A403" s="103" t="s">
        <v>803</v>
      </c>
      <c r="B403" s="108" t="s">
        <v>804</v>
      </c>
      <c r="C403" s="109">
        <v>180605</v>
      </c>
      <c r="D403" s="109">
        <v>1806</v>
      </c>
      <c r="E403" s="109">
        <v>86990</v>
      </c>
      <c r="F403" s="109">
        <v>48</v>
      </c>
      <c r="G403" s="109">
        <v>14</v>
      </c>
      <c r="H403" s="110">
        <v>106</v>
      </c>
    </row>
    <row r="404" spans="1:8" ht="15" customHeight="1">
      <c r="A404" s="103" t="s">
        <v>805</v>
      </c>
      <c r="B404" s="108" t="s">
        <v>806</v>
      </c>
      <c r="C404" s="109">
        <v>125503</v>
      </c>
      <c r="D404" s="109">
        <v>1255</v>
      </c>
      <c r="E404" s="109">
        <v>145418</v>
      </c>
      <c r="F404" s="109">
        <v>116</v>
      </c>
      <c r="G404" s="109">
        <v>74</v>
      </c>
      <c r="H404" s="110">
        <v>29</v>
      </c>
    </row>
    <row r="405" spans="1:8" ht="15" customHeight="1">
      <c r="A405" s="103" t="s">
        <v>807</v>
      </c>
      <c r="B405" s="108" t="s">
        <v>808</v>
      </c>
      <c r="C405" s="109">
        <v>81025</v>
      </c>
      <c r="D405" s="109">
        <v>810</v>
      </c>
      <c r="E405" s="109">
        <v>75908</v>
      </c>
      <c r="F405" s="109">
        <v>94</v>
      </c>
      <c r="G405" s="109">
        <v>175</v>
      </c>
      <c r="H405" s="110">
        <v>145</v>
      </c>
    </row>
    <row r="406" spans="1:8" ht="15" customHeight="1">
      <c r="A406" s="103" t="s">
        <v>809</v>
      </c>
      <c r="B406" s="108" t="s">
        <v>438</v>
      </c>
      <c r="C406" s="109">
        <v>64187</v>
      </c>
      <c r="D406" s="109">
        <v>642</v>
      </c>
      <c r="E406" s="109">
        <v>51893</v>
      </c>
      <c r="F406" s="109">
        <v>81</v>
      </c>
      <c r="G406" s="109">
        <v>239</v>
      </c>
      <c r="H406" s="110">
        <v>237</v>
      </c>
    </row>
    <row r="407" spans="1:8" ht="15" customHeight="1">
      <c r="A407" s="103" t="s">
        <v>810</v>
      </c>
      <c r="B407" s="108" t="s">
        <v>811</v>
      </c>
      <c r="C407" s="109">
        <v>58729</v>
      </c>
      <c r="D407" s="109">
        <v>587</v>
      </c>
      <c r="E407" s="109">
        <v>71563</v>
      </c>
      <c r="F407" s="109">
        <v>122</v>
      </c>
      <c r="G407" s="109">
        <v>258</v>
      </c>
      <c r="H407" s="110">
        <v>162</v>
      </c>
    </row>
    <row r="408" spans="1:8" ht="15" customHeight="1">
      <c r="A408" s="103" t="s">
        <v>812</v>
      </c>
      <c r="B408" s="108" t="s">
        <v>813</v>
      </c>
      <c r="C408" s="109">
        <v>115999</v>
      </c>
      <c r="D408" s="109">
        <v>1160</v>
      </c>
      <c r="E408" s="109">
        <v>83026</v>
      </c>
      <c r="F408" s="109">
        <v>72</v>
      </c>
      <c r="G408" s="109">
        <v>93</v>
      </c>
      <c r="H408" s="110">
        <v>119</v>
      </c>
    </row>
    <row r="409" spans="1:8" ht="15" customHeight="1">
      <c r="A409" s="103" t="s">
        <v>814</v>
      </c>
      <c r="B409" s="108" t="s">
        <v>815</v>
      </c>
      <c r="C409" s="109">
        <v>60826</v>
      </c>
      <c r="D409" s="109">
        <v>608</v>
      </c>
      <c r="E409" s="109">
        <v>56451</v>
      </c>
      <c r="F409" s="109">
        <v>93</v>
      </c>
      <c r="G409" s="109">
        <v>255</v>
      </c>
      <c r="H409" s="110">
        <v>214</v>
      </c>
    </row>
    <row r="410" spans="1:8" ht="15" customHeight="1">
      <c r="A410" s="103" t="s">
        <v>816</v>
      </c>
      <c r="B410" s="108" t="s">
        <v>817</v>
      </c>
      <c r="C410" s="109">
        <v>101071</v>
      </c>
      <c r="D410" s="109">
        <v>1011</v>
      </c>
      <c r="E410" s="109">
        <v>86727</v>
      </c>
      <c r="F410" s="109">
        <v>86</v>
      </c>
      <c r="G410" s="109">
        <v>125</v>
      </c>
      <c r="H410" s="110">
        <v>107</v>
      </c>
    </row>
    <row r="411" spans="1:8" ht="15" customHeight="1">
      <c r="A411" s="103" t="s">
        <v>818</v>
      </c>
      <c r="B411" s="108" t="s">
        <v>819</v>
      </c>
      <c r="C411" s="109">
        <v>157824</v>
      </c>
      <c r="D411" s="109">
        <v>1578</v>
      </c>
      <c r="E411" s="109">
        <v>130053</v>
      </c>
      <c r="F411" s="109">
        <v>82</v>
      </c>
      <c r="G411" s="109">
        <v>29</v>
      </c>
      <c r="H411" s="110">
        <v>38</v>
      </c>
    </row>
    <row r="412" spans="1:8" ht="15" customHeight="1">
      <c r="A412" s="103" t="s">
        <v>820</v>
      </c>
      <c r="B412" s="108" t="s">
        <v>821</v>
      </c>
      <c r="C412" s="109">
        <v>72242</v>
      </c>
      <c r="D412" s="109">
        <v>722</v>
      </c>
      <c r="E412" s="109">
        <v>79183</v>
      </c>
      <c r="F412" s="109">
        <v>110</v>
      </c>
      <c r="G412" s="109">
        <v>208</v>
      </c>
      <c r="H412" s="110">
        <v>130</v>
      </c>
    </row>
    <row r="413" spans="1:8" ht="15" customHeight="1">
      <c r="A413" s="103" t="s">
        <v>822</v>
      </c>
      <c r="B413" s="108" t="s">
        <v>823</v>
      </c>
      <c r="C413" s="109">
        <v>71368</v>
      </c>
      <c r="D413" s="109">
        <v>714</v>
      </c>
      <c r="E413" s="109">
        <v>77274</v>
      </c>
      <c r="F413" s="109">
        <v>108</v>
      </c>
      <c r="G413" s="109">
        <v>210</v>
      </c>
      <c r="H413" s="110">
        <v>139</v>
      </c>
    </row>
    <row r="414" spans="1:8" ht="15" customHeight="1">
      <c r="A414" s="103" t="s">
        <v>824</v>
      </c>
      <c r="B414" s="108" t="s">
        <v>825</v>
      </c>
      <c r="C414" s="109">
        <v>80581</v>
      </c>
      <c r="D414" s="109">
        <v>806</v>
      </c>
      <c r="E414" s="109">
        <v>57201</v>
      </c>
      <c r="F414" s="109">
        <v>71</v>
      </c>
      <c r="G414" s="109">
        <v>178</v>
      </c>
      <c r="H414" s="110">
        <v>210</v>
      </c>
    </row>
    <row r="415" spans="1:8" ht="15" customHeight="1">
      <c r="A415" s="103" t="s">
        <v>826</v>
      </c>
      <c r="B415" s="108" t="s">
        <v>827</v>
      </c>
      <c r="C415" s="109">
        <v>73644</v>
      </c>
      <c r="D415" s="109">
        <v>736</v>
      </c>
      <c r="E415" s="109">
        <v>36751</v>
      </c>
      <c r="F415" s="109">
        <v>50</v>
      </c>
      <c r="G415" s="109">
        <v>200</v>
      </c>
      <c r="H415" s="110">
        <v>294</v>
      </c>
    </row>
    <row r="416" spans="1:8" ht="15" customHeight="1">
      <c r="A416" s="103" t="s">
        <v>828</v>
      </c>
      <c r="B416" s="108" t="s">
        <v>829</v>
      </c>
      <c r="C416" s="109">
        <v>101362</v>
      </c>
      <c r="D416" s="109">
        <v>1014</v>
      </c>
      <c r="E416" s="109">
        <v>75543</v>
      </c>
      <c r="F416" s="109">
        <v>75</v>
      </c>
      <c r="G416" s="109">
        <v>124</v>
      </c>
      <c r="H416" s="110">
        <v>148</v>
      </c>
    </row>
    <row r="417" spans="1:8" ht="15" customHeight="1">
      <c r="A417" s="103" t="s">
        <v>830</v>
      </c>
      <c r="B417" s="108" t="s">
        <v>831</v>
      </c>
      <c r="C417" s="109">
        <v>71104</v>
      </c>
      <c r="D417" s="109">
        <v>711</v>
      </c>
      <c r="E417" s="109">
        <v>59825</v>
      </c>
      <c r="F417" s="109">
        <v>84</v>
      </c>
      <c r="G417" s="109">
        <v>213</v>
      </c>
      <c r="H417" s="110">
        <v>197</v>
      </c>
    </row>
    <row r="418" spans="1:8" ht="15" customHeight="1">
      <c r="A418" s="103" t="s">
        <v>832</v>
      </c>
      <c r="B418" s="108" t="s">
        <v>460</v>
      </c>
      <c r="C418" s="109">
        <v>116012</v>
      </c>
      <c r="D418" s="109">
        <v>1160</v>
      </c>
      <c r="E418" s="109">
        <v>161581</v>
      </c>
      <c r="F418" s="109">
        <v>139</v>
      </c>
      <c r="G418" s="109">
        <v>92</v>
      </c>
      <c r="H418" s="110">
        <v>15</v>
      </c>
    </row>
    <row r="419" spans="1:8" ht="15" customHeight="1">
      <c r="A419" s="103" t="s">
        <v>833</v>
      </c>
      <c r="B419" s="108" t="s">
        <v>834</v>
      </c>
      <c r="C419" s="109">
        <v>77263</v>
      </c>
      <c r="D419" s="109">
        <v>773</v>
      </c>
      <c r="E419" s="109">
        <v>55500</v>
      </c>
      <c r="F419" s="109">
        <v>72</v>
      </c>
      <c r="G419" s="109">
        <v>189</v>
      </c>
      <c r="H419" s="110">
        <v>221</v>
      </c>
    </row>
    <row r="420" spans="1:8" ht="15" customHeight="1">
      <c r="A420" s="103" t="s">
        <v>835</v>
      </c>
      <c r="B420" s="108" t="s">
        <v>836</v>
      </c>
      <c r="C420" s="109">
        <v>126821</v>
      </c>
      <c r="D420" s="109">
        <v>1268</v>
      </c>
      <c r="E420" s="109">
        <v>136112</v>
      </c>
      <c r="F420" s="109">
        <v>107</v>
      </c>
      <c r="G420" s="109">
        <v>69</v>
      </c>
      <c r="H420" s="110">
        <v>33</v>
      </c>
    </row>
    <row r="421" spans="1:8" ht="15" customHeight="1">
      <c r="A421" s="103" t="s">
        <v>837</v>
      </c>
      <c r="B421" s="108" t="s">
        <v>838</v>
      </c>
      <c r="C421" s="109">
        <v>71307</v>
      </c>
      <c r="D421" s="109">
        <v>713</v>
      </c>
      <c r="E421" s="109">
        <v>63014</v>
      </c>
      <c r="F421" s="109">
        <v>88</v>
      </c>
      <c r="G421" s="109">
        <v>211</v>
      </c>
      <c r="H421" s="110">
        <v>188</v>
      </c>
    </row>
    <row r="422" spans="1:8" ht="15" customHeight="1">
      <c r="A422" s="103" t="s">
        <v>839</v>
      </c>
      <c r="B422" s="108" t="s">
        <v>840</v>
      </c>
      <c r="C422" s="109">
        <v>189988</v>
      </c>
      <c r="D422" s="109">
        <v>1900</v>
      </c>
      <c r="E422" s="109">
        <v>399272</v>
      </c>
      <c r="F422" s="109">
        <v>210</v>
      </c>
      <c r="G422" s="109">
        <v>10</v>
      </c>
      <c r="H422" s="110">
        <v>1</v>
      </c>
    </row>
    <row r="423" spans="1:8" ht="15" customHeight="1">
      <c r="A423" s="103" t="s">
        <v>841</v>
      </c>
      <c r="B423" s="108" t="s">
        <v>842</v>
      </c>
      <c r="C423" s="109">
        <v>55352</v>
      </c>
      <c r="D423" s="109">
        <v>554</v>
      </c>
      <c r="E423" s="109">
        <v>60262</v>
      </c>
      <c r="F423" s="109">
        <v>109</v>
      </c>
      <c r="G423" s="109">
        <v>268</v>
      </c>
      <c r="H423" s="110">
        <v>195</v>
      </c>
    </row>
    <row r="424" spans="1:8" ht="15" customHeight="1">
      <c r="A424" s="103" t="s">
        <v>843</v>
      </c>
      <c r="B424" s="108" t="s">
        <v>844</v>
      </c>
      <c r="C424" s="109">
        <v>83801</v>
      </c>
      <c r="D424" s="109">
        <v>838</v>
      </c>
      <c r="E424" s="109">
        <v>59077</v>
      </c>
      <c r="F424" s="109">
        <v>70</v>
      </c>
      <c r="G424" s="109">
        <v>168</v>
      </c>
      <c r="H424" s="110">
        <v>201</v>
      </c>
    </row>
    <row r="425" spans="1:8" ht="15" customHeight="1">
      <c r="A425" s="103" t="s">
        <v>845</v>
      </c>
      <c r="B425" s="108" t="s">
        <v>846</v>
      </c>
      <c r="C425" s="109">
        <v>111929</v>
      </c>
      <c r="D425" s="109">
        <v>1119</v>
      </c>
      <c r="E425" s="109">
        <v>91664</v>
      </c>
      <c r="F425" s="109">
        <v>82</v>
      </c>
      <c r="G425" s="109">
        <v>103</v>
      </c>
      <c r="H425" s="110">
        <v>94</v>
      </c>
    </row>
    <row r="426" spans="1:8" ht="15" customHeight="1">
      <c r="A426" s="103" t="s">
        <v>847</v>
      </c>
      <c r="B426" s="108" t="s">
        <v>186</v>
      </c>
      <c r="C426" s="109">
        <v>62386</v>
      </c>
      <c r="D426" s="109">
        <v>624</v>
      </c>
      <c r="E426" s="109">
        <v>58879</v>
      </c>
      <c r="F426" s="109">
        <v>94</v>
      </c>
      <c r="G426" s="109">
        <v>245</v>
      </c>
      <c r="H426" s="110">
        <v>202</v>
      </c>
    </row>
    <row r="427" spans="1:8" ht="15" customHeight="1">
      <c r="A427" s="103" t="s">
        <v>848</v>
      </c>
      <c r="B427" s="108" t="s">
        <v>849</v>
      </c>
      <c r="C427" s="109">
        <v>57410</v>
      </c>
      <c r="D427" s="109">
        <v>574</v>
      </c>
      <c r="E427" s="109">
        <v>61425</v>
      </c>
      <c r="F427" s="109">
        <v>107</v>
      </c>
      <c r="G427" s="109">
        <v>265</v>
      </c>
      <c r="H427" s="110">
        <v>192</v>
      </c>
    </row>
    <row r="428" spans="1:8" ht="15" customHeight="1">
      <c r="A428" s="103" t="s">
        <v>850</v>
      </c>
      <c r="B428" s="108" t="s">
        <v>851</v>
      </c>
      <c r="C428" s="109">
        <v>92943</v>
      </c>
      <c r="D428" s="109">
        <v>929</v>
      </c>
      <c r="E428" s="109">
        <v>83894</v>
      </c>
      <c r="F428" s="109">
        <v>90</v>
      </c>
      <c r="G428" s="109">
        <v>147</v>
      </c>
      <c r="H428" s="110">
        <v>117</v>
      </c>
    </row>
    <row r="429" spans="1:8" ht="15" customHeight="1">
      <c r="A429" s="103" t="s">
        <v>852</v>
      </c>
      <c r="B429" s="108" t="s">
        <v>853</v>
      </c>
      <c r="C429" s="109">
        <v>103965</v>
      </c>
      <c r="D429" s="109">
        <v>1040</v>
      </c>
      <c r="E429" s="109">
        <v>70233</v>
      </c>
      <c r="F429" s="109">
        <v>68</v>
      </c>
      <c r="G429" s="109">
        <v>117</v>
      </c>
      <c r="H429" s="110">
        <v>164</v>
      </c>
    </row>
    <row r="430" spans="1:8" ht="15" customHeight="1">
      <c r="A430" s="103" t="s">
        <v>854</v>
      </c>
      <c r="B430" s="108" t="s">
        <v>855</v>
      </c>
      <c r="C430" s="109">
        <v>67973</v>
      </c>
      <c r="D430" s="109">
        <v>680</v>
      </c>
      <c r="E430" s="109">
        <v>57446</v>
      </c>
      <c r="F430" s="109">
        <v>85</v>
      </c>
      <c r="G430" s="109">
        <v>225</v>
      </c>
      <c r="H430" s="110">
        <v>206</v>
      </c>
    </row>
    <row r="431" spans="1:8" ht="15" customHeight="1">
      <c r="A431" s="103" t="s">
        <v>856</v>
      </c>
      <c r="B431" s="108" t="s">
        <v>857</v>
      </c>
      <c r="C431" s="109">
        <v>70357</v>
      </c>
      <c r="D431" s="109">
        <v>704</v>
      </c>
      <c r="E431" s="109">
        <v>77994</v>
      </c>
      <c r="F431" s="109">
        <v>111</v>
      </c>
      <c r="G431" s="109">
        <v>217</v>
      </c>
      <c r="H431" s="110">
        <v>137</v>
      </c>
    </row>
    <row r="432" spans="1:8" ht="15" customHeight="1">
      <c r="A432" s="103" t="s">
        <v>858</v>
      </c>
      <c r="B432" s="108" t="s">
        <v>859</v>
      </c>
      <c r="C432" s="109">
        <v>166017</v>
      </c>
      <c r="D432" s="109">
        <v>1660</v>
      </c>
      <c r="E432" s="109">
        <v>69433</v>
      </c>
      <c r="F432" s="109">
        <v>42</v>
      </c>
      <c r="G432" s="109">
        <v>22</v>
      </c>
      <c r="H432" s="110">
        <v>166</v>
      </c>
    </row>
    <row r="433" spans="1:8" ht="15" customHeight="1">
      <c r="A433" s="103" t="s">
        <v>120</v>
      </c>
      <c r="B433" s="118" t="s">
        <v>203</v>
      </c>
      <c r="C433" s="109"/>
      <c r="D433" s="109"/>
      <c r="E433" s="109"/>
      <c r="F433" s="109"/>
      <c r="G433" s="109"/>
      <c r="H433" s="110"/>
    </row>
    <row r="434" spans="1:8" ht="15" customHeight="1">
      <c r="A434" s="114" t="s">
        <v>120</v>
      </c>
      <c r="B434" s="115" t="s">
        <v>204</v>
      </c>
      <c r="C434" s="116"/>
      <c r="D434" s="116"/>
      <c r="E434" s="116"/>
      <c r="F434" s="116"/>
      <c r="G434" s="116"/>
      <c r="H434" s="117"/>
    </row>
    <row r="435" spans="1:8" ht="15" customHeight="1">
      <c r="A435" s="103" t="s">
        <v>860</v>
      </c>
      <c r="B435" s="108" t="s">
        <v>861</v>
      </c>
      <c r="C435" s="109">
        <v>6942</v>
      </c>
      <c r="D435" s="109">
        <v>69</v>
      </c>
      <c r="E435" s="109">
        <v>100246</v>
      </c>
      <c r="F435" s="109">
        <v>1444</v>
      </c>
      <c r="G435" s="109">
        <v>43</v>
      </c>
      <c r="H435" s="110">
        <v>38</v>
      </c>
    </row>
    <row r="436" spans="1:8" ht="15" customHeight="1">
      <c r="A436" s="103" t="s">
        <v>862</v>
      </c>
      <c r="B436" s="108" t="s">
        <v>863</v>
      </c>
      <c r="C436" s="109">
        <v>8231</v>
      </c>
      <c r="D436" s="109">
        <v>82</v>
      </c>
      <c r="E436" s="109">
        <v>73522</v>
      </c>
      <c r="F436" s="109">
        <v>893</v>
      </c>
      <c r="G436" s="109">
        <v>36</v>
      </c>
      <c r="H436" s="110">
        <v>48</v>
      </c>
    </row>
    <row r="437" spans="1:8" ht="15" customHeight="1">
      <c r="A437" s="103" t="s">
        <v>864</v>
      </c>
      <c r="B437" s="108" t="s">
        <v>865</v>
      </c>
      <c r="C437" s="109">
        <v>3186</v>
      </c>
      <c r="D437" s="109">
        <v>32</v>
      </c>
      <c r="E437" s="109">
        <v>63505</v>
      </c>
      <c r="F437" s="109">
        <v>1993</v>
      </c>
      <c r="G437" s="109">
        <v>61</v>
      </c>
      <c r="H437" s="110">
        <v>52</v>
      </c>
    </row>
    <row r="438" spans="1:8" ht="15" customHeight="1">
      <c r="A438" s="103" t="s">
        <v>866</v>
      </c>
      <c r="B438" s="108" t="s">
        <v>867</v>
      </c>
      <c r="C438" s="109">
        <v>26191</v>
      </c>
      <c r="D438" s="109">
        <v>262</v>
      </c>
      <c r="E438" s="109">
        <v>534813</v>
      </c>
      <c r="F438" s="109">
        <v>2042</v>
      </c>
      <c r="G438" s="109">
        <v>8</v>
      </c>
      <c r="H438" s="110">
        <v>5</v>
      </c>
    </row>
    <row r="439" spans="1:8" ht="15" customHeight="1">
      <c r="A439" s="268" t="s">
        <v>868</v>
      </c>
      <c r="B439" s="268"/>
      <c r="C439" s="268"/>
      <c r="D439" s="268"/>
      <c r="E439" s="268"/>
      <c r="F439" s="268"/>
      <c r="G439" s="268"/>
      <c r="H439" s="269"/>
    </row>
    <row r="440" spans="1:8" ht="15" customHeight="1">
      <c r="A440" s="103" t="s">
        <v>120</v>
      </c>
      <c r="B440" s="118" t="s">
        <v>384</v>
      </c>
      <c r="C440" s="109"/>
      <c r="D440" s="109"/>
      <c r="E440" s="109"/>
      <c r="F440" s="109"/>
      <c r="G440" s="109"/>
      <c r="H440" s="110"/>
    </row>
    <row r="441" spans="1:8" ht="15" customHeight="1">
      <c r="A441" s="114"/>
      <c r="B441" s="115" t="s">
        <v>215</v>
      </c>
      <c r="C441" s="116"/>
      <c r="D441" s="116"/>
      <c r="E441" s="116"/>
      <c r="F441" s="116"/>
      <c r="G441" s="116"/>
      <c r="H441" s="117"/>
    </row>
    <row r="442" spans="1:8" ht="15" customHeight="1">
      <c r="A442" s="103" t="s">
        <v>869</v>
      </c>
      <c r="B442" s="108" t="s">
        <v>870</v>
      </c>
      <c r="C442" s="109">
        <v>84546</v>
      </c>
      <c r="D442" s="109">
        <v>845</v>
      </c>
      <c r="E442" s="109">
        <v>47560</v>
      </c>
      <c r="F442" s="109">
        <v>56</v>
      </c>
      <c r="G442" s="109">
        <v>166</v>
      </c>
      <c r="H442" s="110">
        <v>250</v>
      </c>
    </row>
    <row r="443" spans="1:8" ht="15" customHeight="1">
      <c r="A443" s="103" t="s">
        <v>871</v>
      </c>
      <c r="B443" s="108" t="s">
        <v>872</v>
      </c>
      <c r="C443" s="109">
        <v>132763</v>
      </c>
      <c r="D443" s="109">
        <v>1328</v>
      </c>
      <c r="E443" s="109">
        <v>48243</v>
      </c>
      <c r="F443" s="109">
        <v>36</v>
      </c>
      <c r="G443" s="109">
        <v>60</v>
      </c>
      <c r="H443" s="110">
        <v>249</v>
      </c>
    </row>
    <row r="444" spans="1:8" ht="15" customHeight="1">
      <c r="A444" s="103" t="s">
        <v>873</v>
      </c>
      <c r="B444" s="108" t="s">
        <v>874</v>
      </c>
      <c r="C444" s="109">
        <v>176424</v>
      </c>
      <c r="D444" s="109">
        <v>1764</v>
      </c>
      <c r="E444" s="109">
        <v>57015</v>
      </c>
      <c r="F444" s="109">
        <v>32</v>
      </c>
      <c r="G444" s="109">
        <v>19</v>
      </c>
      <c r="H444" s="110">
        <v>211</v>
      </c>
    </row>
    <row r="445" spans="1:8" ht="15" customHeight="1">
      <c r="A445" s="103" t="s">
        <v>875</v>
      </c>
      <c r="B445" s="108" t="s">
        <v>876</v>
      </c>
      <c r="C445" s="109">
        <v>161548</v>
      </c>
      <c r="D445" s="109">
        <v>1616</v>
      </c>
      <c r="E445" s="109">
        <v>82421</v>
      </c>
      <c r="F445" s="109">
        <v>51</v>
      </c>
      <c r="G445" s="109">
        <v>27</v>
      </c>
      <c r="H445" s="110">
        <v>121</v>
      </c>
    </row>
    <row r="446" spans="1:8" ht="15" customHeight="1">
      <c r="A446" s="103" t="s">
        <v>877</v>
      </c>
      <c r="B446" s="108" t="s">
        <v>878</v>
      </c>
      <c r="C446" s="109">
        <v>102105</v>
      </c>
      <c r="D446" s="109">
        <v>1021</v>
      </c>
      <c r="E446" s="109">
        <v>60277</v>
      </c>
      <c r="F446" s="109">
        <v>59</v>
      </c>
      <c r="G446" s="109">
        <v>122</v>
      </c>
      <c r="H446" s="110">
        <v>194</v>
      </c>
    </row>
    <row r="447" spans="1:8" ht="15" customHeight="1">
      <c r="A447" s="103" t="s">
        <v>879</v>
      </c>
      <c r="B447" s="108" t="s">
        <v>880</v>
      </c>
      <c r="C447" s="109">
        <v>186911</v>
      </c>
      <c r="D447" s="109">
        <v>1870</v>
      </c>
      <c r="E447" s="109">
        <v>81882</v>
      </c>
      <c r="F447" s="109">
        <v>44</v>
      </c>
      <c r="G447" s="109">
        <v>13</v>
      </c>
      <c r="H447" s="110">
        <v>122</v>
      </c>
    </row>
    <row r="448" spans="1:8" ht="15" customHeight="1">
      <c r="A448" s="103" t="s">
        <v>881</v>
      </c>
      <c r="B448" s="108" t="s">
        <v>882</v>
      </c>
      <c r="C448" s="109">
        <v>100716</v>
      </c>
      <c r="D448" s="109">
        <v>1007</v>
      </c>
      <c r="E448" s="109">
        <v>46999</v>
      </c>
      <c r="F448" s="109">
        <v>47</v>
      </c>
      <c r="G448" s="109">
        <v>126</v>
      </c>
      <c r="H448" s="110">
        <v>253</v>
      </c>
    </row>
    <row r="449" spans="1:8" ht="15" customHeight="1">
      <c r="A449" s="103" t="s">
        <v>883</v>
      </c>
      <c r="B449" s="108" t="s">
        <v>884</v>
      </c>
      <c r="C449" s="109">
        <v>72466</v>
      </c>
      <c r="D449" s="109">
        <v>725</v>
      </c>
      <c r="E449" s="109">
        <v>79438</v>
      </c>
      <c r="F449" s="109">
        <v>110</v>
      </c>
      <c r="G449" s="109">
        <v>207</v>
      </c>
      <c r="H449" s="110">
        <v>127</v>
      </c>
    </row>
    <row r="450" spans="1:8" ht="15" customHeight="1">
      <c r="A450" s="103" t="s">
        <v>885</v>
      </c>
      <c r="B450" s="108" t="s">
        <v>886</v>
      </c>
      <c r="C450" s="109">
        <v>165346</v>
      </c>
      <c r="D450" s="109">
        <v>1653</v>
      </c>
      <c r="E450" s="109">
        <v>66480</v>
      </c>
      <c r="F450" s="109">
        <v>40</v>
      </c>
      <c r="G450" s="109">
        <v>24</v>
      </c>
      <c r="H450" s="110">
        <v>172</v>
      </c>
    </row>
    <row r="451" spans="1:8" ht="15" customHeight="1">
      <c r="A451" s="103" t="s">
        <v>887</v>
      </c>
      <c r="B451" s="108" t="s">
        <v>888</v>
      </c>
      <c r="C451" s="109">
        <v>106513</v>
      </c>
      <c r="D451" s="109">
        <v>1065</v>
      </c>
      <c r="E451" s="109">
        <v>36696</v>
      </c>
      <c r="F451" s="109">
        <v>34</v>
      </c>
      <c r="G451" s="109">
        <v>109</v>
      </c>
      <c r="H451" s="110">
        <v>295</v>
      </c>
    </row>
    <row r="452" spans="1:8" ht="15" customHeight="1">
      <c r="A452" s="103" t="s">
        <v>889</v>
      </c>
      <c r="B452" s="108" t="s">
        <v>890</v>
      </c>
      <c r="C452" s="109">
        <v>118240</v>
      </c>
      <c r="D452" s="109">
        <v>1182</v>
      </c>
      <c r="E452" s="109">
        <v>65638</v>
      </c>
      <c r="F452" s="109">
        <v>56</v>
      </c>
      <c r="G452" s="109">
        <v>87</v>
      </c>
      <c r="H452" s="110">
        <v>177</v>
      </c>
    </row>
    <row r="453" spans="1:8" ht="15" customHeight="1">
      <c r="A453" s="103" t="s">
        <v>891</v>
      </c>
      <c r="B453" s="108" t="s">
        <v>892</v>
      </c>
      <c r="C453" s="109">
        <v>66533</v>
      </c>
      <c r="D453" s="109">
        <v>665</v>
      </c>
      <c r="E453" s="109">
        <v>80652</v>
      </c>
      <c r="F453" s="109">
        <v>121</v>
      </c>
      <c r="G453" s="109">
        <v>233</v>
      </c>
      <c r="H453" s="110">
        <v>125</v>
      </c>
    </row>
    <row r="454" spans="1:8" ht="15" customHeight="1">
      <c r="A454" s="103" t="s">
        <v>893</v>
      </c>
      <c r="B454" s="108" t="s">
        <v>894</v>
      </c>
      <c r="C454" s="109">
        <v>72600</v>
      </c>
      <c r="D454" s="109">
        <v>726</v>
      </c>
      <c r="E454" s="109">
        <v>39336</v>
      </c>
      <c r="F454" s="109">
        <v>54</v>
      </c>
      <c r="G454" s="109">
        <v>206</v>
      </c>
      <c r="H454" s="110">
        <v>286</v>
      </c>
    </row>
    <row r="455" spans="1:8" ht="15" customHeight="1">
      <c r="A455" s="103" t="s">
        <v>895</v>
      </c>
      <c r="B455" s="108" t="s">
        <v>896</v>
      </c>
      <c r="C455" s="109">
        <v>104320</v>
      </c>
      <c r="D455" s="109">
        <v>1043</v>
      </c>
      <c r="E455" s="109">
        <v>56134</v>
      </c>
      <c r="F455" s="109">
        <v>54</v>
      </c>
      <c r="G455" s="109">
        <v>113</v>
      </c>
      <c r="H455" s="110">
        <v>216</v>
      </c>
    </row>
    <row r="456" spans="1:8" ht="15" customHeight="1">
      <c r="A456" s="103" t="s">
        <v>897</v>
      </c>
      <c r="B456" s="108" t="s">
        <v>898</v>
      </c>
      <c r="C456" s="109">
        <v>151994</v>
      </c>
      <c r="D456" s="109">
        <v>1520</v>
      </c>
      <c r="E456" s="109">
        <v>120186</v>
      </c>
      <c r="F456" s="109">
        <v>79</v>
      </c>
      <c r="G456" s="109">
        <v>35</v>
      </c>
      <c r="H456" s="110">
        <v>47</v>
      </c>
    </row>
    <row r="457" spans="1:8" ht="15" customHeight="1">
      <c r="A457" s="103" t="s">
        <v>899</v>
      </c>
      <c r="B457" s="108" t="s">
        <v>900</v>
      </c>
      <c r="C457" s="109">
        <v>176542</v>
      </c>
      <c r="D457" s="109">
        <v>1766</v>
      </c>
      <c r="E457" s="109">
        <v>77630</v>
      </c>
      <c r="F457" s="109">
        <v>44</v>
      </c>
      <c r="G457" s="109">
        <v>18</v>
      </c>
      <c r="H457" s="110">
        <v>138</v>
      </c>
    </row>
    <row r="458" spans="1:8" ht="15" customHeight="1">
      <c r="A458" s="103" t="s">
        <v>901</v>
      </c>
      <c r="B458" s="108" t="s">
        <v>902</v>
      </c>
      <c r="C458" s="109">
        <v>109306</v>
      </c>
      <c r="D458" s="109">
        <v>1093</v>
      </c>
      <c r="E458" s="109">
        <v>46724</v>
      </c>
      <c r="F458" s="109">
        <v>43</v>
      </c>
      <c r="G458" s="109">
        <v>106</v>
      </c>
      <c r="H458" s="110">
        <v>256</v>
      </c>
    </row>
    <row r="459" spans="1:8" ht="15" customHeight="1">
      <c r="A459" s="103" t="s">
        <v>903</v>
      </c>
      <c r="B459" s="108" t="s">
        <v>904</v>
      </c>
      <c r="C459" s="109">
        <v>141498</v>
      </c>
      <c r="D459" s="109">
        <v>1415</v>
      </c>
      <c r="E459" s="109">
        <v>53039</v>
      </c>
      <c r="F459" s="109">
        <v>37</v>
      </c>
      <c r="G459" s="109">
        <v>45</v>
      </c>
      <c r="H459" s="110">
        <v>231</v>
      </c>
    </row>
    <row r="460" spans="1:8" ht="15" customHeight="1">
      <c r="A460" s="103" t="s">
        <v>120</v>
      </c>
      <c r="B460" s="118" t="s">
        <v>203</v>
      </c>
      <c r="C460" s="109"/>
      <c r="D460" s="109"/>
      <c r="E460" s="109"/>
      <c r="F460" s="109"/>
      <c r="G460" s="109"/>
      <c r="H460" s="110"/>
    </row>
    <row r="461" spans="1:8" ht="15" customHeight="1">
      <c r="A461" s="114" t="s">
        <v>120</v>
      </c>
      <c r="B461" s="115" t="s">
        <v>204</v>
      </c>
      <c r="C461" s="116"/>
      <c r="D461" s="116"/>
      <c r="E461" s="116"/>
      <c r="F461" s="116"/>
      <c r="G461" s="116"/>
      <c r="H461" s="117"/>
    </row>
    <row r="462" spans="1:8" ht="15" customHeight="1">
      <c r="A462" s="103" t="s">
        <v>905</v>
      </c>
      <c r="B462" s="108" t="s">
        <v>906</v>
      </c>
      <c r="C462" s="109">
        <v>9834</v>
      </c>
      <c r="D462" s="109">
        <v>98</v>
      </c>
      <c r="E462" s="109">
        <v>107048</v>
      </c>
      <c r="F462" s="109">
        <v>1089</v>
      </c>
      <c r="G462" s="109">
        <v>27</v>
      </c>
      <c r="H462" s="110">
        <v>37</v>
      </c>
    </row>
    <row r="463" spans="1:8" ht="15" customHeight="1">
      <c r="A463" s="103" t="s">
        <v>907</v>
      </c>
      <c r="B463" s="108" t="s">
        <v>908</v>
      </c>
      <c r="C463" s="109">
        <v>30060</v>
      </c>
      <c r="D463" s="109">
        <v>301</v>
      </c>
      <c r="E463" s="109">
        <v>401907</v>
      </c>
      <c r="F463" s="109">
        <v>1337</v>
      </c>
      <c r="G463" s="109">
        <v>3</v>
      </c>
      <c r="H463" s="110">
        <v>7</v>
      </c>
    </row>
    <row r="464" spans="1:8" ht="15" customHeight="1">
      <c r="A464" s="103" t="s">
        <v>909</v>
      </c>
      <c r="B464" s="108" t="s">
        <v>910</v>
      </c>
      <c r="C464" s="109">
        <v>20207</v>
      </c>
      <c r="D464" s="109">
        <v>202</v>
      </c>
      <c r="E464" s="109">
        <v>40888</v>
      </c>
      <c r="F464" s="109">
        <v>202</v>
      </c>
      <c r="G464" s="109">
        <v>9</v>
      </c>
      <c r="H464" s="110">
        <v>65</v>
      </c>
    </row>
    <row r="469" ht="27" customHeight="1"/>
  </sheetData>
  <mergeCells count="22">
    <mergeCell ref="A145:H145"/>
    <mergeCell ref="A1:H1"/>
    <mergeCell ref="A3:A4"/>
    <mergeCell ref="B3:B4"/>
    <mergeCell ref="C3:D3"/>
    <mergeCell ref="E3:F3"/>
    <mergeCell ref="G3:H3"/>
    <mergeCell ref="A5:H5"/>
    <mergeCell ref="A40:H40"/>
    <mergeCell ref="A68:H68"/>
    <mergeCell ref="A97:H97"/>
    <mergeCell ref="A116:H116"/>
    <mergeCell ref="A354:H354"/>
    <mergeCell ref="A373:H373"/>
    <mergeCell ref="A399:H399"/>
    <mergeCell ref="A439:H439"/>
    <mergeCell ref="A172:H172"/>
    <mergeCell ref="A219:H219"/>
    <mergeCell ref="A236:H236"/>
    <mergeCell ref="A266:H266"/>
    <mergeCell ref="A288:H288"/>
    <mergeCell ref="A313:H313"/>
  </mergeCells>
  <printOptions gridLines="1"/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4887"/>
  <sheetViews>
    <sheetView zoomScaleNormal="100" workbookViewId="0">
      <pane ySplit="4" topLeftCell="A2043" activePane="bottomLeft" state="frozen"/>
      <selection activeCell="E2195" sqref="E2195"/>
      <selection pane="bottomLeft" activeCell="A4880" activeCellId="4" sqref="A4870 A4872 A4874 A4877 A4880"/>
    </sheetView>
  </sheetViews>
  <sheetFormatPr defaultColWidth="9.140625" defaultRowHeight="15"/>
  <cols>
    <col min="1" max="1" width="9.28515625" style="96" customWidth="1"/>
    <col min="2" max="2" width="29.85546875" style="127" customWidth="1"/>
    <col min="3" max="3" width="5.85546875" style="96" customWidth="1"/>
    <col min="4" max="4" width="1.85546875" style="96" customWidth="1"/>
    <col min="5" max="5" width="6.28515625" style="96" customWidth="1"/>
    <col min="6" max="6" width="7.28515625" style="96" customWidth="1"/>
    <col min="7" max="7" width="1.85546875" style="96" customWidth="1"/>
    <col min="8" max="8" width="7.85546875" style="96" customWidth="1"/>
    <col min="9" max="9" width="9.42578125" style="96" customWidth="1"/>
    <col min="10" max="10" width="9.5703125" style="96" customWidth="1"/>
    <col min="11" max="11" width="9" style="96" customWidth="1"/>
    <col min="12" max="12" width="18.85546875" style="96" customWidth="1"/>
    <col min="13" max="13" width="13.5703125" style="96" customWidth="1"/>
    <col min="14" max="16384" width="9.140625" style="96"/>
  </cols>
  <sheetData>
    <row r="1" spans="1:13" ht="25.5" customHeight="1">
      <c r="A1" s="259" t="s">
        <v>911</v>
      </c>
      <c r="B1" s="284"/>
      <c r="C1" s="260"/>
      <c r="D1" s="260"/>
      <c r="E1" s="260"/>
      <c r="F1" s="260"/>
      <c r="G1" s="260"/>
      <c r="H1" s="260"/>
      <c r="I1" s="260"/>
      <c r="J1" s="260"/>
    </row>
    <row r="2" spans="1:13" ht="24.95" customHeight="1">
      <c r="B2" s="96"/>
      <c r="L2" s="97"/>
      <c r="M2" s="98"/>
    </row>
    <row r="3" spans="1:13" ht="23.25" customHeight="1">
      <c r="A3" s="261" t="s">
        <v>912</v>
      </c>
      <c r="B3" s="285" t="s">
        <v>913</v>
      </c>
      <c r="C3" s="287" t="s">
        <v>914</v>
      </c>
      <c r="D3" s="288"/>
      <c r="E3" s="288"/>
      <c r="F3" s="289" t="s">
        <v>144</v>
      </c>
      <c r="G3" s="288"/>
      <c r="H3" s="288"/>
      <c r="I3" s="289" t="s">
        <v>145</v>
      </c>
      <c r="J3" s="288"/>
    </row>
    <row r="4" spans="1:13" ht="33.75" customHeight="1">
      <c r="A4" s="262"/>
      <c r="B4" s="286"/>
      <c r="C4" s="99" t="s">
        <v>915</v>
      </c>
      <c r="D4" s="121" t="s">
        <v>120</v>
      </c>
      <c r="E4" s="100" t="s">
        <v>916</v>
      </c>
      <c r="F4" s="122" t="s">
        <v>917</v>
      </c>
      <c r="G4" s="121" t="s">
        <v>120</v>
      </c>
      <c r="H4" s="100" t="s">
        <v>918</v>
      </c>
      <c r="I4" s="100" t="s">
        <v>919</v>
      </c>
      <c r="J4" s="122" t="s">
        <v>920</v>
      </c>
    </row>
    <row r="5" spans="1:13" s="119" customFormat="1">
      <c r="A5" s="123" t="s">
        <v>120</v>
      </c>
      <c r="B5" s="280" t="s">
        <v>86</v>
      </c>
      <c r="C5" s="281"/>
      <c r="D5" s="281"/>
      <c r="E5" s="281"/>
      <c r="F5" s="281"/>
      <c r="G5" s="281"/>
      <c r="H5" s="281"/>
      <c r="I5" s="281"/>
      <c r="J5" s="281"/>
    </row>
    <row r="6" spans="1:13" s="119" customFormat="1">
      <c r="A6" s="123" t="s">
        <v>120</v>
      </c>
      <c r="B6" s="273" t="s">
        <v>921</v>
      </c>
      <c r="C6" s="274"/>
      <c r="D6" s="274"/>
      <c r="E6" s="274"/>
      <c r="F6" s="274"/>
      <c r="G6" s="274"/>
      <c r="H6" s="274"/>
      <c r="I6" s="274"/>
      <c r="J6" s="274"/>
    </row>
    <row r="7" spans="1:13" s="119" customFormat="1">
      <c r="A7" s="123" t="s">
        <v>120</v>
      </c>
      <c r="B7" s="275" t="s">
        <v>922</v>
      </c>
      <c r="C7" s="276"/>
      <c r="D7" s="276"/>
      <c r="E7" s="276"/>
      <c r="F7" s="276"/>
      <c r="G7" s="276"/>
      <c r="H7" s="276"/>
      <c r="I7" s="276"/>
      <c r="J7" s="276"/>
    </row>
    <row r="8" spans="1:13">
      <c r="A8" s="103" t="s">
        <v>98</v>
      </c>
      <c r="B8" s="124" t="s">
        <v>923</v>
      </c>
      <c r="C8" s="110">
        <v>2357</v>
      </c>
      <c r="D8" s="109" t="s">
        <v>120</v>
      </c>
      <c r="E8" s="109">
        <v>24</v>
      </c>
      <c r="F8" s="110">
        <v>38872</v>
      </c>
      <c r="G8" s="109" t="s">
        <v>120</v>
      </c>
      <c r="H8" s="109">
        <v>1649</v>
      </c>
      <c r="I8" s="109">
        <v>2206</v>
      </c>
      <c r="J8" s="110">
        <v>132</v>
      </c>
    </row>
    <row r="9" spans="1:13" s="119" customFormat="1">
      <c r="A9" s="123" t="s">
        <v>120</v>
      </c>
      <c r="B9" s="282" t="s">
        <v>924</v>
      </c>
      <c r="C9" s="283"/>
      <c r="D9" s="283"/>
      <c r="E9" s="283"/>
      <c r="F9" s="283"/>
      <c r="G9" s="283"/>
      <c r="H9" s="283"/>
      <c r="I9" s="283"/>
      <c r="J9" s="283"/>
    </row>
    <row r="10" spans="1:13">
      <c r="A10" s="103" t="s">
        <v>99</v>
      </c>
      <c r="B10" s="124" t="s">
        <v>923</v>
      </c>
      <c r="C10" s="110">
        <v>28849</v>
      </c>
      <c r="D10" s="109" t="s">
        <v>120</v>
      </c>
      <c r="E10" s="109">
        <v>289</v>
      </c>
      <c r="F10" s="110">
        <v>14699</v>
      </c>
      <c r="G10" s="109" t="s">
        <v>120</v>
      </c>
      <c r="H10" s="109">
        <v>51</v>
      </c>
      <c r="I10" s="109">
        <v>116</v>
      </c>
      <c r="J10" s="110">
        <v>531</v>
      </c>
    </row>
    <row r="11" spans="1:13">
      <c r="A11" s="103" t="s">
        <v>100</v>
      </c>
      <c r="B11" s="124" t="s">
        <v>925</v>
      </c>
      <c r="C11" s="110">
        <v>26768</v>
      </c>
      <c r="D11" s="109" t="s">
        <v>120</v>
      </c>
      <c r="E11" s="109">
        <v>268</v>
      </c>
      <c r="F11" s="110">
        <v>5337</v>
      </c>
      <c r="G11" s="109" t="s">
        <v>120</v>
      </c>
      <c r="H11" s="109">
        <v>20</v>
      </c>
      <c r="I11" s="109">
        <v>139</v>
      </c>
      <c r="J11" s="110">
        <v>1654</v>
      </c>
    </row>
    <row r="12" spans="1:13">
      <c r="A12" s="103" t="s">
        <v>101</v>
      </c>
      <c r="B12" s="124" t="s">
        <v>926</v>
      </c>
      <c r="C12" s="110">
        <v>43704</v>
      </c>
      <c r="D12" s="105" t="s">
        <v>927</v>
      </c>
      <c r="E12" s="109">
        <v>437</v>
      </c>
      <c r="F12" s="110">
        <v>7349</v>
      </c>
      <c r="G12" s="109" t="s">
        <v>120</v>
      </c>
      <c r="H12" s="109">
        <v>17</v>
      </c>
      <c r="I12" s="109">
        <v>12</v>
      </c>
      <c r="J12" s="110">
        <v>1232</v>
      </c>
    </row>
    <row r="13" spans="1:13">
      <c r="A13" s="103" t="s">
        <v>102</v>
      </c>
      <c r="B13" s="124" t="s">
        <v>928</v>
      </c>
      <c r="C13" s="110">
        <v>11044</v>
      </c>
      <c r="D13" s="109" t="s">
        <v>120</v>
      </c>
      <c r="E13" s="109">
        <v>110</v>
      </c>
      <c r="F13" s="110">
        <v>8632</v>
      </c>
      <c r="G13" s="109" t="s">
        <v>120</v>
      </c>
      <c r="H13" s="109">
        <v>78</v>
      </c>
      <c r="I13" s="109">
        <v>1214</v>
      </c>
      <c r="J13" s="110">
        <v>1032</v>
      </c>
    </row>
    <row r="14" spans="1:13" s="119" customFormat="1">
      <c r="A14" s="123" t="s">
        <v>120</v>
      </c>
      <c r="B14" s="275" t="s">
        <v>929</v>
      </c>
      <c r="C14" s="276"/>
      <c r="D14" s="276"/>
      <c r="E14" s="276"/>
      <c r="F14" s="276"/>
      <c r="G14" s="276"/>
      <c r="H14" s="276"/>
      <c r="I14" s="276"/>
      <c r="J14" s="276"/>
    </row>
    <row r="15" spans="1:13">
      <c r="A15" s="103" t="s">
        <v>103</v>
      </c>
      <c r="B15" s="124" t="s">
        <v>930</v>
      </c>
      <c r="C15" s="110">
        <v>17629</v>
      </c>
      <c r="D15" s="109" t="s">
        <v>120</v>
      </c>
      <c r="E15" s="109">
        <v>176</v>
      </c>
      <c r="F15" s="110">
        <v>15214</v>
      </c>
      <c r="G15" s="109" t="s">
        <v>120</v>
      </c>
      <c r="H15" s="109">
        <v>86</v>
      </c>
      <c r="I15" s="109">
        <v>476</v>
      </c>
      <c r="J15" s="110">
        <v>508</v>
      </c>
    </row>
    <row r="16" spans="1:13">
      <c r="A16" s="103" t="s">
        <v>931</v>
      </c>
      <c r="B16" s="124" t="s">
        <v>932</v>
      </c>
      <c r="C16" s="110">
        <v>1610</v>
      </c>
      <c r="D16" s="109" t="s">
        <v>120</v>
      </c>
      <c r="E16" s="109">
        <v>16</v>
      </c>
      <c r="F16" s="110">
        <v>4207</v>
      </c>
      <c r="G16" s="109" t="s">
        <v>120</v>
      </c>
      <c r="H16" s="109">
        <v>261</v>
      </c>
      <c r="I16" s="109" t="s">
        <v>122</v>
      </c>
      <c r="J16" s="110" t="s">
        <v>122</v>
      </c>
    </row>
    <row r="17" spans="1:10">
      <c r="A17" s="103" t="s">
        <v>933</v>
      </c>
      <c r="B17" s="124" t="s">
        <v>934</v>
      </c>
      <c r="C17" s="110">
        <v>16019</v>
      </c>
      <c r="D17" s="109" t="s">
        <v>120</v>
      </c>
      <c r="E17" s="109">
        <v>160</v>
      </c>
      <c r="F17" s="110">
        <v>11007</v>
      </c>
      <c r="G17" s="109" t="s">
        <v>120</v>
      </c>
      <c r="H17" s="109">
        <v>69</v>
      </c>
      <c r="I17" s="109" t="s">
        <v>122</v>
      </c>
      <c r="J17" s="110" t="s">
        <v>122</v>
      </c>
    </row>
    <row r="18" spans="1:10" s="119" customFormat="1">
      <c r="A18" s="123" t="s">
        <v>120</v>
      </c>
      <c r="B18" s="273" t="s">
        <v>935</v>
      </c>
      <c r="C18" s="274"/>
      <c r="D18" s="274"/>
      <c r="E18" s="274"/>
      <c r="F18" s="274"/>
      <c r="G18" s="274"/>
      <c r="H18" s="274"/>
      <c r="I18" s="274"/>
      <c r="J18" s="274"/>
    </row>
    <row r="19" spans="1:10" s="119" customFormat="1">
      <c r="A19" s="123" t="s">
        <v>120</v>
      </c>
      <c r="B19" s="275" t="s">
        <v>936</v>
      </c>
      <c r="C19" s="276"/>
      <c r="D19" s="276"/>
      <c r="E19" s="276"/>
      <c r="F19" s="276"/>
      <c r="G19" s="276"/>
      <c r="H19" s="276"/>
      <c r="I19" s="276"/>
      <c r="J19" s="276"/>
    </row>
    <row r="20" spans="1:10">
      <c r="A20" s="103" t="s">
        <v>937</v>
      </c>
      <c r="B20" s="124" t="s">
        <v>938</v>
      </c>
      <c r="C20" s="110">
        <v>3621</v>
      </c>
      <c r="D20" s="109" t="s">
        <v>120</v>
      </c>
      <c r="E20" s="109">
        <v>36</v>
      </c>
      <c r="F20" s="110">
        <v>29872</v>
      </c>
      <c r="G20" s="109" t="s">
        <v>120</v>
      </c>
      <c r="H20" s="109">
        <v>825</v>
      </c>
      <c r="I20" s="109">
        <v>2118</v>
      </c>
      <c r="J20" s="110">
        <v>191</v>
      </c>
    </row>
    <row r="21" spans="1:10">
      <c r="A21" s="103" t="s">
        <v>939</v>
      </c>
      <c r="B21" s="124" t="s">
        <v>940</v>
      </c>
      <c r="C21" s="110">
        <v>2007</v>
      </c>
      <c r="D21" s="109" t="s">
        <v>120</v>
      </c>
      <c r="E21" s="109">
        <v>20</v>
      </c>
      <c r="F21" s="110">
        <v>33137</v>
      </c>
      <c r="G21" s="109" t="s">
        <v>120</v>
      </c>
      <c r="H21" s="109">
        <v>1651</v>
      </c>
      <c r="I21" s="109">
        <v>2238</v>
      </c>
      <c r="J21" s="110">
        <v>166</v>
      </c>
    </row>
    <row r="22" spans="1:10">
      <c r="A22" s="103" t="s">
        <v>941</v>
      </c>
      <c r="B22" s="124" t="s">
        <v>942</v>
      </c>
      <c r="C22" s="110">
        <v>2093</v>
      </c>
      <c r="D22" s="109" t="s">
        <v>120</v>
      </c>
      <c r="E22" s="109">
        <v>21</v>
      </c>
      <c r="F22" s="110">
        <v>6394</v>
      </c>
      <c r="G22" s="109" t="s">
        <v>120</v>
      </c>
      <c r="H22" s="109">
        <v>305</v>
      </c>
      <c r="I22" s="109">
        <v>2229</v>
      </c>
      <c r="J22" s="110">
        <v>1423</v>
      </c>
    </row>
    <row r="23" spans="1:10" s="119" customFormat="1">
      <c r="A23" s="123" t="s">
        <v>120</v>
      </c>
      <c r="B23" s="275" t="s">
        <v>943</v>
      </c>
      <c r="C23" s="276"/>
      <c r="D23" s="276"/>
      <c r="E23" s="276"/>
      <c r="F23" s="276"/>
      <c r="G23" s="276"/>
      <c r="H23" s="276"/>
      <c r="I23" s="276"/>
      <c r="J23" s="276"/>
    </row>
    <row r="24" spans="1:10">
      <c r="A24" s="103" t="s">
        <v>944</v>
      </c>
      <c r="B24" s="124" t="s">
        <v>940</v>
      </c>
      <c r="C24" s="110">
        <v>14106</v>
      </c>
      <c r="D24" s="109" t="s">
        <v>120</v>
      </c>
      <c r="E24" s="109">
        <v>141</v>
      </c>
      <c r="F24" s="110">
        <v>9092</v>
      </c>
      <c r="G24" s="109" t="s">
        <v>120</v>
      </c>
      <c r="H24" s="109">
        <v>64</v>
      </c>
      <c r="I24" s="109">
        <v>770</v>
      </c>
      <c r="J24" s="110">
        <v>966</v>
      </c>
    </row>
    <row r="25" spans="1:10">
      <c r="A25" s="103" t="s">
        <v>945</v>
      </c>
      <c r="B25" s="124" t="s">
        <v>946</v>
      </c>
      <c r="C25" s="110">
        <v>12477</v>
      </c>
      <c r="D25" s="109" t="s">
        <v>120</v>
      </c>
      <c r="E25" s="109">
        <v>125</v>
      </c>
      <c r="F25" s="110">
        <v>7438</v>
      </c>
      <c r="G25" s="109" t="s">
        <v>120</v>
      </c>
      <c r="H25" s="109">
        <v>60</v>
      </c>
      <c r="I25" s="109">
        <v>981</v>
      </c>
      <c r="J25" s="110">
        <v>1216</v>
      </c>
    </row>
    <row r="26" spans="1:10" s="119" customFormat="1">
      <c r="A26" s="123" t="s">
        <v>120</v>
      </c>
      <c r="B26" s="275" t="s">
        <v>947</v>
      </c>
      <c r="C26" s="276"/>
      <c r="D26" s="276"/>
      <c r="E26" s="276"/>
      <c r="F26" s="276"/>
      <c r="G26" s="276"/>
      <c r="H26" s="276"/>
      <c r="I26" s="276"/>
      <c r="J26" s="276"/>
    </row>
    <row r="27" spans="1:10">
      <c r="A27" s="103" t="s">
        <v>948</v>
      </c>
      <c r="B27" s="124" t="s">
        <v>949</v>
      </c>
      <c r="C27" s="110">
        <v>7186</v>
      </c>
      <c r="D27" s="109" t="s">
        <v>120</v>
      </c>
      <c r="E27" s="109">
        <v>72</v>
      </c>
      <c r="F27" s="110">
        <v>5470</v>
      </c>
      <c r="G27" s="109" t="s">
        <v>120</v>
      </c>
      <c r="H27" s="109">
        <v>76</v>
      </c>
      <c r="I27" s="109">
        <v>1821</v>
      </c>
      <c r="J27" s="110">
        <v>1622</v>
      </c>
    </row>
    <row r="28" spans="1:10">
      <c r="A28" s="103" t="s">
        <v>950</v>
      </c>
      <c r="B28" s="124" t="s">
        <v>932</v>
      </c>
      <c r="C28" s="110">
        <v>1981</v>
      </c>
      <c r="D28" s="109" t="s">
        <v>120</v>
      </c>
      <c r="E28" s="109">
        <v>20</v>
      </c>
      <c r="F28" s="110">
        <v>2963</v>
      </c>
      <c r="G28" s="109" t="s">
        <v>120</v>
      </c>
      <c r="H28" s="109">
        <v>150</v>
      </c>
      <c r="I28" s="109" t="s">
        <v>122</v>
      </c>
      <c r="J28" s="110" t="s">
        <v>122</v>
      </c>
    </row>
    <row r="29" spans="1:10">
      <c r="A29" s="103" t="s">
        <v>951</v>
      </c>
      <c r="B29" s="124" t="s">
        <v>934</v>
      </c>
      <c r="C29" s="110">
        <v>5205</v>
      </c>
      <c r="D29" s="109" t="s">
        <v>120</v>
      </c>
      <c r="E29" s="109">
        <v>52</v>
      </c>
      <c r="F29" s="110">
        <v>2507</v>
      </c>
      <c r="G29" s="109" t="s">
        <v>120</v>
      </c>
      <c r="H29" s="109">
        <v>48</v>
      </c>
      <c r="I29" s="109" t="s">
        <v>122</v>
      </c>
      <c r="J29" s="110" t="s">
        <v>122</v>
      </c>
    </row>
    <row r="30" spans="1:10">
      <c r="A30" s="103" t="s">
        <v>952</v>
      </c>
      <c r="B30" s="124" t="s">
        <v>953</v>
      </c>
      <c r="C30" s="110">
        <v>6361</v>
      </c>
      <c r="D30" s="109" t="s">
        <v>120</v>
      </c>
      <c r="E30" s="109">
        <v>64</v>
      </c>
      <c r="F30" s="110">
        <v>9410</v>
      </c>
      <c r="G30" s="109" t="s">
        <v>120</v>
      </c>
      <c r="H30" s="109">
        <v>148</v>
      </c>
      <c r="I30" s="109">
        <v>1917</v>
      </c>
      <c r="J30" s="110">
        <v>930</v>
      </c>
    </row>
    <row r="31" spans="1:10">
      <c r="A31" s="103" t="s">
        <v>954</v>
      </c>
      <c r="B31" s="124" t="s">
        <v>932</v>
      </c>
      <c r="C31" s="110">
        <v>1772</v>
      </c>
      <c r="D31" s="109" t="s">
        <v>120</v>
      </c>
      <c r="E31" s="109">
        <v>18</v>
      </c>
      <c r="F31" s="110">
        <v>7095</v>
      </c>
      <c r="G31" s="109" t="s">
        <v>120</v>
      </c>
      <c r="H31" s="109">
        <v>400</v>
      </c>
      <c r="I31" s="109" t="s">
        <v>122</v>
      </c>
      <c r="J31" s="110" t="s">
        <v>122</v>
      </c>
    </row>
    <row r="32" spans="1:10">
      <c r="A32" s="103" t="s">
        <v>955</v>
      </c>
      <c r="B32" s="124" t="s">
        <v>934</v>
      </c>
      <c r="C32" s="110">
        <v>4589</v>
      </c>
      <c r="D32" s="109" t="s">
        <v>120</v>
      </c>
      <c r="E32" s="109">
        <v>46</v>
      </c>
      <c r="F32" s="110">
        <v>2315</v>
      </c>
      <c r="G32" s="109" t="s">
        <v>120</v>
      </c>
      <c r="H32" s="109">
        <v>50</v>
      </c>
      <c r="I32" s="109" t="s">
        <v>122</v>
      </c>
      <c r="J32" s="110" t="s">
        <v>122</v>
      </c>
    </row>
    <row r="33" spans="1:10" s="119" customFormat="1">
      <c r="A33" s="123" t="s">
        <v>120</v>
      </c>
      <c r="B33" s="273" t="s">
        <v>956</v>
      </c>
      <c r="C33" s="274"/>
      <c r="D33" s="274"/>
      <c r="E33" s="274"/>
      <c r="F33" s="274"/>
      <c r="G33" s="274"/>
      <c r="H33" s="274"/>
      <c r="I33" s="274"/>
      <c r="J33" s="274"/>
    </row>
    <row r="34" spans="1:10" s="119" customFormat="1">
      <c r="A34" s="123" t="s">
        <v>120</v>
      </c>
      <c r="B34" s="275" t="s">
        <v>957</v>
      </c>
      <c r="C34" s="276"/>
      <c r="D34" s="276"/>
      <c r="E34" s="276"/>
      <c r="F34" s="276"/>
      <c r="G34" s="276"/>
      <c r="H34" s="276"/>
      <c r="I34" s="276"/>
      <c r="J34" s="276"/>
    </row>
    <row r="35" spans="1:10">
      <c r="A35" s="103" t="s">
        <v>958</v>
      </c>
      <c r="B35" s="124" t="s">
        <v>959</v>
      </c>
      <c r="C35" s="110">
        <v>3511</v>
      </c>
      <c r="D35" s="109" t="s">
        <v>120</v>
      </c>
      <c r="E35" s="109">
        <v>35</v>
      </c>
      <c r="F35" s="110">
        <v>66980</v>
      </c>
      <c r="G35" s="109" t="s">
        <v>120</v>
      </c>
      <c r="H35" s="109">
        <v>1908</v>
      </c>
      <c r="I35" s="109">
        <v>2127</v>
      </c>
      <c r="J35" s="110">
        <v>59</v>
      </c>
    </row>
    <row r="36" spans="1:10" s="119" customFormat="1">
      <c r="A36" s="123" t="s">
        <v>120</v>
      </c>
      <c r="B36" s="275" t="s">
        <v>924</v>
      </c>
      <c r="C36" s="276"/>
      <c r="D36" s="276"/>
      <c r="E36" s="276"/>
      <c r="F36" s="276"/>
      <c r="G36" s="276"/>
      <c r="H36" s="276"/>
      <c r="I36" s="276"/>
      <c r="J36" s="276"/>
    </row>
    <row r="37" spans="1:10">
      <c r="A37" s="103" t="s">
        <v>960</v>
      </c>
      <c r="B37" s="124" t="s">
        <v>959</v>
      </c>
      <c r="C37" s="110">
        <v>8479</v>
      </c>
      <c r="D37" s="109" t="s">
        <v>120</v>
      </c>
      <c r="E37" s="109">
        <v>85</v>
      </c>
      <c r="F37" s="110">
        <v>6791</v>
      </c>
      <c r="G37" s="109" t="s">
        <v>120</v>
      </c>
      <c r="H37" s="109">
        <v>80</v>
      </c>
      <c r="I37" s="109">
        <v>1621</v>
      </c>
      <c r="J37" s="110">
        <v>1343</v>
      </c>
    </row>
    <row r="38" spans="1:10">
      <c r="A38" s="103" t="s">
        <v>961</v>
      </c>
      <c r="B38" s="124" t="s">
        <v>962</v>
      </c>
      <c r="C38" s="110">
        <v>6332</v>
      </c>
      <c r="D38" s="109" t="s">
        <v>120</v>
      </c>
      <c r="E38" s="109">
        <v>63</v>
      </c>
      <c r="F38" s="110">
        <v>5156</v>
      </c>
      <c r="G38" s="109" t="s">
        <v>120</v>
      </c>
      <c r="H38" s="109">
        <v>81</v>
      </c>
      <c r="I38" s="109">
        <v>1921</v>
      </c>
      <c r="J38" s="110">
        <v>1704</v>
      </c>
    </row>
    <row r="39" spans="1:10">
      <c r="A39" s="103" t="s">
        <v>963</v>
      </c>
      <c r="B39" s="124" t="s">
        <v>964</v>
      </c>
      <c r="C39" s="110">
        <v>12752</v>
      </c>
      <c r="D39" s="109" t="s">
        <v>120</v>
      </c>
      <c r="E39" s="109">
        <v>128</v>
      </c>
      <c r="F39" s="110">
        <v>4455</v>
      </c>
      <c r="G39" s="109" t="s">
        <v>120</v>
      </c>
      <c r="H39" s="109">
        <v>35</v>
      </c>
      <c r="I39" s="109">
        <v>950</v>
      </c>
      <c r="J39" s="110">
        <v>1879</v>
      </c>
    </row>
    <row r="40" spans="1:10">
      <c r="A40" s="103" t="s">
        <v>965</v>
      </c>
      <c r="B40" s="124" t="s">
        <v>966</v>
      </c>
      <c r="C40" s="110">
        <v>6427</v>
      </c>
      <c r="D40" s="109" t="s">
        <v>120</v>
      </c>
      <c r="E40" s="109">
        <v>64</v>
      </c>
      <c r="F40" s="110">
        <v>2259</v>
      </c>
      <c r="G40" s="109" t="s">
        <v>120</v>
      </c>
      <c r="H40" s="109">
        <v>35</v>
      </c>
      <c r="I40" s="109">
        <v>1912</v>
      </c>
      <c r="J40" s="110">
        <v>2283</v>
      </c>
    </row>
    <row r="41" spans="1:10">
      <c r="A41" s="103" t="s">
        <v>967</v>
      </c>
      <c r="B41" s="124" t="s">
        <v>968</v>
      </c>
      <c r="C41" s="110">
        <v>6826</v>
      </c>
      <c r="D41" s="109" t="s">
        <v>120</v>
      </c>
      <c r="E41" s="109">
        <v>68</v>
      </c>
      <c r="F41" s="110">
        <v>3461</v>
      </c>
      <c r="G41" s="109" t="s">
        <v>120</v>
      </c>
      <c r="H41" s="109">
        <v>51</v>
      </c>
      <c r="I41" s="109">
        <v>1869</v>
      </c>
      <c r="J41" s="110">
        <v>2113</v>
      </c>
    </row>
    <row r="42" spans="1:10" s="119" customFormat="1">
      <c r="A42" s="123" t="s">
        <v>120</v>
      </c>
      <c r="B42" s="273" t="s">
        <v>969</v>
      </c>
      <c r="C42" s="274"/>
      <c r="D42" s="274"/>
      <c r="E42" s="274"/>
      <c r="F42" s="274"/>
      <c r="G42" s="274"/>
      <c r="H42" s="274"/>
      <c r="I42" s="274"/>
      <c r="J42" s="274"/>
    </row>
    <row r="43" spans="1:10" s="119" customFormat="1">
      <c r="A43" s="123" t="s">
        <v>120</v>
      </c>
      <c r="B43" s="275" t="s">
        <v>943</v>
      </c>
      <c r="C43" s="276"/>
      <c r="D43" s="276"/>
      <c r="E43" s="276"/>
      <c r="F43" s="276"/>
      <c r="G43" s="276"/>
      <c r="H43" s="276"/>
      <c r="I43" s="276"/>
      <c r="J43" s="276"/>
    </row>
    <row r="44" spans="1:10">
      <c r="A44" s="103" t="s">
        <v>970</v>
      </c>
      <c r="B44" s="124" t="s">
        <v>971</v>
      </c>
      <c r="C44" s="110">
        <v>12402</v>
      </c>
      <c r="D44" s="109" t="s">
        <v>120</v>
      </c>
      <c r="E44" s="109">
        <v>124</v>
      </c>
      <c r="F44" s="110">
        <v>2997</v>
      </c>
      <c r="G44" s="109" t="s">
        <v>120</v>
      </c>
      <c r="H44" s="109">
        <v>24</v>
      </c>
      <c r="I44" s="109">
        <v>993</v>
      </c>
      <c r="J44" s="110">
        <v>2199</v>
      </c>
    </row>
    <row r="45" spans="1:10">
      <c r="A45" s="103" t="s">
        <v>972</v>
      </c>
      <c r="B45" s="124" t="s">
        <v>973</v>
      </c>
      <c r="C45" s="110">
        <v>15103</v>
      </c>
      <c r="D45" s="109" t="s">
        <v>120</v>
      </c>
      <c r="E45" s="109">
        <v>151</v>
      </c>
      <c r="F45" s="110">
        <v>4840</v>
      </c>
      <c r="G45" s="109" t="s">
        <v>120</v>
      </c>
      <c r="H45" s="109">
        <v>32</v>
      </c>
      <c r="I45" s="109">
        <v>665</v>
      </c>
      <c r="J45" s="110">
        <v>1783</v>
      </c>
    </row>
    <row r="46" spans="1:10" s="119" customFormat="1">
      <c r="A46" s="123" t="s">
        <v>120</v>
      </c>
      <c r="B46" s="275" t="s">
        <v>947</v>
      </c>
      <c r="C46" s="276"/>
      <c r="D46" s="276"/>
      <c r="E46" s="276"/>
      <c r="F46" s="276"/>
      <c r="G46" s="276"/>
      <c r="H46" s="276"/>
      <c r="I46" s="276"/>
      <c r="J46" s="276"/>
    </row>
    <row r="47" spans="1:10">
      <c r="A47" s="103" t="s">
        <v>974</v>
      </c>
      <c r="B47" s="124" t="s">
        <v>975</v>
      </c>
      <c r="C47" s="110">
        <v>26611</v>
      </c>
      <c r="D47" s="109" t="s">
        <v>120</v>
      </c>
      <c r="E47" s="109">
        <v>266</v>
      </c>
      <c r="F47" s="110">
        <v>19878</v>
      </c>
      <c r="G47" s="109" t="s">
        <v>120</v>
      </c>
      <c r="H47" s="109">
        <v>75</v>
      </c>
      <c r="I47" s="109">
        <v>143</v>
      </c>
      <c r="J47" s="110">
        <v>347</v>
      </c>
    </row>
    <row r="48" spans="1:10">
      <c r="A48" s="103" t="s">
        <v>976</v>
      </c>
      <c r="B48" s="124" t="s">
        <v>932</v>
      </c>
      <c r="C48" s="110">
        <v>1365</v>
      </c>
      <c r="D48" s="109" t="s">
        <v>120</v>
      </c>
      <c r="E48" s="109">
        <v>14</v>
      </c>
      <c r="F48" s="110">
        <v>11678</v>
      </c>
      <c r="G48" s="109" t="s">
        <v>120</v>
      </c>
      <c r="H48" s="109">
        <v>856</v>
      </c>
      <c r="I48" s="109" t="s">
        <v>122</v>
      </c>
      <c r="J48" s="110" t="s">
        <v>122</v>
      </c>
    </row>
    <row r="49" spans="1:10">
      <c r="A49" s="103" t="s">
        <v>977</v>
      </c>
      <c r="B49" s="124" t="s">
        <v>934</v>
      </c>
      <c r="C49" s="110">
        <v>25246</v>
      </c>
      <c r="D49" s="109" t="s">
        <v>120</v>
      </c>
      <c r="E49" s="109">
        <v>252</v>
      </c>
      <c r="F49" s="110">
        <v>8200</v>
      </c>
      <c r="G49" s="109" t="s">
        <v>120</v>
      </c>
      <c r="H49" s="109">
        <v>32</v>
      </c>
      <c r="I49" s="109" t="s">
        <v>122</v>
      </c>
      <c r="J49" s="110" t="s">
        <v>122</v>
      </c>
    </row>
    <row r="50" spans="1:10">
      <c r="A50" s="103" t="s">
        <v>978</v>
      </c>
      <c r="B50" s="124" t="s">
        <v>979</v>
      </c>
      <c r="C50" s="110">
        <v>19711</v>
      </c>
      <c r="D50" s="109" t="s">
        <v>120</v>
      </c>
      <c r="E50" s="109">
        <v>197</v>
      </c>
      <c r="F50" s="110">
        <v>7155</v>
      </c>
      <c r="G50" s="109" t="s">
        <v>120</v>
      </c>
      <c r="H50" s="109">
        <v>36</v>
      </c>
      <c r="I50" s="109">
        <v>364</v>
      </c>
      <c r="J50" s="110">
        <v>1266</v>
      </c>
    </row>
    <row r="51" spans="1:10">
      <c r="A51" s="103" t="s">
        <v>980</v>
      </c>
      <c r="B51" s="124" t="s">
        <v>932</v>
      </c>
      <c r="C51" s="110">
        <v>324</v>
      </c>
      <c r="D51" s="109" t="s">
        <v>120</v>
      </c>
      <c r="E51" s="109">
        <v>3</v>
      </c>
      <c r="F51" s="110">
        <v>2660</v>
      </c>
      <c r="G51" s="109" t="s">
        <v>120</v>
      </c>
      <c r="H51" s="109">
        <v>821</v>
      </c>
      <c r="I51" s="109" t="s">
        <v>122</v>
      </c>
      <c r="J51" s="110" t="s">
        <v>122</v>
      </c>
    </row>
    <row r="52" spans="1:10">
      <c r="A52" s="103" t="s">
        <v>981</v>
      </c>
      <c r="B52" s="124" t="s">
        <v>934</v>
      </c>
      <c r="C52" s="110">
        <v>19387</v>
      </c>
      <c r="D52" s="109" t="s">
        <v>120</v>
      </c>
      <c r="E52" s="109">
        <v>194</v>
      </c>
      <c r="F52" s="110">
        <v>4495</v>
      </c>
      <c r="G52" s="109" t="s">
        <v>120</v>
      </c>
      <c r="H52" s="109">
        <v>23</v>
      </c>
      <c r="I52" s="109" t="s">
        <v>122</v>
      </c>
      <c r="J52" s="110" t="s">
        <v>122</v>
      </c>
    </row>
    <row r="53" spans="1:10" s="119" customFormat="1">
      <c r="A53" s="123" t="s">
        <v>120</v>
      </c>
      <c r="B53" s="273" t="s">
        <v>982</v>
      </c>
      <c r="C53" s="274"/>
      <c r="D53" s="274"/>
      <c r="E53" s="274"/>
      <c r="F53" s="274"/>
      <c r="G53" s="274"/>
      <c r="H53" s="274"/>
      <c r="I53" s="274"/>
      <c r="J53" s="274"/>
    </row>
    <row r="54" spans="1:10" s="119" customFormat="1">
      <c r="A54" s="123" t="s">
        <v>120</v>
      </c>
      <c r="B54" s="275" t="s">
        <v>983</v>
      </c>
      <c r="C54" s="276"/>
      <c r="D54" s="276"/>
      <c r="E54" s="276"/>
      <c r="F54" s="276"/>
      <c r="G54" s="276"/>
      <c r="H54" s="276"/>
      <c r="I54" s="276"/>
      <c r="J54" s="276"/>
    </row>
    <row r="55" spans="1:10">
      <c r="A55" s="103" t="s">
        <v>984</v>
      </c>
      <c r="B55" s="124" t="s">
        <v>985</v>
      </c>
      <c r="C55" s="110">
        <v>1880</v>
      </c>
      <c r="D55" s="109" t="s">
        <v>120</v>
      </c>
      <c r="E55" s="109">
        <v>19</v>
      </c>
      <c r="F55" s="110">
        <v>22758</v>
      </c>
      <c r="G55" s="109" t="s">
        <v>120</v>
      </c>
      <c r="H55" s="109">
        <v>1211</v>
      </c>
      <c r="I55" s="109">
        <v>2249</v>
      </c>
      <c r="J55" s="110">
        <v>284</v>
      </c>
    </row>
    <row r="56" spans="1:10" s="119" customFormat="1">
      <c r="A56" s="123" t="s">
        <v>120</v>
      </c>
      <c r="B56" s="275" t="s">
        <v>986</v>
      </c>
      <c r="C56" s="276"/>
      <c r="D56" s="276"/>
      <c r="E56" s="276"/>
      <c r="F56" s="276"/>
      <c r="G56" s="276"/>
      <c r="H56" s="276"/>
      <c r="I56" s="276"/>
      <c r="J56" s="276"/>
    </row>
    <row r="57" spans="1:10">
      <c r="A57" s="103" t="s">
        <v>987</v>
      </c>
      <c r="B57" s="124" t="s">
        <v>988</v>
      </c>
      <c r="C57" s="110">
        <v>14778</v>
      </c>
      <c r="D57" s="109" t="s">
        <v>120</v>
      </c>
      <c r="E57" s="109">
        <v>148</v>
      </c>
      <c r="F57" s="110">
        <v>5007</v>
      </c>
      <c r="G57" s="109" t="s">
        <v>120</v>
      </c>
      <c r="H57" s="109">
        <v>34</v>
      </c>
      <c r="I57" s="109">
        <v>697</v>
      </c>
      <c r="J57" s="110">
        <v>1740</v>
      </c>
    </row>
    <row r="58" spans="1:10">
      <c r="A58" s="103" t="s">
        <v>989</v>
      </c>
      <c r="B58" s="124" t="s">
        <v>990</v>
      </c>
      <c r="C58" s="110">
        <v>7194</v>
      </c>
      <c r="D58" s="109" t="s">
        <v>120</v>
      </c>
      <c r="E58" s="109">
        <v>72</v>
      </c>
      <c r="F58" s="110">
        <v>4054</v>
      </c>
      <c r="G58" s="109" t="s">
        <v>120</v>
      </c>
      <c r="H58" s="109">
        <v>56</v>
      </c>
      <c r="I58" s="109">
        <v>1818</v>
      </c>
      <c r="J58" s="110">
        <v>1981</v>
      </c>
    </row>
    <row r="59" spans="1:10">
      <c r="A59" s="103" t="s">
        <v>991</v>
      </c>
      <c r="B59" s="124" t="s">
        <v>992</v>
      </c>
      <c r="C59" s="110">
        <v>10128</v>
      </c>
      <c r="D59" s="109" t="s">
        <v>120</v>
      </c>
      <c r="E59" s="109">
        <v>101</v>
      </c>
      <c r="F59" s="110">
        <v>3997</v>
      </c>
      <c r="G59" s="109" t="s">
        <v>120</v>
      </c>
      <c r="H59" s="109">
        <v>39</v>
      </c>
      <c r="I59" s="109">
        <v>1364</v>
      </c>
      <c r="J59" s="110">
        <v>1993</v>
      </c>
    </row>
    <row r="60" spans="1:10">
      <c r="A60" s="103" t="s">
        <v>993</v>
      </c>
      <c r="B60" s="124" t="s">
        <v>994</v>
      </c>
      <c r="C60" s="110">
        <v>8915</v>
      </c>
      <c r="D60" s="109" t="s">
        <v>120</v>
      </c>
      <c r="E60" s="109">
        <v>89</v>
      </c>
      <c r="F60" s="110">
        <v>3912</v>
      </c>
      <c r="G60" s="109" t="s">
        <v>120</v>
      </c>
      <c r="H60" s="109">
        <v>44</v>
      </c>
      <c r="I60" s="109">
        <v>1540</v>
      </c>
      <c r="J60" s="110">
        <v>2011</v>
      </c>
    </row>
    <row r="61" spans="1:10" s="119" customFormat="1">
      <c r="A61" s="123" t="s">
        <v>120</v>
      </c>
      <c r="B61" s="275" t="s">
        <v>929</v>
      </c>
      <c r="C61" s="276"/>
      <c r="D61" s="276"/>
      <c r="E61" s="276"/>
      <c r="F61" s="276"/>
      <c r="G61" s="276"/>
      <c r="H61" s="276"/>
      <c r="I61" s="276"/>
      <c r="J61" s="276"/>
    </row>
    <row r="62" spans="1:10">
      <c r="A62" s="103" t="s">
        <v>995</v>
      </c>
      <c r="B62" s="124" t="s">
        <v>996</v>
      </c>
      <c r="C62" s="110">
        <v>15260</v>
      </c>
      <c r="D62" s="109" t="s">
        <v>120</v>
      </c>
      <c r="E62" s="109">
        <v>153</v>
      </c>
      <c r="F62" s="110">
        <v>10388</v>
      </c>
      <c r="G62" s="109" t="s">
        <v>120</v>
      </c>
      <c r="H62" s="109">
        <v>68</v>
      </c>
      <c r="I62" s="109">
        <v>650</v>
      </c>
      <c r="J62" s="110">
        <v>841</v>
      </c>
    </row>
    <row r="63" spans="1:10">
      <c r="A63" s="103" t="s">
        <v>997</v>
      </c>
      <c r="B63" s="124" t="s">
        <v>932</v>
      </c>
      <c r="C63" s="110">
        <v>768</v>
      </c>
      <c r="D63" s="109" t="s">
        <v>120</v>
      </c>
      <c r="E63" s="109">
        <v>8</v>
      </c>
      <c r="F63" s="110">
        <v>4967</v>
      </c>
      <c r="G63" s="109" t="s">
        <v>120</v>
      </c>
      <c r="H63" s="109">
        <v>647</v>
      </c>
      <c r="I63" s="109" t="s">
        <v>122</v>
      </c>
      <c r="J63" s="110" t="s">
        <v>122</v>
      </c>
    </row>
    <row r="64" spans="1:10">
      <c r="A64" s="103" t="s">
        <v>998</v>
      </c>
      <c r="B64" s="124" t="s">
        <v>934</v>
      </c>
      <c r="C64" s="110">
        <v>14492</v>
      </c>
      <c r="D64" s="109" t="s">
        <v>120</v>
      </c>
      <c r="E64" s="109">
        <v>145</v>
      </c>
      <c r="F64" s="110">
        <v>5421</v>
      </c>
      <c r="G64" s="109" t="s">
        <v>120</v>
      </c>
      <c r="H64" s="109">
        <v>37</v>
      </c>
      <c r="I64" s="109" t="s">
        <v>122</v>
      </c>
      <c r="J64" s="110" t="s">
        <v>122</v>
      </c>
    </row>
    <row r="65" spans="1:10" s="119" customFormat="1">
      <c r="A65" s="123" t="s">
        <v>120</v>
      </c>
      <c r="B65" s="273" t="s">
        <v>999</v>
      </c>
      <c r="C65" s="274"/>
      <c r="D65" s="274"/>
      <c r="E65" s="274"/>
      <c r="F65" s="274"/>
      <c r="G65" s="274"/>
      <c r="H65" s="274"/>
      <c r="I65" s="274"/>
      <c r="J65" s="274"/>
    </row>
    <row r="66" spans="1:10" s="119" customFormat="1">
      <c r="A66" s="123" t="s">
        <v>120</v>
      </c>
      <c r="B66" s="275" t="s">
        <v>936</v>
      </c>
      <c r="C66" s="276"/>
      <c r="D66" s="276"/>
      <c r="E66" s="276"/>
      <c r="F66" s="276"/>
      <c r="G66" s="276"/>
      <c r="H66" s="276"/>
      <c r="I66" s="276"/>
      <c r="J66" s="276"/>
    </row>
    <row r="67" spans="1:10">
      <c r="A67" s="103" t="s">
        <v>1000</v>
      </c>
      <c r="B67" s="124" t="s">
        <v>1001</v>
      </c>
      <c r="C67" s="110">
        <v>3799</v>
      </c>
      <c r="D67" s="109" t="s">
        <v>120</v>
      </c>
      <c r="E67" s="109">
        <v>38</v>
      </c>
      <c r="F67" s="110">
        <v>4570</v>
      </c>
      <c r="G67" s="109" t="s">
        <v>120</v>
      </c>
      <c r="H67" s="109">
        <v>120</v>
      </c>
      <c r="I67" s="109">
        <v>2108</v>
      </c>
      <c r="J67" s="110">
        <v>1852</v>
      </c>
    </row>
    <row r="68" spans="1:10">
      <c r="A68" s="103" t="s">
        <v>1002</v>
      </c>
      <c r="B68" s="124" t="s">
        <v>1003</v>
      </c>
      <c r="C68" s="110">
        <v>3739</v>
      </c>
      <c r="D68" s="109" t="s">
        <v>120</v>
      </c>
      <c r="E68" s="109">
        <v>37</v>
      </c>
      <c r="F68" s="110">
        <v>10813</v>
      </c>
      <c r="G68" s="109" t="s">
        <v>120</v>
      </c>
      <c r="H68" s="109">
        <v>289</v>
      </c>
      <c r="I68" s="109">
        <v>2111</v>
      </c>
      <c r="J68" s="110">
        <v>803</v>
      </c>
    </row>
    <row r="69" spans="1:10">
      <c r="A69" s="103" t="s">
        <v>1004</v>
      </c>
      <c r="B69" s="124" t="s">
        <v>1005</v>
      </c>
      <c r="C69" s="110">
        <v>4322</v>
      </c>
      <c r="D69" s="109" t="s">
        <v>120</v>
      </c>
      <c r="E69" s="109">
        <v>43</v>
      </c>
      <c r="F69" s="110">
        <v>6156</v>
      </c>
      <c r="G69" s="109" t="s">
        <v>120</v>
      </c>
      <c r="H69" s="109">
        <v>142</v>
      </c>
      <c r="I69" s="109">
        <v>2069</v>
      </c>
      <c r="J69" s="110">
        <v>1469</v>
      </c>
    </row>
    <row r="70" spans="1:10">
      <c r="A70" s="103" t="s">
        <v>1006</v>
      </c>
      <c r="B70" s="124" t="s">
        <v>1007</v>
      </c>
      <c r="C70" s="110">
        <v>7544</v>
      </c>
      <c r="D70" s="109" t="s">
        <v>120</v>
      </c>
      <c r="E70" s="109">
        <v>75</v>
      </c>
      <c r="F70" s="110">
        <v>6633</v>
      </c>
      <c r="G70" s="109" t="s">
        <v>120</v>
      </c>
      <c r="H70" s="109">
        <v>88</v>
      </c>
      <c r="I70" s="109">
        <v>1766</v>
      </c>
      <c r="J70" s="110">
        <v>1375</v>
      </c>
    </row>
    <row r="71" spans="1:10" s="119" customFormat="1">
      <c r="A71" s="123" t="s">
        <v>120</v>
      </c>
      <c r="B71" s="275" t="s">
        <v>924</v>
      </c>
      <c r="C71" s="276"/>
      <c r="D71" s="276"/>
      <c r="E71" s="276"/>
      <c r="F71" s="276"/>
      <c r="G71" s="276"/>
      <c r="H71" s="276"/>
      <c r="I71" s="276"/>
      <c r="J71" s="276"/>
    </row>
    <row r="72" spans="1:10">
      <c r="A72" s="103" t="s">
        <v>1008</v>
      </c>
      <c r="B72" s="124" t="s">
        <v>1009</v>
      </c>
      <c r="C72" s="110">
        <v>5783</v>
      </c>
      <c r="D72" s="109" t="s">
        <v>120</v>
      </c>
      <c r="E72" s="109">
        <v>58</v>
      </c>
      <c r="F72" s="110">
        <v>4302</v>
      </c>
      <c r="G72" s="109" t="s">
        <v>120</v>
      </c>
      <c r="H72" s="109">
        <v>74</v>
      </c>
      <c r="I72" s="109">
        <v>1958</v>
      </c>
      <c r="J72" s="110">
        <v>1922</v>
      </c>
    </row>
    <row r="73" spans="1:10">
      <c r="A73" s="103" t="s">
        <v>1010</v>
      </c>
      <c r="B73" s="124" t="s">
        <v>1011</v>
      </c>
      <c r="C73" s="110">
        <v>9428</v>
      </c>
      <c r="D73" s="109" t="s">
        <v>120</v>
      </c>
      <c r="E73" s="109">
        <v>94</v>
      </c>
      <c r="F73" s="110">
        <v>7456</v>
      </c>
      <c r="G73" s="109" t="s">
        <v>120</v>
      </c>
      <c r="H73" s="109">
        <v>79</v>
      </c>
      <c r="I73" s="109">
        <v>1484</v>
      </c>
      <c r="J73" s="110">
        <v>1209</v>
      </c>
    </row>
    <row r="74" spans="1:10">
      <c r="A74" s="103" t="s">
        <v>1012</v>
      </c>
      <c r="B74" s="124" t="s">
        <v>1013</v>
      </c>
      <c r="C74" s="110">
        <v>8798</v>
      </c>
      <c r="D74" s="109" t="s">
        <v>120</v>
      </c>
      <c r="E74" s="109">
        <v>88</v>
      </c>
      <c r="F74" s="110">
        <v>10160</v>
      </c>
      <c r="G74" s="109" t="s">
        <v>120</v>
      </c>
      <c r="H74" s="109">
        <v>115</v>
      </c>
      <c r="I74" s="109">
        <v>1561</v>
      </c>
      <c r="J74" s="110">
        <v>859</v>
      </c>
    </row>
    <row r="75" spans="1:10">
      <c r="A75" s="103" t="s">
        <v>1014</v>
      </c>
      <c r="B75" s="124" t="s">
        <v>1015</v>
      </c>
      <c r="C75" s="110">
        <v>8251</v>
      </c>
      <c r="D75" s="109" t="s">
        <v>120</v>
      </c>
      <c r="E75" s="109">
        <v>83</v>
      </c>
      <c r="F75" s="110">
        <v>8249</v>
      </c>
      <c r="G75" s="109" t="s">
        <v>120</v>
      </c>
      <c r="H75" s="109">
        <v>100</v>
      </c>
      <c r="I75" s="109">
        <v>1664</v>
      </c>
      <c r="J75" s="110">
        <v>1086</v>
      </c>
    </row>
    <row r="76" spans="1:10">
      <c r="A76" s="103" t="s">
        <v>1016</v>
      </c>
      <c r="B76" s="124" t="s">
        <v>1017</v>
      </c>
      <c r="C76" s="110">
        <v>11050</v>
      </c>
      <c r="D76" s="109" t="s">
        <v>120</v>
      </c>
      <c r="E76" s="109">
        <v>111</v>
      </c>
      <c r="F76" s="110">
        <v>5252</v>
      </c>
      <c r="G76" s="109" t="s">
        <v>120</v>
      </c>
      <c r="H76" s="109">
        <v>48</v>
      </c>
      <c r="I76" s="109">
        <v>1212</v>
      </c>
      <c r="J76" s="110">
        <v>1678</v>
      </c>
    </row>
    <row r="77" spans="1:10" s="119" customFormat="1">
      <c r="A77" s="123" t="s">
        <v>120</v>
      </c>
      <c r="B77" s="273" t="s">
        <v>1018</v>
      </c>
      <c r="C77" s="274"/>
      <c r="D77" s="274"/>
      <c r="E77" s="274"/>
      <c r="F77" s="274"/>
      <c r="G77" s="274"/>
      <c r="H77" s="274"/>
      <c r="I77" s="274"/>
      <c r="J77" s="274"/>
    </row>
    <row r="78" spans="1:10" s="119" customFormat="1">
      <c r="A78" s="123" t="s">
        <v>120</v>
      </c>
      <c r="B78" s="275" t="s">
        <v>1019</v>
      </c>
      <c r="C78" s="276"/>
      <c r="D78" s="276"/>
      <c r="E78" s="276"/>
      <c r="F78" s="276"/>
      <c r="G78" s="276"/>
      <c r="H78" s="276"/>
      <c r="I78" s="276"/>
      <c r="J78" s="276"/>
    </row>
    <row r="79" spans="1:10">
      <c r="A79" s="103" t="s">
        <v>1020</v>
      </c>
      <c r="B79" s="124" t="s">
        <v>1021</v>
      </c>
      <c r="C79" s="110">
        <v>1804</v>
      </c>
      <c r="D79" s="109" t="s">
        <v>120</v>
      </c>
      <c r="E79" s="109">
        <v>18</v>
      </c>
      <c r="F79" s="110">
        <v>18840</v>
      </c>
      <c r="G79" s="109" t="s">
        <v>120</v>
      </c>
      <c r="H79" s="109">
        <v>1044</v>
      </c>
      <c r="I79" s="109">
        <v>2253</v>
      </c>
      <c r="J79" s="110">
        <v>373</v>
      </c>
    </row>
    <row r="80" spans="1:10" s="119" customFormat="1">
      <c r="A80" s="123" t="s">
        <v>120</v>
      </c>
      <c r="B80" s="275" t="s">
        <v>1022</v>
      </c>
      <c r="C80" s="276"/>
      <c r="D80" s="276"/>
      <c r="E80" s="276"/>
      <c r="F80" s="276"/>
      <c r="G80" s="276"/>
      <c r="H80" s="276"/>
      <c r="I80" s="276"/>
      <c r="J80" s="276"/>
    </row>
    <row r="81" spans="1:10">
      <c r="A81" s="103" t="s">
        <v>1023</v>
      </c>
      <c r="B81" s="124" t="s">
        <v>1021</v>
      </c>
      <c r="C81" s="110">
        <v>15803</v>
      </c>
      <c r="D81" s="109" t="s">
        <v>120</v>
      </c>
      <c r="E81" s="109">
        <v>158</v>
      </c>
      <c r="F81" s="110">
        <v>9035</v>
      </c>
      <c r="G81" s="109" t="s">
        <v>120</v>
      </c>
      <c r="H81" s="109">
        <v>57</v>
      </c>
      <c r="I81" s="109">
        <v>616</v>
      </c>
      <c r="J81" s="110">
        <v>980</v>
      </c>
    </row>
    <row r="82" spans="1:10">
      <c r="A82" s="103" t="s">
        <v>1024</v>
      </c>
      <c r="B82" s="124" t="s">
        <v>1025</v>
      </c>
      <c r="C82" s="110">
        <v>8157</v>
      </c>
      <c r="D82" s="109" t="s">
        <v>120</v>
      </c>
      <c r="E82" s="109">
        <v>82</v>
      </c>
      <c r="F82" s="110">
        <v>4513</v>
      </c>
      <c r="G82" s="109" t="s">
        <v>120</v>
      </c>
      <c r="H82" s="109">
        <v>55</v>
      </c>
      <c r="I82" s="109">
        <v>1679</v>
      </c>
      <c r="J82" s="110">
        <v>1868</v>
      </c>
    </row>
    <row r="83" spans="1:10" s="119" customFormat="1">
      <c r="A83" s="123" t="s">
        <v>120</v>
      </c>
      <c r="B83" s="275" t="s">
        <v>1026</v>
      </c>
      <c r="C83" s="276"/>
      <c r="D83" s="276"/>
      <c r="E83" s="276"/>
      <c r="F83" s="276"/>
      <c r="G83" s="276"/>
      <c r="H83" s="276"/>
      <c r="I83" s="276"/>
      <c r="J83" s="276"/>
    </row>
    <row r="84" spans="1:10">
      <c r="A84" s="103" t="s">
        <v>1027</v>
      </c>
      <c r="B84" s="124" t="s">
        <v>1028</v>
      </c>
      <c r="C84" s="110">
        <v>13805</v>
      </c>
      <c r="D84" s="109" t="s">
        <v>120</v>
      </c>
      <c r="E84" s="109">
        <v>138</v>
      </c>
      <c r="F84" s="110">
        <v>10851</v>
      </c>
      <c r="G84" s="109" t="s">
        <v>120</v>
      </c>
      <c r="H84" s="109">
        <v>79</v>
      </c>
      <c r="I84" s="109">
        <v>801</v>
      </c>
      <c r="J84" s="110">
        <v>794</v>
      </c>
    </row>
    <row r="85" spans="1:10">
      <c r="A85" s="103" t="s">
        <v>1029</v>
      </c>
      <c r="B85" s="124" t="s">
        <v>932</v>
      </c>
      <c r="C85" s="110">
        <v>2244</v>
      </c>
      <c r="D85" s="109" t="s">
        <v>120</v>
      </c>
      <c r="E85" s="109">
        <v>22</v>
      </c>
      <c r="F85" s="110">
        <v>5989</v>
      </c>
      <c r="G85" s="109" t="s">
        <v>120</v>
      </c>
      <c r="H85" s="109">
        <v>267</v>
      </c>
      <c r="I85" s="109" t="s">
        <v>122</v>
      </c>
      <c r="J85" s="110" t="s">
        <v>122</v>
      </c>
    </row>
    <row r="86" spans="1:10">
      <c r="A86" s="103" t="s">
        <v>1030</v>
      </c>
      <c r="B86" s="124" t="s">
        <v>934</v>
      </c>
      <c r="C86" s="110">
        <v>11561</v>
      </c>
      <c r="D86" s="109" t="s">
        <v>120</v>
      </c>
      <c r="E86" s="109">
        <v>116</v>
      </c>
      <c r="F86" s="110">
        <v>4862</v>
      </c>
      <c r="G86" s="109" t="s">
        <v>120</v>
      </c>
      <c r="H86" s="109">
        <v>42</v>
      </c>
      <c r="I86" s="109" t="s">
        <v>122</v>
      </c>
      <c r="J86" s="110" t="s">
        <v>122</v>
      </c>
    </row>
    <row r="87" spans="1:10" s="119" customFormat="1">
      <c r="A87" s="123" t="s">
        <v>120</v>
      </c>
      <c r="B87" s="273" t="s">
        <v>1031</v>
      </c>
      <c r="C87" s="274"/>
      <c r="D87" s="274"/>
      <c r="E87" s="274"/>
      <c r="F87" s="274"/>
      <c r="G87" s="274"/>
      <c r="H87" s="274"/>
      <c r="I87" s="274"/>
      <c r="J87" s="274"/>
    </row>
    <row r="88" spans="1:10" s="119" customFormat="1">
      <c r="A88" s="123" t="s">
        <v>120</v>
      </c>
      <c r="B88" s="275" t="s">
        <v>1032</v>
      </c>
      <c r="C88" s="276"/>
      <c r="D88" s="276"/>
      <c r="E88" s="276"/>
      <c r="F88" s="276"/>
      <c r="G88" s="276"/>
      <c r="H88" s="276"/>
      <c r="I88" s="276"/>
      <c r="J88" s="276"/>
    </row>
    <row r="89" spans="1:10">
      <c r="A89" s="103" t="s">
        <v>1033</v>
      </c>
      <c r="B89" s="124" t="s">
        <v>1034</v>
      </c>
      <c r="C89" s="110">
        <v>2228</v>
      </c>
      <c r="D89" s="109" t="s">
        <v>120</v>
      </c>
      <c r="E89" s="109">
        <v>22</v>
      </c>
      <c r="F89" s="110">
        <v>4545</v>
      </c>
      <c r="G89" s="109" t="s">
        <v>120</v>
      </c>
      <c r="H89" s="109">
        <v>204</v>
      </c>
      <c r="I89" s="109">
        <v>2213</v>
      </c>
      <c r="J89" s="110">
        <v>1860</v>
      </c>
    </row>
    <row r="90" spans="1:10">
      <c r="A90" s="103" t="s">
        <v>1035</v>
      </c>
      <c r="B90" s="124" t="s">
        <v>1036</v>
      </c>
      <c r="C90" s="110">
        <v>2484</v>
      </c>
      <c r="D90" s="109" t="s">
        <v>120</v>
      </c>
      <c r="E90" s="109">
        <v>25</v>
      </c>
      <c r="F90" s="110">
        <v>26742</v>
      </c>
      <c r="G90" s="109" t="s">
        <v>120</v>
      </c>
      <c r="H90" s="109">
        <v>1077</v>
      </c>
      <c r="I90" s="109">
        <v>2199</v>
      </c>
      <c r="J90" s="110">
        <v>223</v>
      </c>
    </row>
    <row r="91" spans="1:10">
      <c r="A91" s="103" t="s">
        <v>1037</v>
      </c>
      <c r="B91" s="124" t="s">
        <v>1038</v>
      </c>
      <c r="C91" s="110">
        <v>3390</v>
      </c>
      <c r="D91" s="109" t="s">
        <v>120</v>
      </c>
      <c r="E91" s="109">
        <v>34</v>
      </c>
      <c r="F91" s="110">
        <v>9886</v>
      </c>
      <c r="G91" s="109" t="s">
        <v>120</v>
      </c>
      <c r="H91" s="109">
        <v>292</v>
      </c>
      <c r="I91" s="109">
        <v>2139</v>
      </c>
      <c r="J91" s="110">
        <v>885</v>
      </c>
    </row>
    <row r="92" spans="1:10">
      <c r="A92" s="103" t="s">
        <v>1039</v>
      </c>
      <c r="B92" s="124" t="s">
        <v>1040</v>
      </c>
      <c r="C92" s="110">
        <v>3705</v>
      </c>
      <c r="D92" s="109" t="s">
        <v>120</v>
      </c>
      <c r="E92" s="109">
        <v>37</v>
      </c>
      <c r="F92" s="110">
        <v>21908</v>
      </c>
      <c r="G92" s="109" t="s">
        <v>120</v>
      </c>
      <c r="H92" s="109">
        <v>591</v>
      </c>
      <c r="I92" s="109">
        <v>2114</v>
      </c>
      <c r="J92" s="110">
        <v>303</v>
      </c>
    </row>
    <row r="93" spans="1:10">
      <c r="A93" s="103" t="s">
        <v>1041</v>
      </c>
      <c r="B93" s="124" t="s">
        <v>1042</v>
      </c>
      <c r="C93" s="110">
        <v>1722</v>
      </c>
      <c r="D93" s="109" t="s">
        <v>120</v>
      </c>
      <c r="E93" s="109">
        <v>17</v>
      </c>
      <c r="F93" s="110">
        <v>6307</v>
      </c>
      <c r="G93" s="109" t="s">
        <v>120</v>
      </c>
      <c r="H93" s="109">
        <v>366</v>
      </c>
      <c r="I93" s="109">
        <v>2260</v>
      </c>
      <c r="J93" s="110">
        <v>1442</v>
      </c>
    </row>
    <row r="94" spans="1:10" s="119" customFormat="1">
      <c r="A94" s="123" t="s">
        <v>120</v>
      </c>
      <c r="B94" s="275" t="s">
        <v>924</v>
      </c>
      <c r="C94" s="276"/>
      <c r="D94" s="276"/>
      <c r="E94" s="276"/>
      <c r="F94" s="276"/>
      <c r="G94" s="276"/>
      <c r="H94" s="276"/>
      <c r="I94" s="276"/>
      <c r="J94" s="276"/>
    </row>
    <row r="95" spans="1:10">
      <c r="A95" s="103" t="s">
        <v>1043</v>
      </c>
      <c r="B95" s="124" t="s">
        <v>1036</v>
      </c>
      <c r="C95" s="110">
        <v>25325</v>
      </c>
      <c r="D95" s="109" t="s">
        <v>120</v>
      </c>
      <c r="E95" s="109">
        <v>252</v>
      </c>
      <c r="F95" s="110">
        <v>17112</v>
      </c>
      <c r="G95" s="109" t="s">
        <v>120</v>
      </c>
      <c r="H95" s="109">
        <v>68</v>
      </c>
      <c r="I95" s="109">
        <v>177</v>
      </c>
      <c r="J95" s="110">
        <v>428</v>
      </c>
    </row>
    <row r="96" spans="1:10">
      <c r="A96" s="103" t="s">
        <v>1044</v>
      </c>
      <c r="B96" s="124" t="s">
        <v>1045</v>
      </c>
      <c r="C96" s="110">
        <v>5214</v>
      </c>
      <c r="D96" s="109" t="s">
        <v>120</v>
      </c>
      <c r="E96" s="109">
        <v>52</v>
      </c>
      <c r="F96" s="110">
        <v>1923</v>
      </c>
      <c r="G96" s="109" t="s">
        <v>120</v>
      </c>
      <c r="H96" s="109">
        <v>37</v>
      </c>
      <c r="I96" s="109">
        <v>2003</v>
      </c>
      <c r="J96" s="110">
        <v>2295</v>
      </c>
    </row>
    <row r="97" spans="1:10">
      <c r="A97" s="103" t="s">
        <v>1046</v>
      </c>
      <c r="B97" s="124" t="s">
        <v>1040</v>
      </c>
      <c r="C97" s="110">
        <v>13967</v>
      </c>
      <c r="D97" s="109" t="s">
        <v>120</v>
      </c>
      <c r="E97" s="109">
        <v>140</v>
      </c>
      <c r="F97" s="110">
        <v>11546</v>
      </c>
      <c r="G97" s="109" t="s">
        <v>120</v>
      </c>
      <c r="H97" s="109">
        <v>83</v>
      </c>
      <c r="I97" s="109">
        <v>789</v>
      </c>
      <c r="J97" s="110">
        <v>738</v>
      </c>
    </row>
    <row r="98" spans="1:10" s="119" customFormat="1">
      <c r="A98" s="123" t="s">
        <v>120</v>
      </c>
      <c r="B98" s="275" t="s">
        <v>1047</v>
      </c>
      <c r="C98" s="276"/>
      <c r="D98" s="276"/>
      <c r="E98" s="276"/>
      <c r="F98" s="276"/>
      <c r="G98" s="276"/>
      <c r="H98" s="276"/>
      <c r="I98" s="276"/>
      <c r="J98" s="276"/>
    </row>
    <row r="99" spans="1:10">
      <c r="A99" s="103" t="s">
        <v>1048</v>
      </c>
      <c r="B99" s="124" t="s">
        <v>1049</v>
      </c>
      <c r="C99" s="110">
        <v>33853</v>
      </c>
      <c r="D99" s="109" t="s">
        <v>120</v>
      </c>
      <c r="E99" s="109">
        <v>339</v>
      </c>
      <c r="F99" s="110">
        <v>18825</v>
      </c>
      <c r="G99" s="109" t="s">
        <v>120</v>
      </c>
      <c r="H99" s="109">
        <v>56</v>
      </c>
      <c r="I99" s="109">
        <v>61</v>
      </c>
      <c r="J99" s="110">
        <v>374</v>
      </c>
    </row>
    <row r="100" spans="1:10">
      <c r="A100" s="103" t="s">
        <v>1050</v>
      </c>
      <c r="B100" s="124" t="s">
        <v>932</v>
      </c>
      <c r="C100" s="110">
        <v>1074</v>
      </c>
      <c r="D100" s="109" t="s">
        <v>120</v>
      </c>
      <c r="E100" s="109">
        <v>11</v>
      </c>
      <c r="F100" s="110">
        <v>10047</v>
      </c>
      <c r="G100" s="109" t="s">
        <v>120</v>
      </c>
      <c r="H100" s="109">
        <v>935</v>
      </c>
      <c r="I100" s="109" t="s">
        <v>122</v>
      </c>
      <c r="J100" s="110" t="s">
        <v>122</v>
      </c>
    </row>
    <row r="101" spans="1:10">
      <c r="A101" s="103" t="s">
        <v>1051</v>
      </c>
      <c r="B101" s="124" t="s">
        <v>934</v>
      </c>
      <c r="C101" s="110">
        <v>32779</v>
      </c>
      <c r="D101" s="109" t="s">
        <v>120</v>
      </c>
      <c r="E101" s="109">
        <v>328</v>
      </c>
      <c r="F101" s="110">
        <v>8778</v>
      </c>
      <c r="G101" s="109" t="s">
        <v>120</v>
      </c>
      <c r="H101" s="109">
        <v>27</v>
      </c>
      <c r="I101" s="109" t="s">
        <v>122</v>
      </c>
      <c r="J101" s="110" t="s">
        <v>122</v>
      </c>
    </row>
    <row r="102" spans="1:10">
      <c r="A102" s="103" t="s">
        <v>1052</v>
      </c>
      <c r="B102" s="124" t="s">
        <v>1053</v>
      </c>
      <c r="C102" s="110">
        <v>11727</v>
      </c>
      <c r="D102" s="109" t="s">
        <v>120</v>
      </c>
      <c r="E102" s="109">
        <v>117</v>
      </c>
      <c r="F102" s="110">
        <v>8210</v>
      </c>
      <c r="G102" s="109" t="s">
        <v>120</v>
      </c>
      <c r="H102" s="109">
        <v>70</v>
      </c>
      <c r="I102" s="109">
        <v>1093</v>
      </c>
      <c r="J102" s="110">
        <v>1093</v>
      </c>
    </row>
    <row r="103" spans="1:10">
      <c r="A103" s="103" t="s">
        <v>1054</v>
      </c>
      <c r="B103" s="124" t="s">
        <v>932</v>
      </c>
      <c r="C103" s="110">
        <v>2032</v>
      </c>
      <c r="D103" s="109" t="s">
        <v>120</v>
      </c>
      <c r="E103" s="109">
        <v>20</v>
      </c>
      <c r="F103" s="110">
        <v>5557</v>
      </c>
      <c r="G103" s="109" t="s">
        <v>120</v>
      </c>
      <c r="H103" s="109">
        <v>273</v>
      </c>
      <c r="I103" s="109" t="s">
        <v>122</v>
      </c>
      <c r="J103" s="110" t="s">
        <v>122</v>
      </c>
    </row>
    <row r="104" spans="1:10">
      <c r="A104" s="103" t="s">
        <v>1055</v>
      </c>
      <c r="B104" s="124" t="s">
        <v>934</v>
      </c>
      <c r="C104" s="110">
        <v>9695</v>
      </c>
      <c r="D104" s="109" t="s">
        <v>120</v>
      </c>
      <c r="E104" s="109">
        <v>97</v>
      </c>
      <c r="F104" s="110">
        <v>2653</v>
      </c>
      <c r="G104" s="109" t="s">
        <v>120</v>
      </c>
      <c r="H104" s="109">
        <v>27</v>
      </c>
      <c r="I104" s="109" t="s">
        <v>122</v>
      </c>
      <c r="J104" s="110" t="s">
        <v>122</v>
      </c>
    </row>
    <row r="105" spans="1:10">
      <c r="A105" s="103" t="s">
        <v>1056</v>
      </c>
      <c r="B105" s="124" t="s">
        <v>1057</v>
      </c>
      <c r="C105" s="110">
        <v>18875</v>
      </c>
      <c r="D105" s="109" t="s">
        <v>120</v>
      </c>
      <c r="E105" s="109">
        <v>189</v>
      </c>
      <c r="F105" s="110">
        <v>7168</v>
      </c>
      <c r="G105" s="109" t="s">
        <v>120</v>
      </c>
      <c r="H105" s="109">
        <v>38</v>
      </c>
      <c r="I105" s="109">
        <v>397</v>
      </c>
      <c r="J105" s="110">
        <v>1263</v>
      </c>
    </row>
    <row r="106" spans="1:10">
      <c r="A106" s="103" t="s">
        <v>1058</v>
      </c>
      <c r="B106" s="124" t="s">
        <v>932</v>
      </c>
      <c r="C106" s="110">
        <v>1437</v>
      </c>
      <c r="D106" s="109" t="s">
        <v>120</v>
      </c>
      <c r="E106" s="109">
        <v>14</v>
      </c>
      <c r="F106" s="110">
        <v>2561</v>
      </c>
      <c r="G106" s="109" t="s">
        <v>120</v>
      </c>
      <c r="H106" s="109">
        <v>178</v>
      </c>
      <c r="I106" s="109" t="s">
        <v>122</v>
      </c>
      <c r="J106" s="110" t="s">
        <v>122</v>
      </c>
    </row>
    <row r="107" spans="1:10">
      <c r="A107" s="103" t="s">
        <v>1059</v>
      </c>
      <c r="B107" s="124" t="s">
        <v>934</v>
      </c>
      <c r="C107" s="110">
        <v>17438</v>
      </c>
      <c r="D107" s="109" t="s">
        <v>120</v>
      </c>
      <c r="E107" s="109">
        <v>175</v>
      </c>
      <c r="F107" s="110">
        <v>4607</v>
      </c>
      <c r="G107" s="109" t="s">
        <v>120</v>
      </c>
      <c r="H107" s="109">
        <v>26</v>
      </c>
      <c r="I107" s="109" t="s">
        <v>122</v>
      </c>
      <c r="J107" s="110" t="s">
        <v>122</v>
      </c>
    </row>
    <row r="108" spans="1:10">
      <c r="A108" s="103" t="s">
        <v>1060</v>
      </c>
      <c r="B108" s="124" t="s">
        <v>1061</v>
      </c>
      <c r="C108" s="110">
        <v>13995</v>
      </c>
      <c r="D108" s="109" t="s">
        <v>120</v>
      </c>
      <c r="E108" s="109">
        <v>140</v>
      </c>
      <c r="F108" s="110">
        <v>9052</v>
      </c>
      <c r="G108" s="109" t="s">
        <v>120</v>
      </c>
      <c r="H108" s="109">
        <v>65</v>
      </c>
      <c r="I108" s="109">
        <v>784</v>
      </c>
      <c r="J108" s="110">
        <v>979</v>
      </c>
    </row>
    <row r="109" spans="1:10">
      <c r="A109" s="103" t="s">
        <v>1062</v>
      </c>
      <c r="B109" s="124" t="s">
        <v>932</v>
      </c>
      <c r="C109" s="110">
        <v>1503</v>
      </c>
      <c r="D109" s="109" t="s">
        <v>120</v>
      </c>
      <c r="E109" s="109">
        <v>15</v>
      </c>
      <c r="F109" s="110">
        <v>2413</v>
      </c>
      <c r="G109" s="109" t="s">
        <v>120</v>
      </c>
      <c r="H109" s="109">
        <v>161</v>
      </c>
      <c r="I109" s="109" t="s">
        <v>122</v>
      </c>
      <c r="J109" s="110" t="s">
        <v>122</v>
      </c>
    </row>
    <row r="110" spans="1:10">
      <c r="A110" s="103" t="s">
        <v>1063</v>
      </c>
      <c r="B110" s="124" t="s">
        <v>934</v>
      </c>
      <c r="C110" s="110">
        <v>12492</v>
      </c>
      <c r="D110" s="109" t="s">
        <v>120</v>
      </c>
      <c r="E110" s="109">
        <v>125</v>
      </c>
      <c r="F110" s="110">
        <v>6639</v>
      </c>
      <c r="G110" s="109" t="s">
        <v>120</v>
      </c>
      <c r="H110" s="109">
        <v>53</v>
      </c>
      <c r="I110" s="109" t="s">
        <v>122</v>
      </c>
      <c r="J110" s="110" t="s">
        <v>122</v>
      </c>
    </row>
    <row r="111" spans="1:10">
      <c r="A111" s="103" t="s">
        <v>1064</v>
      </c>
      <c r="B111" s="124" t="s">
        <v>1065</v>
      </c>
      <c r="C111" s="110">
        <v>14608</v>
      </c>
      <c r="D111" s="109" t="s">
        <v>120</v>
      </c>
      <c r="E111" s="109">
        <v>146</v>
      </c>
      <c r="F111" s="110">
        <v>7493</v>
      </c>
      <c r="G111" s="109" t="s">
        <v>120</v>
      </c>
      <c r="H111" s="109">
        <v>51</v>
      </c>
      <c r="I111" s="109">
        <v>719</v>
      </c>
      <c r="J111" s="110">
        <v>1201</v>
      </c>
    </row>
    <row r="112" spans="1:10">
      <c r="A112" s="103" t="s">
        <v>1066</v>
      </c>
      <c r="B112" s="124" t="s">
        <v>932</v>
      </c>
      <c r="C112" s="110">
        <v>238</v>
      </c>
      <c r="D112" s="109" t="s">
        <v>120</v>
      </c>
      <c r="E112" s="109">
        <v>2</v>
      </c>
      <c r="F112" s="110">
        <v>5679</v>
      </c>
      <c r="G112" s="109" t="s">
        <v>120</v>
      </c>
      <c r="H112" s="109">
        <v>2386</v>
      </c>
      <c r="I112" s="109" t="s">
        <v>122</v>
      </c>
      <c r="J112" s="110" t="s">
        <v>122</v>
      </c>
    </row>
    <row r="113" spans="1:10">
      <c r="A113" s="103" t="s">
        <v>1067</v>
      </c>
      <c r="B113" s="124" t="s">
        <v>934</v>
      </c>
      <c r="C113" s="110">
        <v>14370</v>
      </c>
      <c r="D113" s="109" t="s">
        <v>120</v>
      </c>
      <c r="E113" s="109">
        <v>144</v>
      </c>
      <c r="F113" s="110">
        <v>1814</v>
      </c>
      <c r="G113" s="109" t="s">
        <v>120</v>
      </c>
      <c r="H113" s="109">
        <v>13</v>
      </c>
      <c r="I113" s="109" t="s">
        <v>122</v>
      </c>
      <c r="J113" s="110" t="s">
        <v>122</v>
      </c>
    </row>
    <row r="114" spans="1:10">
      <c r="A114" s="103" t="s">
        <v>1068</v>
      </c>
      <c r="B114" s="124" t="s">
        <v>1069</v>
      </c>
      <c r="C114" s="110">
        <v>13237</v>
      </c>
      <c r="D114" s="109" t="s">
        <v>120</v>
      </c>
      <c r="E114" s="109">
        <v>132</v>
      </c>
      <c r="F114" s="110">
        <v>7279</v>
      </c>
      <c r="G114" s="109" t="s">
        <v>120</v>
      </c>
      <c r="H114" s="109">
        <v>55</v>
      </c>
      <c r="I114" s="109">
        <v>878</v>
      </c>
      <c r="J114" s="110">
        <v>1248</v>
      </c>
    </row>
    <row r="115" spans="1:10">
      <c r="A115" s="103" t="s">
        <v>1070</v>
      </c>
      <c r="B115" s="124" t="s">
        <v>932</v>
      </c>
      <c r="C115" s="110">
        <v>8038</v>
      </c>
      <c r="D115" s="109" t="s">
        <v>120</v>
      </c>
      <c r="E115" s="109">
        <v>80</v>
      </c>
      <c r="F115" s="110">
        <v>5130</v>
      </c>
      <c r="G115" s="109" t="s">
        <v>120</v>
      </c>
      <c r="H115" s="109">
        <v>64</v>
      </c>
      <c r="I115" s="109" t="s">
        <v>122</v>
      </c>
      <c r="J115" s="110" t="s">
        <v>122</v>
      </c>
    </row>
    <row r="116" spans="1:10">
      <c r="A116" s="103" t="s">
        <v>1071</v>
      </c>
      <c r="B116" s="124" t="s">
        <v>934</v>
      </c>
      <c r="C116" s="110">
        <v>5199</v>
      </c>
      <c r="D116" s="109" t="s">
        <v>120</v>
      </c>
      <c r="E116" s="109">
        <v>52</v>
      </c>
      <c r="F116" s="110">
        <v>2149</v>
      </c>
      <c r="G116" s="109" t="s">
        <v>120</v>
      </c>
      <c r="H116" s="109">
        <v>41</v>
      </c>
      <c r="I116" s="109" t="s">
        <v>122</v>
      </c>
      <c r="J116" s="110" t="s">
        <v>122</v>
      </c>
    </row>
    <row r="117" spans="1:10" s="119" customFormat="1">
      <c r="A117" s="123" t="s">
        <v>120</v>
      </c>
      <c r="B117" s="273" t="s">
        <v>1072</v>
      </c>
      <c r="C117" s="274"/>
      <c r="D117" s="274"/>
      <c r="E117" s="274"/>
      <c r="F117" s="274"/>
      <c r="G117" s="274"/>
      <c r="H117" s="274"/>
      <c r="I117" s="274"/>
      <c r="J117" s="274"/>
    </row>
    <row r="118" spans="1:10" s="119" customFormat="1">
      <c r="A118" s="123" t="s">
        <v>120</v>
      </c>
      <c r="B118" s="275" t="s">
        <v>922</v>
      </c>
      <c r="C118" s="276"/>
      <c r="D118" s="276"/>
      <c r="E118" s="276"/>
      <c r="F118" s="276"/>
      <c r="G118" s="276"/>
      <c r="H118" s="276"/>
      <c r="I118" s="276"/>
      <c r="J118" s="276"/>
    </row>
    <row r="119" spans="1:10">
      <c r="A119" s="103" t="s">
        <v>1073</v>
      </c>
      <c r="B119" s="124" t="s">
        <v>1074</v>
      </c>
      <c r="C119" s="110">
        <v>532</v>
      </c>
      <c r="D119" s="105" t="s">
        <v>1075</v>
      </c>
      <c r="E119" s="109">
        <v>5</v>
      </c>
      <c r="F119" s="110">
        <v>13266</v>
      </c>
      <c r="G119" s="109" t="s">
        <v>120</v>
      </c>
      <c r="H119" s="109">
        <v>2494</v>
      </c>
      <c r="I119" s="109">
        <v>2338</v>
      </c>
      <c r="J119" s="110">
        <v>608</v>
      </c>
    </row>
    <row r="120" spans="1:10" s="119" customFormat="1">
      <c r="A120" s="123" t="s">
        <v>120</v>
      </c>
      <c r="B120" s="275" t="s">
        <v>943</v>
      </c>
      <c r="C120" s="276"/>
      <c r="D120" s="276"/>
      <c r="E120" s="276"/>
      <c r="F120" s="276"/>
      <c r="G120" s="276"/>
      <c r="H120" s="276"/>
      <c r="I120" s="276"/>
      <c r="J120" s="276"/>
    </row>
    <row r="121" spans="1:10">
      <c r="A121" s="103" t="s">
        <v>1076</v>
      </c>
      <c r="B121" s="124" t="s">
        <v>1074</v>
      </c>
      <c r="C121" s="110">
        <v>23092</v>
      </c>
      <c r="D121" s="109" t="s">
        <v>120</v>
      </c>
      <c r="E121" s="109">
        <v>231</v>
      </c>
      <c r="F121" s="110">
        <v>9597</v>
      </c>
      <c r="G121" s="109" t="s">
        <v>120</v>
      </c>
      <c r="H121" s="109">
        <v>42</v>
      </c>
      <c r="I121" s="109">
        <v>229</v>
      </c>
      <c r="J121" s="110">
        <v>918</v>
      </c>
    </row>
    <row r="122" spans="1:10">
      <c r="A122" s="103" t="s">
        <v>1077</v>
      </c>
      <c r="B122" s="124" t="s">
        <v>1078</v>
      </c>
      <c r="C122" s="110">
        <v>6750</v>
      </c>
      <c r="D122" s="109" t="s">
        <v>120</v>
      </c>
      <c r="E122" s="109">
        <v>67</v>
      </c>
      <c r="F122" s="110">
        <v>3319</v>
      </c>
      <c r="G122" s="109" t="s">
        <v>120</v>
      </c>
      <c r="H122" s="109">
        <v>49</v>
      </c>
      <c r="I122" s="109">
        <v>1877</v>
      </c>
      <c r="J122" s="110">
        <v>2142</v>
      </c>
    </row>
    <row r="123" spans="1:10">
      <c r="A123" s="103" t="s">
        <v>1079</v>
      </c>
      <c r="B123" s="124" t="s">
        <v>1080</v>
      </c>
      <c r="C123" s="110">
        <v>9266</v>
      </c>
      <c r="D123" s="109" t="s">
        <v>120</v>
      </c>
      <c r="E123" s="109">
        <v>93</v>
      </c>
      <c r="F123" s="110">
        <v>7025</v>
      </c>
      <c r="G123" s="109" t="s">
        <v>120</v>
      </c>
      <c r="H123" s="109">
        <v>76</v>
      </c>
      <c r="I123" s="109">
        <v>1504</v>
      </c>
      <c r="J123" s="110">
        <v>1291</v>
      </c>
    </row>
    <row r="124" spans="1:10">
      <c r="A124" s="103" t="s">
        <v>1081</v>
      </c>
      <c r="B124" s="124" t="s">
        <v>1082</v>
      </c>
      <c r="C124" s="110">
        <v>8524</v>
      </c>
      <c r="D124" s="109" t="s">
        <v>120</v>
      </c>
      <c r="E124" s="109">
        <v>85</v>
      </c>
      <c r="F124" s="110">
        <v>5196</v>
      </c>
      <c r="G124" s="109" t="s">
        <v>120</v>
      </c>
      <c r="H124" s="109">
        <v>61</v>
      </c>
      <c r="I124" s="109">
        <v>1614</v>
      </c>
      <c r="J124" s="110">
        <v>1690</v>
      </c>
    </row>
    <row r="125" spans="1:10">
      <c r="A125" s="103" t="s">
        <v>1083</v>
      </c>
      <c r="B125" s="124" t="s">
        <v>1084</v>
      </c>
      <c r="C125" s="110">
        <v>8663</v>
      </c>
      <c r="D125" s="109" t="s">
        <v>120</v>
      </c>
      <c r="E125" s="109">
        <v>87</v>
      </c>
      <c r="F125" s="110">
        <v>6762</v>
      </c>
      <c r="G125" s="109" t="s">
        <v>120</v>
      </c>
      <c r="H125" s="109">
        <v>78</v>
      </c>
      <c r="I125" s="109">
        <v>1582</v>
      </c>
      <c r="J125" s="110">
        <v>1347</v>
      </c>
    </row>
    <row r="126" spans="1:10">
      <c r="A126" s="103" t="s">
        <v>1085</v>
      </c>
      <c r="B126" s="124" t="s">
        <v>1086</v>
      </c>
      <c r="C126" s="110">
        <v>7330</v>
      </c>
      <c r="D126" s="109" t="s">
        <v>120</v>
      </c>
      <c r="E126" s="109">
        <v>73</v>
      </c>
      <c r="F126" s="110">
        <v>2595</v>
      </c>
      <c r="G126" s="109" t="s">
        <v>120</v>
      </c>
      <c r="H126" s="109">
        <v>35</v>
      </c>
      <c r="I126" s="109">
        <v>1804</v>
      </c>
      <c r="J126" s="110">
        <v>2250</v>
      </c>
    </row>
    <row r="127" spans="1:10" s="119" customFormat="1">
      <c r="A127" s="123" t="s">
        <v>120</v>
      </c>
      <c r="B127" s="275" t="s">
        <v>929</v>
      </c>
      <c r="C127" s="276"/>
      <c r="D127" s="276"/>
      <c r="E127" s="276"/>
      <c r="F127" s="276"/>
      <c r="G127" s="276"/>
      <c r="H127" s="276"/>
      <c r="I127" s="276"/>
      <c r="J127" s="276"/>
    </row>
    <row r="128" spans="1:10">
      <c r="A128" s="103" t="s">
        <v>1087</v>
      </c>
      <c r="B128" s="124" t="s">
        <v>1088</v>
      </c>
      <c r="C128" s="110">
        <v>10251</v>
      </c>
      <c r="D128" s="109" t="s">
        <v>120</v>
      </c>
      <c r="E128" s="109">
        <v>103</v>
      </c>
      <c r="F128" s="110">
        <v>7406</v>
      </c>
      <c r="G128" s="109" t="s">
        <v>120</v>
      </c>
      <c r="H128" s="109">
        <v>72</v>
      </c>
      <c r="I128" s="109">
        <v>1347</v>
      </c>
      <c r="J128" s="110">
        <v>1224</v>
      </c>
    </row>
    <row r="129" spans="1:10">
      <c r="A129" s="103" t="s">
        <v>1089</v>
      </c>
      <c r="B129" s="124" t="s">
        <v>932</v>
      </c>
      <c r="C129" s="110">
        <v>985</v>
      </c>
      <c r="D129" s="109" t="s">
        <v>120</v>
      </c>
      <c r="E129" s="109">
        <v>10</v>
      </c>
      <c r="F129" s="110">
        <v>3577</v>
      </c>
      <c r="G129" s="109" t="s">
        <v>120</v>
      </c>
      <c r="H129" s="109">
        <v>363</v>
      </c>
      <c r="I129" s="109" t="s">
        <v>122</v>
      </c>
      <c r="J129" s="110" t="s">
        <v>122</v>
      </c>
    </row>
    <row r="130" spans="1:10">
      <c r="A130" s="103" t="s">
        <v>1090</v>
      </c>
      <c r="B130" s="124" t="s">
        <v>934</v>
      </c>
      <c r="C130" s="110">
        <v>9266</v>
      </c>
      <c r="D130" s="109" t="s">
        <v>120</v>
      </c>
      <c r="E130" s="109">
        <v>93</v>
      </c>
      <c r="F130" s="110">
        <v>3829</v>
      </c>
      <c r="G130" s="109" t="s">
        <v>120</v>
      </c>
      <c r="H130" s="109">
        <v>41</v>
      </c>
      <c r="I130" s="109" t="s">
        <v>122</v>
      </c>
      <c r="J130" s="110" t="s">
        <v>122</v>
      </c>
    </row>
    <row r="131" spans="1:10" s="119" customFormat="1">
      <c r="A131" s="123" t="s">
        <v>120</v>
      </c>
      <c r="B131" s="273" t="s">
        <v>1091</v>
      </c>
      <c r="C131" s="274"/>
      <c r="D131" s="274"/>
      <c r="E131" s="274"/>
      <c r="F131" s="274"/>
      <c r="G131" s="274"/>
      <c r="H131" s="274"/>
      <c r="I131" s="274"/>
      <c r="J131" s="274"/>
    </row>
    <row r="132" spans="1:10" s="119" customFormat="1">
      <c r="A132" s="123" t="s">
        <v>120</v>
      </c>
      <c r="B132" s="275" t="s">
        <v>1032</v>
      </c>
      <c r="C132" s="276"/>
      <c r="D132" s="276"/>
      <c r="E132" s="276"/>
      <c r="F132" s="276"/>
      <c r="G132" s="276"/>
      <c r="H132" s="276"/>
      <c r="I132" s="276"/>
      <c r="J132" s="276"/>
    </row>
    <row r="133" spans="1:10">
      <c r="A133" s="103" t="s">
        <v>1092</v>
      </c>
      <c r="B133" s="124" t="s">
        <v>1093</v>
      </c>
      <c r="C133" s="110">
        <v>1612</v>
      </c>
      <c r="D133" s="109" t="s">
        <v>120</v>
      </c>
      <c r="E133" s="109">
        <v>16</v>
      </c>
      <c r="F133" s="110">
        <v>20965</v>
      </c>
      <c r="G133" s="109" t="s">
        <v>120</v>
      </c>
      <c r="H133" s="109">
        <v>1301</v>
      </c>
      <c r="I133" s="109">
        <v>2271</v>
      </c>
      <c r="J133" s="110">
        <v>324</v>
      </c>
    </row>
    <row r="134" spans="1:10">
      <c r="A134" s="103" t="s">
        <v>1094</v>
      </c>
      <c r="B134" s="124" t="s">
        <v>1095</v>
      </c>
      <c r="C134" s="110">
        <v>2072</v>
      </c>
      <c r="D134" s="109" t="s">
        <v>120</v>
      </c>
      <c r="E134" s="109">
        <v>21</v>
      </c>
      <c r="F134" s="110">
        <v>4100</v>
      </c>
      <c r="G134" s="109" t="s">
        <v>120</v>
      </c>
      <c r="H134" s="109">
        <v>198</v>
      </c>
      <c r="I134" s="109">
        <v>2230</v>
      </c>
      <c r="J134" s="110">
        <v>1972</v>
      </c>
    </row>
    <row r="135" spans="1:10" s="119" customFormat="1">
      <c r="A135" s="123" t="s">
        <v>120</v>
      </c>
      <c r="B135" s="275" t="s">
        <v>943</v>
      </c>
      <c r="C135" s="276"/>
      <c r="D135" s="276"/>
      <c r="E135" s="276"/>
      <c r="F135" s="276"/>
      <c r="G135" s="276"/>
      <c r="H135" s="276"/>
      <c r="I135" s="276"/>
      <c r="J135" s="276"/>
    </row>
    <row r="136" spans="1:10">
      <c r="A136" s="103" t="s">
        <v>1096</v>
      </c>
      <c r="B136" s="124" t="s">
        <v>1093</v>
      </c>
      <c r="C136" s="110">
        <v>14234</v>
      </c>
      <c r="D136" s="109" t="s">
        <v>120</v>
      </c>
      <c r="E136" s="109">
        <v>142</v>
      </c>
      <c r="F136" s="110">
        <v>6597</v>
      </c>
      <c r="G136" s="109" t="s">
        <v>120</v>
      </c>
      <c r="H136" s="109">
        <v>46</v>
      </c>
      <c r="I136" s="109">
        <v>755</v>
      </c>
      <c r="J136" s="110">
        <v>1381</v>
      </c>
    </row>
    <row r="137" spans="1:10">
      <c r="A137" s="103" t="s">
        <v>1097</v>
      </c>
      <c r="B137" s="124" t="s">
        <v>1098</v>
      </c>
      <c r="C137" s="110">
        <v>4790</v>
      </c>
      <c r="D137" s="109" t="s">
        <v>120</v>
      </c>
      <c r="E137" s="109">
        <v>48</v>
      </c>
      <c r="F137" s="110">
        <v>1630</v>
      </c>
      <c r="G137" s="105" t="s">
        <v>1075</v>
      </c>
      <c r="H137" s="109">
        <v>34</v>
      </c>
      <c r="I137" s="109">
        <v>2037</v>
      </c>
      <c r="J137" s="110">
        <v>2306</v>
      </c>
    </row>
    <row r="138" spans="1:10">
      <c r="A138" s="103" t="s">
        <v>1099</v>
      </c>
      <c r="B138" s="124" t="s">
        <v>1100</v>
      </c>
      <c r="C138" s="110">
        <v>4950</v>
      </c>
      <c r="D138" s="109" t="s">
        <v>120</v>
      </c>
      <c r="E138" s="109">
        <v>49</v>
      </c>
      <c r="F138" s="110">
        <v>4502</v>
      </c>
      <c r="G138" s="109" t="s">
        <v>120</v>
      </c>
      <c r="H138" s="109">
        <v>91</v>
      </c>
      <c r="I138" s="109">
        <v>2023</v>
      </c>
      <c r="J138" s="110">
        <v>1871</v>
      </c>
    </row>
    <row r="139" spans="1:10" s="119" customFormat="1">
      <c r="A139" s="123" t="s">
        <v>120</v>
      </c>
      <c r="B139" s="275" t="s">
        <v>1101</v>
      </c>
      <c r="C139" s="276"/>
      <c r="D139" s="276"/>
      <c r="E139" s="276"/>
      <c r="F139" s="276"/>
      <c r="G139" s="276"/>
      <c r="H139" s="276"/>
      <c r="I139" s="276"/>
      <c r="J139" s="276"/>
    </row>
    <row r="140" spans="1:10">
      <c r="A140" s="103" t="s">
        <v>1102</v>
      </c>
      <c r="B140" s="124" t="s">
        <v>1103</v>
      </c>
      <c r="C140" s="110">
        <v>10460</v>
      </c>
      <c r="D140" s="109" t="s">
        <v>120</v>
      </c>
      <c r="E140" s="109">
        <v>105</v>
      </c>
      <c r="F140" s="110">
        <v>9952</v>
      </c>
      <c r="G140" s="109" t="s">
        <v>120</v>
      </c>
      <c r="H140" s="109">
        <v>95</v>
      </c>
      <c r="I140" s="109">
        <v>1307</v>
      </c>
      <c r="J140" s="110">
        <v>878</v>
      </c>
    </row>
    <row r="141" spans="1:10">
      <c r="A141" s="103" t="s">
        <v>1104</v>
      </c>
      <c r="B141" s="124" t="s">
        <v>932</v>
      </c>
      <c r="C141" s="110">
        <v>856</v>
      </c>
      <c r="D141" s="109" t="s">
        <v>120</v>
      </c>
      <c r="E141" s="109">
        <v>9</v>
      </c>
      <c r="F141" s="110">
        <v>4394</v>
      </c>
      <c r="G141" s="109" t="s">
        <v>120</v>
      </c>
      <c r="H141" s="109">
        <v>513</v>
      </c>
      <c r="I141" s="109" t="s">
        <v>122</v>
      </c>
      <c r="J141" s="110" t="s">
        <v>122</v>
      </c>
    </row>
    <row r="142" spans="1:10">
      <c r="A142" s="103" t="s">
        <v>1105</v>
      </c>
      <c r="B142" s="124" t="s">
        <v>934</v>
      </c>
      <c r="C142" s="110">
        <v>9604</v>
      </c>
      <c r="D142" s="109" t="s">
        <v>120</v>
      </c>
      <c r="E142" s="109">
        <v>96</v>
      </c>
      <c r="F142" s="110">
        <v>5558</v>
      </c>
      <c r="G142" s="109" t="s">
        <v>120</v>
      </c>
      <c r="H142" s="109">
        <v>58</v>
      </c>
      <c r="I142" s="109" t="s">
        <v>122</v>
      </c>
      <c r="J142" s="110" t="s">
        <v>122</v>
      </c>
    </row>
    <row r="143" spans="1:10">
      <c r="A143" s="103" t="s">
        <v>1106</v>
      </c>
      <c r="B143" s="124" t="s">
        <v>1107</v>
      </c>
      <c r="C143" s="110">
        <v>4712</v>
      </c>
      <c r="D143" s="109" t="s">
        <v>120</v>
      </c>
      <c r="E143" s="109">
        <v>47</v>
      </c>
      <c r="F143" s="110">
        <v>6508</v>
      </c>
      <c r="G143" s="109" t="s">
        <v>120</v>
      </c>
      <c r="H143" s="109">
        <v>138</v>
      </c>
      <c r="I143" s="109">
        <v>2044</v>
      </c>
      <c r="J143" s="110">
        <v>1398</v>
      </c>
    </row>
    <row r="144" spans="1:10">
      <c r="A144" s="103" t="s">
        <v>1108</v>
      </c>
      <c r="B144" s="124" t="s">
        <v>932</v>
      </c>
      <c r="C144" s="110">
        <v>2026</v>
      </c>
      <c r="D144" s="109" t="s">
        <v>120</v>
      </c>
      <c r="E144" s="109">
        <v>20</v>
      </c>
      <c r="F144" s="110">
        <v>4344</v>
      </c>
      <c r="G144" s="109" t="s">
        <v>120</v>
      </c>
      <c r="H144" s="109">
        <v>214</v>
      </c>
      <c r="I144" s="109" t="s">
        <v>122</v>
      </c>
      <c r="J144" s="110" t="s">
        <v>122</v>
      </c>
    </row>
    <row r="145" spans="1:10">
      <c r="A145" s="103" t="s">
        <v>1109</v>
      </c>
      <c r="B145" s="124" t="s">
        <v>934</v>
      </c>
      <c r="C145" s="110">
        <v>2686</v>
      </c>
      <c r="D145" s="109" t="s">
        <v>120</v>
      </c>
      <c r="E145" s="109">
        <v>27</v>
      </c>
      <c r="F145" s="110">
        <v>2164</v>
      </c>
      <c r="G145" s="109" t="s">
        <v>120</v>
      </c>
      <c r="H145" s="109">
        <v>81</v>
      </c>
      <c r="I145" s="109" t="s">
        <v>122</v>
      </c>
      <c r="J145" s="110" t="s">
        <v>122</v>
      </c>
    </row>
    <row r="146" spans="1:10" s="119" customFormat="1">
      <c r="A146" s="123" t="s">
        <v>120</v>
      </c>
      <c r="B146" s="273" t="s">
        <v>1110</v>
      </c>
      <c r="C146" s="274"/>
      <c r="D146" s="274"/>
      <c r="E146" s="274"/>
      <c r="F146" s="274"/>
      <c r="G146" s="274"/>
      <c r="H146" s="274"/>
      <c r="I146" s="274"/>
      <c r="J146" s="274"/>
    </row>
    <row r="147" spans="1:10" s="119" customFormat="1">
      <c r="A147" s="123" t="s">
        <v>120</v>
      </c>
      <c r="B147" s="275" t="s">
        <v>922</v>
      </c>
      <c r="C147" s="276"/>
      <c r="D147" s="276"/>
      <c r="E147" s="276"/>
      <c r="F147" s="276"/>
      <c r="G147" s="276"/>
      <c r="H147" s="276"/>
      <c r="I147" s="276"/>
      <c r="J147" s="276"/>
    </row>
    <row r="148" spans="1:10">
      <c r="A148" s="103" t="s">
        <v>1111</v>
      </c>
      <c r="B148" s="124" t="s">
        <v>1112</v>
      </c>
      <c r="C148" s="110">
        <v>4077</v>
      </c>
      <c r="D148" s="109" t="s">
        <v>120</v>
      </c>
      <c r="E148" s="109">
        <v>41</v>
      </c>
      <c r="F148" s="110">
        <v>72300</v>
      </c>
      <c r="G148" s="109" t="s">
        <v>120</v>
      </c>
      <c r="H148" s="109">
        <v>1773</v>
      </c>
      <c r="I148" s="109">
        <v>2086</v>
      </c>
      <c r="J148" s="110">
        <v>53</v>
      </c>
    </row>
    <row r="149" spans="1:10" s="119" customFormat="1">
      <c r="A149" s="123" t="s">
        <v>120</v>
      </c>
      <c r="B149" s="275" t="s">
        <v>943</v>
      </c>
      <c r="C149" s="276"/>
      <c r="D149" s="276"/>
      <c r="E149" s="276"/>
      <c r="F149" s="276"/>
      <c r="G149" s="276"/>
      <c r="H149" s="276"/>
      <c r="I149" s="276"/>
      <c r="J149" s="276"/>
    </row>
    <row r="150" spans="1:10">
      <c r="A150" s="103" t="s">
        <v>1113</v>
      </c>
      <c r="B150" s="124" t="s">
        <v>1112</v>
      </c>
      <c r="C150" s="110">
        <v>28978</v>
      </c>
      <c r="D150" s="109" t="s">
        <v>120</v>
      </c>
      <c r="E150" s="109">
        <v>290</v>
      </c>
      <c r="F150" s="110">
        <v>16178</v>
      </c>
      <c r="G150" s="109" t="s">
        <v>120</v>
      </c>
      <c r="H150" s="109">
        <v>56</v>
      </c>
      <c r="I150" s="109">
        <v>115</v>
      </c>
      <c r="J150" s="110">
        <v>463</v>
      </c>
    </row>
    <row r="151" spans="1:10">
      <c r="A151" s="103" t="s">
        <v>1114</v>
      </c>
      <c r="B151" s="124" t="s">
        <v>1115</v>
      </c>
      <c r="C151" s="110">
        <v>21664</v>
      </c>
      <c r="D151" s="109" t="s">
        <v>120</v>
      </c>
      <c r="E151" s="109">
        <v>217</v>
      </c>
      <c r="F151" s="110">
        <v>7806</v>
      </c>
      <c r="G151" s="109" t="s">
        <v>120</v>
      </c>
      <c r="H151" s="109">
        <v>36</v>
      </c>
      <c r="I151" s="109">
        <v>268</v>
      </c>
      <c r="J151" s="110">
        <v>1153</v>
      </c>
    </row>
    <row r="152" spans="1:10" s="119" customFormat="1">
      <c r="A152" s="123" t="s">
        <v>120</v>
      </c>
      <c r="B152" s="275" t="s">
        <v>1026</v>
      </c>
      <c r="C152" s="276"/>
      <c r="D152" s="276"/>
      <c r="E152" s="276"/>
      <c r="F152" s="276"/>
      <c r="G152" s="276"/>
      <c r="H152" s="276"/>
      <c r="I152" s="276"/>
      <c r="J152" s="276"/>
    </row>
    <row r="153" spans="1:10">
      <c r="A153" s="103" t="s">
        <v>1116</v>
      </c>
      <c r="B153" s="124" t="s">
        <v>1117</v>
      </c>
      <c r="C153" s="110">
        <v>16443</v>
      </c>
      <c r="D153" s="109" t="s">
        <v>120</v>
      </c>
      <c r="E153" s="109">
        <v>164</v>
      </c>
      <c r="F153" s="110">
        <v>9866</v>
      </c>
      <c r="G153" s="109" t="s">
        <v>120</v>
      </c>
      <c r="H153" s="109">
        <v>60</v>
      </c>
      <c r="I153" s="109">
        <v>558</v>
      </c>
      <c r="J153" s="110">
        <v>888</v>
      </c>
    </row>
    <row r="154" spans="1:10">
      <c r="A154" s="103" t="s">
        <v>1118</v>
      </c>
      <c r="B154" s="124" t="s">
        <v>932</v>
      </c>
      <c r="C154" s="110">
        <v>1354</v>
      </c>
      <c r="D154" s="109" t="s">
        <v>120</v>
      </c>
      <c r="E154" s="109">
        <v>13</v>
      </c>
      <c r="F154" s="110">
        <v>5530</v>
      </c>
      <c r="G154" s="109" t="s">
        <v>120</v>
      </c>
      <c r="H154" s="109">
        <v>408</v>
      </c>
      <c r="I154" s="109" t="s">
        <v>122</v>
      </c>
      <c r="J154" s="110" t="s">
        <v>122</v>
      </c>
    </row>
    <row r="155" spans="1:10">
      <c r="A155" s="103" t="s">
        <v>1119</v>
      </c>
      <c r="B155" s="124" t="s">
        <v>934</v>
      </c>
      <c r="C155" s="110">
        <v>15089</v>
      </c>
      <c r="D155" s="109" t="s">
        <v>120</v>
      </c>
      <c r="E155" s="109">
        <v>151</v>
      </c>
      <c r="F155" s="110">
        <v>4336</v>
      </c>
      <c r="G155" s="109" t="s">
        <v>120</v>
      </c>
      <c r="H155" s="109">
        <v>29</v>
      </c>
      <c r="I155" s="109" t="s">
        <v>122</v>
      </c>
      <c r="J155" s="110" t="s">
        <v>122</v>
      </c>
    </row>
    <row r="156" spans="1:10" s="119" customFormat="1">
      <c r="A156" s="123" t="s">
        <v>120</v>
      </c>
      <c r="B156" s="273" t="s">
        <v>1120</v>
      </c>
      <c r="C156" s="274"/>
      <c r="D156" s="274"/>
      <c r="E156" s="274"/>
      <c r="F156" s="274"/>
      <c r="G156" s="274"/>
      <c r="H156" s="274"/>
      <c r="I156" s="274"/>
      <c r="J156" s="274"/>
    </row>
    <row r="157" spans="1:10" s="119" customFormat="1">
      <c r="A157" s="123" t="s">
        <v>120</v>
      </c>
      <c r="B157" s="275" t="s">
        <v>947</v>
      </c>
      <c r="C157" s="276"/>
      <c r="D157" s="276"/>
      <c r="E157" s="276"/>
      <c r="F157" s="276"/>
      <c r="G157" s="276"/>
      <c r="H157" s="276"/>
      <c r="I157" s="276"/>
      <c r="J157" s="276"/>
    </row>
    <row r="158" spans="1:10">
      <c r="A158" s="103" t="s">
        <v>1121</v>
      </c>
      <c r="B158" s="124" t="s">
        <v>1122</v>
      </c>
      <c r="C158" s="110">
        <v>6667</v>
      </c>
      <c r="D158" s="109" t="s">
        <v>120</v>
      </c>
      <c r="E158" s="109">
        <v>67</v>
      </c>
      <c r="F158" s="110">
        <v>9667</v>
      </c>
      <c r="G158" s="109" t="s">
        <v>120</v>
      </c>
      <c r="H158" s="109">
        <v>145</v>
      </c>
      <c r="I158" s="109">
        <v>1884</v>
      </c>
      <c r="J158" s="110">
        <v>909</v>
      </c>
    </row>
    <row r="159" spans="1:10">
      <c r="A159" s="103" t="s">
        <v>1123</v>
      </c>
      <c r="B159" s="124" t="s">
        <v>932</v>
      </c>
      <c r="C159" s="110">
        <v>663</v>
      </c>
      <c r="D159" s="109" t="s">
        <v>120</v>
      </c>
      <c r="E159" s="109">
        <v>7</v>
      </c>
      <c r="F159" s="110">
        <v>6617</v>
      </c>
      <c r="G159" s="109" t="s">
        <v>120</v>
      </c>
      <c r="H159" s="109">
        <v>998</v>
      </c>
      <c r="I159" s="109" t="s">
        <v>122</v>
      </c>
      <c r="J159" s="110" t="s">
        <v>122</v>
      </c>
    </row>
    <row r="160" spans="1:10">
      <c r="A160" s="103" t="s">
        <v>1124</v>
      </c>
      <c r="B160" s="124" t="s">
        <v>934</v>
      </c>
      <c r="C160" s="110">
        <v>6004</v>
      </c>
      <c r="D160" s="109" t="s">
        <v>120</v>
      </c>
      <c r="E160" s="109">
        <v>60</v>
      </c>
      <c r="F160" s="110">
        <v>3050</v>
      </c>
      <c r="G160" s="109" t="s">
        <v>120</v>
      </c>
      <c r="H160" s="109">
        <v>51</v>
      </c>
      <c r="I160" s="109" t="s">
        <v>122</v>
      </c>
      <c r="J160" s="110" t="s">
        <v>122</v>
      </c>
    </row>
    <row r="161" spans="1:10">
      <c r="A161" s="103" t="s">
        <v>1125</v>
      </c>
      <c r="B161" s="124" t="s">
        <v>1126</v>
      </c>
      <c r="C161" s="110">
        <v>13053</v>
      </c>
      <c r="D161" s="109" t="s">
        <v>120</v>
      </c>
      <c r="E161" s="109">
        <v>130</v>
      </c>
      <c r="F161" s="110">
        <v>6218</v>
      </c>
      <c r="G161" s="109" t="s">
        <v>120</v>
      </c>
      <c r="H161" s="109">
        <v>48</v>
      </c>
      <c r="I161" s="109">
        <v>902</v>
      </c>
      <c r="J161" s="110">
        <v>1459</v>
      </c>
    </row>
    <row r="162" spans="1:10">
      <c r="A162" s="103" t="s">
        <v>1127</v>
      </c>
      <c r="B162" s="124" t="s">
        <v>932</v>
      </c>
      <c r="C162" s="110">
        <v>805</v>
      </c>
      <c r="D162" s="109" t="s">
        <v>120</v>
      </c>
      <c r="E162" s="109">
        <v>8</v>
      </c>
      <c r="F162" s="110">
        <v>2004</v>
      </c>
      <c r="G162" s="109" t="s">
        <v>120</v>
      </c>
      <c r="H162" s="109">
        <v>249</v>
      </c>
      <c r="I162" s="109" t="s">
        <v>122</v>
      </c>
      <c r="J162" s="110" t="s">
        <v>122</v>
      </c>
    </row>
    <row r="163" spans="1:10">
      <c r="A163" s="103" t="s">
        <v>1128</v>
      </c>
      <c r="B163" s="124" t="s">
        <v>934</v>
      </c>
      <c r="C163" s="110">
        <v>12248</v>
      </c>
      <c r="D163" s="109" t="s">
        <v>120</v>
      </c>
      <c r="E163" s="109">
        <v>122</v>
      </c>
      <c r="F163" s="110">
        <v>4214</v>
      </c>
      <c r="G163" s="109" t="s">
        <v>120</v>
      </c>
      <c r="H163" s="109">
        <v>34</v>
      </c>
      <c r="I163" s="109" t="s">
        <v>122</v>
      </c>
      <c r="J163" s="110" t="s">
        <v>122</v>
      </c>
    </row>
    <row r="164" spans="1:10">
      <c r="A164" s="103" t="s">
        <v>1129</v>
      </c>
      <c r="B164" s="124" t="s">
        <v>1130</v>
      </c>
      <c r="C164" s="110">
        <v>23993</v>
      </c>
      <c r="D164" s="109" t="s">
        <v>120</v>
      </c>
      <c r="E164" s="109">
        <v>240</v>
      </c>
      <c r="F164" s="110">
        <v>17268</v>
      </c>
      <c r="G164" s="109" t="s">
        <v>120</v>
      </c>
      <c r="H164" s="109">
        <v>72</v>
      </c>
      <c r="I164" s="109">
        <v>205</v>
      </c>
      <c r="J164" s="110">
        <v>423</v>
      </c>
    </row>
    <row r="165" spans="1:10">
      <c r="A165" s="103" t="s">
        <v>1131</v>
      </c>
      <c r="B165" s="124" t="s">
        <v>932</v>
      </c>
      <c r="C165" s="110">
        <v>1665</v>
      </c>
      <c r="D165" s="109" t="s">
        <v>120</v>
      </c>
      <c r="E165" s="109">
        <v>17</v>
      </c>
      <c r="F165" s="110">
        <v>8822</v>
      </c>
      <c r="G165" s="109" t="s">
        <v>120</v>
      </c>
      <c r="H165" s="109">
        <v>530</v>
      </c>
      <c r="I165" s="109" t="s">
        <v>122</v>
      </c>
      <c r="J165" s="110" t="s">
        <v>122</v>
      </c>
    </row>
    <row r="166" spans="1:10">
      <c r="A166" s="103" t="s">
        <v>1132</v>
      </c>
      <c r="B166" s="124" t="s">
        <v>934</v>
      </c>
      <c r="C166" s="110">
        <v>22328</v>
      </c>
      <c r="D166" s="109" t="s">
        <v>120</v>
      </c>
      <c r="E166" s="109">
        <v>223</v>
      </c>
      <c r="F166" s="110">
        <v>8446</v>
      </c>
      <c r="G166" s="109" t="s">
        <v>120</v>
      </c>
      <c r="H166" s="109">
        <v>38</v>
      </c>
      <c r="I166" s="109" t="s">
        <v>122</v>
      </c>
      <c r="J166" s="110" t="s">
        <v>122</v>
      </c>
    </row>
    <row r="167" spans="1:10">
      <c r="A167" s="103" t="s">
        <v>1133</v>
      </c>
      <c r="B167" s="124" t="s">
        <v>1134</v>
      </c>
      <c r="C167" s="110">
        <v>18650</v>
      </c>
      <c r="D167" s="109" t="s">
        <v>120</v>
      </c>
      <c r="E167" s="109">
        <v>187</v>
      </c>
      <c r="F167" s="110">
        <v>8525</v>
      </c>
      <c r="G167" s="109" t="s">
        <v>120</v>
      </c>
      <c r="H167" s="109">
        <v>46</v>
      </c>
      <c r="I167" s="109">
        <v>412</v>
      </c>
      <c r="J167" s="110">
        <v>1047</v>
      </c>
    </row>
    <row r="168" spans="1:10">
      <c r="A168" s="103" t="s">
        <v>1135</v>
      </c>
      <c r="B168" s="124" t="s">
        <v>932</v>
      </c>
      <c r="C168" s="110">
        <v>1466</v>
      </c>
      <c r="D168" s="109" t="s">
        <v>120</v>
      </c>
      <c r="E168" s="109">
        <v>15</v>
      </c>
      <c r="F168" s="110">
        <v>3814</v>
      </c>
      <c r="G168" s="109" t="s">
        <v>120</v>
      </c>
      <c r="H168" s="109">
        <v>260</v>
      </c>
      <c r="I168" s="109" t="s">
        <v>122</v>
      </c>
      <c r="J168" s="110" t="s">
        <v>122</v>
      </c>
    </row>
    <row r="169" spans="1:10">
      <c r="A169" s="103" t="s">
        <v>1136</v>
      </c>
      <c r="B169" s="124" t="s">
        <v>934</v>
      </c>
      <c r="C169" s="110">
        <v>17184</v>
      </c>
      <c r="D169" s="109" t="s">
        <v>120</v>
      </c>
      <c r="E169" s="109">
        <v>172</v>
      </c>
      <c r="F169" s="110">
        <v>4711</v>
      </c>
      <c r="G169" s="109" t="s">
        <v>120</v>
      </c>
      <c r="H169" s="109">
        <v>27</v>
      </c>
      <c r="I169" s="109" t="s">
        <v>122</v>
      </c>
      <c r="J169" s="110" t="s">
        <v>122</v>
      </c>
    </row>
    <row r="170" spans="1:10">
      <c r="A170" s="103" t="s">
        <v>1137</v>
      </c>
      <c r="B170" s="124" t="s">
        <v>1138</v>
      </c>
      <c r="C170" s="110">
        <v>8606</v>
      </c>
      <c r="D170" s="109" t="s">
        <v>120</v>
      </c>
      <c r="E170" s="109">
        <v>86</v>
      </c>
      <c r="F170" s="110">
        <v>4247</v>
      </c>
      <c r="G170" s="109" t="s">
        <v>120</v>
      </c>
      <c r="H170" s="109">
        <v>49</v>
      </c>
      <c r="I170" s="109">
        <v>1593</v>
      </c>
      <c r="J170" s="110">
        <v>1939</v>
      </c>
    </row>
    <row r="171" spans="1:10">
      <c r="A171" s="103" t="s">
        <v>1139</v>
      </c>
      <c r="B171" s="124" t="s">
        <v>932</v>
      </c>
      <c r="C171" s="110">
        <v>722</v>
      </c>
      <c r="D171" s="109" t="s">
        <v>120</v>
      </c>
      <c r="E171" s="109">
        <v>7</v>
      </c>
      <c r="F171" s="110">
        <v>1751</v>
      </c>
      <c r="G171" s="109" t="s">
        <v>120</v>
      </c>
      <c r="H171" s="109">
        <v>243</v>
      </c>
      <c r="I171" s="109" t="s">
        <v>122</v>
      </c>
      <c r="J171" s="110" t="s">
        <v>122</v>
      </c>
    </row>
    <row r="172" spans="1:10">
      <c r="A172" s="103" t="s">
        <v>1140</v>
      </c>
      <c r="B172" s="124" t="s">
        <v>934</v>
      </c>
      <c r="C172" s="110">
        <v>7884</v>
      </c>
      <c r="D172" s="109" t="s">
        <v>120</v>
      </c>
      <c r="E172" s="109">
        <v>79</v>
      </c>
      <c r="F172" s="110">
        <v>2496</v>
      </c>
      <c r="G172" s="109" t="s">
        <v>120</v>
      </c>
      <c r="H172" s="109">
        <v>32</v>
      </c>
      <c r="I172" s="109" t="s">
        <v>122</v>
      </c>
      <c r="J172" s="110" t="s">
        <v>122</v>
      </c>
    </row>
    <row r="173" spans="1:10" s="119" customFormat="1">
      <c r="A173" s="123" t="s">
        <v>120</v>
      </c>
      <c r="B173" s="273" t="s">
        <v>1141</v>
      </c>
      <c r="C173" s="274"/>
      <c r="D173" s="274"/>
      <c r="E173" s="274"/>
      <c r="F173" s="274"/>
      <c r="G173" s="274"/>
      <c r="H173" s="274"/>
      <c r="I173" s="274"/>
      <c r="J173" s="274"/>
    </row>
    <row r="174" spans="1:10" s="119" customFormat="1">
      <c r="A174" s="123" t="s">
        <v>120</v>
      </c>
      <c r="B174" s="275" t="s">
        <v>924</v>
      </c>
      <c r="C174" s="276"/>
      <c r="D174" s="276"/>
      <c r="E174" s="276"/>
      <c r="F174" s="276"/>
      <c r="G174" s="276"/>
      <c r="H174" s="276"/>
      <c r="I174" s="276"/>
      <c r="J174" s="276"/>
    </row>
    <row r="175" spans="1:10">
      <c r="A175" s="103" t="s">
        <v>1142</v>
      </c>
      <c r="B175" s="124" t="s">
        <v>1143</v>
      </c>
      <c r="C175" s="110">
        <v>10083</v>
      </c>
      <c r="D175" s="109" t="s">
        <v>120</v>
      </c>
      <c r="E175" s="109">
        <v>101</v>
      </c>
      <c r="F175" s="110">
        <v>4663</v>
      </c>
      <c r="G175" s="109" t="s">
        <v>120</v>
      </c>
      <c r="H175" s="109">
        <v>46</v>
      </c>
      <c r="I175" s="109">
        <v>1375</v>
      </c>
      <c r="J175" s="110">
        <v>1824</v>
      </c>
    </row>
    <row r="176" spans="1:10">
      <c r="A176" s="103" t="s">
        <v>1144</v>
      </c>
      <c r="B176" s="124" t="s">
        <v>1145</v>
      </c>
      <c r="C176" s="110">
        <v>17854</v>
      </c>
      <c r="D176" s="109" t="s">
        <v>120</v>
      </c>
      <c r="E176" s="109">
        <v>178</v>
      </c>
      <c r="F176" s="110">
        <v>8139</v>
      </c>
      <c r="G176" s="109" t="s">
        <v>120</v>
      </c>
      <c r="H176" s="109">
        <v>46</v>
      </c>
      <c r="I176" s="109">
        <v>463</v>
      </c>
      <c r="J176" s="110">
        <v>1102</v>
      </c>
    </row>
    <row r="177" spans="1:10" s="119" customFormat="1">
      <c r="A177" s="123" t="s">
        <v>120</v>
      </c>
      <c r="B177" s="275" t="s">
        <v>1026</v>
      </c>
      <c r="C177" s="276"/>
      <c r="D177" s="276"/>
      <c r="E177" s="276"/>
      <c r="F177" s="276"/>
      <c r="G177" s="276"/>
      <c r="H177" s="276"/>
      <c r="I177" s="276"/>
      <c r="J177" s="276"/>
    </row>
    <row r="178" spans="1:10">
      <c r="A178" s="103" t="s">
        <v>1146</v>
      </c>
      <c r="B178" s="124" t="s">
        <v>1147</v>
      </c>
      <c r="C178" s="110">
        <v>43556</v>
      </c>
      <c r="D178" s="109" t="s">
        <v>120</v>
      </c>
      <c r="E178" s="109">
        <v>436</v>
      </c>
      <c r="F178" s="110">
        <v>24197</v>
      </c>
      <c r="G178" s="109" t="s">
        <v>120</v>
      </c>
      <c r="H178" s="109">
        <v>56</v>
      </c>
      <c r="I178" s="109">
        <v>13</v>
      </c>
      <c r="J178" s="110">
        <v>262</v>
      </c>
    </row>
    <row r="179" spans="1:10">
      <c r="A179" s="103" t="s">
        <v>1148</v>
      </c>
      <c r="B179" s="124" t="s">
        <v>932</v>
      </c>
      <c r="C179" s="110">
        <v>1350</v>
      </c>
      <c r="D179" s="109" t="s">
        <v>120</v>
      </c>
      <c r="E179" s="109">
        <v>14</v>
      </c>
      <c r="F179" s="110">
        <v>11312</v>
      </c>
      <c r="G179" s="109" t="s">
        <v>120</v>
      </c>
      <c r="H179" s="109">
        <v>838</v>
      </c>
      <c r="I179" s="109" t="s">
        <v>122</v>
      </c>
      <c r="J179" s="110" t="s">
        <v>122</v>
      </c>
    </row>
    <row r="180" spans="1:10">
      <c r="A180" s="103" t="s">
        <v>1149</v>
      </c>
      <c r="B180" s="124" t="s">
        <v>934</v>
      </c>
      <c r="C180" s="110">
        <v>42206</v>
      </c>
      <c r="D180" s="109" t="s">
        <v>120</v>
      </c>
      <c r="E180" s="109">
        <v>422</v>
      </c>
      <c r="F180" s="110">
        <v>12885</v>
      </c>
      <c r="G180" s="109" t="s">
        <v>120</v>
      </c>
      <c r="H180" s="109">
        <v>31</v>
      </c>
      <c r="I180" s="109" t="s">
        <v>122</v>
      </c>
      <c r="J180" s="110" t="s">
        <v>122</v>
      </c>
    </row>
    <row r="181" spans="1:10" s="119" customFormat="1">
      <c r="A181" s="123" t="s">
        <v>120</v>
      </c>
      <c r="B181" s="273" t="s">
        <v>1150</v>
      </c>
      <c r="C181" s="274"/>
      <c r="D181" s="274"/>
      <c r="E181" s="274"/>
      <c r="F181" s="274"/>
      <c r="G181" s="274"/>
      <c r="H181" s="274"/>
      <c r="I181" s="274"/>
      <c r="J181" s="274"/>
    </row>
    <row r="182" spans="1:10" s="119" customFormat="1">
      <c r="A182" s="123" t="s">
        <v>120</v>
      </c>
      <c r="B182" s="275" t="s">
        <v>922</v>
      </c>
      <c r="C182" s="276"/>
      <c r="D182" s="276"/>
      <c r="E182" s="276"/>
      <c r="F182" s="276"/>
      <c r="G182" s="276"/>
      <c r="H182" s="276"/>
      <c r="I182" s="276"/>
      <c r="J182" s="276"/>
    </row>
    <row r="183" spans="1:10">
      <c r="A183" s="103" t="s">
        <v>1151</v>
      </c>
      <c r="B183" s="124" t="s">
        <v>1152</v>
      </c>
      <c r="C183" s="110">
        <v>2096</v>
      </c>
      <c r="D183" s="109" t="s">
        <v>120</v>
      </c>
      <c r="E183" s="109">
        <v>21</v>
      </c>
      <c r="F183" s="110">
        <v>37142</v>
      </c>
      <c r="G183" s="109" t="s">
        <v>120</v>
      </c>
      <c r="H183" s="109">
        <v>1772</v>
      </c>
      <c r="I183" s="109">
        <v>2228</v>
      </c>
      <c r="J183" s="110">
        <v>143</v>
      </c>
    </row>
    <row r="184" spans="1:10" s="119" customFormat="1">
      <c r="A184" s="123" t="s">
        <v>120</v>
      </c>
      <c r="B184" s="275" t="s">
        <v>943</v>
      </c>
      <c r="C184" s="276"/>
      <c r="D184" s="276"/>
      <c r="E184" s="276"/>
      <c r="F184" s="276"/>
      <c r="G184" s="276"/>
      <c r="H184" s="276"/>
      <c r="I184" s="276"/>
      <c r="J184" s="276"/>
    </row>
    <row r="185" spans="1:10">
      <c r="A185" s="103" t="s">
        <v>1153</v>
      </c>
      <c r="B185" s="124" t="s">
        <v>1154</v>
      </c>
      <c r="C185" s="110">
        <v>13196</v>
      </c>
      <c r="D185" s="109" t="s">
        <v>120</v>
      </c>
      <c r="E185" s="109">
        <v>132</v>
      </c>
      <c r="F185" s="110">
        <v>6801</v>
      </c>
      <c r="G185" s="109" t="s">
        <v>120</v>
      </c>
      <c r="H185" s="109">
        <v>52</v>
      </c>
      <c r="I185" s="109">
        <v>883</v>
      </c>
      <c r="J185" s="110">
        <v>1340</v>
      </c>
    </row>
    <row r="186" spans="1:10">
      <c r="A186" s="103" t="s">
        <v>1155</v>
      </c>
      <c r="B186" s="124" t="s">
        <v>1156</v>
      </c>
      <c r="C186" s="110">
        <v>10579</v>
      </c>
      <c r="D186" s="109" t="s">
        <v>120</v>
      </c>
      <c r="E186" s="109">
        <v>106</v>
      </c>
      <c r="F186" s="110">
        <v>4598</v>
      </c>
      <c r="G186" s="109" t="s">
        <v>120</v>
      </c>
      <c r="H186" s="109">
        <v>43</v>
      </c>
      <c r="I186" s="109">
        <v>1291</v>
      </c>
      <c r="J186" s="110">
        <v>1842</v>
      </c>
    </row>
    <row r="187" spans="1:10">
      <c r="A187" s="103" t="s">
        <v>1157</v>
      </c>
      <c r="B187" s="124" t="s">
        <v>1152</v>
      </c>
      <c r="C187" s="110">
        <v>24285</v>
      </c>
      <c r="D187" s="109" t="s">
        <v>120</v>
      </c>
      <c r="E187" s="109">
        <v>242</v>
      </c>
      <c r="F187" s="110">
        <v>13854</v>
      </c>
      <c r="G187" s="109" t="s">
        <v>120</v>
      </c>
      <c r="H187" s="109">
        <v>57</v>
      </c>
      <c r="I187" s="109">
        <v>199</v>
      </c>
      <c r="J187" s="110">
        <v>573</v>
      </c>
    </row>
    <row r="188" spans="1:10" s="119" customFormat="1">
      <c r="A188" s="123" t="s">
        <v>120</v>
      </c>
      <c r="B188" s="275" t="s">
        <v>947</v>
      </c>
      <c r="C188" s="276"/>
      <c r="D188" s="276"/>
      <c r="E188" s="276"/>
      <c r="F188" s="276"/>
      <c r="G188" s="276"/>
      <c r="H188" s="276"/>
      <c r="I188" s="276"/>
      <c r="J188" s="276"/>
    </row>
    <row r="189" spans="1:10">
      <c r="A189" s="103" t="s">
        <v>1158</v>
      </c>
      <c r="B189" s="124" t="s">
        <v>1159</v>
      </c>
      <c r="C189" s="110">
        <v>14700</v>
      </c>
      <c r="D189" s="109" t="s">
        <v>120</v>
      </c>
      <c r="E189" s="109">
        <v>147</v>
      </c>
      <c r="F189" s="110">
        <v>9960</v>
      </c>
      <c r="G189" s="109" t="s">
        <v>120</v>
      </c>
      <c r="H189" s="109">
        <v>68</v>
      </c>
      <c r="I189" s="109">
        <v>705</v>
      </c>
      <c r="J189" s="110">
        <v>877</v>
      </c>
    </row>
    <row r="190" spans="1:10">
      <c r="A190" s="103" t="s">
        <v>1160</v>
      </c>
      <c r="B190" s="124" t="s">
        <v>932</v>
      </c>
      <c r="C190" s="110">
        <v>836</v>
      </c>
      <c r="D190" s="109" t="s">
        <v>120</v>
      </c>
      <c r="E190" s="109">
        <v>8</v>
      </c>
      <c r="F190" s="110">
        <v>4874</v>
      </c>
      <c r="G190" s="109" t="s">
        <v>120</v>
      </c>
      <c r="H190" s="109">
        <v>583</v>
      </c>
      <c r="I190" s="109" t="s">
        <v>122</v>
      </c>
      <c r="J190" s="110" t="s">
        <v>122</v>
      </c>
    </row>
    <row r="191" spans="1:10">
      <c r="A191" s="103" t="s">
        <v>1161</v>
      </c>
      <c r="B191" s="124" t="s">
        <v>934</v>
      </c>
      <c r="C191" s="110">
        <v>13864</v>
      </c>
      <c r="D191" s="109" t="s">
        <v>120</v>
      </c>
      <c r="E191" s="109">
        <v>139</v>
      </c>
      <c r="F191" s="110">
        <v>5086</v>
      </c>
      <c r="G191" s="109" t="s">
        <v>120</v>
      </c>
      <c r="H191" s="109">
        <v>37</v>
      </c>
      <c r="I191" s="109" t="s">
        <v>122</v>
      </c>
      <c r="J191" s="110" t="s">
        <v>122</v>
      </c>
    </row>
    <row r="192" spans="1:10">
      <c r="A192" s="103" t="s">
        <v>1162</v>
      </c>
      <c r="B192" s="124" t="s">
        <v>1163</v>
      </c>
      <c r="C192" s="110">
        <v>8778</v>
      </c>
      <c r="D192" s="109" t="s">
        <v>120</v>
      </c>
      <c r="E192" s="109">
        <v>88</v>
      </c>
      <c r="F192" s="110">
        <v>5092</v>
      </c>
      <c r="G192" s="109" t="s">
        <v>120</v>
      </c>
      <c r="H192" s="109">
        <v>58</v>
      </c>
      <c r="I192" s="109">
        <v>1565</v>
      </c>
      <c r="J192" s="110">
        <v>1722</v>
      </c>
    </row>
    <row r="193" spans="1:10">
      <c r="A193" s="103" t="s">
        <v>1164</v>
      </c>
      <c r="B193" s="124" t="s">
        <v>932</v>
      </c>
      <c r="C193" s="110">
        <v>641</v>
      </c>
      <c r="D193" s="109" t="s">
        <v>120</v>
      </c>
      <c r="E193" s="109">
        <v>6</v>
      </c>
      <c r="F193" s="110">
        <v>2354</v>
      </c>
      <c r="G193" s="109" t="s">
        <v>120</v>
      </c>
      <c r="H193" s="109">
        <v>367</v>
      </c>
      <c r="I193" s="109" t="s">
        <v>122</v>
      </c>
      <c r="J193" s="110" t="s">
        <v>122</v>
      </c>
    </row>
    <row r="194" spans="1:10">
      <c r="A194" s="103" t="s">
        <v>1165</v>
      </c>
      <c r="B194" s="124" t="s">
        <v>934</v>
      </c>
      <c r="C194" s="110">
        <v>8137</v>
      </c>
      <c r="D194" s="109" t="s">
        <v>120</v>
      </c>
      <c r="E194" s="109">
        <v>82</v>
      </c>
      <c r="F194" s="110">
        <v>2738</v>
      </c>
      <c r="G194" s="109" t="s">
        <v>120</v>
      </c>
      <c r="H194" s="109">
        <v>34</v>
      </c>
      <c r="I194" s="109" t="s">
        <v>122</v>
      </c>
      <c r="J194" s="110" t="s">
        <v>122</v>
      </c>
    </row>
    <row r="195" spans="1:10">
      <c r="A195" s="103" t="s">
        <v>1166</v>
      </c>
      <c r="B195" s="124" t="s">
        <v>1167</v>
      </c>
      <c r="C195" s="110">
        <v>14511</v>
      </c>
      <c r="D195" s="109" t="s">
        <v>120</v>
      </c>
      <c r="E195" s="109">
        <v>145</v>
      </c>
      <c r="F195" s="110">
        <v>16874</v>
      </c>
      <c r="G195" s="109" t="s">
        <v>120</v>
      </c>
      <c r="H195" s="109">
        <v>116</v>
      </c>
      <c r="I195" s="109">
        <v>730</v>
      </c>
      <c r="J195" s="110">
        <v>437</v>
      </c>
    </row>
    <row r="196" spans="1:10">
      <c r="A196" s="103" t="s">
        <v>1168</v>
      </c>
      <c r="B196" s="124" t="s">
        <v>932</v>
      </c>
      <c r="C196" s="110">
        <v>1705</v>
      </c>
      <c r="D196" s="109" t="s">
        <v>120</v>
      </c>
      <c r="E196" s="109">
        <v>17</v>
      </c>
      <c r="F196" s="110">
        <v>10381</v>
      </c>
      <c r="G196" s="109" t="s">
        <v>120</v>
      </c>
      <c r="H196" s="109">
        <v>609</v>
      </c>
      <c r="I196" s="109" t="s">
        <v>122</v>
      </c>
      <c r="J196" s="110" t="s">
        <v>122</v>
      </c>
    </row>
    <row r="197" spans="1:10">
      <c r="A197" s="103" t="s">
        <v>1169</v>
      </c>
      <c r="B197" s="124" t="s">
        <v>934</v>
      </c>
      <c r="C197" s="110">
        <v>12806</v>
      </c>
      <c r="D197" s="109" t="s">
        <v>120</v>
      </c>
      <c r="E197" s="109">
        <v>128</v>
      </c>
      <c r="F197" s="110">
        <v>6493</v>
      </c>
      <c r="G197" s="109" t="s">
        <v>120</v>
      </c>
      <c r="H197" s="109">
        <v>51</v>
      </c>
      <c r="I197" s="109" t="s">
        <v>122</v>
      </c>
      <c r="J197" s="110" t="s">
        <v>122</v>
      </c>
    </row>
    <row r="198" spans="1:10">
      <c r="A198" s="103" t="s">
        <v>1170</v>
      </c>
      <c r="B198" s="124" t="s">
        <v>1171</v>
      </c>
      <c r="C198" s="110">
        <v>16786</v>
      </c>
      <c r="D198" s="109" t="s">
        <v>120</v>
      </c>
      <c r="E198" s="109">
        <v>168</v>
      </c>
      <c r="F198" s="110">
        <v>12948</v>
      </c>
      <c r="G198" s="109" t="s">
        <v>120</v>
      </c>
      <c r="H198" s="109">
        <v>77</v>
      </c>
      <c r="I198" s="109">
        <v>534</v>
      </c>
      <c r="J198" s="110">
        <v>636</v>
      </c>
    </row>
    <row r="199" spans="1:10">
      <c r="A199" s="103" t="s">
        <v>1172</v>
      </c>
      <c r="B199" s="124" t="s">
        <v>932</v>
      </c>
      <c r="C199" s="110">
        <v>829</v>
      </c>
      <c r="D199" s="109" t="s">
        <v>120</v>
      </c>
      <c r="E199" s="109">
        <v>8</v>
      </c>
      <c r="F199" s="110">
        <v>6624</v>
      </c>
      <c r="G199" s="109" t="s">
        <v>120</v>
      </c>
      <c r="H199" s="109">
        <v>799</v>
      </c>
      <c r="I199" s="109" t="s">
        <v>122</v>
      </c>
      <c r="J199" s="110" t="s">
        <v>122</v>
      </c>
    </row>
    <row r="200" spans="1:10">
      <c r="A200" s="103" t="s">
        <v>1173</v>
      </c>
      <c r="B200" s="124" t="s">
        <v>934</v>
      </c>
      <c r="C200" s="110">
        <v>15957</v>
      </c>
      <c r="D200" s="109" t="s">
        <v>120</v>
      </c>
      <c r="E200" s="109">
        <v>160</v>
      </c>
      <c r="F200" s="110">
        <v>6324</v>
      </c>
      <c r="G200" s="109" t="s">
        <v>120</v>
      </c>
      <c r="H200" s="109">
        <v>40</v>
      </c>
      <c r="I200" s="109" t="s">
        <v>122</v>
      </c>
      <c r="J200" s="110" t="s">
        <v>122</v>
      </c>
    </row>
    <row r="201" spans="1:10" s="119" customFormat="1">
      <c r="A201" s="123" t="s">
        <v>120</v>
      </c>
      <c r="B201" s="273" t="s">
        <v>1174</v>
      </c>
      <c r="C201" s="274"/>
      <c r="D201" s="274"/>
      <c r="E201" s="274"/>
      <c r="F201" s="274"/>
      <c r="G201" s="274"/>
      <c r="H201" s="274"/>
      <c r="I201" s="274"/>
      <c r="J201" s="274"/>
    </row>
    <row r="202" spans="1:10" s="119" customFormat="1">
      <c r="A202" s="123" t="s">
        <v>120</v>
      </c>
      <c r="B202" s="275" t="s">
        <v>922</v>
      </c>
      <c r="C202" s="276"/>
      <c r="D202" s="276"/>
      <c r="E202" s="276"/>
      <c r="F202" s="276"/>
      <c r="G202" s="276"/>
      <c r="H202" s="276"/>
      <c r="I202" s="276"/>
      <c r="J202" s="276"/>
    </row>
    <row r="203" spans="1:10">
      <c r="A203" s="103" t="s">
        <v>1175</v>
      </c>
      <c r="B203" s="124" t="s">
        <v>1176</v>
      </c>
      <c r="C203" s="110">
        <v>2736</v>
      </c>
      <c r="D203" s="109" t="s">
        <v>120</v>
      </c>
      <c r="E203" s="109">
        <v>27</v>
      </c>
      <c r="F203" s="110">
        <v>33108</v>
      </c>
      <c r="G203" s="109" t="s">
        <v>120</v>
      </c>
      <c r="H203" s="109">
        <v>1210</v>
      </c>
      <c r="I203" s="109">
        <v>2180</v>
      </c>
      <c r="J203" s="110">
        <v>167</v>
      </c>
    </row>
    <row r="204" spans="1:10" s="119" customFormat="1">
      <c r="A204" s="123" t="s">
        <v>120</v>
      </c>
      <c r="B204" s="275" t="s">
        <v>924</v>
      </c>
      <c r="C204" s="276"/>
      <c r="D204" s="276"/>
      <c r="E204" s="276"/>
      <c r="F204" s="276"/>
      <c r="G204" s="276"/>
      <c r="H204" s="276"/>
      <c r="I204" s="276"/>
      <c r="J204" s="276"/>
    </row>
    <row r="205" spans="1:10">
      <c r="A205" s="103" t="s">
        <v>1177</v>
      </c>
      <c r="B205" s="124" t="s">
        <v>1178</v>
      </c>
      <c r="C205" s="110">
        <v>9446</v>
      </c>
      <c r="D205" s="109" t="s">
        <v>120</v>
      </c>
      <c r="E205" s="109">
        <v>94</v>
      </c>
      <c r="F205" s="110">
        <v>5162</v>
      </c>
      <c r="G205" s="109" t="s">
        <v>120</v>
      </c>
      <c r="H205" s="109">
        <v>55</v>
      </c>
      <c r="I205" s="109">
        <v>1480</v>
      </c>
      <c r="J205" s="110">
        <v>1700</v>
      </c>
    </row>
    <row r="206" spans="1:10">
      <c r="A206" s="103" t="s">
        <v>1179</v>
      </c>
      <c r="B206" s="124" t="s">
        <v>1176</v>
      </c>
      <c r="C206" s="110">
        <v>23465</v>
      </c>
      <c r="D206" s="109" t="s">
        <v>120</v>
      </c>
      <c r="E206" s="109">
        <v>235</v>
      </c>
      <c r="F206" s="110">
        <v>15190</v>
      </c>
      <c r="G206" s="109" t="s">
        <v>120</v>
      </c>
      <c r="H206" s="109">
        <v>65</v>
      </c>
      <c r="I206" s="109">
        <v>220</v>
      </c>
      <c r="J206" s="110">
        <v>509</v>
      </c>
    </row>
    <row r="207" spans="1:10" s="119" customFormat="1">
      <c r="A207" s="123" t="s">
        <v>120</v>
      </c>
      <c r="B207" s="275" t="s">
        <v>929</v>
      </c>
      <c r="C207" s="276"/>
      <c r="D207" s="276"/>
      <c r="E207" s="276"/>
      <c r="F207" s="276"/>
      <c r="G207" s="276"/>
      <c r="H207" s="276"/>
      <c r="I207" s="276"/>
      <c r="J207" s="276"/>
    </row>
    <row r="208" spans="1:10">
      <c r="A208" s="103" t="s">
        <v>1180</v>
      </c>
      <c r="B208" s="124" t="s">
        <v>1181</v>
      </c>
      <c r="C208" s="110">
        <v>16763</v>
      </c>
      <c r="D208" s="109" t="s">
        <v>120</v>
      </c>
      <c r="E208" s="109">
        <v>168</v>
      </c>
      <c r="F208" s="110">
        <v>23292</v>
      </c>
      <c r="G208" s="109" t="s">
        <v>120</v>
      </c>
      <c r="H208" s="109">
        <v>139</v>
      </c>
      <c r="I208" s="109">
        <v>537</v>
      </c>
      <c r="J208" s="110">
        <v>276</v>
      </c>
    </row>
    <row r="209" spans="1:10">
      <c r="A209" s="103" t="s">
        <v>1182</v>
      </c>
      <c r="B209" s="124" t="s">
        <v>932</v>
      </c>
      <c r="C209" s="110">
        <v>1706</v>
      </c>
      <c r="D209" s="109" t="s">
        <v>120</v>
      </c>
      <c r="E209" s="109">
        <v>17</v>
      </c>
      <c r="F209" s="110">
        <v>15745</v>
      </c>
      <c r="G209" s="109" t="s">
        <v>120</v>
      </c>
      <c r="H209" s="109">
        <v>923</v>
      </c>
      <c r="I209" s="109" t="s">
        <v>122</v>
      </c>
      <c r="J209" s="110" t="s">
        <v>122</v>
      </c>
    </row>
    <row r="210" spans="1:10">
      <c r="A210" s="103" t="s">
        <v>1183</v>
      </c>
      <c r="B210" s="124" t="s">
        <v>934</v>
      </c>
      <c r="C210" s="110">
        <v>15057</v>
      </c>
      <c r="D210" s="109" t="s">
        <v>120</v>
      </c>
      <c r="E210" s="109">
        <v>151</v>
      </c>
      <c r="F210" s="110">
        <v>7547</v>
      </c>
      <c r="G210" s="109" t="s">
        <v>120</v>
      </c>
      <c r="H210" s="109">
        <v>50</v>
      </c>
      <c r="I210" s="109" t="s">
        <v>122</v>
      </c>
      <c r="J210" s="110" t="s">
        <v>122</v>
      </c>
    </row>
    <row r="211" spans="1:10" s="119" customFormat="1">
      <c r="A211" s="123" t="s">
        <v>120</v>
      </c>
      <c r="B211" s="273" t="s">
        <v>1184</v>
      </c>
      <c r="C211" s="274"/>
      <c r="D211" s="274"/>
      <c r="E211" s="274"/>
      <c r="F211" s="274"/>
      <c r="G211" s="274"/>
      <c r="H211" s="274"/>
      <c r="I211" s="274"/>
      <c r="J211" s="274"/>
    </row>
    <row r="212" spans="1:10" s="119" customFormat="1">
      <c r="A212" s="123" t="s">
        <v>120</v>
      </c>
      <c r="B212" s="275" t="s">
        <v>1022</v>
      </c>
      <c r="C212" s="276"/>
      <c r="D212" s="276"/>
      <c r="E212" s="276"/>
      <c r="F212" s="276"/>
      <c r="G212" s="276"/>
      <c r="H212" s="276"/>
      <c r="I212" s="276"/>
      <c r="J212" s="276"/>
    </row>
    <row r="213" spans="1:10">
      <c r="A213" s="103" t="s">
        <v>1185</v>
      </c>
      <c r="B213" s="124" t="s">
        <v>1186</v>
      </c>
      <c r="C213" s="110">
        <v>7676</v>
      </c>
      <c r="D213" s="109" t="s">
        <v>120</v>
      </c>
      <c r="E213" s="109">
        <v>77</v>
      </c>
      <c r="F213" s="110">
        <v>3991</v>
      </c>
      <c r="G213" s="109" t="s">
        <v>120</v>
      </c>
      <c r="H213" s="109">
        <v>52</v>
      </c>
      <c r="I213" s="109">
        <v>1749</v>
      </c>
      <c r="J213" s="110">
        <v>1995</v>
      </c>
    </row>
    <row r="214" spans="1:10">
      <c r="A214" s="103" t="s">
        <v>1187</v>
      </c>
      <c r="B214" s="124" t="s">
        <v>1188</v>
      </c>
      <c r="C214" s="110">
        <v>12170</v>
      </c>
      <c r="D214" s="109" t="s">
        <v>120</v>
      </c>
      <c r="E214" s="109">
        <v>121</v>
      </c>
      <c r="F214" s="110">
        <v>5402</v>
      </c>
      <c r="G214" s="109" t="s">
        <v>120</v>
      </c>
      <c r="H214" s="109">
        <v>44</v>
      </c>
      <c r="I214" s="109">
        <v>1027</v>
      </c>
      <c r="J214" s="110">
        <v>1636</v>
      </c>
    </row>
    <row r="215" spans="1:10">
      <c r="A215" s="103" t="s">
        <v>1189</v>
      </c>
      <c r="B215" s="124" t="s">
        <v>1190</v>
      </c>
      <c r="C215" s="110">
        <v>8424</v>
      </c>
      <c r="D215" s="109" t="s">
        <v>120</v>
      </c>
      <c r="E215" s="109">
        <v>84</v>
      </c>
      <c r="F215" s="110">
        <v>4808</v>
      </c>
      <c r="G215" s="109" t="s">
        <v>120</v>
      </c>
      <c r="H215" s="109">
        <v>57</v>
      </c>
      <c r="I215" s="109">
        <v>1633</v>
      </c>
      <c r="J215" s="110">
        <v>1791</v>
      </c>
    </row>
    <row r="216" spans="1:10" s="119" customFormat="1">
      <c r="A216" s="123" t="s">
        <v>120</v>
      </c>
      <c r="B216" s="275" t="s">
        <v>947</v>
      </c>
      <c r="C216" s="276"/>
      <c r="D216" s="276"/>
      <c r="E216" s="276"/>
      <c r="F216" s="276"/>
      <c r="G216" s="276"/>
      <c r="H216" s="276"/>
      <c r="I216" s="276"/>
      <c r="J216" s="276"/>
    </row>
    <row r="217" spans="1:10">
      <c r="A217" s="103" t="s">
        <v>1191</v>
      </c>
      <c r="B217" s="124" t="s">
        <v>1192</v>
      </c>
      <c r="C217" s="110">
        <v>22166</v>
      </c>
      <c r="D217" s="109" t="s">
        <v>120</v>
      </c>
      <c r="E217" s="109">
        <v>222</v>
      </c>
      <c r="F217" s="110">
        <v>12796</v>
      </c>
      <c r="G217" s="109" t="s">
        <v>120</v>
      </c>
      <c r="H217" s="109">
        <v>58</v>
      </c>
      <c r="I217" s="109">
        <v>257</v>
      </c>
      <c r="J217" s="110">
        <v>645</v>
      </c>
    </row>
    <row r="218" spans="1:10">
      <c r="A218" s="103" t="s">
        <v>1193</v>
      </c>
      <c r="B218" s="124" t="s">
        <v>932</v>
      </c>
      <c r="C218" s="110">
        <v>900</v>
      </c>
      <c r="D218" s="109" t="s">
        <v>120</v>
      </c>
      <c r="E218" s="109">
        <v>9</v>
      </c>
      <c r="F218" s="110">
        <v>7866</v>
      </c>
      <c r="G218" s="109" t="s">
        <v>120</v>
      </c>
      <c r="H218" s="109">
        <v>874</v>
      </c>
      <c r="I218" s="109" t="s">
        <v>122</v>
      </c>
      <c r="J218" s="110" t="s">
        <v>122</v>
      </c>
    </row>
    <row r="219" spans="1:10">
      <c r="A219" s="103" t="s">
        <v>1194</v>
      </c>
      <c r="B219" s="124" t="s">
        <v>934</v>
      </c>
      <c r="C219" s="110">
        <v>21266</v>
      </c>
      <c r="D219" s="109" t="s">
        <v>120</v>
      </c>
      <c r="E219" s="109">
        <v>213</v>
      </c>
      <c r="F219" s="110">
        <v>4930</v>
      </c>
      <c r="G219" s="109" t="s">
        <v>120</v>
      </c>
      <c r="H219" s="109">
        <v>23</v>
      </c>
      <c r="I219" s="109" t="s">
        <v>122</v>
      </c>
      <c r="J219" s="110" t="s">
        <v>122</v>
      </c>
    </row>
    <row r="220" spans="1:10">
      <c r="A220" s="103" t="s">
        <v>1195</v>
      </c>
      <c r="B220" s="124" t="s">
        <v>1196</v>
      </c>
      <c r="C220" s="110">
        <v>16765</v>
      </c>
      <c r="D220" s="109" t="s">
        <v>120</v>
      </c>
      <c r="E220" s="109">
        <v>168</v>
      </c>
      <c r="F220" s="110">
        <v>27727</v>
      </c>
      <c r="G220" s="109" t="s">
        <v>120</v>
      </c>
      <c r="H220" s="109">
        <v>165</v>
      </c>
      <c r="I220" s="109">
        <v>536</v>
      </c>
      <c r="J220" s="110">
        <v>208</v>
      </c>
    </row>
    <row r="221" spans="1:10">
      <c r="A221" s="103" t="s">
        <v>1197</v>
      </c>
      <c r="B221" s="124" t="s">
        <v>932</v>
      </c>
      <c r="C221" s="110">
        <v>2374</v>
      </c>
      <c r="D221" s="109" t="s">
        <v>120</v>
      </c>
      <c r="E221" s="109">
        <v>24</v>
      </c>
      <c r="F221" s="110">
        <v>22486</v>
      </c>
      <c r="G221" s="109" t="s">
        <v>120</v>
      </c>
      <c r="H221" s="109">
        <v>947</v>
      </c>
      <c r="I221" s="109" t="s">
        <v>122</v>
      </c>
      <c r="J221" s="110" t="s">
        <v>122</v>
      </c>
    </row>
    <row r="222" spans="1:10">
      <c r="A222" s="103" t="s">
        <v>1198</v>
      </c>
      <c r="B222" s="124" t="s">
        <v>934</v>
      </c>
      <c r="C222" s="110">
        <v>14391</v>
      </c>
      <c r="D222" s="109" t="s">
        <v>120</v>
      </c>
      <c r="E222" s="109">
        <v>144</v>
      </c>
      <c r="F222" s="110">
        <v>5241</v>
      </c>
      <c r="G222" s="109" t="s">
        <v>120</v>
      </c>
      <c r="H222" s="109">
        <v>36</v>
      </c>
      <c r="I222" s="109" t="s">
        <v>122</v>
      </c>
      <c r="J222" s="110" t="s">
        <v>122</v>
      </c>
    </row>
    <row r="223" spans="1:10">
      <c r="A223" s="103" t="s">
        <v>1199</v>
      </c>
      <c r="B223" s="124" t="s">
        <v>1200</v>
      </c>
      <c r="C223" s="110">
        <v>10745</v>
      </c>
      <c r="D223" s="109" t="s">
        <v>120</v>
      </c>
      <c r="E223" s="109">
        <v>107</v>
      </c>
      <c r="F223" s="110">
        <v>8341</v>
      </c>
      <c r="G223" s="109" t="s">
        <v>120</v>
      </c>
      <c r="H223" s="109">
        <v>78</v>
      </c>
      <c r="I223" s="109">
        <v>1266</v>
      </c>
      <c r="J223" s="110">
        <v>1070</v>
      </c>
    </row>
    <row r="224" spans="1:10">
      <c r="A224" s="103" t="s">
        <v>1201</v>
      </c>
      <c r="B224" s="124" t="s">
        <v>932</v>
      </c>
      <c r="C224" s="110">
        <v>617</v>
      </c>
      <c r="D224" s="109" t="s">
        <v>120</v>
      </c>
      <c r="E224" s="109">
        <v>6</v>
      </c>
      <c r="F224" s="110">
        <v>6091</v>
      </c>
      <c r="G224" s="109" t="s">
        <v>120</v>
      </c>
      <c r="H224" s="109">
        <v>987</v>
      </c>
      <c r="I224" s="109" t="s">
        <v>122</v>
      </c>
      <c r="J224" s="110" t="s">
        <v>122</v>
      </c>
    </row>
    <row r="225" spans="1:10">
      <c r="A225" s="103" t="s">
        <v>1202</v>
      </c>
      <c r="B225" s="124" t="s">
        <v>934</v>
      </c>
      <c r="C225" s="110">
        <v>10128</v>
      </c>
      <c r="D225" s="109" t="s">
        <v>120</v>
      </c>
      <c r="E225" s="109">
        <v>101</v>
      </c>
      <c r="F225" s="110">
        <v>2250</v>
      </c>
      <c r="G225" s="109" t="s">
        <v>120</v>
      </c>
      <c r="H225" s="109">
        <v>22</v>
      </c>
      <c r="I225" s="109" t="s">
        <v>122</v>
      </c>
      <c r="J225" s="110" t="s">
        <v>122</v>
      </c>
    </row>
    <row r="226" spans="1:10" s="119" customFormat="1">
      <c r="A226" s="123" t="s">
        <v>120</v>
      </c>
      <c r="B226" s="273" t="s">
        <v>1203</v>
      </c>
      <c r="C226" s="274"/>
      <c r="D226" s="274"/>
      <c r="E226" s="274"/>
      <c r="F226" s="274"/>
      <c r="G226" s="274"/>
      <c r="H226" s="274"/>
      <c r="I226" s="274"/>
      <c r="J226" s="274"/>
    </row>
    <row r="227" spans="1:10" s="119" customFormat="1">
      <c r="A227" s="123" t="s">
        <v>120</v>
      </c>
      <c r="B227" s="275" t="s">
        <v>943</v>
      </c>
      <c r="C227" s="276"/>
      <c r="D227" s="276"/>
      <c r="E227" s="276"/>
      <c r="F227" s="276"/>
      <c r="G227" s="276"/>
      <c r="H227" s="276"/>
      <c r="I227" s="276"/>
      <c r="J227" s="276"/>
    </row>
    <row r="228" spans="1:10">
      <c r="A228" s="103" t="s">
        <v>1204</v>
      </c>
      <c r="B228" s="124" t="s">
        <v>1205</v>
      </c>
      <c r="C228" s="110">
        <v>9865</v>
      </c>
      <c r="D228" s="109" t="s">
        <v>120</v>
      </c>
      <c r="E228" s="109">
        <v>99</v>
      </c>
      <c r="F228" s="110">
        <v>5272</v>
      </c>
      <c r="G228" s="109" t="s">
        <v>120</v>
      </c>
      <c r="H228" s="109">
        <v>53</v>
      </c>
      <c r="I228" s="109">
        <v>1412</v>
      </c>
      <c r="J228" s="110">
        <v>1673</v>
      </c>
    </row>
    <row r="229" spans="1:10">
      <c r="A229" s="103" t="s">
        <v>1206</v>
      </c>
      <c r="B229" s="124" t="s">
        <v>1207</v>
      </c>
      <c r="C229" s="110">
        <v>9826</v>
      </c>
      <c r="D229" s="109" t="s">
        <v>120</v>
      </c>
      <c r="E229" s="109">
        <v>98</v>
      </c>
      <c r="F229" s="110">
        <v>4276</v>
      </c>
      <c r="G229" s="109" t="s">
        <v>120</v>
      </c>
      <c r="H229" s="109">
        <v>44</v>
      </c>
      <c r="I229" s="109">
        <v>1418</v>
      </c>
      <c r="J229" s="110">
        <v>1933</v>
      </c>
    </row>
    <row r="230" spans="1:10">
      <c r="A230" s="103" t="s">
        <v>1208</v>
      </c>
      <c r="B230" s="124" t="s">
        <v>1209</v>
      </c>
      <c r="C230" s="110">
        <v>11197</v>
      </c>
      <c r="D230" s="109" t="s">
        <v>120</v>
      </c>
      <c r="E230" s="109">
        <v>112</v>
      </c>
      <c r="F230" s="110">
        <v>4754</v>
      </c>
      <c r="G230" s="109" t="s">
        <v>120</v>
      </c>
      <c r="H230" s="109">
        <v>42</v>
      </c>
      <c r="I230" s="109">
        <v>1177</v>
      </c>
      <c r="J230" s="110">
        <v>1804</v>
      </c>
    </row>
    <row r="231" spans="1:10" s="119" customFormat="1">
      <c r="A231" s="123" t="s">
        <v>120</v>
      </c>
      <c r="B231" s="275" t="s">
        <v>947</v>
      </c>
      <c r="C231" s="276"/>
      <c r="D231" s="276"/>
      <c r="E231" s="276"/>
      <c r="F231" s="276"/>
      <c r="G231" s="276"/>
      <c r="H231" s="276"/>
      <c r="I231" s="276"/>
      <c r="J231" s="276"/>
    </row>
    <row r="232" spans="1:10">
      <c r="A232" s="103" t="s">
        <v>1210</v>
      </c>
      <c r="B232" s="124" t="s">
        <v>1211</v>
      </c>
      <c r="C232" s="110">
        <v>17141</v>
      </c>
      <c r="D232" s="109" t="s">
        <v>120</v>
      </c>
      <c r="E232" s="109">
        <v>171</v>
      </c>
      <c r="F232" s="110">
        <v>22167</v>
      </c>
      <c r="G232" s="109" t="s">
        <v>120</v>
      </c>
      <c r="H232" s="109">
        <v>129</v>
      </c>
      <c r="I232" s="109">
        <v>506</v>
      </c>
      <c r="J232" s="110">
        <v>298</v>
      </c>
    </row>
    <row r="233" spans="1:10">
      <c r="A233" s="103" t="s">
        <v>1212</v>
      </c>
      <c r="B233" s="124" t="s">
        <v>932</v>
      </c>
      <c r="C233" s="110">
        <v>1034</v>
      </c>
      <c r="D233" s="109" t="s">
        <v>120</v>
      </c>
      <c r="E233" s="109">
        <v>10</v>
      </c>
      <c r="F233" s="110">
        <v>12474</v>
      </c>
      <c r="G233" s="109" t="s">
        <v>120</v>
      </c>
      <c r="H233" s="109">
        <v>1206</v>
      </c>
      <c r="I233" s="109" t="s">
        <v>122</v>
      </c>
      <c r="J233" s="110" t="s">
        <v>122</v>
      </c>
    </row>
    <row r="234" spans="1:10">
      <c r="A234" s="103" t="s">
        <v>1213</v>
      </c>
      <c r="B234" s="124" t="s">
        <v>934</v>
      </c>
      <c r="C234" s="110">
        <v>16107</v>
      </c>
      <c r="D234" s="109" t="s">
        <v>120</v>
      </c>
      <c r="E234" s="109">
        <v>161</v>
      </c>
      <c r="F234" s="110">
        <v>9693</v>
      </c>
      <c r="G234" s="109" t="s">
        <v>120</v>
      </c>
      <c r="H234" s="109">
        <v>60</v>
      </c>
      <c r="I234" s="109" t="s">
        <v>122</v>
      </c>
      <c r="J234" s="110" t="s">
        <v>122</v>
      </c>
    </row>
    <row r="235" spans="1:10">
      <c r="A235" s="103" t="s">
        <v>1214</v>
      </c>
      <c r="B235" s="124" t="s">
        <v>1215</v>
      </c>
      <c r="C235" s="110">
        <v>14177</v>
      </c>
      <c r="D235" s="109" t="s">
        <v>120</v>
      </c>
      <c r="E235" s="109">
        <v>142</v>
      </c>
      <c r="F235" s="110">
        <v>7101</v>
      </c>
      <c r="G235" s="109" t="s">
        <v>120</v>
      </c>
      <c r="H235" s="109">
        <v>50</v>
      </c>
      <c r="I235" s="109">
        <v>759</v>
      </c>
      <c r="J235" s="110">
        <v>1279</v>
      </c>
    </row>
    <row r="236" spans="1:10">
      <c r="A236" s="103" t="s">
        <v>1216</v>
      </c>
      <c r="B236" s="124" t="s">
        <v>932</v>
      </c>
      <c r="C236" s="110">
        <v>916</v>
      </c>
      <c r="D236" s="109" t="s">
        <v>120</v>
      </c>
      <c r="E236" s="109">
        <v>9</v>
      </c>
      <c r="F236" s="110">
        <v>2212</v>
      </c>
      <c r="G236" s="109" t="s">
        <v>120</v>
      </c>
      <c r="H236" s="109">
        <v>241</v>
      </c>
      <c r="I236" s="109" t="s">
        <v>122</v>
      </c>
      <c r="J236" s="110" t="s">
        <v>122</v>
      </c>
    </row>
    <row r="237" spans="1:10">
      <c r="A237" s="103" t="s">
        <v>1217</v>
      </c>
      <c r="B237" s="124" t="s">
        <v>934</v>
      </c>
      <c r="C237" s="110">
        <v>13261</v>
      </c>
      <c r="D237" s="109" t="s">
        <v>120</v>
      </c>
      <c r="E237" s="109">
        <v>133</v>
      </c>
      <c r="F237" s="110">
        <v>4889</v>
      </c>
      <c r="G237" s="109" t="s">
        <v>120</v>
      </c>
      <c r="H237" s="109">
        <v>37</v>
      </c>
      <c r="I237" s="109" t="s">
        <v>122</v>
      </c>
      <c r="J237" s="110" t="s">
        <v>122</v>
      </c>
    </row>
    <row r="238" spans="1:10" s="119" customFormat="1">
      <c r="A238" s="123" t="s">
        <v>120</v>
      </c>
      <c r="B238" s="273" t="s">
        <v>1218</v>
      </c>
      <c r="C238" s="274"/>
      <c r="D238" s="274"/>
      <c r="E238" s="274"/>
      <c r="F238" s="274"/>
      <c r="G238" s="274"/>
      <c r="H238" s="274"/>
      <c r="I238" s="274"/>
      <c r="J238" s="274"/>
    </row>
    <row r="239" spans="1:10" s="119" customFormat="1">
      <c r="A239" s="123" t="s">
        <v>120</v>
      </c>
      <c r="B239" s="275" t="s">
        <v>1022</v>
      </c>
      <c r="C239" s="276"/>
      <c r="D239" s="276"/>
      <c r="E239" s="276"/>
      <c r="F239" s="276"/>
      <c r="G239" s="276"/>
      <c r="H239" s="276"/>
      <c r="I239" s="276"/>
      <c r="J239" s="276"/>
    </row>
    <row r="240" spans="1:10">
      <c r="A240" s="103" t="s">
        <v>1219</v>
      </c>
      <c r="B240" s="124" t="s">
        <v>1220</v>
      </c>
      <c r="C240" s="110">
        <v>14524</v>
      </c>
      <c r="D240" s="109" t="s">
        <v>120</v>
      </c>
      <c r="E240" s="109">
        <v>145</v>
      </c>
      <c r="F240" s="110">
        <v>7119</v>
      </c>
      <c r="G240" s="109" t="s">
        <v>120</v>
      </c>
      <c r="H240" s="109">
        <v>49</v>
      </c>
      <c r="I240" s="109">
        <v>728</v>
      </c>
      <c r="J240" s="110">
        <v>1275</v>
      </c>
    </row>
    <row r="241" spans="1:10">
      <c r="A241" s="103" t="s">
        <v>1221</v>
      </c>
      <c r="B241" s="124" t="s">
        <v>1222</v>
      </c>
      <c r="C241" s="110">
        <v>5257</v>
      </c>
      <c r="D241" s="109" t="s">
        <v>120</v>
      </c>
      <c r="E241" s="109">
        <v>53</v>
      </c>
      <c r="F241" s="110">
        <v>5952</v>
      </c>
      <c r="G241" s="109" t="s">
        <v>120</v>
      </c>
      <c r="H241" s="109">
        <v>113</v>
      </c>
      <c r="I241" s="109">
        <v>2001</v>
      </c>
      <c r="J241" s="110">
        <v>1522</v>
      </c>
    </row>
    <row r="242" spans="1:10">
      <c r="A242" s="103" t="s">
        <v>1223</v>
      </c>
      <c r="B242" s="124" t="s">
        <v>1224</v>
      </c>
      <c r="C242" s="110">
        <v>17948</v>
      </c>
      <c r="D242" s="109" t="s">
        <v>120</v>
      </c>
      <c r="E242" s="109">
        <v>179</v>
      </c>
      <c r="F242" s="110">
        <v>17006</v>
      </c>
      <c r="G242" s="109" t="s">
        <v>120</v>
      </c>
      <c r="H242" s="109">
        <v>95</v>
      </c>
      <c r="I242" s="109">
        <v>454</v>
      </c>
      <c r="J242" s="110">
        <v>432</v>
      </c>
    </row>
    <row r="243" spans="1:10">
      <c r="A243" s="103" t="s">
        <v>1225</v>
      </c>
      <c r="B243" s="124" t="s">
        <v>1226</v>
      </c>
      <c r="C243" s="110">
        <v>11089</v>
      </c>
      <c r="D243" s="109" t="s">
        <v>120</v>
      </c>
      <c r="E243" s="109">
        <v>111</v>
      </c>
      <c r="F243" s="110">
        <v>5088</v>
      </c>
      <c r="G243" s="109" t="s">
        <v>120</v>
      </c>
      <c r="H243" s="109">
        <v>46</v>
      </c>
      <c r="I243" s="109">
        <v>1202</v>
      </c>
      <c r="J243" s="110">
        <v>1723</v>
      </c>
    </row>
    <row r="244" spans="1:10" s="119" customFormat="1">
      <c r="A244" s="123" t="s">
        <v>120</v>
      </c>
      <c r="B244" s="275" t="s">
        <v>929</v>
      </c>
      <c r="C244" s="276"/>
      <c r="D244" s="276"/>
      <c r="E244" s="276"/>
      <c r="F244" s="276"/>
      <c r="G244" s="276"/>
      <c r="H244" s="276"/>
      <c r="I244" s="276"/>
      <c r="J244" s="276"/>
    </row>
    <row r="245" spans="1:10">
      <c r="A245" s="103" t="s">
        <v>1227</v>
      </c>
      <c r="B245" s="124" t="s">
        <v>1228</v>
      </c>
      <c r="C245" s="110">
        <v>21596</v>
      </c>
      <c r="D245" s="109" t="s">
        <v>120</v>
      </c>
      <c r="E245" s="109">
        <v>216</v>
      </c>
      <c r="F245" s="110">
        <v>19914</v>
      </c>
      <c r="G245" s="109" t="s">
        <v>120</v>
      </c>
      <c r="H245" s="109">
        <v>92</v>
      </c>
      <c r="I245" s="109">
        <v>271</v>
      </c>
      <c r="J245" s="110">
        <v>346</v>
      </c>
    </row>
    <row r="246" spans="1:10">
      <c r="A246" s="103" t="s">
        <v>1229</v>
      </c>
      <c r="B246" s="124" t="s">
        <v>932</v>
      </c>
      <c r="C246" s="110">
        <v>1494</v>
      </c>
      <c r="D246" s="109" t="s">
        <v>120</v>
      </c>
      <c r="E246" s="109">
        <v>15</v>
      </c>
      <c r="F246" s="110">
        <v>9539</v>
      </c>
      <c r="G246" s="109" t="s">
        <v>120</v>
      </c>
      <c r="H246" s="109">
        <v>638</v>
      </c>
      <c r="I246" s="109" t="s">
        <v>122</v>
      </c>
      <c r="J246" s="110" t="s">
        <v>122</v>
      </c>
    </row>
    <row r="247" spans="1:10">
      <c r="A247" s="103" t="s">
        <v>1230</v>
      </c>
      <c r="B247" s="124" t="s">
        <v>934</v>
      </c>
      <c r="C247" s="110">
        <v>20102</v>
      </c>
      <c r="D247" s="109" t="s">
        <v>120</v>
      </c>
      <c r="E247" s="109">
        <v>201</v>
      </c>
      <c r="F247" s="110">
        <v>10375</v>
      </c>
      <c r="G247" s="109" t="s">
        <v>120</v>
      </c>
      <c r="H247" s="109">
        <v>52</v>
      </c>
      <c r="I247" s="109" t="s">
        <v>122</v>
      </c>
      <c r="J247" s="110" t="s">
        <v>122</v>
      </c>
    </row>
    <row r="248" spans="1:10" s="119" customFormat="1">
      <c r="A248" s="123" t="s">
        <v>120</v>
      </c>
      <c r="B248" s="273" t="s">
        <v>1231</v>
      </c>
      <c r="C248" s="274"/>
      <c r="D248" s="274"/>
      <c r="E248" s="274"/>
      <c r="F248" s="274"/>
      <c r="G248" s="274"/>
      <c r="H248" s="274"/>
      <c r="I248" s="274"/>
      <c r="J248" s="274"/>
    </row>
    <row r="249" spans="1:10" s="119" customFormat="1">
      <c r="A249" s="123" t="s">
        <v>120</v>
      </c>
      <c r="B249" s="275" t="s">
        <v>1032</v>
      </c>
      <c r="C249" s="276"/>
      <c r="D249" s="276"/>
      <c r="E249" s="276"/>
      <c r="F249" s="276"/>
      <c r="G249" s="276"/>
      <c r="H249" s="276"/>
      <c r="I249" s="276"/>
      <c r="J249" s="276"/>
    </row>
    <row r="250" spans="1:10">
      <c r="A250" s="103" t="s">
        <v>1232</v>
      </c>
      <c r="B250" s="124" t="s">
        <v>1233</v>
      </c>
      <c r="C250" s="110">
        <v>2176</v>
      </c>
      <c r="D250" s="109" t="s">
        <v>120</v>
      </c>
      <c r="E250" s="109">
        <v>22</v>
      </c>
      <c r="F250" s="110">
        <v>56803</v>
      </c>
      <c r="G250" s="109" t="s">
        <v>120</v>
      </c>
      <c r="H250" s="109">
        <v>2610</v>
      </c>
      <c r="I250" s="109">
        <v>2219</v>
      </c>
      <c r="J250" s="110">
        <v>80</v>
      </c>
    </row>
    <row r="251" spans="1:10">
      <c r="A251" s="103" t="s">
        <v>1234</v>
      </c>
      <c r="B251" s="124" t="s">
        <v>1235</v>
      </c>
      <c r="C251" s="110">
        <v>3043</v>
      </c>
      <c r="D251" s="109" t="s">
        <v>120</v>
      </c>
      <c r="E251" s="109">
        <v>30</v>
      </c>
      <c r="F251" s="110">
        <v>22744</v>
      </c>
      <c r="G251" s="109" t="s">
        <v>120</v>
      </c>
      <c r="H251" s="109">
        <v>747</v>
      </c>
      <c r="I251" s="109">
        <v>2164</v>
      </c>
      <c r="J251" s="110">
        <v>286</v>
      </c>
    </row>
    <row r="252" spans="1:10" s="119" customFormat="1">
      <c r="A252" s="123" t="s">
        <v>120</v>
      </c>
      <c r="B252" s="275" t="s">
        <v>924</v>
      </c>
      <c r="C252" s="276"/>
      <c r="D252" s="276"/>
      <c r="E252" s="276"/>
      <c r="F252" s="276"/>
      <c r="G252" s="276"/>
      <c r="H252" s="276"/>
      <c r="I252" s="276"/>
      <c r="J252" s="276"/>
    </row>
    <row r="253" spans="1:10">
      <c r="A253" s="103" t="s">
        <v>1236</v>
      </c>
      <c r="B253" s="124" t="s">
        <v>1237</v>
      </c>
      <c r="C253" s="110">
        <v>8593</v>
      </c>
      <c r="D253" s="109" t="s">
        <v>120</v>
      </c>
      <c r="E253" s="109">
        <v>86</v>
      </c>
      <c r="F253" s="110">
        <v>5206</v>
      </c>
      <c r="G253" s="109" t="s">
        <v>120</v>
      </c>
      <c r="H253" s="109">
        <v>61</v>
      </c>
      <c r="I253" s="109">
        <v>1597</v>
      </c>
      <c r="J253" s="110">
        <v>1685</v>
      </c>
    </row>
    <row r="254" spans="1:10">
      <c r="A254" s="103" t="s">
        <v>1238</v>
      </c>
      <c r="B254" s="124" t="s">
        <v>1239</v>
      </c>
      <c r="C254" s="110">
        <v>9524</v>
      </c>
      <c r="D254" s="109" t="s">
        <v>120</v>
      </c>
      <c r="E254" s="109">
        <v>95</v>
      </c>
      <c r="F254" s="110">
        <v>6519</v>
      </c>
      <c r="G254" s="109" t="s">
        <v>120</v>
      </c>
      <c r="H254" s="109">
        <v>68</v>
      </c>
      <c r="I254" s="109">
        <v>1465</v>
      </c>
      <c r="J254" s="110">
        <v>1394</v>
      </c>
    </row>
    <row r="255" spans="1:10">
      <c r="A255" s="103" t="s">
        <v>1240</v>
      </c>
      <c r="B255" s="124" t="s">
        <v>1233</v>
      </c>
      <c r="C255" s="110">
        <v>20784</v>
      </c>
      <c r="D255" s="109" t="s">
        <v>120</v>
      </c>
      <c r="E255" s="109">
        <v>208</v>
      </c>
      <c r="F255" s="110">
        <v>17311</v>
      </c>
      <c r="G255" s="109" t="s">
        <v>120</v>
      </c>
      <c r="H255" s="109">
        <v>83</v>
      </c>
      <c r="I255" s="109">
        <v>302</v>
      </c>
      <c r="J255" s="110">
        <v>421</v>
      </c>
    </row>
    <row r="256" spans="1:10" s="119" customFormat="1">
      <c r="A256" s="123" t="s">
        <v>120</v>
      </c>
      <c r="B256" s="275" t="s">
        <v>1101</v>
      </c>
      <c r="C256" s="276"/>
      <c r="D256" s="276"/>
      <c r="E256" s="276"/>
      <c r="F256" s="276"/>
      <c r="G256" s="276"/>
      <c r="H256" s="276"/>
      <c r="I256" s="276"/>
      <c r="J256" s="276"/>
    </row>
    <row r="257" spans="1:10">
      <c r="A257" s="103" t="s">
        <v>1241</v>
      </c>
      <c r="B257" s="124" t="s">
        <v>1242</v>
      </c>
      <c r="C257" s="110">
        <v>6745</v>
      </c>
      <c r="D257" s="109" t="s">
        <v>120</v>
      </c>
      <c r="E257" s="109">
        <v>67</v>
      </c>
      <c r="F257" s="110">
        <v>10239</v>
      </c>
      <c r="G257" s="109" t="s">
        <v>120</v>
      </c>
      <c r="H257" s="109">
        <v>152</v>
      </c>
      <c r="I257" s="109">
        <v>1879</v>
      </c>
      <c r="J257" s="110">
        <v>850</v>
      </c>
    </row>
    <row r="258" spans="1:10">
      <c r="A258" s="103" t="s">
        <v>1243</v>
      </c>
      <c r="B258" s="124" t="s">
        <v>932</v>
      </c>
      <c r="C258" s="110">
        <v>434</v>
      </c>
      <c r="D258" s="109" t="s">
        <v>120</v>
      </c>
      <c r="E258" s="109">
        <v>4</v>
      </c>
      <c r="F258" s="110">
        <v>5111</v>
      </c>
      <c r="G258" s="109" t="s">
        <v>120</v>
      </c>
      <c r="H258" s="109">
        <v>1178</v>
      </c>
      <c r="I258" s="109" t="s">
        <v>122</v>
      </c>
      <c r="J258" s="110" t="s">
        <v>122</v>
      </c>
    </row>
    <row r="259" spans="1:10">
      <c r="A259" s="103" t="s">
        <v>1244</v>
      </c>
      <c r="B259" s="124" t="s">
        <v>934</v>
      </c>
      <c r="C259" s="110">
        <v>6311</v>
      </c>
      <c r="D259" s="109" t="s">
        <v>120</v>
      </c>
      <c r="E259" s="109">
        <v>63</v>
      </c>
      <c r="F259" s="110">
        <v>5128</v>
      </c>
      <c r="G259" s="109" t="s">
        <v>120</v>
      </c>
      <c r="H259" s="109">
        <v>81</v>
      </c>
      <c r="I259" s="109" t="s">
        <v>122</v>
      </c>
      <c r="J259" s="110" t="s">
        <v>122</v>
      </c>
    </row>
    <row r="260" spans="1:10">
      <c r="A260" s="103" t="s">
        <v>1245</v>
      </c>
      <c r="B260" s="124" t="s">
        <v>1246</v>
      </c>
      <c r="C260" s="110">
        <v>14465</v>
      </c>
      <c r="D260" s="109" t="s">
        <v>120</v>
      </c>
      <c r="E260" s="109">
        <v>145</v>
      </c>
      <c r="F260" s="110">
        <v>25708</v>
      </c>
      <c r="G260" s="109" t="s">
        <v>120</v>
      </c>
      <c r="H260" s="109">
        <v>178</v>
      </c>
      <c r="I260" s="109">
        <v>736</v>
      </c>
      <c r="J260" s="110">
        <v>236</v>
      </c>
    </row>
    <row r="261" spans="1:10">
      <c r="A261" s="103" t="s">
        <v>1247</v>
      </c>
      <c r="B261" s="124" t="s">
        <v>932</v>
      </c>
      <c r="C261" s="110">
        <v>2049</v>
      </c>
      <c r="D261" s="109" t="s">
        <v>120</v>
      </c>
      <c r="E261" s="109">
        <v>21</v>
      </c>
      <c r="F261" s="110">
        <v>16032</v>
      </c>
      <c r="G261" s="109" t="s">
        <v>120</v>
      </c>
      <c r="H261" s="109">
        <v>782</v>
      </c>
      <c r="I261" s="109" t="s">
        <v>122</v>
      </c>
      <c r="J261" s="110" t="s">
        <v>122</v>
      </c>
    </row>
    <row r="262" spans="1:10">
      <c r="A262" s="103" t="s">
        <v>1248</v>
      </c>
      <c r="B262" s="124" t="s">
        <v>934</v>
      </c>
      <c r="C262" s="110">
        <v>12416</v>
      </c>
      <c r="D262" s="109" t="s">
        <v>120</v>
      </c>
      <c r="E262" s="109">
        <v>124</v>
      </c>
      <c r="F262" s="110">
        <v>9676</v>
      </c>
      <c r="G262" s="109" t="s">
        <v>120</v>
      </c>
      <c r="H262" s="109">
        <v>78</v>
      </c>
      <c r="I262" s="109" t="s">
        <v>122</v>
      </c>
      <c r="J262" s="110" t="s">
        <v>122</v>
      </c>
    </row>
    <row r="263" spans="1:10">
      <c r="A263" s="103" t="s">
        <v>1249</v>
      </c>
      <c r="B263" s="124" t="s">
        <v>1250</v>
      </c>
      <c r="C263" s="110">
        <v>8784</v>
      </c>
      <c r="D263" s="109" t="s">
        <v>120</v>
      </c>
      <c r="E263" s="109">
        <v>88</v>
      </c>
      <c r="F263" s="110">
        <v>12391</v>
      </c>
      <c r="G263" s="109" t="s">
        <v>120</v>
      </c>
      <c r="H263" s="109">
        <v>141</v>
      </c>
      <c r="I263" s="109">
        <v>1564</v>
      </c>
      <c r="J263" s="110">
        <v>674</v>
      </c>
    </row>
    <row r="264" spans="1:10">
      <c r="A264" s="103" t="s">
        <v>1251</v>
      </c>
      <c r="B264" s="124" t="s">
        <v>932</v>
      </c>
      <c r="C264" s="110">
        <v>757</v>
      </c>
      <c r="D264" s="109" t="s">
        <v>120</v>
      </c>
      <c r="E264" s="109">
        <v>8</v>
      </c>
      <c r="F264" s="110">
        <v>6698</v>
      </c>
      <c r="G264" s="109" t="s">
        <v>120</v>
      </c>
      <c r="H264" s="109">
        <v>885</v>
      </c>
      <c r="I264" s="109" t="s">
        <v>122</v>
      </c>
      <c r="J264" s="110" t="s">
        <v>122</v>
      </c>
    </row>
    <row r="265" spans="1:10">
      <c r="A265" s="103" t="s">
        <v>1252</v>
      </c>
      <c r="B265" s="124" t="s">
        <v>934</v>
      </c>
      <c r="C265" s="110">
        <v>8027</v>
      </c>
      <c r="D265" s="109" t="s">
        <v>120</v>
      </c>
      <c r="E265" s="109">
        <v>80</v>
      </c>
      <c r="F265" s="110">
        <v>5693</v>
      </c>
      <c r="G265" s="109" t="s">
        <v>120</v>
      </c>
      <c r="H265" s="109">
        <v>71</v>
      </c>
      <c r="I265" s="109" t="s">
        <v>122</v>
      </c>
      <c r="J265" s="110" t="s">
        <v>122</v>
      </c>
    </row>
    <row r="266" spans="1:10" s="119" customFormat="1">
      <c r="A266" s="123" t="s">
        <v>120</v>
      </c>
      <c r="B266" s="273" t="s">
        <v>1253</v>
      </c>
      <c r="C266" s="274"/>
      <c r="D266" s="274"/>
      <c r="E266" s="274"/>
      <c r="F266" s="274"/>
      <c r="G266" s="274"/>
      <c r="H266" s="274"/>
      <c r="I266" s="274"/>
      <c r="J266" s="274"/>
    </row>
    <row r="267" spans="1:10" s="119" customFormat="1">
      <c r="A267" s="123" t="s">
        <v>120</v>
      </c>
      <c r="B267" s="275" t="s">
        <v>1022</v>
      </c>
      <c r="C267" s="276"/>
      <c r="D267" s="276"/>
      <c r="E267" s="276"/>
      <c r="F267" s="276"/>
      <c r="G267" s="276"/>
      <c r="H267" s="276"/>
      <c r="I267" s="276"/>
      <c r="J267" s="276"/>
    </row>
    <row r="268" spans="1:10">
      <c r="A268" s="103" t="s">
        <v>1254</v>
      </c>
      <c r="B268" s="124" t="s">
        <v>1255</v>
      </c>
      <c r="C268" s="110">
        <v>10336</v>
      </c>
      <c r="D268" s="109" t="s">
        <v>120</v>
      </c>
      <c r="E268" s="109">
        <v>103</v>
      </c>
      <c r="F268" s="110">
        <v>10559</v>
      </c>
      <c r="G268" s="109" t="s">
        <v>120</v>
      </c>
      <c r="H268" s="109">
        <v>102</v>
      </c>
      <c r="I268" s="109">
        <v>1333</v>
      </c>
      <c r="J268" s="110">
        <v>826</v>
      </c>
    </row>
    <row r="269" spans="1:10">
      <c r="A269" s="103" t="s">
        <v>1256</v>
      </c>
      <c r="B269" s="124" t="s">
        <v>1257</v>
      </c>
      <c r="C269" s="110">
        <v>11745</v>
      </c>
      <c r="D269" s="109" t="s">
        <v>120</v>
      </c>
      <c r="E269" s="109">
        <v>118</v>
      </c>
      <c r="F269" s="110">
        <v>5904</v>
      </c>
      <c r="G269" s="109" t="s">
        <v>120</v>
      </c>
      <c r="H269" s="109">
        <v>50</v>
      </c>
      <c r="I269" s="109">
        <v>1089</v>
      </c>
      <c r="J269" s="110">
        <v>1532</v>
      </c>
    </row>
    <row r="270" spans="1:10" s="119" customFormat="1">
      <c r="A270" s="123" t="s">
        <v>120</v>
      </c>
      <c r="B270" s="275" t="s">
        <v>947</v>
      </c>
      <c r="C270" s="276"/>
      <c r="D270" s="276"/>
      <c r="E270" s="276"/>
      <c r="F270" s="276"/>
      <c r="G270" s="276"/>
      <c r="H270" s="276"/>
      <c r="I270" s="276"/>
      <c r="J270" s="276"/>
    </row>
    <row r="271" spans="1:10">
      <c r="A271" s="103" t="s">
        <v>1258</v>
      </c>
      <c r="B271" s="124" t="s">
        <v>1259</v>
      </c>
      <c r="C271" s="110">
        <v>15426</v>
      </c>
      <c r="D271" s="109" t="s">
        <v>120</v>
      </c>
      <c r="E271" s="109">
        <v>154</v>
      </c>
      <c r="F271" s="110">
        <v>20317</v>
      </c>
      <c r="G271" s="109" t="s">
        <v>120</v>
      </c>
      <c r="H271" s="109">
        <v>132</v>
      </c>
      <c r="I271" s="109">
        <v>636</v>
      </c>
      <c r="J271" s="110">
        <v>334</v>
      </c>
    </row>
    <row r="272" spans="1:10">
      <c r="A272" s="103" t="s">
        <v>1260</v>
      </c>
      <c r="B272" s="124" t="s">
        <v>932</v>
      </c>
      <c r="C272" s="110">
        <v>1446</v>
      </c>
      <c r="D272" s="109" t="s">
        <v>120</v>
      </c>
      <c r="E272" s="109">
        <v>14</v>
      </c>
      <c r="F272" s="110">
        <v>9120</v>
      </c>
      <c r="G272" s="109" t="s">
        <v>120</v>
      </c>
      <c r="H272" s="109">
        <v>631</v>
      </c>
      <c r="I272" s="109" t="s">
        <v>122</v>
      </c>
      <c r="J272" s="110" t="s">
        <v>122</v>
      </c>
    </row>
    <row r="273" spans="1:10">
      <c r="A273" s="103" t="s">
        <v>1261</v>
      </c>
      <c r="B273" s="124" t="s">
        <v>934</v>
      </c>
      <c r="C273" s="110">
        <v>13980</v>
      </c>
      <c r="D273" s="109" t="s">
        <v>120</v>
      </c>
      <c r="E273" s="109">
        <v>140</v>
      </c>
      <c r="F273" s="110">
        <v>11197</v>
      </c>
      <c r="G273" s="109" t="s">
        <v>120</v>
      </c>
      <c r="H273" s="109">
        <v>80</v>
      </c>
      <c r="I273" s="109" t="s">
        <v>122</v>
      </c>
      <c r="J273" s="110" t="s">
        <v>122</v>
      </c>
    </row>
    <row r="274" spans="1:10">
      <c r="A274" s="103" t="s">
        <v>1262</v>
      </c>
      <c r="B274" s="124" t="s">
        <v>1263</v>
      </c>
      <c r="C274" s="110">
        <v>15798</v>
      </c>
      <c r="D274" s="109" t="s">
        <v>120</v>
      </c>
      <c r="E274" s="109">
        <v>158</v>
      </c>
      <c r="F274" s="110">
        <v>9377</v>
      </c>
      <c r="G274" s="109" t="s">
        <v>120</v>
      </c>
      <c r="H274" s="109">
        <v>59</v>
      </c>
      <c r="I274" s="109">
        <v>617</v>
      </c>
      <c r="J274" s="110">
        <v>934</v>
      </c>
    </row>
    <row r="275" spans="1:10">
      <c r="A275" s="103" t="s">
        <v>1264</v>
      </c>
      <c r="B275" s="124" t="s">
        <v>932</v>
      </c>
      <c r="C275" s="110">
        <v>1094</v>
      </c>
      <c r="D275" s="109" t="s">
        <v>120</v>
      </c>
      <c r="E275" s="109">
        <v>11</v>
      </c>
      <c r="F275" s="110">
        <v>2241</v>
      </c>
      <c r="G275" s="109" t="s">
        <v>120</v>
      </c>
      <c r="H275" s="109">
        <v>205</v>
      </c>
      <c r="I275" s="109" t="s">
        <v>122</v>
      </c>
      <c r="J275" s="110" t="s">
        <v>122</v>
      </c>
    </row>
    <row r="276" spans="1:10">
      <c r="A276" s="103" t="s">
        <v>1265</v>
      </c>
      <c r="B276" s="124" t="s">
        <v>934</v>
      </c>
      <c r="C276" s="110">
        <v>14704</v>
      </c>
      <c r="D276" s="109" t="s">
        <v>120</v>
      </c>
      <c r="E276" s="109">
        <v>147</v>
      </c>
      <c r="F276" s="110">
        <v>7136</v>
      </c>
      <c r="G276" s="109" t="s">
        <v>120</v>
      </c>
      <c r="H276" s="109">
        <v>49</v>
      </c>
      <c r="I276" s="109" t="s">
        <v>122</v>
      </c>
      <c r="J276" s="110" t="s">
        <v>122</v>
      </c>
    </row>
    <row r="277" spans="1:10">
      <c r="A277" s="103" t="s">
        <v>1266</v>
      </c>
      <c r="B277" s="124" t="s">
        <v>1267</v>
      </c>
      <c r="C277" s="110">
        <v>19996</v>
      </c>
      <c r="D277" s="109" t="s">
        <v>120</v>
      </c>
      <c r="E277" s="109">
        <v>200</v>
      </c>
      <c r="F277" s="110">
        <v>24436</v>
      </c>
      <c r="G277" s="109" t="s">
        <v>120</v>
      </c>
      <c r="H277" s="109">
        <v>122</v>
      </c>
      <c r="I277" s="109">
        <v>347</v>
      </c>
      <c r="J277" s="110">
        <v>256</v>
      </c>
    </row>
    <row r="278" spans="1:10">
      <c r="A278" s="103" t="s">
        <v>1268</v>
      </c>
      <c r="B278" s="124" t="s">
        <v>932</v>
      </c>
      <c r="C278" s="110">
        <v>1061</v>
      </c>
      <c r="D278" s="109" t="s">
        <v>120</v>
      </c>
      <c r="E278" s="109">
        <v>11</v>
      </c>
      <c r="F278" s="110">
        <v>13343</v>
      </c>
      <c r="G278" s="109" t="s">
        <v>120</v>
      </c>
      <c r="H278" s="109">
        <v>1258</v>
      </c>
      <c r="I278" s="109" t="s">
        <v>122</v>
      </c>
      <c r="J278" s="110" t="s">
        <v>122</v>
      </c>
    </row>
    <row r="279" spans="1:10">
      <c r="A279" s="103" t="s">
        <v>1269</v>
      </c>
      <c r="B279" s="124" t="s">
        <v>934</v>
      </c>
      <c r="C279" s="110">
        <v>18935</v>
      </c>
      <c r="D279" s="109" t="s">
        <v>120</v>
      </c>
      <c r="E279" s="109">
        <v>189</v>
      </c>
      <c r="F279" s="110">
        <v>11093</v>
      </c>
      <c r="G279" s="109" t="s">
        <v>120</v>
      </c>
      <c r="H279" s="109">
        <v>59</v>
      </c>
      <c r="I279" s="109" t="s">
        <v>122</v>
      </c>
      <c r="J279" s="110" t="s">
        <v>122</v>
      </c>
    </row>
    <row r="280" spans="1:10">
      <c r="A280" s="103" t="s">
        <v>1270</v>
      </c>
      <c r="B280" s="124" t="s">
        <v>1271</v>
      </c>
      <c r="C280" s="110">
        <v>29177</v>
      </c>
      <c r="D280" s="109" t="s">
        <v>120</v>
      </c>
      <c r="E280" s="109">
        <v>292</v>
      </c>
      <c r="F280" s="110">
        <v>14660</v>
      </c>
      <c r="G280" s="109" t="s">
        <v>120</v>
      </c>
      <c r="H280" s="109">
        <v>50</v>
      </c>
      <c r="I280" s="109">
        <v>112</v>
      </c>
      <c r="J280" s="110">
        <v>533</v>
      </c>
    </row>
    <row r="281" spans="1:10">
      <c r="A281" s="103" t="s">
        <v>1272</v>
      </c>
      <c r="B281" s="124" t="s">
        <v>932</v>
      </c>
      <c r="C281" s="110">
        <v>949</v>
      </c>
      <c r="D281" s="109" t="s">
        <v>120</v>
      </c>
      <c r="E281" s="109">
        <v>10</v>
      </c>
      <c r="F281" s="110">
        <v>6443</v>
      </c>
      <c r="G281" s="109" t="s">
        <v>120</v>
      </c>
      <c r="H281" s="109">
        <v>679</v>
      </c>
      <c r="I281" s="109" t="s">
        <v>122</v>
      </c>
      <c r="J281" s="110" t="s">
        <v>122</v>
      </c>
    </row>
    <row r="282" spans="1:10">
      <c r="A282" s="103" t="s">
        <v>1273</v>
      </c>
      <c r="B282" s="124" t="s">
        <v>934</v>
      </c>
      <c r="C282" s="110">
        <v>28228</v>
      </c>
      <c r="D282" s="109" t="s">
        <v>120</v>
      </c>
      <c r="E282" s="109">
        <v>282</v>
      </c>
      <c r="F282" s="110">
        <v>8217</v>
      </c>
      <c r="G282" s="109" t="s">
        <v>120</v>
      </c>
      <c r="H282" s="109">
        <v>29</v>
      </c>
      <c r="I282" s="109" t="s">
        <v>122</v>
      </c>
      <c r="J282" s="110" t="s">
        <v>122</v>
      </c>
    </row>
    <row r="283" spans="1:10" s="119" customFormat="1">
      <c r="A283" s="123" t="s">
        <v>120</v>
      </c>
      <c r="B283" s="273" t="s">
        <v>1274</v>
      </c>
      <c r="C283" s="274"/>
      <c r="D283" s="274"/>
      <c r="E283" s="274"/>
      <c r="F283" s="274"/>
      <c r="G283" s="274"/>
      <c r="H283" s="274"/>
      <c r="I283" s="274"/>
      <c r="J283" s="274"/>
    </row>
    <row r="284" spans="1:10" s="119" customFormat="1">
      <c r="A284" s="123" t="s">
        <v>120</v>
      </c>
      <c r="B284" s="275" t="s">
        <v>936</v>
      </c>
      <c r="C284" s="276"/>
      <c r="D284" s="276"/>
      <c r="E284" s="276"/>
      <c r="F284" s="276"/>
      <c r="G284" s="276"/>
      <c r="H284" s="276"/>
      <c r="I284" s="276"/>
      <c r="J284" s="276"/>
    </row>
    <row r="285" spans="1:10">
      <c r="A285" s="103" t="s">
        <v>1275</v>
      </c>
      <c r="B285" s="124" t="s">
        <v>1276</v>
      </c>
      <c r="C285" s="110">
        <v>2702</v>
      </c>
      <c r="D285" s="109" t="s">
        <v>120</v>
      </c>
      <c r="E285" s="109">
        <v>27</v>
      </c>
      <c r="F285" s="110">
        <v>15310</v>
      </c>
      <c r="G285" s="109" t="s">
        <v>120</v>
      </c>
      <c r="H285" s="109">
        <v>567</v>
      </c>
      <c r="I285" s="109">
        <v>2184</v>
      </c>
      <c r="J285" s="110">
        <v>504</v>
      </c>
    </row>
    <row r="286" spans="1:10">
      <c r="A286" s="103" t="s">
        <v>1277</v>
      </c>
      <c r="B286" s="124" t="s">
        <v>1278</v>
      </c>
      <c r="C286" s="110">
        <v>1745</v>
      </c>
      <c r="D286" s="109" t="s">
        <v>120</v>
      </c>
      <c r="E286" s="109">
        <v>17</v>
      </c>
      <c r="F286" s="110">
        <v>4820</v>
      </c>
      <c r="G286" s="109" t="s">
        <v>120</v>
      </c>
      <c r="H286" s="109">
        <v>276</v>
      </c>
      <c r="I286" s="109">
        <v>2258</v>
      </c>
      <c r="J286" s="110">
        <v>1788</v>
      </c>
    </row>
    <row r="287" spans="1:10">
      <c r="A287" s="103" t="s">
        <v>1279</v>
      </c>
      <c r="B287" s="124" t="s">
        <v>1280</v>
      </c>
      <c r="C287" s="110">
        <v>1474</v>
      </c>
      <c r="D287" s="109" t="s">
        <v>120</v>
      </c>
      <c r="E287" s="109">
        <v>15</v>
      </c>
      <c r="F287" s="110">
        <v>5569</v>
      </c>
      <c r="G287" s="109" t="s">
        <v>120</v>
      </c>
      <c r="H287" s="109">
        <v>378</v>
      </c>
      <c r="I287" s="109">
        <v>2282</v>
      </c>
      <c r="J287" s="110">
        <v>1600</v>
      </c>
    </row>
    <row r="288" spans="1:10" s="119" customFormat="1">
      <c r="A288" s="123" t="s">
        <v>120</v>
      </c>
      <c r="B288" s="275" t="s">
        <v>986</v>
      </c>
      <c r="C288" s="276"/>
      <c r="D288" s="276"/>
      <c r="E288" s="276"/>
      <c r="F288" s="276"/>
      <c r="G288" s="276"/>
      <c r="H288" s="276"/>
      <c r="I288" s="276"/>
      <c r="J288" s="276"/>
    </row>
    <row r="289" spans="1:11">
      <c r="A289" s="103" t="s">
        <v>1281</v>
      </c>
      <c r="B289" s="124" t="s">
        <v>1282</v>
      </c>
      <c r="C289" s="110">
        <v>6640</v>
      </c>
      <c r="D289" s="109" t="s">
        <v>120</v>
      </c>
      <c r="E289" s="109">
        <v>66</v>
      </c>
      <c r="F289" s="110">
        <v>4840</v>
      </c>
      <c r="G289" s="109" t="s">
        <v>120</v>
      </c>
      <c r="H289" s="109">
        <v>73</v>
      </c>
      <c r="I289" s="109">
        <v>1891</v>
      </c>
      <c r="J289" s="110">
        <v>1783</v>
      </c>
    </row>
    <row r="290" spans="1:11">
      <c r="A290" s="103" t="s">
        <v>1283</v>
      </c>
      <c r="B290" s="124" t="s">
        <v>1284</v>
      </c>
      <c r="C290" s="110">
        <v>8729</v>
      </c>
      <c r="D290" s="109" t="s">
        <v>120</v>
      </c>
      <c r="E290" s="109">
        <v>88</v>
      </c>
      <c r="F290" s="110">
        <v>4304</v>
      </c>
      <c r="G290" s="109" t="s">
        <v>120</v>
      </c>
      <c r="H290" s="109">
        <v>49</v>
      </c>
      <c r="I290" s="109">
        <v>1573</v>
      </c>
      <c r="J290" s="110">
        <v>1921</v>
      </c>
    </row>
    <row r="291" spans="1:11">
      <c r="A291" s="103" t="s">
        <v>1285</v>
      </c>
      <c r="B291" s="124" t="s">
        <v>1286</v>
      </c>
      <c r="C291" s="110">
        <v>7914</v>
      </c>
      <c r="D291" s="109" t="s">
        <v>120</v>
      </c>
      <c r="E291" s="109">
        <v>79</v>
      </c>
      <c r="F291" s="110">
        <v>5403</v>
      </c>
      <c r="G291" s="109" t="s">
        <v>120</v>
      </c>
      <c r="H291" s="109">
        <v>68</v>
      </c>
      <c r="I291" s="109">
        <v>1716</v>
      </c>
      <c r="J291" s="110">
        <v>1635</v>
      </c>
    </row>
    <row r="292" spans="1:11" s="119" customFormat="1">
      <c r="A292" s="123" t="s">
        <v>120</v>
      </c>
      <c r="B292" s="275" t="s">
        <v>1101</v>
      </c>
      <c r="C292" s="276"/>
      <c r="D292" s="276"/>
      <c r="E292" s="276"/>
      <c r="F292" s="276"/>
      <c r="G292" s="276"/>
      <c r="H292" s="276"/>
      <c r="I292" s="276"/>
      <c r="J292" s="276"/>
    </row>
    <row r="293" spans="1:11">
      <c r="A293" s="103" t="s">
        <v>1287</v>
      </c>
      <c r="B293" s="124" t="s">
        <v>1288</v>
      </c>
      <c r="C293" s="110">
        <v>6212</v>
      </c>
      <c r="D293" s="109" t="s">
        <v>120</v>
      </c>
      <c r="E293" s="109">
        <v>62</v>
      </c>
      <c r="F293" s="110">
        <v>8605</v>
      </c>
      <c r="G293" s="109" t="s">
        <v>120</v>
      </c>
      <c r="H293" s="109">
        <v>139</v>
      </c>
      <c r="I293" s="109">
        <v>1935</v>
      </c>
      <c r="J293" s="110">
        <v>1035</v>
      </c>
    </row>
    <row r="294" spans="1:11">
      <c r="A294" s="103" t="s">
        <v>1289</v>
      </c>
      <c r="B294" s="124" t="s">
        <v>932</v>
      </c>
      <c r="C294" s="110">
        <v>1621</v>
      </c>
      <c r="D294" s="109" t="s">
        <v>120</v>
      </c>
      <c r="E294" s="109">
        <v>16</v>
      </c>
      <c r="F294" s="110">
        <v>6335</v>
      </c>
      <c r="G294" s="109" t="s">
        <v>120</v>
      </c>
      <c r="H294" s="109">
        <v>391</v>
      </c>
      <c r="I294" s="109" t="s">
        <v>122</v>
      </c>
      <c r="J294" s="110" t="s">
        <v>122</v>
      </c>
    </row>
    <row r="295" spans="1:11">
      <c r="A295" s="103" t="s">
        <v>1290</v>
      </c>
      <c r="B295" s="124" t="s">
        <v>934</v>
      </c>
      <c r="C295" s="110">
        <v>4591</v>
      </c>
      <c r="D295" s="109" t="s">
        <v>120</v>
      </c>
      <c r="E295" s="109">
        <v>46</v>
      </c>
      <c r="F295" s="110">
        <v>2270</v>
      </c>
      <c r="G295" s="109" t="s">
        <v>120</v>
      </c>
      <c r="H295" s="109">
        <v>49</v>
      </c>
      <c r="I295" s="109" t="s">
        <v>122</v>
      </c>
      <c r="J295" s="110" t="s">
        <v>122</v>
      </c>
    </row>
    <row r="296" spans="1:11">
      <c r="A296" s="103" t="s">
        <v>1291</v>
      </c>
      <c r="B296" s="124" t="s">
        <v>1292</v>
      </c>
      <c r="C296" s="110">
        <v>7606</v>
      </c>
      <c r="D296" s="109" t="s">
        <v>120</v>
      </c>
      <c r="E296" s="109">
        <v>76</v>
      </c>
      <c r="F296" s="110">
        <v>6760</v>
      </c>
      <c r="G296" s="109" t="s">
        <v>120</v>
      </c>
      <c r="H296" s="109">
        <v>89</v>
      </c>
      <c r="I296" s="109">
        <v>1759</v>
      </c>
      <c r="J296" s="110">
        <v>1349</v>
      </c>
    </row>
    <row r="297" spans="1:11">
      <c r="A297" s="103" t="s">
        <v>1293</v>
      </c>
      <c r="B297" s="124" t="s">
        <v>932</v>
      </c>
      <c r="C297" s="110">
        <v>1031</v>
      </c>
      <c r="D297" s="109" t="s">
        <v>120</v>
      </c>
      <c r="E297" s="109">
        <v>10</v>
      </c>
      <c r="F297" s="110">
        <v>4045</v>
      </c>
      <c r="G297" s="109" t="s">
        <v>120</v>
      </c>
      <c r="H297" s="109">
        <v>392</v>
      </c>
      <c r="I297" s="109" t="s">
        <v>122</v>
      </c>
      <c r="J297" s="110" t="s">
        <v>122</v>
      </c>
    </row>
    <row r="298" spans="1:11">
      <c r="A298" s="103" t="s">
        <v>1294</v>
      </c>
      <c r="B298" s="124" t="s">
        <v>934</v>
      </c>
      <c r="C298" s="110">
        <v>6575</v>
      </c>
      <c r="D298" s="109" t="s">
        <v>120</v>
      </c>
      <c r="E298" s="109">
        <v>66</v>
      </c>
      <c r="F298" s="110">
        <v>2715</v>
      </c>
      <c r="G298" s="109" t="s">
        <v>120</v>
      </c>
      <c r="H298" s="109">
        <v>41</v>
      </c>
      <c r="I298" s="109" t="s">
        <v>122</v>
      </c>
      <c r="J298" s="110" t="s">
        <v>122</v>
      </c>
    </row>
    <row r="299" spans="1:11" s="119" customFormat="1">
      <c r="A299" s="123" t="s">
        <v>120</v>
      </c>
      <c r="B299" s="273" t="s">
        <v>1295</v>
      </c>
      <c r="C299" s="274"/>
      <c r="D299" s="274"/>
      <c r="E299" s="274"/>
      <c r="F299" s="274"/>
      <c r="G299" s="274"/>
      <c r="H299" s="274"/>
      <c r="I299" s="274"/>
      <c r="J299" s="274"/>
    </row>
    <row r="300" spans="1:11" s="119" customFormat="1">
      <c r="A300" s="123" t="s">
        <v>120</v>
      </c>
      <c r="B300" s="275" t="s">
        <v>1296</v>
      </c>
      <c r="C300" s="276"/>
      <c r="D300" s="276"/>
      <c r="E300" s="276"/>
      <c r="F300" s="276"/>
      <c r="G300" s="276"/>
      <c r="H300" s="276"/>
      <c r="I300" s="276"/>
      <c r="J300" s="276"/>
      <c r="K300" s="125"/>
    </row>
    <row r="301" spans="1:11">
      <c r="A301" s="103" t="s">
        <v>1297</v>
      </c>
      <c r="B301" s="124" t="s">
        <v>1298</v>
      </c>
      <c r="C301" s="110">
        <v>24946</v>
      </c>
      <c r="D301" s="109" t="s">
        <v>120</v>
      </c>
      <c r="E301" s="109">
        <v>250</v>
      </c>
      <c r="F301" s="110">
        <v>8274</v>
      </c>
      <c r="G301" s="109" t="s">
        <v>120</v>
      </c>
      <c r="H301" s="109">
        <v>33</v>
      </c>
      <c r="I301" s="109">
        <v>185</v>
      </c>
      <c r="J301" s="110">
        <v>1080</v>
      </c>
    </row>
    <row r="302" spans="1:11" s="119" customFormat="1">
      <c r="A302" s="123" t="s">
        <v>120</v>
      </c>
      <c r="B302" s="275" t="s">
        <v>947</v>
      </c>
      <c r="C302" s="276"/>
      <c r="D302" s="276"/>
      <c r="E302" s="276"/>
      <c r="F302" s="276"/>
      <c r="G302" s="276"/>
      <c r="H302" s="276"/>
      <c r="I302" s="276"/>
      <c r="J302" s="276"/>
    </row>
    <row r="303" spans="1:11">
      <c r="A303" s="103" t="s">
        <v>1299</v>
      </c>
      <c r="B303" s="124" t="s">
        <v>1300</v>
      </c>
      <c r="C303" s="110">
        <v>9440</v>
      </c>
      <c r="D303" s="109" t="s">
        <v>120</v>
      </c>
      <c r="E303" s="109">
        <v>94</v>
      </c>
      <c r="F303" s="110">
        <v>16134</v>
      </c>
      <c r="G303" s="109" t="s">
        <v>120</v>
      </c>
      <c r="H303" s="109">
        <v>171</v>
      </c>
      <c r="I303" s="109">
        <v>1481</v>
      </c>
      <c r="J303" s="110">
        <v>468</v>
      </c>
    </row>
    <row r="304" spans="1:11">
      <c r="A304" s="103" t="s">
        <v>1301</v>
      </c>
      <c r="B304" s="124" t="s">
        <v>932</v>
      </c>
      <c r="C304" s="110">
        <v>1720</v>
      </c>
      <c r="D304" s="109" t="s">
        <v>120</v>
      </c>
      <c r="E304" s="109">
        <v>17</v>
      </c>
      <c r="F304" s="110">
        <v>12506</v>
      </c>
      <c r="G304" s="109" t="s">
        <v>120</v>
      </c>
      <c r="H304" s="109">
        <v>727</v>
      </c>
      <c r="I304" s="109" t="s">
        <v>122</v>
      </c>
      <c r="J304" s="110" t="s">
        <v>122</v>
      </c>
    </row>
    <row r="305" spans="1:10">
      <c r="A305" s="103" t="s">
        <v>1302</v>
      </c>
      <c r="B305" s="124" t="s">
        <v>934</v>
      </c>
      <c r="C305" s="110">
        <v>7720</v>
      </c>
      <c r="D305" s="109" t="s">
        <v>120</v>
      </c>
      <c r="E305" s="109">
        <v>77</v>
      </c>
      <c r="F305" s="110">
        <v>3628</v>
      </c>
      <c r="G305" s="109" t="s">
        <v>120</v>
      </c>
      <c r="H305" s="109">
        <v>47</v>
      </c>
      <c r="I305" s="109" t="s">
        <v>122</v>
      </c>
      <c r="J305" s="110" t="s">
        <v>122</v>
      </c>
    </row>
    <row r="306" spans="1:10">
      <c r="A306" s="103" t="s">
        <v>1303</v>
      </c>
      <c r="B306" s="124" t="s">
        <v>1304</v>
      </c>
      <c r="C306" s="110">
        <v>33110</v>
      </c>
      <c r="D306" s="109" t="s">
        <v>120</v>
      </c>
      <c r="E306" s="109">
        <v>331</v>
      </c>
      <c r="F306" s="110">
        <v>22410</v>
      </c>
      <c r="G306" s="109" t="s">
        <v>120</v>
      </c>
      <c r="H306" s="109">
        <v>68</v>
      </c>
      <c r="I306" s="109">
        <v>66</v>
      </c>
      <c r="J306" s="110">
        <v>291</v>
      </c>
    </row>
    <row r="307" spans="1:10">
      <c r="A307" s="103" t="s">
        <v>1305</v>
      </c>
      <c r="B307" s="124" t="s">
        <v>932</v>
      </c>
      <c r="C307" s="110">
        <v>1854</v>
      </c>
      <c r="D307" s="109" t="s">
        <v>120</v>
      </c>
      <c r="E307" s="109">
        <v>19</v>
      </c>
      <c r="F307" s="110">
        <v>12350</v>
      </c>
      <c r="G307" s="109" t="s">
        <v>120</v>
      </c>
      <c r="H307" s="109">
        <v>666</v>
      </c>
      <c r="I307" s="109" t="s">
        <v>122</v>
      </c>
      <c r="J307" s="110" t="s">
        <v>122</v>
      </c>
    </row>
    <row r="308" spans="1:10">
      <c r="A308" s="103" t="s">
        <v>1306</v>
      </c>
      <c r="B308" s="124" t="s">
        <v>934</v>
      </c>
      <c r="C308" s="110">
        <v>31256</v>
      </c>
      <c r="D308" s="109" t="s">
        <v>120</v>
      </c>
      <c r="E308" s="109">
        <v>312</v>
      </c>
      <c r="F308" s="110">
        <v>10060</v>
      </c>
      <c r="G308" s="109" t="s">
        <v>120</v>
      </c>
      <c r="H308" s="109">
        <v>32</v>
      </c>
      <c r="I308" s="109" t="s">
        <v>122</v>
      </c>
      <c r="J308" s="110" t="s">
        <v>122</v>
      </c>
    </row>
    <row r="309" spans="1:10" s="119" customFormat="1">
      <c r="A309" s="123" t="s">
        <v>120</v>
      </c>
      <c r="B309" s="273" t="s">
        <v>1307</v>
      </c>
      <c r="C309" s="274"/>
      <c r="D309" s="274"/>
      <c r="E309" s="274"/>
      <c r="F309" s="274"/>
      <c r="G309" s="274"/>
      <c r="H309" s="274"/>
      <c r="I309" s="274"/>
      <c r="J309" s="274"/>
    </row>
    <row r="310" spans="1:10" s="119" customFormat="1" ht="15" customHeight="1">
      <c r="A310" s="123" t="s">
        <v>120</v>
      </c>
      <c r="B310" s="275" t="s">
        <v>943</v>
      </c>
      <c r="C310" s="276"/>
      <c r="D310" s="276"/>
      <c r="E310" s="276"/>
      <c r="F310" s="276"/>
      <c r="G310" s="276"/>
      <c r="H310" s="276"/>
      <c r="I310" s="276"/>
      <c r="J310" s="276"/>
    </row>
    <row r="311" spans="1:10" ht="15" customHeight="1">
      <c r="A311" s="103" t="s">
        <v>1308</v>
      </c>
      <c r="B311" s="124" t="s">
        <v>1309</v>
      </c>
      <c r="C311" s="110">
        <v>8363</v>
      </c>
      <c r="D311" s="109" t="s">
        <v>120</v>
      </c>
      <c r="E311" s="109">
        <v>84</v>
      </c>
      <c r="F311" s="110">
        <v>16619</v>
      </c>
      <c r="G311" s="109" t="s">
        <v>120</v>
      </c>
      <c r="H311" s="109">
        <v>199</v>
      </c>
      <c r="I311" s="109">
        <v>1642</v>
      </c>
      <c r="J311" s="110">
        <v>447</v>
      </c>
    </row>
    <row r="312" spans="1:10" ht="15" customHeight="1">
      <c r="A312" s="103" t="s">
        <v>1310</v>
      </c>
      <c r="B312" s="124" t="s">
        <v>1311</v>
      </c>
      <c r="C312" s="110">
        <v>21284</v>
      </c>
      <c r="D312" s="109" t="s">
        <v>120</v>
      </c>
      <c r="E312" s="109">
        <v>213</v>
      </c>
      <c r="F312" s="110">
        <v>33838</v>
      </c>
      <c r="G312" s="109" t="s">
        <v>120</v>
      </c>
      <c r="H312" s="109">
        <v>159</v>
      </c>
      <c r="I312" s="109">
        <v>280</v>
      </c>
      <c r="J312" s="110">
        <v>161</v>
      </c>
    </row>
    <row r="313" spans="1:10" ht="15" customHeight="1">
      <c r="A313" s="103" t="s">
        <v>1312</v>
      </c>
      <c r="B313" s="124" t="s">
        <v>1313</v>
      </c>
      <c r="C313" s="110">
        <v>5669</v>
      </c>
      <c r="D313" s="109" t="s">
        <v>120</v>
      </c>
      <c r="E313" s="109">
        <v>57</v>
      </c>
      <c r="F313" s="110">
        <v>3179</v>
      </c>
      <c r="G313" s="109" t="s">
        <v>120</v>
      </c>
      <c r="H313" s="109">
        <v>56</v>
      </c>
      <c r="I313" s="109">
        <v>1976</v>
      </c>
      <c r="J313" s="110">
        <v>2166</v>
      </c>
    </row>
    <row r="314" spans="1:10" ht="15" customHeight="1">
      <c r="A314" s="103" t="s">
        <v>1314</v>
      </c>
      <c r="B314" s="124" t="s">
        <v>1315</v>
      </c>
      <c r="C314" s="110">
        <v>14926</v>
      </c>
      <c r="D314" s="109" t="s">
        <v>120</v>
      </c>
      <c r="E314" s="109">
        <v>149</v>
      </c>
      <c r="F314" s="110">
        <v>21760</v>
      </c>
      <c r="G314" s="109" t="s">
        <v>120</v>
      </c>
      <c r="H314" s="109">
        <v>146</v>
      </c>
      <c r="I314" s="109">
        <v>682</v>
      </c>
      <c r="J314" s="110">
        <v>308</v>
      </c>
    </row>
    <row r="315" spans="1:10" ht="15" customHeight="1">
      <c r="A315" s="103" t="s">
        <v>1316</v>
      </c>
      <c r="B315" s="124" t="s">
        <v>1317</v>
      </c>
      <c r="C315" s="110">
        <v>8338</v>
      </c>
      <c r="D315" s="109" t="s">
        <v>120</v>
      </c>
      <c r="E315" s="109">
        <v>83</v>
      </c>
      <c r="F315" s="110">
        <v>3759</v>
      </c>
      <c r="G315" s="109" t="s">
        <v>120</v>
      </c>
      <c r="H315" s="109">
        <v>45</v>
      </c>
      <c r="I315" s="109">
        <v>1647</v>
      </c>
      <c r="J315" s="110">
        <v>2052</v>
      </c>
    </row>
    <row r="316" spans="1:10" ht="15" customHeight="1">
      <c r="A316" s="103" t="s">
        <v>1318</v>
      </c>
      <c r="B316" s="124" t="s">
        <v>1319</v>
      </c>
      <c r="C316" s="110">
        <v>12027</v>
      </c>
      <c r="D316" s="109" t="s">
        <v>120</v>
      </c>
      <c r="E316" s="109">
        <v>120</v>
      </c>
      <c r="F316" s="110">
        <v>11156</v>
      </c>
      <c r="G316" s="109" t="s">
        <v>120</v>
      </c>
      <c r="H316" s="109">
        <v>93</v>
      </c>
      <c r="I316" s="109">
        <v>1048</v>
      </c>
      <c r="J316" s="110">
        <v>772</v>
      </c>
    </row>
    <row r="317" spans="1:10" s="119" customFormat="1" ht="15" customHeight="1">
      <c r="A317" s="123" t="s">
        <v>120</v>
      </c>
      <c r="B317" s="275" t="s">
        <v>947</v>
      </c>
      <c r="C317" s="276"/>
      <c r="D317" s="276"/>
      <c r="E317" s="276"/>
      <c r="F317" s="276"/>
      <c r="G317" s="276"/>
      <c r="H317" s="276"/>
      <c r="I317" s="276"/>
      <c r="J317" s="276"/>
    </row>
    <row r="318" spans="1:10" ht="15" customHeight="1">
      <c r="A318" s="103" t="s">
        <v>1320</v>
      </c>
      <c r="B318" s="124" t="s">
        <v>1321</v>
      </c>
      <c r="C318" s="110">
        <v>17666</v>
      </c>
      <c r="D318" s="109" t="s">
        <v>120</v>
      </c>
      <c r="E318" s="109">
        <v>177</v>
      </c>
      <c r="F318" s="110">
        <v>25282</v>
      </c>
      <c r="G318" s="109" t="s">
        <v>120</v>
      </c>
      <c r="H318" s="109">
        <v>143</v>
      </c>
      <c r="I318" s="109">
        <v>475</v>
      </c>
      <c r="J318" s="110">
        <v>245</v>
      </c>
    </row>
    <row r="319" spans="1:10" ht="15" customHeight="1">
      <c r="A319" s="103" t="s">
        <v>1322</v>
      </c>
      <c r="B319" s="124" t="s">
        <v>932</v>
      </c>
      <c r="C319" s="110">
        <v>861</v>
      </c>
      <c r="D319" s="109" t="s">
        <v>120</v>
      </c>
      <c r="E319" s="109">
        <v>9</v>
      </c>
      <c r="F319" s="110">
        <v>7001</v>
      </c>
      <c r="G319" s="109" t="s">
        <v>120</v>
      </c>
      <c r="H319" s="109">
        <v>813</v>
      </c>
      <c r="I319" s="109" t="s">
        <v>122</v>
      </c>
      <c r="J319" s="110" t="s">
        <v>122</v>
      </c>
    </row>
    <row r="320" spans="1:10" ht="15" customHeight="1">
      <c r="A320" s="103" t="s">
        <v>1323</v>
      </c>
      <c r="B320" s="124" t="s">
        <v>934</v>
      </c>
      <c r="C320" s="110">
        <v>16805</v>
      </c>
      <c r="D320" s="109" t="s">
        <v>120</v>
      </c>
      <c r="E320" s="109">
        <v>168</v>
      </c>
      <c r="F320" s="110">
        <v>18281</v>
      </c>
      <c r="G320" s="109" t="s">
        <v>120</v>
      </c>
      <c r="H320" s="109">
        <v>109</v>
      </c>
      <c r="I320" s="109" t="s">
        <v>122</v>
      </c>
      <c r="J320" s="110" t="s">
        <v>122</v>
      </c>
    </row>
    <row r="321" spans="1:10" ht="15" customHeight="1">
      <c r="A321" s="103" t="s">
        <v>1324</v>
      </c>
      <c r="B321" s="124" t="s">
        <v>1325</v>
      </c>
      <c r="C321" s="110">
        <v>9871</v>
      </c>
      <c r="D321" s="109" t="s">
        <v>120</v>
      </c>
      <c r="E321" s="109">
        <v>99</v>
      </c>
      <c r="F321" s="110">
        <v>22878</v>
      </c>
      <c r="G321" s="109" t="s">
        <v>120</v>
      </c>
      <c r="H321" s="109">
        <v>232</v>
      </c>
      <c r="I321" s="109">
        <v>1410</v>
      </c>
      <c r="J321" s="110">
        <v>283</v>
      </c>
    </row>
    <row r="322" spans="1:10" ht="15" customHeight="1">
      <c r="A322" s="103" t="s">
        <v>1326</v>
      </c>
      <c r="B322" s="124" t="s">
        <v>932</v>
      </c>
      <c r="C322" s="110">
        <v>1563</v>
      </c>
      <c r="D322" s="109" t="s">
        <v>120</v>
      </c>
      <c r="E322" s="109">
        <v>16</v>
      </c>
      <c r="F322" s="110">
        <v>8320</v>
      </c>
      <c r="G322" s="109" t="s">
        <v>120</v>
      </c>
      <c r="H322" s="109">
        <v>532</v>
      </c>
      <c r="I322" s="109" t="s">
        <v>122</v>
      </c>
      <c r="J322" s="110" t="s">
        <v>122</v>
      </c>
    </row>
    <row r="323" spans="1:10" ht="15" customHeight="1">
      <c r="A323" s="103" t="s">
        <v>1327</v>
      </c>
      <c r="B323" s="124" t="s">
        <v>934</v>
      </c>
      <c r="C323" s="110">
        <v>8308</v>
      </c>
      <c r="D323" s="109" t="s">
        <v>120</v>
      </c>
      <c r="E323" s="109">
        <v>83</v>
      </c>
      <c r="F323" s="110">
        <v>14558</v>
      </c>
      <c r="G323" s="109" t="s">
        <v>120</v>
      </c>
      <c r="H323" s="109">
        <v>175</v>
      </c>
      <c r="I323" s="109" t="s">
        <v>122</v>
      </c>
      <c r="J323" s="110" t="s">
        <v>122</v>
      </c>
    </row>
    <row r="324" spans="1:10" ht="15" customHeight="1">
      <c r="A324" s="103" t="s">
        <v>1328</v>
      </c>
      <c r="B324" s="124" t="s">
        <v>1329</v>
      </c>
      <c r="C324" s="110">
        <v>13626</v>
      </c>
      <c r="D324" s="109" t="s">
        <v>120</v>
      </c>
      <c r="E324" s="109">
        <v>136</v>
      </c>
      <c r="F324" s="110">
        <v>12914</v>
      </c>
      <c r="G324" s="109" t="s">
        <v>120</v>
      </c>
      <c r="H324" s="109">
        <v>95</v>
      </c>
      <c r="I324" s="109">
        <v>820</v>
      </c>
      <c r="J324" s="110">
        <v>639</v>
      </c>
    </row>
    <row r="325" spans="1:10" ht="15" customHeight="1">
      <c r="A325" s="103" t="s">
        <v>1330</v>
      </c>
      <c r="B325" s="124" t="s">
        <v>932</v>
      </c>
      <c r="C325" s="110">
        <v>3220</v>
      </c>
      <c r="D325" s="109" t="s">
        <v>120</v>
      </c>
      <c r="E325" s="109">
        <v>32</v>
      </c>
      <c r="F325" s="110">
        <v>6989</v>
      </c>
      <c r="G325" s="109" t="s">
        <v>120</v>
      </c>
      <c r="H325" s="109">
        <v>217</v>
      </c>
      <c r="I325" s="109" t="s">
        <v>122</v>
      </c>
      <c r="J325" s="110" t="s">
        <v>122</v>
      </c>
    </row>
    <row r="326" spans="1:10" ht="15" customHeight="1">
      <c r="A326" s="103" t="s">
        <v>1331</v>
      </c>
      <c r="B326" s="124" t="s">
        <v>934</v>
      </c>
      <c r="C326" s="110">
        <v>10406</v>
      </c>
      <c r="D326" s="109" t="s">
        <v>120</v>
      </c>
      <c r="E326" s="109">
        <v>104</v>
      </c>
      <c r="F326" s="110">
        <v>5925</v>
      </c>
      <c r="G326" s="109" t="s">
        <v>120</v>
      </c>
      <c r="H326" s="109">
        <v>57</v>
      </c>
      <c r="I326" s="109" t="s">
        <v>122</v>
      </c>
      <c r="J326" s="110" t="s">
        <v>122</v>
      </c>
    </row>
    <row r="327" spans="1:10" s="119" customFormat="1">
      <c r="A327" s="123" t="s">
        <v>120</v>
      </c>
      <c r="B327" s="273" t="s">
        <v>1332</v>
      </c>
      <c r="C327" s="274"/>
      <c r="D327" s="274"/>
      <c r="E327" s="274"/>
      <c r="F327" s="274"/>
      <c r="G327" s="274"/>
      <c r="H327" s="274"/>
      <c r="I327" s="274"/>
      <c r="J327" s="274"/>
    </row>
    <row r="328" spans="1:10" s="119" customFormat="1">
      <c r="A328" s="123" t="s">
        <v>120</v>
      </c>
      <c r="B328" s="275" t="s">
        <v>943</v>
      </c>
      <c r="C328" s="276"/>
      <c r="D328" s="276"/>
      <c r="E328" s="276"/>
      <c r="F328" s="276"/>
      <c r="G328" s="276"/>
      <c r="H328" s="276"/>
      <c r="I328" s="276"/>
      <c r="J328" s="276"/>
    </row>
    <row r="329" spans="1:10">
      <c r="A329" s="103" t="s">
        <v>1333</v>
      </c>
      <c r="B329" s="124" t="s">
        <v>1334</v>
      </c>
      <c r="C329" s="110">
        <v>7741</v>
      </c>
      <c r="D329" s="109" t="s">
        <v>120</v>
      </c>
      <c r="E329" s="109">
        <v>77</v>
      </c>
      <c r="F329" s="110">
        <v>2989</v>
      </c>
      <c r="G329" s="109" t="s">
        <v>120</v>
      </c>
      <c r="H329" s="109">
        <v>39</v>
      </c>
      <c r="I329" s="109">
        <v>1742</v>
      </c>
      <c r="J329" s="110">
        <v>2200</v>
      </c>
    </row>
    <row r="330" spans="1:10">
      <c r="A330" s="103" t="s">
        <v>1335</v>
      </c>
      <c r="B330" s="124" t="s">
        <v>1336</v>
      </c>
      <c r="C330" s="110">
        <v>9669</v>
      </c>
      <c r="D330" s="109" t="s">
        <v>120</v>
      </c>
      <c r="E330" s="109">
        <v>97</v>
      </c>
      <c r="F330" s="110">
        <v>8086</v>
      </c>
      <c r="G330" s="109" t="s">
        <v>120</v>
      </c>
      <c r="H330" s="109">
        <v>84</v>
      </c>
      <c r="I330" s="109">
        <v>1436</v>
      </c>
      <c r="J330" s="110">
        <v>1111</v>
      </c>
    </row>
    <row r="331" spans="1:10">
      <c r="A331" s="103" t="s">
        <v>1337</v>
      </c>
      <c r="B331" s="124" t="s">
        <v>1338</v>
      </c>
      <c r="C331" s="110">
        <v>11072</v>
      </c>
      <c r="D331" s="109" t="s">
        <v>120</v>
      </c>
      <c r="E331" s="109">
        <v>112</v>
      </c>
      <c r="F331" s="110">
        <v>5381</v>
      </c>
      <c r="G331" s="109" t="s">
        <v>120</v>
      </c>
      <c r="H331" s="109">
        <v>49</v>
      </c>
      <c r="I331" s="109">
        <v>1207</v>
      </c>
      <c r="J331" s="110">
        <v>1641</v>
      </c>
    </row>
    <row r="332" spans="1:10" s="119" customFormat="1">
      <c r="A332" s="123" t="s">
        <v>120</v>
      </c>
      <c r="B332" s="275" t="s">
        <v>947</v>
      </c>
      <c r="C332" s="276"/>
      <c r="D332" s="276"/>
      <c r="E332" s="276"/>
      <c r="F332" s="276"/>
      <c r="G332" s="276"/>
      <c r="H332" s="276"/>
      <c r="I332" s="276"/>
      <c r="J332" s="276"/>
    </row>
    <row r="333" spans="1:10">
      <c r="A333" s="103" t="s">
        <v>1339</v>
      </c>
      <c r="B333" s="124" t="s">
        <v>1340</v>
      </c>
      <c r="C333" s="110">
        <v>7303</v>
      </c>
      <c r="D333" s="109" t="s">
        <v>120</v>
      </c>
      <c r="E333" s="109">
        <v>73</v>
      </c>
      <c r="F333" s="110">
        <v>5286</v>
      </c>
      <c r="G333" s="109" t="s">
        <v>120</v>
      </c>
      <c r="H333" s="109">
        <v>72</v>
      </c>
      <c r="I333" s="109">
        <v>1806</v>
      </c>
      <c r="J333" s="110">
        <v>1666</v>
      </c>
    </row>
    <row r="334" spans="1:10">
      <c r="A334" s="103" t="s">
        <v>1341</v>
      </c>
      <c r="B334" s="124" t="s">
        <v>932</v>
      </c>
      <c r="C334" s="110">
        <v>471</v>
      </c>
      <c r="D334" s="109" t="s">
        <v>120</v>
      </c>
      <c r="E334" s="109">
        <v>5</v>
      </c>
      <c r="F334" s="110">
        <v>2553</v>
      </c>
      <c r="G334" s="109" t="s">
        <v>120</v>
      </c>
      <c r="H334" s="109">
        <v>542</v>
      </c>
      <c r="I334" s="109" t="s">
        <v>122</v>
      </c>
      <c r="J334" s="110" t="s">
        <v>122</v>
      </c>
    </row>
    <row r="335" spans="1:10">
      <c r="A335" s="103" t="s">
        <v>1342</v>
      </c>
      <c r="B335" s="124" t="s">
        <v>934</v>
      </c>
      <c r="C335" s="110">
        <v>6832</v>
      </c>
      <c r="D335" s="109" t="s">
        <v>120</v>
      </c>
      <c r="E335" s="109">
        <v>68</v>
      </c>
      <c r="F335" s="110">
        <v>2733</v>
      </c>
      <c r="G335" s="109" t="s">
        <v>120</v>
      </c>
      <c r="H335" s="109">
        <v>40</v>
      </c>
      <c r="I335" s="109" t="s">
        <v>122</v>
      </c>
      <c r="J335" s="110" t="s">
        <v>122</v>
      </c>
    </row>
    <row r="336" spans="1:10">
      <c r="A336" s="103" t="s">
        <v>1343</v>
      </c>
      <c r="B336" s="124" t="s">
        <v>1344</v>
      </c>
      <c r="C336" s="110">
        <v>14613</v>
      </c>
      <c r="D336" s="109" t="s">
        <v>120</v>
      </c>
      <c r="E336" s="109">
        <v>146</v>
      </c>
      <c r="F336" s="110">
        <v>21664</v>
      </c>
      <c r="G336" s="109" t="s">
        <v>120</v>
      </c>
      <c r="H336" s="109">
        <v>148</v>
      </c>
      <c r="I336" s="109">
        <v>718</v>
      </c>
      <c r="J336" s="110">
        <v>310</v>
      </c>
    </row>
    <row r="337" spans="1:10">
      <c r="A337" s="103" t="s">
        <v>1345</v>
      </c>
      <c r="B337" s="124" t="s">
        <v>932</v>
      </c>
      <c r="C337" s="110">
        <v>1367</v>
      </c>
      <c r="D337" s="109" t="s">
        <v>120</v>
      </c>
      <c r="E337" s="109">
        <v>14</v>
      </c>
      <c r="F337" s="110">
        <v>14929</v>
      </c>
      <c r="G337" s="109" t="s">
        <v>120</v>
      </c>
      <c r="H337" s="109">
        <v>1092</v>
      </c>
      <c r="I337" s="109" t="s">
        <v>122</v>
      </c>
      <c r="J337" s="110" t="s">
        <v>122</v>
      </c>
    </row>
    <row r="338" spans="1:10">
      <c r="A338" s="103" t="s">
        <v>1346</v>
      </c>
      <c r="B338" s="124" t="s">
        <v>934</v>
      </c>
      <c r="C338" s="110">
        <v>13246</v>
      </c>
      <c r="D338" s="109" t="s">
        <v>120</v>
      </c>
      <c r="E338" s="109">
        <v>132</v>
      </c>
      <c r="F338" s="110">
        <v>6735</v>
      </c>
      <c r="G338" s="109" t="s">
        <v>120</v>
      </c>
      <c r="H338" s="109">
        <v>51</v>
      </c>
      <c r="I338" s="109" t="s">
        <v>122</v>
      </c>
      <c r="J338" s="110" t="s">
        <v>122</v>
      </c>
    </row>
    <row r="339" spans="1:10">
      <c r="A339" s="103" t="s">
        <v>1347</v>
      </c>
      <c r="B339" s="124" t="s">
        <v>1348</v>
      </c>
      <c r="C339" s="110">
        <v>22228</v>
      </c>
      <c r="D339" s="109" t="s">
        <v>120</v>
      </c>
      <c r="E339" s="109">
        <v>222</v>
      </c>
      <c r="F339" s="110">
        <v>16949</v>
      </c>
      <c r="G339" s="109" t="s">
        <v>120</v>
      </c>
      <c r="H339" s="109">
        <v>76</v>
      </c>
      <c r="I339" s="109">
        <v>254</v>
      </c>
      <c r="J339" s="110">
        <v>435</v>
      </c>
    </row>
    <row r="340" spans="1:10">
      <c r="A340" s="103" t="s">
        <v>1349</v>
      </c>
      <c r="B340" s="124" t="s">
        <v>932</v>
      </c>
      <c r="C340" s="110">
        <v>1507</v>
      </c>
      <c r="D340" s="109" t="s">
        <v>120</v>
      </c>
      <c r="E340" s="109">
        <v>15</v>
      </c>
      <c r="F340" s="110">
        <v>8650</v>
      </c>
      <c r="G340" s="109" t="s">
        <v>120</v>
      </c>
      <c r="H340" s="109">
        <v>574</v>
      </c>
      <c r="I340" s="109" t="s">
        <v>122</v>
      </c>
      <c r="J340" s="110" t="s">
        <v>122</v>
      </c>
    </row>
    <row r="341" spans="1:10">
      <c r="A341" s="103" t="s">
        <v>1350</v>
      </c>
      <c r="B341" s="124" t="s">
        <v>934</v>
      </c>
      <c r="C341" s="110">
        <v>20721</v>
      </c>
      <c r="D341" s="109" t="s">
        <v>120</v>
      </c>
      <c r="E341" s="109">
        <v>207</v>
      </c>
      <c r="F341" s="110">
        <v>8299</v>
      </c>
      <c r="G341" s="109" t="s">
        <v>120</v>
      </c>
      <c r="H341" s="109">
        <v>40</v>
      </c>
      <c r="I341" s="109" t="s">
        <v>122</v>
      </c>
      <c r="J341" s="110" t="s">
        <v>122</v>
      </c>
    </row>
    <row r="342" spans="1:10">
      <c r="A342" s="103" t="s">
        <v>1351</v>
      </c>
      <c r="B342" s="124" t="s">
        <v>1352</v>
      </c>
      <c r="C342" s="110">
        <v>7527</v>
      </c>
      <c r="D342" s="109" t="s">
        <v>120</v>
      </c>
      <c r="E342" s="109">
        <v>75</v>
      </c>
      <c r="F342" s="110">
        <v>4447</v>
      </c>
      <c r="G342" s="109" t="s">
        <v>120</v>
      </c>
      <c r="H342" s="109">
        <v>59</v>
      </c>
      <c r="I342" s="109">
        <v>1770</v>
      </c>
      <c r="J342" s="110">
        <v>1880</v>
      </c>
    </row>
    <row r="343" spans="1:10">
      <c r="A343" s="103" t="s">
        <v>1353</v>
      </c>
      <c r="B343" s="124" t="s">
        <v>932</v>
      </c>
      <c r="C343" s="110">
        <v>773</v>
      </c>
      <c r="D343" s="109" t="s">
        <v>120</v>
      </c>
      <c r="E343" s="109">
        <v>8</v>
      </c>
      <c r="F343" s="110">
        <v>2728</v>
      </c>
      <c r="G343" s="109" t="s">
        <v>120</v>
      </c>
      <c r="H343" s="109">
        <v>353</v>
      </c>
      <c r="I343" s="109" t="s">
        <v>122</v>
      </c>
      <c r="J343" s="110" t="s">
        <v>122</v>
      </c>
    </row>
    <row r="344" spans="1:10">
      <c r="A344" s="103" t="s">
        <v>1354</v>
      </c>
      <c r="B344" s="124" t="s">
        <v>934</v>
      </c>
      <c r="C344" s="110">
        <v>6754</v>
      </c>
      <c r="D344" s="109" t="s">
        <v>120</v>
      </c>
      <c r="E344" s="109">
        <v>67</v>
      </c>
      <c r="F344" s="110">
        <v>1719</v>
      </c>
      <c r="G344" s="109" t="s">
        <v>120</v>
      </c>
      <c r="H344" s="109">
        <v>25</v>
      </c>
      <c r="I344" s="109" t="s">
        <v>122</v>
      </c>
      <c r="J344" s="110" t="s">
        <v>122</v>
      </c>
    </row>
    <row r="345" spans="1:10" s="119" customFormat="1">
      <c r="A345" s="123" t="s">
        <v>120</v>
      </c>
      <c r="B345" s="273" t="s">
        <v>1355</v>
      </c>
      <c r="C345" s="274"/>
      <c r="D345" s="274"/>
      <c r="E345" s="274"/>
      <c r="F345" s="274"/>
      <c r="G345" s="274"/>
      <c r="H345" s="274"/>
      <c r="I345" s="274"/>
      <c r="J345" s="274"/>
    </row>
    <row r="346" spans="1:10" s="119" customFormat="1">
      <c r="A346" s="123" t="s">
        <v>120</v>
      </c>
      <c r="B346" s="275" t="s">
        <v>936</v>
      </c>
      <c r="C346" s="276"/>
      <c r="D346" s="276"/>
      <c r="E346" s="276"/>
      <c r="F346" s="276"/>
      <c r="G346" s="276"/>
      <c r="H346" s="276"/>
      <c r="I346" s="276"/>
      <c r="J346" s="276"/>
    </row>
    <row r="347" spans="1:10">
      <c r="A347" s="103" t="s">
        <v>1356</v>
      </c>
      <c r="B347" s="124" t="s">
        <v>1357</v>
      </c>
      <c r="C347" s="110">
        <v>607</v>
      </c>
      <c r="D347" s="109" t="s">
        <v>120</v>
      </c>
      <c r="E347" s="109">
        <v>6</v>
      </c>
      <c r="F347" s="110">
        <v>4180</v>
      </c>
      <c r="G347" s="109" t="s">
        <v>120</v>
      </c>
      <c r="H347" s="109">
        <v>689</v>
      </c>
      <c r="I347" s="109">
        <v>2335</v>
      </c>
      <c r="J347" s="110">
        <v>1955</v>
      </c>
    </row>
    <row r="348" spans="1:10">
      <c r="A348" s="103" t="s">
        <v>1358</v>
      </c>
      <c r="B348" s="124" t="s">
        <v>1359</v>
      </c>
      <c r="C348" s="110">
        <v>1588</v>
      </c>
      <c r="D348" s="109" t="s">
        <v>120</v>
      </c>
      <c r="E348" s="109">
        <v>16</v>
      </c>
      <c r="F348" s="110">
        <v>30231</v>
      </c>
      <c r="G348" s="109" t="s">
        <v>120</v>
      </c>
      <c r="H348" s="109">
        <v>1904</v>
      </c>
      <c r="I348" s="109">
        <v>2272</v>
      </c>
      <c r="J348" s="110">
        <v>188</v>
      </c>
    </row>
    <row r="349" spans="1:10" s="119" customFormat="1">
      <c r="A349" s="123" t="s">
        <v>120</v>
      </c>
      <c r="B349" s="275" t="s">
        <v>924</v>
      </c>
      <c r="C349" s="276"/>
      <c r="D349" s="276"/>
      <c r="E349" s="276"/>
      <c r="F349" s="276"/>
      <c r="G349" s="276"/>
      <c r="H349" s="276"/>
      <c r="I349" s="276"/>
      <c r="J349" s="276"/>
    </row>
    <row r="350" spans="1:10">
      <c r="A350" s="103" t="s">
        <v>1360</v>
      </c>
      <c r="B350" s="124" t="s">
        <v>1361</v>
      </c>
      <c r="C350" s="110">
        <v>9451</v>
      </c>
      <c r="D350" s="109" t="s">
        <v>120</v>
      </c>
      <c r="E350" s="109">
        <v>95</v>
      </c>
      <c r="F350" s="110">
        <v>6012</v>
      </c>
      <c r="G350" s="109" t="s">
        <v>120</v>
      </c>
      <c r="H350" s="109">
        <v>64</v>
      </c>
      <c r="I350" s="109">
        <v>1479</v>
      </c>
      <c r="J350" s="110">
        <v>1500</v>
      </c>
    </row>
    <row r="351" spans="1:10">
      <c r="A351" s="103" t="s">
        <v>1362</v>
      </c>
      <c r="B351" s="124" t="s">
        <v>1359</v>
      </c>
      <c r="C351" s="110">
        <v>13715</v>
      </c>
      <c r="D351" s="109" t="s">
        <v>120</v>
      </c>
      <c r="E351" s="109">
        <v>137</v>
      </c>
      <c r="F351" s="110">
        <v>8516</v>
      </c>
      <c r="G351" s="109" t="s">
        <v>120</v>
      </c>
      <c r="H351" s="109">
        <v>62</v>
      </c>
      <c r="I351" s="109">
        <v>812</v>
      </c>
      <c r="J351" s="110">
        <v>1048</v>
      </c>
    </row>
    <row r="352" spans="1:10" s="119" customFormat="1">
      <c r="A352" s="123" t="s">
        <v>120</v>
      </c>
      <c r="B352" s="275" t="s">
        <v>947</v>
      </c>
      <c r="C352" s="276"/>
      <c r="D352" s="276"/>
      <c r="E352" s="276"/>
      <c r="F352" s="276"/>
      <c r="G352" s="276"/>
      <c r="H352" s="276"/>
      <c r="I352" s="276"/>
      <c r="J352" s="276"/>
    </row>
    <row r="353" spans="1:10">
      <c r="A353" s="103" t="s">
        <v>1363</v>
      </c>
      <c r="B353" s="124" t="s">
        <v>1364</v>
      </c>
      <c r="C353" s="110">
        <v>13612</v>
      </c>
      <c r="D353" s="109" t="s">
        <v>120</v>
      </c>
      <c r="E353" s="109">
        <v>136</v>
      </c>
      <c r="F353" s="110">
        <v>22940</v>
      </c>
      <c r="G353" s="109" t="s">
        <v>120</v>
      </c>
      <c r="H353" s="109">
        <v>169</v>
      </c>
      <c r="I353" s="109">
        <v>821</v>
      </c>
      <c r="J353" s="110">
        <v>282</v>
      </c>
    </row>
    <row r="354" spans="1:10">
      <c r="A354" s="103" t="s">
        <v>1365</v>
      </c>
      <c r="B354" s="124" t="s">
        <v>932</v>
      </c>
      <c r="C354" s="110">
        <v>5988</v>
      </c>
      <c r="D354" s="109" t="s">
        <v>120</v>
      </c>
      <c r="E354" s="109">
        <v>60</v>
      </c>
      <c r="F354" s="110">
        <v>17318</v>
      </c>
      <c r="G354" s="109" t="s">
        <v>120</v>
      </c>
      <c r="H354" s="109">
        <v>289</v>
      </c>
      <c r="I354" s="109" t="s">
        <v>122</v>
      </c>
      <c r="J354" s="110" t="s">
        <v>122</v>
      </c>
    </row>
    <row r="355" spans="1:10">
      <c r="A355" s="103" t="s">
        <v>1366</v>
      </c>
      <c r="B355" s="124" t="s">
        <v>934</v>
      </c>
      <c r="C355" s="110">
        <v>7624</v>
      </c>
      <c r="D355" s="109" t="s">
        <v>120</v>
      </c>
      <c r="E355" s="109">
        <v>76</v>
      </c>
      <c r="F355" s="110">
        <v>5622</v>
      </c>
      <c r="G355" s="109" t="s">
        <v>120</v>
      </c>
      <c r="H355" s="109">
        <v>74</v>
      </c>
      <c r="I355" s="109" t="s">
        <v>122</v>
      </c>
      <c r="J355" s="110" t="s">
        <v>122</v>
      </c>
    </row>
    <row r="356" spans="1:10">
      <c r="A356" s="103" t="s">
        <v>1367</v>
      </c>
      <c r="B356" s="124" t="s">
        <v>1368</v>
      </c>
      <c r="C356" s="110">
        <v>11053</v>
      </c>
      <c r="D356" s="109" t="s">
        <v>120</v>
      </c>
      <c r="E356" s="109">
        <v>111</v>
      </c>
      <c r="F356" s="110">
        <v>9022</v>
      </c>
      <c r="G356" s="109" t="s">
        <v>120</v>
      </c>
      <c r="H356" s="109">
        <v>82</v>
      </c>
      <c r="I356" s="109">
        <v>1211</v>
      </c>
      <c r="J356" s="110">
        <v>981</v>
      </c>
    </row>
    <row r="357" spans="1:10">
      <c r="A357" s="103" t="s">
        <v>1369</v>
      </c>
      <c r="B357" s="124" t="s">
        <v>932</v>
      </c>
      <c r="C357" s="110">
        <v>992</v>
      </c>
      <c r="D357" s="109" t="s">
        <v>120</v>
      </c>
      <c r="E357" s="109">
        <v>10</v>
      </c>
      <c r="F357" s="110">
        <v>5763</v>
      </c>
      <c r="G357" s="109" t="s">
        <v>120</v>
      </c>
      <c r="H357" s="109">
        <v>581</v>
      </c>
      <c r="I357" s="109" t="s">
        <v>122</v>
      </c>
      <c r="J357" s="110" t="s">
        <v>122</v>
      </c>
    </row>
    <row r="358" spans="1:10">
      <c r="A358" s="103" t="s">
        <v>1370</v>
      </c>
      <c r="B358" s="124" t="s">
        <v>934</v>
      </c>
      <c r="C358" s="110">
        <v>10061</v>
      </c>
      <c r="D358" s="109" t="s">
        <v>120</v>
      </c>
      <c r="E358" s="109">
        <v>101</v>
      </c>
      <c r="F358" s="110">
        <v>3259</v>
      </c>
      <c r="G358" s="109" t="s">
        <v>120</v>
      </c>
      <c r="H358" s="109">
        <v>32</v>
      </c>
      <c r="I358" s="109" t="s">
        <v>122</v>
      </c>
      <c r="J358" s="110" t="s">
        <v>122</v>
      </c>
    </row>
    <row r="359" spans="1:10">
      <c r="A359" s="103" t="s">
        <v>1371</v>
      </c>
      <c r="B359" s="124" t="s">
        <v>1372</v>
      </c>
      <c r="C359" s="110">
        <v>33834</v>
      </c>
      <c r="D359" s="109" t="s">
        <v>120</v>
      </c>
      <c r="E359" s="109">
        <v>338</v>
      </c>
      <c r="F359" s="110">
        <v>8287</v>
      </c>
      <c r="G359" s="109" t="s">
        <v>120</v>
      </c>
      <c r="H359" s="109">
        <v>24</v>
      </c>
      <c r="I359" s="109">
        <v>62</v>
      </c>
      <c r="J359" s="110">
        <v>1076</v>
      </c>
    </row>
    <row r="360" spans="1:10">
      <c r="A360" s="103" t="s">
        <v>1373</v>
      </c>
      <c r="B360" s="124" t="s">
        <v>932</v>
      </c>
      <c r="C360" s="110">
        <v>873</v>
      </c>
      <c r="D360" s="109" t="s">
        <v>120</v>
      </c>
      <c r="E360" s="109">
        <v>9</v>
      </c>
      <c r="F360" s="110">
        <v>2830</v>
      </c>
      <c r="G360" s="109" t="s">
        <v>120</v>
      </c>
      <c r="H360" s="109">
        <v>324</v>
      </c>
      <c r="I360" s="109" t="s">
        <v>122</v>
      </c>
      <c r="J360" s="110" t="s">
        <v>122</v>
      </c>
    </row>
    <row r="361" spans="1:10">
      <c r="A361" s="103" t="s">
        <v>1374</v>
      </c>
      <c r="B361" s="124" t="s">
        <v>934</v>
      </c>
      <c r="C361" s="110">
        <v>32961</v>
      </c>
      <c r="D361" s="109" t="s">
        <v>120</v>
      </c>
      <c r="E361" s="109">
        <v>329</v>
      </c>
      <c r="F361" s="110">
        <v>5457</v>
      </c>
      <c r="G361" s="109" t="s">
        <v>120</v>
      </c>
      <c r="H361" s="109">
        <v>17</v>
      </c>
      <c r="I361" s="109" t="s">
        <v>122</v>
      </c>
      <c r="J361" s="110" t="s">
        <v>122</v>
      </c>
    </row>
    <row r="362" spans="1:10" s="119" customFormat="1">
      <c r="A362" s="123" t="s">
        <v>120</v>
      </c>
      <c r="B362" s="273" t="s">
        <v>1375</v>
      </c>
      <c r="C362" s="274"/>
      <c r="D362" s="274"/>
      <c r="E362" s="274"/>
      <c r="F362" s="274"/>
      <c r="G362" s="274"/>
      <c r="H362" s="274"/>
      <c r="I362" s="274"/>
      <c r="J362" s="274"/>
    </row>
    <row r="363" spans="1:10" s="119" customFormat="1">
      <c r="A363" s="123" t="s">
        <v>120</v>
      </c>
      <c r="B363" s="275" t="s">
        <v>936</v>
      </c>
      <c r="C363" s="276"/>
      <c r="D363" s="276"/>
      <c r="E363" s="276"/>
      <c r="F363" s="276"/>
      <c r="G363" s="276"/>
      <c r="H363" s="276"/>
      <c r="I363" s="276"/>
      <c r="J363" s="276"/>
    </row>
    <row r="364" spans="1:10">
      <c r="A364" s="103" t="s">
        <v>1376</v>
      </c>
      <c r="B364" s="124" t="s">
        <v>1377</v>
      </c>
      <c r="C364" s="110">
        <v>3217</v>
      </c>
      <c r="D364" s="109" t="s">
        <v>120</v>
      </c>
      <c r="E364" s="109">
        <v>32</v>
      </c>
      <c r="F364" s="110">
        <v>3650</v>
      </c>
      <c r="G364" s="109" t="s">
        <v>120</v>
      </c>
      <c r="H364" s="109">
        <v>113</v>
      </c>
      <c r="I364" s="109">
        <v>2155</v>
      </c>
      <c r="J364" s="110">
        <v>2074</v>
      </c>
    </row>
    <row r="365" spans="1:10">
      <c r="A365" s="103" t="s">
        <v>1378</v>
      </c>
      <c r="B365" s="124" t="s">
        <v>1379</v>
      </c>
      <c r="C365" s="110">
        <v>1151</v>
      </c>
      <c r="D365" s="109" t="s">
        <v>120</v>
      </c>
      <c r="E365" s="109">
        <v>12</v>
      </c>
      <c r="F365" s="110">
        <v>15496</v>
      </c>
      <c r="G365" s="109" t="s">
        <v>120</v>
      </c>
      <c r="H365" s="109">
        <v>1346</v>
      </c>
      <c r="I365" s="109">
        <v>2310</v>
      </c>
      <c r="J365" s="110">
        <v>495</v>
      </c>
    </row>
    <row r="366" spans="1:10" s="119" customFormat="1">
      <c r="A366" s="123" t="s">
        <v>120</v>
      </c>
      <c r="B366" s="275" t="s">
        <v>924</v>
      </c>
      <c r="C366" s="276"/>
      <c r="D366" s="276"/>
      <c r="E366" s="276"/>
      <c r="F366" s="276"/>
      <c r="G366" s="276"/>
      <c r="H366" s="276"/>
      <c r="I366" s="276"/>
      <c r="J366" s="276"/>
    </row>
    <row r="367" spans="1:10">
      <c r="A367" s="103" t="s">
        <v>1380</v>
      </c>
      <c r="B367" s="124" t="s">
        <v>1381</v>
      </c>
      <c r="C367" s="110">
        <v>10485</v>
      </c>
      <c r="D367" s="109" t="s">
        <v>120</v>
      </c>
      <c r="E367" s="109">
        <v>105</v>
      </c>
      <c r="F367" s="110">
        <v>4551</v>
      </c>
      <c r="G367" s="109" t="s">
        <v>120</v>
      </c>
      <c r="H367" s="109">
        <v>43</v>
      </c>
      <c r="I367" s="109">
        <v>1302</v>
      </c>
      <c r="J367" s="110">
        <v>1858</v>
      </c>
    </row>
    <row r="368" spans="1:10">
      <c r="A368" s="103" t="s">
        <v>1382</v>
      </c>
      <c r="B368" s="124" t="s">
        <v>1383</v>
      </c>
      <c r="C368" s="110">
        <v>12234</v>
      </c>
      <c r="D368" s="109" t="s">
        <v>120</v>
      </c>
      <c r="E368" s="109">
        <v>122</v>
      </c>
      <c r="F368" s="110">
        <v>5269</v>
      </c>
      <c r="G368" s="109" t="s">
        <v>120</v>
      </c>
      <c r="H368" s="109">
        <v>43</v>
      </c>
      <c r="I368" s="109">
        <v>1017</v>
      </c>
      <c r="J368" s="110">
        <v>1675</v>
      </c>
    </row>
    <row r="369" spans="1:10">
      <c r="A369" s="103" t="s">
        <v>1384</v>
      </c>
      <c r="B369" s="124" t="s">
        <v>1379</v>
      </c>
      <c r="C369" s="110">
        <v>14495</v>
      </c>
      <c r="D369" s="109" t="s">
        <v>120</v>
      </c>
      <c r="E369" s="109">
        <v>145</v>
      </c>
      <c r="F369" s="110">
        <v>7021</v>
      </c>
      <c r="G369" s="109" t="s">
        <v>120</v>
      </c>
      <c r="H369" s="109">
        <v>48</v>
      </c>
      <c r="I369" s="109">
        <v>732</v>
      </c>
      <c r="J369" s="110">
        <v>1292</v>
      </c>
    </row>
    <row r="370" spans="1:10" s="119" customFormat="1">
      <c r="A370" s="123" t="s">
        <v>120</v>
      </c>
      <c r="B370" s="275" t="s">
        <v>1026</v>
      </c>
      <c r="C370" s="276"/>
      <c r="D370" s="276"/>
      <c r="E370" s="276"/>
      <c r="F370" s="276"/>
      <c r="G370" s="276"/>
      <c r="H370" s="276"/>
      <c r="I370" s="276"/>
      <c r="J370" s="276"/>
    </row>
    <row r="371" spans="1:10">
      <c r="A371" s="103" t="s">
        <v>1385</v>
      </c>
      <c r="B371" s="124" t="s">
        <v>1386</v>
      </c>
      <c r="C371" s="110">
        <v>15999</v>
      </c>
      <c r="D371" s="109" t="s">
        <v>120</v>
      </c>
      <c r="E371" s="109">
        <v>160</v>
      </c>
      <c r="F371" s="110">
        <v>7503</v>
      </c>
      <c r="G371" s="109" t="s">
        <v>120</v>
      </c>
      <c r="H371" s="109">
        <v>47</v>
      </c>
      <c r="I371" s="109">
        <v>594</v>
      </c>
      <c r="J371" s="110">
        <v>1199</v>
      </c>
    </row>
    <row r="372" spans="1:10">
      <c r="A372" s="103" t="s">
        <v>1387</v>
      </c>
      <c r="B372" s="124" t="s">
        <v>932</v>
      </c>
      <c r="C372" s="110">
        <v>176</v>
      </c>
      <c r="D372" s="109" t="s">
        <v>120</v>
      </c>
      <c r="E372" s="109">
        <v>2</v>
      </c>
      <c r="F372" s="110">
        <v>2249</v>
      </c>
      <c r="G372" s="109" t="s">
        <v>120</v>
      </c>
      <c r="H372" s="109">
        <v>1278</v>
      </c>
      <c r="I372" s="109" t="s">
        <v>122</v>
      </c>
      <c r="J372" s="110" t="s">
        <v>122</v>
      </c>
    </row>
    <row r="373" spans="1:10">
      <c r="A373" s="103" t="s">
        <v>1388</v>
      </c>
      <c r="B373" s="124" t="s">
        <v>934</v>
      </c>
      <c r="C373" s="110">
        <v>15823</v>
      </c>
      <c r="D373" s="109" t="s">
        <v>120</v>
      </c>
      <c r="E373" s="109">
        <v>158</v>
      </c>
      <c r="F373" s="110">
        <v>5254</v>
      </c>
      <c r="G373" s="109" t="s">
        <v>120</v>
      </c>
      <c r="H373" s="109">
        <v>33</v>
      </c>
      <c r="I373" s="109" t="s">
        <v>122</v>
      </c>
      <c r="J373" s="110" t="s">
        <v>122</v>
      </c>
    </row>
    <row r="374" spans="1:10" s="119" customFormat="1">
      <c r="A374" s="123" t="s">
        <v>120</v>
      </c>
      <c r="B374" s="273" t="s">
        <v>1389</v>
      </c>
      <c r="C374" s="274"/>
      <c r="D374" s="274"/>
      <c r="E374" s="274"/>
      <c r="F374" s="274"/>
      <c r="G374" s="274"/>
      <c r="H374" s="274"/>
      <c r="I374" s="274"/>
      <c r="J374" s="274"/>
    </row>
    <row r="375" spans="1:10">
      <c r="A375" s="103" t="s">
        <v>1390</v>
      </c>
      <c r="B375" s="124" t="s">
        <v>1391</v>
      </c>
      <c r="C375" s="110">
        <v>10922</v>
      </c>
      <c r="D375" s="109" t="s">
        <v>120</v>
      </c>
      <c r="E375" s="109">
        <v>109</v>
      </c>
      <c r="F375" s="110">
        <v>79061</v>
      </c>
      <c r="G375" s="109" t="s">
        <v>120</v>
      </c>
      <c r="H375" s="109">
        <v>724</v>
      </c>
      <c r="I375" s="109">
        <v>1237</v>
      </c>
      <c r="J375" s="110">
        <v>46</v>
      </c>
    </row>
    <row r="376" spans="1:10">
      <c r="A376" s="103" t="s">
        <v>1392</v>
      </c>
      <c r="B376" s="124" t="s">
        <v>1393</v>
      </c>
      <c r="C376" s="110">
        <v>5629</v>
      </c>
      <c r="D376" s="109" t="s">
        <v>120</v>
      </c>
      <c r="E376" s="109">
        <v>56</v>
      </c>
      <c r="F376" s="110">
        <v>99350</v>
      </c>
      <c r="G376" s="109" t="s">
        <v>120</v>
      </c>
      <c r="H376" s="109">
        <v>1765</v>
      </c>
      <c r="I376" s="109">
        <v>1979</v>
      </c>
      <c r="J376" s="110">
        <v>39</v>
      </c>
    </row>
    <row r="377" spans="1:10">
      <c r="A377" s="103" t="s">
        <v>1394</v>
      </c>
      <c r="B377" s="124" t="s">
        <v>1395</v>
      </c>
      <c r="C377" s="110">
        <v>8470</v>
      </c>
      <c r="D377" s="109" t="s">
        <v>120</v>
      </c>
      <c r="E377" s="109">
        <v>85</v>
      </c>
      <c r="F377" s="110">
        <v>111356</v>
      </c>
      <c r="G377" s="109" t="s">
        <v>120</v>
      </c>
      <c r="H377" s="109">
        <v>1315</v>
      </c>
      <c r="I377" s="109">
        <v>1624</v>
      </c>
      <c r="J377" s="110">
        <v>33</v>
      </c>
    </row>
    <row r="378" spans="1:10">
      <c r="A378" s="103" t="s">
        <v>1396</v>
      </c>
      <c r="B378" s="124" t="s">
        <v>1397</v>
      </c>
      <c r="C378" s="110">
        <v>29282</v>
      </c>
      <c r="D378" s="109" t="s">
        <v>120</v>
      </c>
      <c r="E378" s="109">
        <v>293</v>
      </c>
      <c r="F378" s="110">
        <v>642869</v>
      </c>
      <c r="G378" s="105" t="s">
        <v>927</v>
      </c>
      <c r="H378" s="109">
        <v>2195</v>
      </c>
      <c r="I378" s="109">
        <v>110</v>
      </c>
      <c r="J378" s="110">
        <v>4</v>
      </c>
    </row>
    <row r="379" spans="1:10" s="119" customFormat="1">
      <c r="A379" s="123" t="s">
        <v>120</v>
      </c>
      <c r="B379" s="273" t="s">
        <v>213</v>
      </c>
      <c r="C379" s="274"/>
      <c r="D379" s="274"/>
      <c r="E379" s="274"/>
      <c r="F379" s="274"/>
      <c r="G379" s="274"/>
      <c r="H379" s="274"/>
      <c r="I379" s="274"/>
      <c r="J379" s="274"/>
    </row>
    <row r="380" spans="1:10" s="119" customFormat="1">
      <c r="A380" s="123" t="s">
        <v>120</v>
      </c>
      <c r="B380" s="273" t="s">
        <v>1398</v>
      </c>
      <c r="C380" s="274"/>
      <c r="D380" s="274"/>
      <c r="E380" s="274"/>
      <c r="F380" s="274"/>
      <c r="G380" s="274"/>
      <c r="H380" s="274"/>
      <c r="I380" s="274"/>
      <c r="J380" s="274"/>
    </row>
    <row r="381" spans="1:10" s="119" customFormat="1">
      <c r="A381" s="123" t="s">
        <v>120</v>
      </c>
      <c r="B381" s="275" t="s">
        <v>936</v>
      </c>
      <c r="C381" s="276"/>
      <c r="D381" s="276"/>
      <c r="E381" s="276"/>
      <c r="F381" s="276"/>
      <c r="G381" s="276"/>
      <c r="H381" s="276"/>
      <c r="I381" s="276"/>
      <c r="J381" s="276"/>
    </row>
    <row r="382" spans="1:10">
      <c r="A382" s="103" t="s">
        <v>1399</v>
      </c>
      <c r="B382" s="124" t="s">
        <v>1400</v>
      </c>
      <c r="C382" s="110">
        <v>723</v>
      </c>
      <c r="D382" s="109" t="s">
        <v>120</v>
      </c>
      <c r="E382" s="109">
        <v>7</v>
      </c>
      <c r="F382" s="110">
        <v>12102</v>
      </c>
      <c r="G382" s="109" t="s">
        <v>120</v>
      </c>
      <c r="H382" s="109">
        <v>1674</v>
      </c>
      <c r="I382" s="109">
        <v>2334</v>
      </c>
      <c r="J382" s="110">
        <v>692</v>
      </c>
    </row>
    <row r="383" spans="1:10">
      <c r="A383" s="103" t="s">
        <v>1401</v>
      </c>
      <c r="B383" s="124" t="s">
        <v>1402</v>
      </c>
      <c r="C383" s="110">
        <v>1526</v>
      </c>
      <c r="D383" s="109" t="s">
        <v>120</v>
      </c>
      <c r="E383" s="109">
        <v>15</v>
      </c>
      <c r="F383" s="110">
        <v>10618</v>
      </c>
      <c r="G383" s="109" t="s">
        <v>120</v>
      </c>
      <c r="H383" s="109">
        <v>696</v>
      </c>
      <c r="I383" s="109">
        <v>2278</v>
      </c>
      <c r="J383" s="110">
        <v>820</v>
      </c>
    </row>
    <row r="384" spans="1:10">
      <c r="A384" s="103" t="s">
        <v>1403</v>
      </c>
      <c r="B384" s="124" t="s">
        <v>1404</v>
      </c>
      <c r="C384" s="110">
        <v>979</v>
      </c>
      <c r="D384" s="109" t="s">
        <v>120</v>
      </c>
      <c r="E384" s="109">
        <v>10</v>
      </c>
      <c r="F384" s="110">
        <v>1843</v>
      </c>
      <c r="G384" s="105" t="s">
        <v>1075</v>
      </c>
      <c r="H384" s="109">
        <v>188</v>
      </c>
      <c r="I384" s="109">
        <v>2325</v>
      </c>
      <c r="J384" s="110">
        <v>2299</v>
      </c>
    </row>
    <row r="385" spans="1:10" s="119" customFormat="1">
      <c r="A385" s="123" t="s">
        <v>120</v>
      </c>
      <c r="B385" s="275" t="s">
        <v>943</v>
      </c>
      <c r="C385" s="276"/>
      <c r="D385" s="276"/>
      <c r="E385" s="276"/>
      <c r="F385" s="276"/>
      <c r="G385" s="276"/>
      <c r="H385" s="276"/>
      <c r="I385" s="276"/>
      <c r="J385" s="276"/>
    </row>
    <row r="386" spans="1:10">
      <c r="A386" s="103" t="s">
        <v>1405</v>
      </c>
      <c r="B386" s="124" t="s">
        <v>1400</v>
      </c>
      <c r="C386" s="110">
        <v>13145</v>
      </c>
      <c r="D386" s="109" t="s">
        <v>120</v>
      </c>
      <c r="E386" s="109">
        <v>131</v>
      </c>
      <c r="F386" s="110">
        <v>11943</v>
      </c>
      <c r="G386" s="109" t="s">
        <v>120</v>
      </c>
      <c r="H386" s="109">
        <v>91</v>
      </c>
      <c r="I386" s="109">
        <v>891</v>
      </c>
      <c r="J386" s="110">
        <v>703</v>
      </c>
    </row>
    <row r="387" spans="1:10">
      <c r="A387" s="103" t="s">
        <v>1406</v>
      </c>
      <c r="B387" s="124" t="s">
        <v>1407</v>
      </c>
      <c r="C387" s="110">
        <v>7970</v>
      </c>
      <c r="D387" s="109" t="s">
        <v>120</v>
      </c>
      <c r="E387" s="109">
        <v>80</v>
      </c>
      <c r="F387" s="110">
        <v>4222</v>
      </c>
      <c r="G387" s="109" t="s">
        <v>120</v>
      </c>
      <c r="H387" s="109">
        <v>53</v>
      </c>
      <c r="I387" s="109">
        <v>1705</v>
      </c>
      <c r="J387" s="110">
        <v>1948</v>
      </c>
    </row>
    <row r="388" spans="1:10">
      <c r="A388" s="103" t="s">
        <v>1408</v>
      </c>
      <c r="B388" s="124" t="s">
        <v>1409</v>
      </c>
      <c r="C388" s="110">
        <v>6784</v>
      </c>
      <c r="D388" s="109" t="s">
        <v>120</v>
      </c>
      <c r="E388" s="109">
        <v>68</v>
      </c>
      <c r="F388" s="110">
        <v>3125</v>
      </c>
      <c r="G388" s="109" t="s">
        <v>120</v>
      </c>
      <c r="H388" s="109">
        <v>46</v>
      </c>
      <c r="I388" s="109">
        <v>1875</v>
      </c>
      <c r="J388" s="110">
        <v>2180</v>
      </c>
    </row>
    <row r="389" spans="1:10">
      <c r="A389" s="103" t="s">
        <v>1410</v>
      </c>
      <c r="B389" s="124" t="s">
        <v>1411</v>
      </c>
      <c r="C389" s="110">
        <v>3288</v>
      </c>
      <c r="D389" s="109" t="s">
        <v>120</v>
      </c>
      <c r="E389" s="109">
        <v>33</v>
      </c>
      <c r="F389" s="110">
        <v>3138</v>
      </c>
      <c r="G389" s="109" t="s">
        <v>120</v>
      </c>
      <c r="H389" s="109">
        <v>95</v>
      </c>
      <c r="I389" s="109">
        <v>2148</v>
      </c>
      <c r="J389" s="110">
        <v>2177</v>
      </c>
    </row>
    <row r="390" spans="1:10">
      <c r="A390" s="103" t="s">
        <v>1412</v>
      </c>
      <c r="B390" s="124" t="s">
        <v>1413</v>
      </c>
      <c r="C390" s="110">
        <v>5452</v>
      </c>
      <c r="D390" s="109" t="s">
        <v>120</v>
      </c>
      <c r="E390" s="109">
        <v>55</v>
      </c>
      <c r="F390" s="110">
        <v>4566</v>
      </c>
      <c r="G390" s="109" t="s">
        <v>120</v>
      </c>
      <c r="H390" s="109">
        <v>84</v>
      </c>
      <c r="I390" s="109">
        <v>1990</v>
      </c>
      <c r="J390" s="110">
        <v>1853</v>
      </c>
    </row>
    <row r="391" spans="1:10">
      <c r="A391" s="103" t="s">
        <v>1414</v>
      </c>
      <c r="B391" s="124" t="s">
        <v>1415</v>
      </c>
      <c r="C391" s="110">
        <v>7596</v>
      </c>
      <c r="D391" s="109" t="s">
        <v>120</v>
      </c>
      <c r="E391" s="109">
        <v>76</v>
      </c>
      <c r="F391" s="110">
        <v>3509</v>
      </c>
      <c r="G391" s="109" t="s">
        <v>120</v>
      </c>
      <c r="H391" s="109">
        <v>46</v>
      </c>
      <c r="I391" s="109">
        <v>1760</v>
      </c>
      <c r="J391" s="110">
        <v>2107</v>
      </c>
    </row>
    <row r="392" spans="1:10" s="119" customFormat="1">
      <c r="A392" s="123" t="s">
        <v>120</v>
      </c>
      <c r="B392" s="273" t="s">
        <v>1416</v>
      </c>
      <c r="C392" s="274"/>
      <c r="D392" s="274"/>
      <c r="E392" s="274"/>
      <c r="F392" s="274"/>
      <c r="G392" s="274"/>
      <c r="H392" s="274"/>
      <c r="I392" s="274"/>
      <c r="J392" s="274"/>
    </row>
    <row r="393" spans="1:10" s="119" customFormat="1">
      <c r="A393" s="123" t="s">
        <v>120</v>
      </c>
      <c r="B393" s="275" t="s">
        <v>1019</v>
      </c>
      <c r="C393" s="276"/>
      <c r="D393" s="276"/>
      <c r="E393" s="276"/>
      <c r="F393" s="276"/>
      <c r="G393" s="276"/>
      <c r="H393" s="276"/>
      <c r="I393" s="276"/>
      <c r="J393" s="276"/>
    </row>
    <row r="394" spans="1:10">
      <c r="A394" s="103" t="s">
        <v>1417</v>
      </c>
      <c r="B394" s="124" t="s">
        <v>1418</v>
      </c>
      <c r="C394" s="110">
        <v>2315</v>
      </c>
      <c r="D394" s="109" t="s">
        <v>120</v>
      </c>
      <c r="E394" s="109">
        <v>23</v>
      </c>
      <c r="F394" s="110">
        <v>28880</v>
      </c>
      <c r="G394" s="109" t="s">
        <v>120</v>
      </c>
      <c r="H394" s="109">
        <v>1248</v>
      </c>
      <c r="I394" s="109">
        <v>2210</v>
      </c>
      <c r="J394" s="110">
        <v>199</v>
      </c>
    </row>
    <row r="395" spans="1:10" s="119" customFormat="1">
      <c r="A395" s="123" t="s">
        <v>120</v>
      </c>
      <c r="B395" s="275" t="s">
        <v>943</v>
      </c>
      <c r="C395" s="276"/>
      <c r="D395" s="276"/>
      <c r="E395" s="276"/>
      <c r="F395" s="276"/>
      <c r="G395" s="276"/>
      <c r="H395" s="276"/>
      <c r="I395" s="276"/>
      <c r="J395" s="276"/>
    </row>
    <row r="396" spans="1:10">
      <c r="A396" s="103" t="s">
        <v>1419</v>
      </c>
      <c r="B396" s="124" t="s">
        <v>1420</v>
      </c>
      <c r="C396" s="110">
        <v>8340</v>
      </c>
      <c r="D396" s="109" t="s">
        <v>120</v>
      </c>
      <c r="E396" s="109">
        <v>83</v>
      </c>
      <c r="F396" s="110">
        <v>4691</v>
      </c>
      <c r="G396" s="109" t="s">
        <v>120</v>
      </c>
      <c r="H396" s="109">
        <v>56</v>
      </c>
      <c r="I396" s="109">
        <v>1646</v>
      </c>
      <c r="J396" s="110">
        <v>1820</v>
      </c>
    </row>
    <row r="397" spans="1:10">
      <c r="A397" s="103" t="s">
        <v>1421</v>
      </c>
      <c r="B397" s="124" t="s">
        <v>1422</v>
      </c>
      <c r="C397" s="110">
        <v>14591</v>
      </c>
      <c r="D397" s="109" t="s">
        <v>120</v>
      </c>
      <c r="E397" s="109">
        <v>145</v>
      </c>
      <c r="F397" s="110">
        <v>6325</v>
      </c>
      <c r="G397" s="109" t="s">
        <v>120</v>
      </c>
      <c r="H397" s="109">
        <v>43</v>
      </c>
      <c r="I397" s="109">
        <v>721</v>
      </c>
      <c r="J397" s="110">
        <v>1439</v>
      </c>
    </row>
    <row r="398" spans="1:10">
      <c r="A398" s="103" t="s">
        <v>1423</v>
      </c>
      <c r="B398" s="124" t="s">
        <v>1418</v>
      </c>
      <c r="C398" s="110">
        <v>12687</v>
      </c>
      <c r="D398" s="109" t="s">
        <v>120</v>
      </c>
      <c r="E398" s="109">
        <v>127</v>
      </c>
      <c r="F398" s="110">
        <v>8533</v>
      </c>
      <c r="G398" s="109" t="s">
        <v>120</v>
      </c>
      <c r="H398" s="109">
        <v>67</v>
      </c>
      <c r="I398" s="109">
        <v>960</v>
      </c>
      <c r="J398" s="110">
        <v>1044</v>
      </c>
    </row>
    <row r="399" spans="1:10">
      <c r="A399" s="103" t="s">
        <v>1424</v>
      </c>
      <c r="B399" s="124" t="s">
        <v>1425</v>
      </c>
      <c r="C399" s="110">
        <v>9366</v>
      </c>
      <c r="D399" s="109" t="s">
        <v>120</v>
      </c>
      <c r="E399" s="109">
        <v>94</v>
      </c>
      <c r="F399" s="110">
        <v>3824</v>
      </c>
      <c r="G399" s="109" t="s">
        <v>120</v>
      </c>
      <c r="H399" s="109">
        <v>41</v>
      </c>
      <c r="I399" s="109">
        <v>1490</v>
      </c>
      <c r="J399" s="110">
        <v>2039</v>
      </c>
    </row>
    <row r="400" spans="1:10">
      <c r="A400" s="103" t="s">
        <v>1426</v>
      </c>
      <c r="B400" s="124" t="s">
        <v>1427</v>
      </c>
      <c r="C400" s="110">
        <v>7500</v>
      </c>
      <c r="D400" s="109" t="s">
        <v>120</v>
      </c>
      <c r="E400" s="109">
        <v>75</v>
      </c>
      <c r="F400" s="110">
        <v>4043</v>
      </c>
      <c r="G400" s="109" t="s">
        <v>120</v>
      </c>
      <c r="H400" s="109">
        <v>54</v>
      </c>
      <c r="I400" s="109">
        <v>1778</v>
      </c>
      <c r="J400" s="110">
        <v>1983</v>
      </c>
    </row>
    <row r="401" spans="1:10">
      <c r="A401" s="103" t="s">
        <v>1428</v>
      </c>
      <c r="B401" s="124" t="s">
        <v>1429</v>
      </c>
      <c r="C401" s="110">
        <v>10367</v>
      </c>
      <c r="D401" s="109" t="s">
        <v>120</v>
      </c>
      <c r="E401" s="109">
        <v>104</v>
      </c>
      <c r="F401" s="110">
        <v>5161</v>
      </c>
      <c r="G401" s="109" t="s">
        <v>120</v>
      </c>
      <c r="H401" s="109">
        <v>50</v>
      </c>
      <c r="I401" s="109">
        <v>1325</v>
      </c>
      <c r="J401" s="110">
        <v>1701</v>
      </c>
    </row>
    <row r="402" spans="1:10">
      <c r="A402" s="103" t="s">
        <v>1430</v>
      </c>
      <c r="B402" s="124" t="s">
        <v>1431</v>
      </c>
      <c r="C402" s="110">
        <v>13377</v>
      </c>
      <c r="D402" s="109" t="s">
        <v>120</v>
      </c>
      <c r="E402" s="109">
        <v>134</v>
      </c>
      <c r="F402" s="110">
        <v>4855</v>
      </c>
      <c r="G402" s="109" t="s">
        <v>120</v>
      </c>
      <c r="H402" s="109">
        <v>36</v>
      </c>
      <c r="I402" s="109">
        <v>862</v>
      </c>
      <c r="J402" s="110">
        <v>1778</v>
      </c>
    </row>
    <row r="403" spans="1:10" s="119" customFormat="1">
      <c r="A403" s="123" t="s">
        <v>120</v>
      </c>
      <c r="B403" s="275" t="s">
        <v>947</v>
      </c>
      <c r="C403" s="276"/>
      <c r="D403" s="276"/>
      <c r="E403" s="276"/>
      <c r="F403" s="276"/>
      <c r="G403" s="276"/>
      <c r="H403" s="276"/>
      <c r="I403" s="276"/>
      <c r="J403" s="276"/>
    </row>
    <row r="404" spans="1:10">
      <c r="A404" s="103" t="s">
        <v>1432</v>
      </c>
      <c r="B404" s="124" t="s">
        <v>1433</v>
      </c>
      <c r="C404" s="110">
        <v>11968</v>
      </c>
      <c r="D404" s="109" t="s">
        <v>120</v>
      </c>
      <c r="E404" s="109">
        <v>120</v>
      </c>
      <c r="F404" s="110">
        <v>3913</v>
      </c>
      <c r="G404" s="109" t="s">
        <v>120</v>
      </c>
      <c r="H404" s="109">
        <v>33</v>
      </c>
      <c r="I404" s="109">
        <v>1058</v>
      </c>
      <c r="J404" s="110">
        <v>2010</v>
      </c>
    </row>
    <row r="405" spans="1:10">
      <c r="A405" s="103" t="s">
        <v>1434</v>
      </c>
      <c r="B405" s="124" t="s">
        <v>932</v>
      </c>
      <c r="C405" s="110">
        <v>343</v>
      </c>
      <c r="D405" s="109" t="s">
        <v>120</v>
      </c>
      <c r="E405" s="109">
        <v>4</v>
      </c>
      <c r="F405" s="110">
        <v>1382</v>
      </c>
      <c r="G405" s="109" t="s">
        <v>120</v>
      </c>
      <c r="H405" s="109">
        <v>403</v>
      </c>
      <c r="I405" s="109" t="s">
        <v>122</v>
      </c>
      <c r="J405" s="110" t="s">
        <v>122</v>
      </c>
    </row>
    <row r="406" spans="1:10">
      <c r="A406" s="103" t="s">
        <v>1435</v>
      </c>
      <c r="B406" s="124" t="s">
        <v>934</v>
      </c>
      <c r="C406" s="110">
        <v>11625</v>
      </c>
      <c r="D406" s="109" t="s">
        <v>120</v>
      </c>
      <c r="E406" s="109">
        <v>116</v>
      </c>
      <c r="F406" s="110">
        <v>2531</v>
      </c>
      <c r="G406" s="109" t="s">
        <v>120</v>
      </c>
      <c r="H406" s="109">
        <v>22</v>
      </c>
      <c r="I406" s="109" t="s">
        <v>122</v>
      </c>
      <c r="J406" s="110" t="s">
        <v>122</v>
      </c>
    </row>
    <row r="407" spans="1:10">
      <c r="A407" s="103" t="s">
        <v>1436</v>
      </c>
      <c r="B407" s="124" t="s">
        <v>1437</v>
      </c>
      <c r="C407" s="110">
        <v>13486</v>
      </c>
      <c r="D407" s="109" t="s">
        <v>120</v>
      </c>
      <c r="E407" s="109">
        <v>135</v>
      </c>
      <c r="F407" s="110">
        <v>8872</v>
      </c>
      <c r="G407" s="109" t="s">
        <v>120</v>
      </c>
      <c r="H407" s="109">
        <v>66</v>
      </c>
      <c r="I407" s="109">
        <v>840</v>
      </c>
      <c r="J407" s="110">
        <v>1002</v>
      </c>
    </row>
    <row r="408" spans="1:10">
      <c r="A408" s="103" t="s">
        <v>1438</v>
      </c>
      <c r="B408" s="124" t="s">
        <v>932</v>
      </c>
      <c r="C408" s="110">
        <v>335</v>
      </c>
      <c r="D408" s="109" t="s">
        <v>120</v>
      </c>
      <c r="E408" s="109">
        <v>3</v>
      </c>
      <c r="F408" s="110">
        <v>3716</v>
      </c>
      <c r="G408" s="109" t="s">
        <v>120</v>
      </c>
      <c r="H408" s="109">
        <v>1109</v>
      </c>
      <c r="I408" s="109" t="s">
        <v>122</v>
      </c>
      <c r="J408" s="110" t="s">
        <v>122</v>
      </c>
    </row>
    <row r="409" spans="1:10">
      <c r="A409" s="103" t="s">
        <v>1439</v>
      </c>
      <c r="B409" s="124" t="s">
        <v>934</v>
      </c>
      <c r="C409" s="110">
        <v>13151</v>
      </c>
      <c r="D409" s="109" t="s">
        <v>120</v>
      </c>
      <c r="E409" s="109">
        <v>132</v>
      </c>
      <c r="F409" s="110">
        <v>5156</v>
      </c>
      <c r="G409" s="109" t="s">
        <v>120</v>
      </c>
      <c r="H409" s="109">
        <v>39</v>
      </c>
      <c r="I409" s="109" t="s">
        <v>122</v>
      </c>
      <c r="J409" s="110" t="s">
        <v>122</v>
      </c>
    </row>
    <row r="410" spans="1:10" s="119" customFormat="1">
      <c r="A410" s="123" t="s">
        <v>120</v>
      </c>
      <c r="B410" s="273" t="s">
        <v>1440</v>
      </c>
      <c r="C410" s="274"/>
      <c r="D410" s="274"/>
      <c r="E410" s="274"/>
      <c r="F410" s="274"/>
      <c r="G410" s="274"/>
      <c r="H410" s="274"/>
      <c r="I410" s="274"/>
      <c r="J410" s="274"/>
    </row>
    <row r="411" spans="1:10" s="119" customFormat="1">
      <c r="A411" s="123" t="s">
        <v>120</v>
      </c>
      <c r="B411" s="275" t="s">
        <v>924</v>
      </c>
      <c r="C411" s="276"/>
      <c r="D411" s="276"/>
      <c r="E411" s="276"/>
      <c r="F411" s="276"/>
      <c r="G411" s="276"/>
      <c r="H411" s="276"/>
      <c r="I411" s="276"/>
      <c r="J411" s="276"/>
    </row>
    <row r="412" spans="1:10">
      <c r="A412" s="103" t="s">
        <v>1441</v>
      </c>
      <c r="B412" s="124" t="s">
        <v>1442</v>
      </c>
      <c r="C412" s="110">
        <v>12242</v>
      </c>
      <c r="D412" s="109" t="s">
        <v>120</v>
      </c>
      <c r="E412" s="109">
        <v>122</v>
      </c>
      <c r="F412" s="110">
        <v>22450</v>
      </c>
      <c r="G412" s="109" t="s">
        <v>120</v>
      </c>
      <c r="H412" s="109">
        <v>183</v>
      </c>
      <c r="I412" s="109">
        <v>1016</v>
      </c>
      <c r="J412" s="110">
        <v>290</v>
      </c>
    </row>
    <row r="413" spans="1:10">
      <c r="A413" s="103" t="s">
        <v>1443</v>
      </c>
      <c r="B413" s="124" t="s">
        <v>1444</v>
      </c>
      <c r="C413" s="110">
        <v>12504</v>
      </c>
      <c r="D413" s="109" t="s">
        <v>120</v>
      </c>
      <c r="E413" s="109">
        <v>125</v>
      </c>
      <c r="F413" s="110">
        <v>8369</v>
      </c>
      <c r="G413" s="109" t="s">
        <v>120</v>
      </c>
      <c r="H413" s="109">
        <v>67</v>
      </c>
      <c r="I413" s="109">
        <v>977</v>
      </c>
      <c r="J413" s="110">
        <v>1067</v>
      </c>
    </row>
    <row r="414" spans="1:10">
      <c r="A414" s="103" t="s">
        <v>1445</v>
      </c>
      <c r="B414" s="124" t="s">
        <v>1446</v>
      </c>
      <c r="C414" s="110">
        <v>13007</v>
      </c>
      <c r="D414" s="109" t="s">
        <v>120</v>
      </c>
      <c r="E414" s="109">
        <v>130</v>
      </c>
      <c r="F414" s="110">
        <v>11802</v>
      </c>
      <c r="G414" s="109" t="s">
        <v>120</v>
      </c>
      <c r="H414" s="109">
        <v>91</v>
      </c>
      <c r="I414" s="109">
        <v>908</v>
      </c>
      <c r="J414" s="110">
        <v>719</v>
      </c>
    </row>
    <row r="415" spans="1:10">
      <c r="A415" s="103" t="s">
        <v>1447</v>
      </c>
      <c r="B415" s="124" t="s">
        <v>1448</v>
      </c>
      <c r="C415" s="110">
        <v>14828</v>
      </c>
      <c r="D415" s="109" t="s">
        <v>120</v>
      </c>
      <c r="E415" s="109">
        <v>148</v>
      </c>
      <c r="F415" s="110">
        <v>10195</v>
      </c>
      <c r="G415" s="109" t="s">
        <v>120</v>
      </c>
      <c r="H415" s="109">
        <v>69</v>
      </c>
      <c r="I415" s="109">
        <v>691</v>
      </c>
      <c r="J415" s="110">
        <v>855</v>
      </c>
    </row>
    <row r="416" spans="1:10">
      <c r="A416" s="103" t="s">
        <v>1449</v>
      </c>
      <c r="B416" s="124" t="s">
        <v>1450</v>
      </c>
      <c r="C416" s="110">
        <v>10172</v>
      </c>
      <c r="D416" s="109" t="s">
        <v>120</v>
      </c>
      <c r="E416" s="109">
        <v>102</v>
      </c>
      <c r="F416" s="110">
        <v>14771</v>
      </c>
      <c r="G416" s="109" t="s">
        <v>120</v>
      </c>
      <c r="H416" s="109">
        <v>145</v>
      </c>
      <c r="I416" s="109">
        <v>1358</v>
      </c>
      <c r="J416" s="110">
        <v>526</v>
      </c>
    </row>
    <row r="417" spans="1:10">
      <c r="A417" s="103" t="s">
        <v>1451</v>
      </c>
      <c r="B417" s="124" t="s">
        <v>1452</v>
      </c>
      <c r="C417" s="110">
        <v>17999</v>
      </c>
      <c r="D417" s="109" t="s">
        <v>120</v>
      </c>
      <c r="E417" s="109">
        <v>180</v>
      </c>
      <c r="F417" s="110">
        <v>10241</v>
      </c>
      <c r="G417" s="109" t="s">
        <v>120</v>
      </c>
      <c r="H417" s="109">
        <v>57</v>
      </c>
      <c r="I417" s="109">
        <v>449</v>
      </c>
      <c r="J417" s="110">
        <v>849</v>
      </c>
    </row>
    <row r="418" spans="1:10" s="119" customFormat="1">
      <c r="A418" s="123" t="s">
        <v>120</v>
      </c>
      <c r="B418" s="275" t="s">
        <v>947</v>
      </c>
      <c r="C418" s="276"/>
      <c r="D418" s="276"/>
      <c r="E418" s="276"/>
      <c r="F418" s="276"/>
      <c r="G418" s="276"/>
      <c r="H418" s="276"/>
      <c r="I418" s="276"/>
      <c r="J418" s="276"/>
    </row>
    <row r="419" spans="1:10">
      <c r="A419" s="103" t="s">
        <v>1453</v>
      </c>
      <c r="B419" s="124" t="s">
        <v>1454</v>
      </c>
      <c r="C419" s="110">
        <v>41153</v>
      </c>
      <c r="D419" s="105" t="s">
        <v>927</v>
      </c>
      <c r="E419" s="109">
        <v>412</v>
      </c>
      <c r="F419" s="110">
        <v>24056</v>
      </c>
      <c r="G419" s="109" t="s">
        <v>120</v>
      </c>
      <c r="H419" s="109">
        <v>58</v>
      </c>
      <c r="I419" s="109">
        <v>21</v>
      </c>
      <c r="J419" s="110">
        <v>266</v>
      </c>
    </row>
    <row r="420" spans="1:10">
      <c r="A420" s="103" t="s">
        <v>1455</v>
      </c>
      <c r="B420" s="124" t="s">
        <v>932</v>
      </c>
      <c r="C420" s="110">
        <v>2815</v>
      </c>
      <c r="D420" s="109" t="s">
        <v>120</v>
      </c>
      <c r="E420" s="109">
        <v>28</v>
      </c>
      <c r="F420" s="110">
        <v>11089</v>
      </c>
      <c r="G420" s="109" t="s">
        <v>120</v>
      </c>
      <c r="H420" s="109">
        <v>394</v>
      </c>
      <c r="I420" s="109" t="s">
        <v>122</v>
      </c>
      <c r="J420" s="110" t="s">
        <v>122</v>
      </c>
    </row>
    <row r="421" spans="1:10">
      <c r="A421" s="103" t="s">
        <v>1456</v>
      </c>
      <c r="B421" s="124" t="s">
        <v>934</v>
      </c>
      <c r="C421" s="110">
        <v>38338</v>
      </c>
      <c r="D421" s="109" t="s">
        <v>120</v>
      </c>
      <c r="E421" s="109">
        <v>384</v>
      </c>
      <c r="F421" s="110">
        <v>12967</v>
      </c>
      <c r="G421" s="109" t="s">
        <v>120</v>
      </c>
      <c r="H421" s="109">
        <v>34</v>
      </c>
      <c r="I421" s="109" t="s">
        <v>122</v>
      </c>
      <c r="J421" s="110" t="s">
        <v>122</v>
      </c>
    </row>
    <row r="422" spans="1:10">
      <c r="A422" s="103" t="s">
        <v>1457</v>
      </c>
      <c r="B422" s="124" t="s">
        <v>1458</v>
      </c>
      <c r="C422" s="110">
        <v>17507</v>
      </c>
      <c r="D422" s="109" t="s">
        <v>120</v>
      </c>
      <c r="E422" s="109">
        <v>175</v>
      </c>
      <c r="F422" s="110">
        <v>16799</v>
      </c>
      <c r="G422" s="109" t="s">
        <v>120</v>
      </c>
      <c r="H422" s="109">
        <v>96</v>
      </c>
      <c r="I422" s="109">
        <v>485</v>
      </c>
      <c r="J422" s="110">
        <v>440</v>
      </c>
    </row>
    <row r="423" spans="1:10">
      <c r="A423" s="103" t="s">
        <v>1459</v>
      </c>
      <c r="B423" s="124" t="s">
        <v>932</v>
      </c>
      <c r="C423" s="110">
        <v>1868</v>
      </c>
      <c r="D423" s="109" t="s">
        <v>120</v>
      </c>
      <c r="E423" s="109">
        <v>19</v>
      </c>
      <c r="F423" s="110">
        <v>15635</v>
      </c>
      <c r="G423" s="109" t="s">
        <v>120</v>
      </c>
      <c r="H423" s="109">
        <v>837</v>
      </c>
      <c r="I423" s="109" t="s">
        <v>122</v>
      </c>
      <c r="J423" s="110" t="s">
        <v>122</v>
      </c>
    </row>
    <row r="424" spans="1:10">
      <c r="A424" s="103" t="s">
        <v>1460</v>
      </c>
      <c r="B424" s="124" t="s">
        <v>934</v>
      </c>
      <c r="C424" s="110">
        <v>15639</v>
      </c>
      <c r="D424" s="109" t="s">
        <v>120</v>
      </c>
      <c r="E424" s="109">
        <v>156</v>
      </c>
      <c r="F424" s="110">
        <v>1164</v>
      </c>
      <c r="G424" s="109" t="s">
        <v>120</v>
      </c>
      <c r="H424" s="109">
        <v>7</v>
      </c>
      <c r="I424" s="109" t="s">
        <v>122</v>
      </c>
      <c r="J424" s="110" t="s">
        <v>122</v>
      </c>
    </row>
    <row r="425" spans="1:10" s="119" customFormat="1">
      <c r="A425" s="123" t="s">
        <v>120</v>
      </c>
      <c r="B425" s="273" t="s">
        <v>1461</v>
      </c>
      <c r="C425" s="274"/>
      <c r="D425" s="274"/>
      <c r="E425" s="274"/>
      <c r="F425" s="274"/>
      <c r="G425" s="274"/>
      <c r="H425" s="274"/>
      <c r="I425" s="274"/>
      <c r="J425" s="274"/>
    </row>
    <row r="426" spans="1:10" s="119" customFormat="1">
      <c r="A426" s="123" t="s">
        <v>120</v>
      </c>
      <c r="B426" s="275" t="s">
        <v>922</v>
      </c>
      <c r="C426" s="276"/>
      <c r="D426" s="276"/>
      <c r="E426" s="276"/>
      <c r="F426" s="276"/>
      <c r="G426" s="276"/>
      <c r="H426" s="276"/>
      <c r="I426" s="276"/>
      <c r="J426" s="276"/>
    </row>
    <row r="427" spans="1:10">
      <c r="A427" s="103" t="s">
        <v>1462</v>
      </c>
      <c r="B427" s="124" t="s">
        <v>1463</v>
      </c>
      <c r="C427" s="110">
        <v>1356</v>
      </c>
      <c r="D427" s="109" t="s">
        <v>120</v>
      </c>
      <c r="E427" s="109">
        <v>14</v>
      </c>
      <c r="F427" s="110">
        <v>19510</v>
      </c>
      <c r="G427" s="109" t="s">
        <v>120</v>
      </c>
      <c r="H427" s="109">
        <v>1439</v>
      </c>
      <c r="I427" s="109">
        <v>2294</v>
      </c>
      <c r="J427" s="110">
        <v>356</v>
      </c>
    </row>
    <row r="428" spans="1:10" s="119" customFormat="1">
      <c r="A428" s="123" t="s">
        <v>120</v>
      </c>
      <c r="B428" s="275" t="s">
        <v>986</v>
      </c>
      <c r="C428" s="276"/>
      <c r="D428" s="276"/>
      <c r="E428" s="276"/>
      <c r="F428" s="276"/>
      <c r="G428" s="276"/>
      <c r="H428" s="276"/>
      <c r="I428" s="276"/>
      <c r="J428" s="276"/>
    </row>
    <row r="429" spans="1:10">
      <c r="A429" s="103" t="s">
        <v>1464</v>
      </c>
      <c r="B429" s="124" t="s">
        <v>1463</v>
      </c>
      <c r="C429" s="110">
        <v>11371</v>
      </c>
      <c r="D429" s="109" t="s">
        <v>120</v>
      </c>
      <c r="E429" s="109">
        <v>114</v>
      </c>
      <c r="F429" s="110">
        <v>6092</v>
      </c>
      <c r="G429" s="109" t="s">
        <v>120</v>
      </c>
      <c r="H429" s="109">
        <v>54</v>
      </c>
      <c r="I429" s="109">
        <v>1145</v>
      </c>
      <c r="J429" s="110">
        <v>1482</v>
      </c>
    </row>
    <row r="430" spans="1:10">
      <c r="A430" s="103" t="s">
        <v>1465</v>
      </c>
      <c r="B430" s="124" t="s">
        <v>1466</v>
      </c>
      <c r="C430" s="110">
        <v>7184</v>
      </c>
      <c r="D430" s="109" t="s">
        <v>120</v>
      </c>
      <c r="E430" s="109">
        <v>72</v>
      </c>
      <c r="F430" s="110">
        <v>4516</v>
      </c>
      <c r="G430" s="109" t="s">
        <v>120</v>
      </c>
      <c r="H430" s="109">
        <v>63</v>
      </c>
      <c r="I430" s="109">
        <v>1822</v>
      </c>
      <c r="J430" s="110">
        <v>1866</v>
      </c>
    </row>
    <row r="431" spans="1:10">
      <c r="A431" s="103" t="s">
        <v>1467</v>
      </c>
      <c r="B431" s="124" t="s">
        <v>1468</v>
      </c>
      <c r="C431" s="110">
        <v>8631</v>
      </c>
      <c r="D431" s="109" t="s">
        <v>120</v>
      </c>
      <c r="E431" s="109">
        <v>86</v>
      </c>
      <c r="F431" s="110">
        <v>5199</v>
      </c>
      <c r="G431" s="109" t="s">
        <v>120</v>
      </c>
      <c r="H431" s="109">
        <v>60</v>
      </c>
      <c r="I431" s="109">
        <v>1588</v>
      </c>
      <c r="J431" s="110">
        <v>1688</v>
      </c>
    </row>
    <row r="432" spans="1:10">
      <c r="A432" s="103" t="s">
        <v>1469</v>
      </c>
      <c r="B432" s="124" t="s">
        <v>1470</v>
      </c>
      <c r="C432" s="110">
        <v>7045</v>
      </c>
      <c r="D432" s="109" t="s">
        <v>120</v>
      </c>
      <c r="E432" s="109">
        <v>70</v>
      </c>
      <c r="F432" s="110">
        <v>4343</v>
      </c>
      <c r="G432" s="109" t="s">
        <v>120</v>
      </c>
      <c r="H432" s="109">
        <v>62</v>
      </c>
      <c r="I432" s="109">
        <v>1844</v>
      </c>
      <c r="J432" s="110">
        <v>1912</v>
      </c>
    </row>
    <row r="433" spans="1:10">
      <c r="A433" s="103" t="s">
        <v>1471</v>
      </c>
      <c r="B433" s="124" t="s">
        <v>1472</v>
      </c>
      <c r="C433" s="110">
        <v>9852</v>
      </c>
      <c r="D433" s="109" t="s">
        <v>120</v>
      </c>
      <c r="E433" s="109">
        <v>98</v>
      </c>
      <c r="F433" s="110">
        <v>5309</v>
      </c>
      <c r="G433" s="109" t="s">
        <v>120</v>
      </c>
      <c r="H433" s="109">
        <v>54</v>
      </c>
      <c r="I433" s="109">
        <v>1414</v>
      </c>
      <c r="J433" s="110">
        <v>1660</v>
      </c>
    </row>
    <row r="434" spans="1:10">
      <c r="A434" s="103" t="s">
        <v>1473</v>
      </c>
      <c r="B434" s="124" t="s">
        <v>1474</v>
      </c>
      <c r="C434" s="110">
        <v>7255</v>
      </c>
      <c r="D434" s="109" t="s">
        <v>120</v>
      </c>
      <c r="E434" s="109">
        <v>73</v>
      </c>
      <c r="F434" s="110">
        <v>6956</v>
      </c>
      <c r="G434" s="109" t="s">
        <v>120</v>
      </c>
      <c r="H434" s="109">
        <v>96</v>
      </c>
      <c r="I434" s="109">
        <v>1811</v>
      </c>
      <c r="J434" s="110">
        <v>1304</v>
      </c>
    </row>
    <row r="435" spans="1:10" s="119" customFormat="1">
      <c r="A435" s="123" t="s">
        <v>120</v>
      </c>
      <c r="B435" s="273" t="s">
        <v>1475</v>
      </c>
      <c r="C435" s="274"/>
      <c r="D435" s="274"/>
      <c r="E435" s="274"/>
      <c r="F435" s="274"/>
      <c r="G435" s="274"/>
      <c r="H435" s="274"/>
      <c r="I435" s="274"/>
      <c r="J435" s="274"/>
    </row>
    <row r="436" spans="1:10" s="119" customFormat="1">
      <c r="A436" s="123" t="s">
        <v>120</v>
      </c>
      <c r="B436" s="275" t="s">
        <v>1019</v>
      </c>
      <c r="C436" s="276"/>
      <c r="D436" s="276"/>
      <c r="E436" s="276"/>
      <c r="F436" s="276"/>
      <c r="G436" s="276"/>
      <c r="H436" s="276"/>
      <c r="I436" s="276"/>
      <c r="J436" s="276"/>
    </row>
    <row r="437" spans="1:10">
      <c r="A437" s="103" t="s">
        <v>1476</v>
      </c>
      <c r="B437" s="124" t="s">
        <v>1477</v>
      </c>
      <c r="C437" s="110">
        <v>750</v>
      </c>
      <c r="D437" s="109" t="s">
        <v>120</v>
      </c>
      <c r="E437" s="109">
        <v>8</v>
      </c>
      <c r="F437" s="110">
        <v>12546</v>
      </c>
      <c r="G437" s="109" t="s">
        <v>120</v>
      </c>
      <c r="H437" s="109">
        <v>1673</v>
      </c>
      <c r="I437" s="109">
        <v>2333</v>
      </c>
      <c r="J437" s="110">
        <v>659</v>
      </c>
    </row>
    <row r="438" spans="1:10" s="119" customFormat="1">
      <c r="A438" s="123" t="s">
        <v>120</v>
      </c>
      <c r="B438" s="275" t="s">
        <v>924</v>
      </c>
      <c r="C438" s="276"/>
      <c r="D438" s="276"/>
      <c r="E438" s="276"/>
      <c r="F438" s="276"/>
      <c r="G438" s="276"/>
      <c r="H438" s="276"/>
      <c r="I438" s="276"/>
      <c r="J438" s="276"/>
    </row>
    <row r="439" spans="1:10">
      <c r="A439" s="103" t="s">
        <v>1478</v>
      </c>
      <c r="B439" s="124" t="s">
        <v>1479</v>
      </c>
      <c r="C439" s="110">
        <v>10123</v>
      </c>
      <c r="D439" s="109" t="s">
        <v>120</v>
      </c>
      <c r="E439" s="109">
        <v>101</v>
      </c>
      <c r="F439" s="110">
        <v>4022</v>
      </c>
      <c r="G439" s="109" t="s">
        <v>120</v>
      </c>
      <c r="H439" s="109">
        <v>40</v>
      </c>
      <c r="I439" s="109">
        <v>1365</v>
      </c>
      <c r="J439" s="110">
        <v>1988</v>
      </c>
    </row>
    <row r="440" spans="1:10">
      <c r="A440" s="103" t="s">
        <v>1480</v>
      </c>
      <c r="B440" s="124" t="s">
        <v>1477</v>
      </c>
      <c r="C440" s="110">
        <v>19779</v>
      </c>
      <c r="D440" s="109" t="s">
        <v>120</v>
      </c>
      <c r="E440" s="109">
        <v>198</v>
      </c>
      <c r="F440" s="110">
        <v>8781</v>
      </c>
      <c r="G440" s="109" t="s">
        <v>120</v>
      </c>
      <c r="H440" s="109">
        <v>44</v>
      </c>
      <c r="I440" s="109">
        <v>357</v>
      </c>
      <c r="J440" s="110">
        <v>1012</v>
      </c>
    </row>
    <row r="441" spans="1:10">
      <c r="A441" s="103" t="s">
        <v>1481</v>
      </c>
      <c r="B441" s="124" t="s">
        <v>1482</v>
      </c>
      <c r="C441" s="110">
        <v>8081</v>
      </c>
      <c r="D441" s="109" t="s">
        <v>120</v>
      </c>
      <c r="E441" s="109">
        <v>81</v>
      </c>
      <c r="F441" s="110">
        <v>3837</v>
      </c>
      <c r="G441" s="109" t="s">
        <v>120</v>
      </c>
      <c r="H441" s="109">
        <v>47</v>
      </c>
      <c r="I441" s="109">
        <v>1690</v>
      </c>
      <c r="J441" s="110">
        <v>2034</v>
      </c>
    </row>
    <row r="442" spans="1:10">
      <c r="A442" s="103" t="s">
        <v>1483</v>
      </c>
      <c r="B442" s="124" t="s">
        <v>1484</v>
      </c>
      <c r="C442" s="110">
        <v>8432</v>
      </c>
      <c r="D442" s="109" t="s">
        <v>120</v>
      </c>
      <c r="E442" s="109">
        <v>84</v>
      </c>
      <c r="F442" s="110">
        <v>4379</v>
      </c>
      <c r="G442" s="109" t="s">
        <v>120</v>
      </c>
      <c r="H442" s="109">
        <v>52</v>
      </c>
      <c r="I442" s="109">
        <v>1631</v>
      </c>
      <c r="J442" s="110">
        <v>1896</v>
      </c>
    </row>
    <row r="443" spans="1:10" s="119" customFormat="1">
      <c r="A443" s="123" t="s">
        <v>120</v>
      </c>
      <c r="B443" s="275" t="s">
        <v>1026</v>
      </c>
      <c r="C443" s="276"/>
      <c r="D443" s="276"/>
      <c r="E443" s="276"/>
      <c r="F443" s="276"/>
      <c r="G443" s="276"/>
      <c r="H443" s="276"/>
      <c r="I443" s="276"/>
      <c r="J443" s="276"/>
    </row>
    <row r="444" spans="1:10">
      <c r="A444" s="103" t="s">
        <v>1485</v>
      </c>
      <c r="B444" s="124" t="s">
        <v>1486</v>
      </c>
      <c r="C444" s="110">
        <v>14120</v>
      </c>
      <c r="D444" s="109" t="s">
        <v>120</v>
      </c>
      <c r="E444" s="109">
        <v>141</v>
      </c>
      <c r="F444" s="110">
        <v>11453</v>
      </c>
      <c r="G444" s="109" t="s">
        <v>120</v>
      </c>
      <c r="H444" s="109">
        <v>81</v>
      </c>
      <c r="I444" s="109">
        <v>768</v>
      </c>
      <c r="J444" s="110">
        <v>747</v>
      </c>
    </row>
    <row r="445" spans="1:10">
      <c r="A445" s="103" t="s">
        <v>1487</v>
      </c>
      <c r="B445" s="124" t="s">
        <v>932</v>
      </c>
      <c r="C445" s="110">
        <v>445</v>
      </c>
      <c r="D445" s="109" t="s">
        <v>120</v>
      </c>
      <c r="E445" s="109">
        <v>4</v>
      </c>
      <c r="F445" s="110">
        <v>4143</v>
      </c>
      <c r="G445" s="109" t="s">
        <v>120</v>
      </c>
      <c r="H445" s="109">
        <v>931</v>
      </c>
      <c r="I445" s="109" t="s">
        <v>122</v>
      </c>
      <c r="J445" s="110" t="s">
        <v>122</v>
      </c>
    </row>
    <row r="446" spans="1:10">
      <c r="A446" s="103" t="s">
        <v>1488</v>
      </c>
      <c r="B446" s="124" t="s">
        <v>934</v>
      </c>
      <c r="C446" s="110">
        <v>13675</v>
      </c>
      <c r="D446" s="109" t="s">
        <v>120</v>
      </c>
      <c r="E446" s="109">
        <v>137</v>
      </c>
      <c r="F446" s="110">
        <v>7310</v>
      </c>
      <c r="G446" s="109" t="s">
        <v>120</v>
      </c>
      <c r="H446" s="109">
        <v>53</v>
      </c>
      <c r="I446" s="109" t="s">
        <v>122</v>
      </c>
      <c r="J446" s="110" t="s">
        <v>122</v>
      </c>
    </row>
    <row r="447" spans="1:10" s="119" customFormat="1">
      <c r="A447" s="123" t="s">
        <v>120</v>
      </c>
      <c r="B447" s="273" t="s">
        <v>1489</v>
      </c>
      <c r="C447" s="274"/>
      <c r="D447" s="274"/>
      <c r="E447" s="274"/>
      <c r="F447" s="274"/>
      <c r="G447" s="274"/>
      <c r="H447" s="274"/>
      <c r="I447" s="274"/>
      <c r="J447" s="274"/>
    </row>
    <row r="448" spans="1:10" s="119" customFormat="1">
      <c r="A448" s="123" t="s">
        <v>120</v>
      </c>
      <c r="B448" s="275" t="s">
        <v>943</v>
      </c>
      <c r="C448" s="276"/>
      <c r="D448" s="276"/>
      <c r="E448" s="276"/>
      <c r="F448" s="276"/>
      <c r="G448" s="276"/>
      <c r="H448" s="276"/>
      <c r="I448" s="276"/>
      <c r="J448" s="276"/>
    </row>
    <row r="449" spans="1:10">
      <c r="A449" s="103" t="s">
        <v>1490</v>
      </c>
      <c r="B449" s="124" t="s">
        <v>1491</v>
      </c>
      <c r="C449" s="110">
        <v>16533</v>
      </c>
      <c r="D449" s="109" t="s">
        <v>120</v>
      </c>
      <c r="E449" s="109">
        <v>165</v>
      </c>
      <c r="F449" s="110">
        <v>12954</v>
      </c>
      <c r="G449" s="109" t="s">
        <v>120</v>
      </c>
      <c r="H449" s="109">
        <v>78</v>
      </c>
      <c r="I449" s="109">
        <v>554</v>
      </c>
      <c r="J449" s="110">
        <v>635</v>
      </c>
    </row>
    <row r="450" spans="1:10">
      <c r="A450" s="103" t="s">
        <v>1492</v>
      </c>
      <c r="B450" s="124" t="s">
        <v>1493</v>
      </c>
      <c r="C450" s="110">
        <v>12375</v>
      </c>
      <c r="D450" s="109" t="s">
        <v>120</v>
      </c>
      <c r="E450" s="109">
        <v>124</v>
      </c>
      <c r="F450" s="110">
        <v>6396</v>
      </c>
      <c r="G450" s="109" t="s">
        <v>120</v>
      </c>
      <c r="H450" s="109">
        <v>52</v>
      </c>
      <c r="I450" s="109">
        <v>1000</v>
      </c>
      <c r="J450" s="110">
        <v>1422</v>
      </c>
    </row>
    <row r="451" spans="1:10">
      <c r="A451" s="103" t="s">
        <v>1494</v>
      </c>
      <c r="B451" s="124" t="s">
        <v>1495</v>
      </c>
      <c r="C451" s="110">
        <v>11624</v>
      </c>
      <c r="D451" s="109" t="s">
        <v>120</v>
      </c>
      <c r="E451" s="109">
        <v>116</v>
      </c>
      <c r="F451" s="110">
        <v>4241</v>
      </c>
      <c r="G451" s="109" t="s">
        <v>120</v>
      </c>
      <c r="H451" s="109">
        <v>36</v>
      </c>
      <c r="I451" s="109">
        <v>1109</v>
      </c>
      <c r="J451" s="110">
        <v>1941</v>
      </c>
    </row>
    <row r="452" spans="1:10">
      <c r="A452" s="103" t="s">
        <v>1496</v>
      </c>
      <c r="B452" s="124" t="s">
        <v>1497</v>
      </c>
      <c r="C452" s="110">
        <v>9475</v>
      </c>
      <c r="D452" s="109" t="s">
        <v>120</v>
      </c>
      <c r="E452" s="109">
        <v>95</v>
      </c>
      <c r="F452" s="110">
        <v>4170</v>
      </c>
      <c r="G452" s="109" t="s">
        <v>120</v>
      </c>
      <c r="H452" s="109">
        <v>44</v>
      </c>
      <c r="I452" s="109">
        <v>1474</v>
      </c>
      <c r="J452" s="110">
        <v>1956</v>
      </c>
    </row>
    <row r="453" spans="1:10" s="119" customFormat="1">
      <c r="A453" s="123" t="s">
        <v>120</v>
      </c>
      <c r="B453" s="275" t="s">
        <v>947</v>
      </c>
      <c r="C453" s="276"/>
      <c r="D453" s="276"/>
      <c r="E453" s="276"/>
      <c r="F453" s="276"/>
      <c r="G453" s="276"/>
      <c r="H453" s="276"/>
      <c r="I453" s="276"/>
      <c r="J453" s="276"/>
    </row>
    <row r="454" spans="1:10">
      <c r="A454" s="103" t="s">
        <v>1498</v>
      </c>
      <c r="B454" s="124" t="s">
        <v>1499</v>
      </c>
      <c r="C454" s="110">
        <v>13655</v>
      </c>
      <c r="D454" s="109" t="s">
        <v>120</v>
      </c>
      <c r="E454" s="109">
        <v>137</v>
      </c>
      <c r="F454" s="110">
        <v>7839</v>
      </c>
      <c r="G454" s="109" t="s">
        <v>120</v>
      </c>
      <c r="H454" s="109">
        <v>57</v>
      </c>
      <c r="I454" s="109">
        <v>817</v>
      </c>
      <c r="J454" s="110">
        <v>1147</v>
      </c>
    </row>
    <row r="455" spans="1:10">
      <c r="A455" s="103" t="s">
        <v>1500</v>
      </c>
      <c r="B455" s="124" t="s">
        <v>932</v>
      </c>
      <c r="C455" s="110">
        <v>479</v>
      </c>
      <c r="D455" s="109" t="s">
        <v>120</v>
      </c>
      <c r="E455" s="109">
        <v>5</v>
      </c>
      <c r="F455" s="110">
        <v>3197</v>
      </c>
      <c r="G455" s="109" t="s">
        <v>120</v>
      </c>
      <c r="H455" s="109">
        <v>667</v>
      </c>
      <c r="I455" s="109" t="s">
        <v>122</v>
      </c>
      <c r="J455" s="110" t="s">
        <v>122</v>
      </c>
    </row>
    <row r="456" spans="1:10">
      <c r="A456" s="103" t="s">
        <v>1501</v>
      </c>
      <c r="B456" s="124" t="s">
        <v>934</v>
      </c>
      <c r="C456" s="110">
        <v>13176</v>
      </c>
      <c r="D456" s="109" t="s">
        <v>120</v>
      </c>
      <c r="E456" s="109">
        <v>132</v>
      </c>
      <c r="F456" s="110">
        <v>4642</v>
      </c>
      <c r="G456" s="109" t="s">
        <v>120</v>
      </c>
      <c r="H456" s="109">
        <v>35</v>
      </c>
      <c r="I456" s="109" t="s">
        <v>122</v>
      </c>
      <c r="J456" s="110" t="s">
        <v>122</v>
      </c>
    </row>
    <row r="457" spans="1:10">
      <c r="A457" s="103" t="s">
        <v>1502</v>
      </c>
      <c r="B457" s="124" t="s">
        <v>1503</v>
      </c>
      <c r="C457" s="110">
        <v>9114</v>
      </c>
      <c r="D457" s="109" t="s">
        <v>120</v>
      </c>
      <c r="E457" s="109">
        <v>91</v>
      </c>
      <c r="F457" s="110">
        <v>4638</v>
      </c>
      <c r="G457" s="109" t="s">
        <v>120</v>
      </c>
      <c r="H457" s="109">
        <v>51</v>
      </c>
      <c r="I457" s="109">
        <v>1520</v>
      </c>
      <c r="J457" s="110">
        <v>1835</v>
      </c>
    </row>
    <row r="458" spans="1:10">
      <c r="A458" s="103" t="s">
        <v>1504</v>
      </c>
      <c r="B458" s="124" t="s">
        <v>932</v>
      </c>
      <c r="C458" s="110">
        <v>178</v>
      </c>
      <c r="D458" s="109" t="s">
        <v>120</v>
      </c>
      <c r="E458" s="109">
        <v>2</v>
      </c>
      <c r="F458" s="110">
        <v>1813</v>
      </c>
      <c r="G458" s="109" t="s">
        <v>120</v>
      </c>
      <c r="H458" s="109">
        <v>1019</v>
      </c>
      <c r="I458" s="109" t="s">
        <v>122</v>
      </c>
      <c r="J458" s="110" t="s">
        <v>122</v>
      </c>
    </row>
    <row r="459" spans="1:10">
      <c r="A459" s="103" t="s">
        <v>1505</v>
      </c>
      <c r="B459" s="124" t="s">
        <v>934</v>
      </c>
      <c r="C459" s="110">
        <v>8936</v>
      </c>
      <c r="D459" s="109" t="s">
        <v>120</v>
      </c>
      <c r="E459" s="109">
        <v>89</v>
      </c>
      <c r="F459" s="110">
        <v>2825</v>
      </c>
      <c r="G459" s="109" t="s">
        <v>120</v>
      </c>
      <c r="H459" s="109">
        <v>32</v>
      </c>
      <c r="I459" s="109" t="s">
        <v>122</v>
      </c>
      <c r="J459" s="110" t="s">
        <v>122</v>
      </c>
    </row>
    <row r="460" spans="1:10" s="119" customFormat="1">
      <c r="A460" s="123" t="s">
        <v>120</v>
      </c>
      <c r="B460" s="273" t="s">
        <v>1506</v>
      </c>
      <c r="C460" s="274"/>
      <c r="D460" s="274"/>
      <c r="E460" s="274"/>
      <c r="F460" s="274"/>
      <c r="G460" s="274"/>
      <c r="H460" s="274"/>
      <c r="I460" s="274"/>
      <c r="J460" s="274"/>
    </row>
    <row r="461" spans="1:10" s="119" customFormat="1">
      <c r="A461" s="123" t="s">
        <v>120</v>
      </c>
      <c r="B461" s="275" t="s">
        <v>1019</v>
      </c>
      <c r="C461" s="276"/>
      <c r="D461" s="276"/>
      <c r="E461" s="276"/>
      <c r="F461" s="276"/>
      <c r="G461" s="276"/>
      <c r="H461" s="276"/>
      <c r="I461" s="276"/>
      <c r="J461" s="276"/>
    </row>
    <row r="462" spans="1:10">
      <c r="A462" s="103" t="s">
        <v>1507</v>
      </c>
      <c r="B462" s="124" t="s">
        <v>1508</v>
      </c>
      <c r="C462" s="110">
        <v>3042</v>
      </c>
      <c r="D462" s="109" t="s">
        <v>120</v>
      </c>
      <c r="E462" s="109">
        <v>30</v>
      </c>
      <c r="F462" s="110">
        <v>72561</v>
      </c>
      <c r="G462" s="109" t="s">
        <v>120</v>
      </c>
      <c r="H462" s="109">
        <v>2385</v>
      </c>
      <c r="I462" s="109">
        <v>2165</v>
      </c>
      <c r="J462" s="110">
        <v>52</v>
      </c>
    </row>
    <row r="463" spans="1:10" s="119" customFormat="1">
      <c r="A463" s="123" t="s">
        <v>120</v>
      </c>
      <c r="B463" s="275" t="s">
        <v>924</v>
      </c>
      <c r="C463" s="276"/>
      <c r="D463" s="276"/>
      <c r="E463" s="276"/>
      <c r="F463" s="276"/>
      <c r="G463" s="276"/>
      <c r="H463" s="276"/>
      <c r="I463" s="276"/>
      <c r="J463" s="276"/>
    </row>
    <row r="464" spans="1:10">
      <c r="A464" s="103" t="s">
        <v>1509</v>
      </c>
      <c r="B464" s="124" t="s">
        <v>1510</v>
      </c>
      <c r="C464" s="110">
        <v>14728</v>
      </c>
      <c r="D464" s="109" t="s">
        <v>120</v>
      </c>
      <c r="E464" s="109">
        <v>147</v>
      </c>
      <c r="F464" s="110">
        <v>5104</v>
      </c>
      <c r="G464" s="109" t="s">
        <v>120</v>
      </c>
      <c r="H464" s="109">
        <v>35</v>
      </c>
      <c r="I464" s="109">
        <v>702</v>
      </c>
      <c r="J464" s="110">
        <v>1715</v>
      </c>
    </row>
    <row r="465" spans="1:10">
      <c r="A465" s="103" t="s">
        <v>1511</v>
      </c>
      <c r="B465" s="124" t="s">
        <v>1508</v>
      </c>
      <c r="C465" s="110">
        <v>17165</v>
      </c>
      <c r="D465" s="109" t="s">
        <v>120</v>
      </c>
      <c r="E465" s="109">
        <v>172</v>
      </c>
      <c r="F465" s="110">
        <v>11825</v>
      </c>
      <c r="G465" s="109" t="s">
        <v>120</v>
      </c>
      <c r="H465" s="109">
        <v>69</v>
      </c>
      <c r="I465" s="109">
        <v>502</v>
      </c>
      <c r="J465" s="110">
        <v>713</v>
      </c>
    </row>
    <row r="466" spans="1:10">
      <c r="A466" s="103" t="s">
        <v>1512</v>
      </c>
      <c r="B466" s="124" t="s">
        <v>1513</v>
      </c>
      <c r="C466" s="110">
        <v>11976</v>
      </c>
      <c r="D466" s="109" t="s">
        <v>120</v>
      </c>
      <c r="E466" s="109">
        <v>120</v>
      </c>
      <c r="F466" s="110">
        <v>4718</v>
      </c>
      <c r="G466" s="109" t="s">
        <v>120</v>
      </c>
      <c r="H466" s="109">
        <v>39</v>
      </c>
      <c r="I466" s="109">
        <v>1056</v>
      </c>
      <c r="J466" s="110">
        <v>1814</v>
      </c>
    </row>
    <row r="467" spans="1:10">
      <c r="A467" s="103" t="s">
        <v>1514</v>
      </c>
      <c r="B467" s="124" t="s">
        <v>1515</v>
      </c>
      <c r="C467" s="110">
        <v>13553</v>
      </c>
      <c r="D467" s="109" t="s">
        <v>120</v>
      </c>
      <c r="E467" s="109">
        <v>136</v>
      </c>
      <c r="F467" s="110">
        <v>9145</v>
      </c>
      <c r="G467" s="109" t="s">
        <v>120</v>
      </c>
      <c r="H467" s="109">
        <v>67</v>
      </c>
      <c r="I467" s="109">
        <v>832</v>
      </c>
      <c r="J467" s="110">
        <v>958</v>
      </c>
    </row>
    <row r="468" spans="1:10" s="119" customFormat="1">
      <c r="A468" s="123" t="s">
        <v>120</v>
      </c>
      <c r="B468" s="275" t="s">
        <v>947</v>
      </c>
      <c r="C468" s="276"/>
      <c r="D468" s="276"/>
      <c r="E468" s="276"/>
      <c r="F468" s="276"/>
      <c r="G468" s="276"/>
      <c r="H468" s="276"/>
      <c r="I468" s="276"/>
      <c r="J468" s="276"/>
    </row>
    <row r="469" spans="1:10">
      <c r="A469" s="103" t="s">
        <v>1516</v>
      </c>
      <c r="B469" s="124" t="s">
        <v>1517</v>
      </c>
      <c r="C469" s="110">
        <v>17972</v>
      </c>
      <c r="D469" s="109" t="s">
        <v>120</v>
      </c>
      <c r="E469" s="109">
        <v>180</v>
      </c>
      <c r="F469" s="110">
        <v>14388</v>
      </c>
      <c r="G469" s="109" t="s">
        <v>120</v>
      </c>
      <c r="H469" s="109">
        <v>80</v>
      </c>
      <c r="I469" s="109">
        <v>451</v>
      </c>
      <c r="J469" s="110">
        <v>548</v>
      </c>
    </row>
    <row r="470" spans="1:10">
      <c r="A470" s="103" t="s">
        <v>1518</v>
      </c>
      <c r="B470" s="124" t="s">
        <v>932</v>
      </c>
      <c r="C470" s="110">
        <v>918</v>
      </c>
      <c r="D470" s="109" t="s">
        <v>120</v>
      </c>
      <c r="E470" s="109">
        <v>9</v>
      </c>
      <c r="F470" s="110">
        <v>7092</v>
      </c>
      <c r="G470" s="109" t="s">
        <v>120</v>
      </c>
      <c r="H470" s="109">
        <v>773</v>
      </c>
      <c r="I470" s="109" t="s">
        <v>122</v>
      </c>
      <c r="J470" s="110" t="s">
        <v>122</v>
      </c>
    </row>
    <row r="471" spans="1:10">
      <c r="A471" s="103" t="s">
        <v>1519</v>
      </c>
      <c r="B471" s="124" t="s">
        <v>934</v>
      </c>
      <c r="C471" s="110">
        <v>17054</v>
      </c>
      <c r="D471" s="109" t="s">
        <v>120</v>
      </c>
      <c r="E471" s="109">
        <v>171</v>
      </c>
      <c r="F471" s="110">
        <v>7296</v>
      </c>
      <c r="G471" s="109" t="s">
        <v>120</v>
      </c>
      <c r="H471" s="109">
        <v>43</v>
      </c>
      <c r="I471" s="109" t="s">
        <v>122</v>
      </c>
      <c r="J471" s="110" t="s">
        <v>122</v>
      </c>
    </row>
    <row r="472" spans="1:10">
      <c r="A472" s="103" t="s">
        <v>1520</v>
      </c>
      <c r="B472" s="124" t="s">
        <v>1521</v>
      </c>
      <c r="C472" s="110">
        <v>9195</v>
      </c>
      <c r="D472" s="109" t="s">
        <v>120</v>
      </c>
      <c r="E472" s="109">
        <v>92</v>
      </c>
      <c r="F472" s="110">
        <v>13067</v>
      </c>
      <c r="G472" s="109" t="s">
        <v>120</v>
      </c>
      <c r="H472" s="109">
        <v>142</v>
      </c>
      <c r="I472" s="109">
        <v>1512</v>
      </c>
      <c r="J472" s="110">
        <v>626</v>
      </c>
    </row>
    <row r="473" spans="1:10">
      <c r="A473" s="103" t="s">
        <v>1522</v>
      </c>
      <c r="B473" s="124" t="s">
        <v>932</v>
      </c>
      <c r="C473" s="110">
        <v>951</v>
      </c>
      <c r="D473" s="109" t="s">
        <v>120</v>
      </c>
      <c r="E473" s="109">
        <v>10</v>
      </c>
      <c r="F473" s="110">
        <v>8712</v>
      </c>
      <c r="G473" s="109" t="s">
        <v>120</v>
      </c>
      <c r="H473" s="109">
        <v>916</v>
      </c>
      <c r="I473" s="109" t="s">
        <v>122</v>
      </c>
      <c r="J473" s="110" t="s">
        <v>122</v>
      </c>
    </row>
    <row r="474" spans="1:10">
      <c r="A474" s="103" t="s">
        <v>1523</v>
      </c>
      <c r="B474" s="124" t="s">
        <v>934</v>
      </c>
      <c r="C474" s="110">
        <v>8244</v>
      </c>
      <c r="D474" s="109" t="s">
        <v>120</v>
      </c>
      <c r="E474" s="109">
        <v>82</v>
      </c>
      <c r="F474" s="110">
        <v>4355</v>
      </c>
      <c r="G474" s="109" t="s">
        <v>120</v>
      </c>
      <c r="H474" s="109">
        <v>53</v>
      </c>
      <c r="I474" s="109" t="s">
        <v>122</v>
      </c>
      <c r="J474" s="110" t="s">
        <v>122</v>
      </c>
    </row>
    <row r="475" spans="1:10">
      <c r="A475" s="103" t="s">
        <v>1524</v>
      </c>
      <c r="B475" s="124" t="s">
        <v>1525</v>
      </c>
      <c r="C475" s="110">
        <v>26241</v>
      </c>
      <c r="D475" s="109" t="s">
        <v>120</v>
      </c>
      <c r="E475" s="109">
        <v>262</v>
      </c>
      <c r="F475" s="110">
        <v>19213</v>
      </c>
      <c r="G475" s="109" t="s">
        <v>120</v>
      </c>
      <c r="H475" s="109">
        <v>73</v>
      </c>
      <c r="I475" s="109">
        <v>149</v>
      </c>
      <c r="J475" s="110">
        <v>365</v>
      </c>
    </row>
    <row r="476" spans="1:10">
      <c r="A476" s="103" t="s">
        <v>1526</v>
      </c>
      <c r="B476" s="124" t="s">
        <v>932</v>
      </c>
      <c r="C476" s="110">
        <v>664</v>
      </c>
      <c r="D476" s="109" t="s">
        <v>120</v>
      </c>
      <c r="E476" s="109">
        <v>7</v>
      </c>
      <c r="F476" s="110">
        <v>8819</v>
      </c>
      <c r="G476" s="109" t="s">
        <v>120</v>
      </c>
      <c r="H476" s="109">
        <v>1328</v>
      </c>
      <c r="I476" s="109" t="s">
        <v>122</v>
      </c>
      <c r="J476" s="110" t="s">
        <v>122</v>
      </c>
    </row>
    <row r="477" spans="1:10">
      <c r="A477" s="103" t="s">
        <v>1527</v>
      </c>
      <c r="B477" s="124" t="s">
        <v>934</v>
      </c>
      <c r="C477" s="110">
        <v>25577</v>
      </c>
      <c r="D477" s="109" t="s">
        <v>120</v>
      </c>
      <c r="E477" s="109">
        <v>255</v>
      </c>
      <c r="F477" s="110">
        <v>10394</v>
      </c>
      <c r="G477" s="109" t="s">
        <v>120</v>
      </c>
      <c r="H477" s="109">
        <v>41</v>
      </c>
      <c r="I477" s="109" t="s">
        <v>122</v>
      </c>
      <c r="J477" s="110" t="s">
        <v>122</v>
      </c>
    </row>
    <row r="478" spans="1:10">
      <c r="A478" s="103" t="s">
        <v>1528</v>
      </c>
      <c r="B478" s="124" t="s">
        <v>1529</v>
      </c>
      <c r="C478" s="110">
        <v>8646</v>
      </c>
      <c r="D478" s="109" t="s">
        <v>120</v>
      </c>
      <c r="E478" s="109">
        <v>86</v>
      </c>
      <c r="F478" s="110">
        <v>9793</v>
      </c>
      <c r="G478" s="109" t="s">
        <v>120</v>
      </c>
      <c r="H478" s="109">
        <v>113</v>
      </c>
      <c r="I478" s="109">
        <v>1585</v>
      </c>
      <c r="J478" s="110">
        <v>897</v>
      </c>
    </row>
    <row r="479" spans="1:10">
      <c r="A479" s="103" t="s">
        <v>1530</v>
      </c>
      <c r="B479" s="124" t="s">
        <v>932</v>
      </c>
      <c r="C479" s="110">
        <v>346</v>
      </c>
      <c r="D479" s="109" t="s">
        <v>120</v>
      </c>
      <c r="E479" s="109">
        <v>3</v>
      </c>
      <c r="F479" s="110">
        <v>5676</v>
      </c>
      <c r="G479" s="109" t="s">
        <v>120</v>
      </c>
      <c r="H479" s="109">
        <v>1640</v>
      </c>
      <c r="I479" s="109" t="s">
        <v>122</v>
      </c>
      <c r="J479" s="110" t="s">
        <v>122</v>
      </c>
    </row>
    <row r="480" spans="1:10">
      <c r="A480" s="103" t="s">
        <v>1531</v>
      </c>
      <c r="B480" s="124" t="s">
        <v>934</v>
      </c>
      <c r="C480" s="110">
        <v>8300</v>
      </c>
      <c r="D480" s="109" t="s">
        <v>120</v>
      </c>
      <c r="E480" s="109">
        <v>83</v>
      </c>
      <c r="F480" s="110">
        <v>4117</v>
      </c>
      <c r="G480" s="109" t="s">
        <v>120</v>
      </c>
      <c r="H480" s="109">
        <v>50</v>
      </c>
      <c r="I480" s="109" t="s">
        <v>122</v>
      </c>
      <c r="J480" s="110" t="s">
        <v>122</v>
      </c>
    </row>
    <row r="481" spans="1:10" s="119" customFormat="1">
      <c r="A481" s="123" t="s">
        <v>120</v>
      </c>
      <c r="B481" s="273" t="s">
        <v>1532</v>
      </c>
      <c r="C481" s="274"/>
      <c r="D481" s="274"/>
      <c r="E481" s="274"/>
      <c r="F481" s="274"/>
      <c r="G481" s="274"/>
      <c r="H481" s="274"/>
      <c r="I481" s="274"/>
      <c r="J481" s="274"/>
    </row>
    <row r="482" spans="1:10" s="119" customFormat="1">
      <c r="A482" s="123" t="s">
        <v>120</v>
      </c>
      <c r="B482" s="275" t="s">
        <v>922</v>
      </c>
      <c r="C482" s="276"/>
      <c r="D482" s="276"/>
      <c r="E482" s="276"/>
      <c r="F482" s="276"/>
      <c r="G482" s="276"/>
      <c r="H482" s="276"/>
      <c r="I482" s="276"/>
      <c r="J482" s="276"/>
    </row>
    <row r="483" spans="1:10">
      <c r="A483" s="103" t="s">
        <v>1533</v>
      </c>
      <c r="B483" s="124" t="s">
        <v>1534</v>
      </c>
      <c r="C483" s="110">
        <v>1099</v>
      </c>
      <c r="D483" s="109" t="s">
        <v>120</v>
      </c>
      <c r="E483" s="109">
        <v>11</v>
      </c>
      <c r="F483" s="110">
        <v>14371</v>
      </c>
      <c r="G483" s="109" t="s">
        <v>120</v>
      </c>
      <c r="H483" s="109">
        <v>1308</v>
      </c>
      <c r="I483" s="109">
        <v>2313</v>
      </c>
      <c r="J483" s="110">
        <v>551</v>
      </c>
    </row>
    <row r="484" spans="1:10" s="119" customFormat="1">
      <c r="A484" s="123" t="s">
        <v>120</v>
      </c>
      <c r="B484" s="275" t="s">
        <v>924</v>
      </c>
      <c r="C484" s="276"/>
      <c r="D484" s="276"/>
      <c r="E484" s="276"/>
      <c r="F484" s="276"/>
      <c r="G484" s="276"/>
      <c r="H484" s="276"/>
      <c r="I484" s="276"/>
      <c r="J484" s="276"/>
    </row>
    <row r="485" spans="1:10">
      <c r="A485" s="103" t="s">
        <v>1535</v>
      </c>
      <c r="B485" s="124" t="s">
        <v>1536</v>
      </c>
      <c r="C485" s="110">
        <v>9539</v>
      </c>
      <c r="D485" s="109" t="s">
        <v>120</v>
      </c>
      <c r="E485" s="109">
        <v>96</v>
      </c>
      <c r="F485" s="110">
        <v>3086</v>
      </c>
      <c r="G485" s="109" t="s">
        <v>120</v>
      </c>
      <c r="H485" s="109">
        <v>32</v>
      </c>
      <c r="I485" s="109">
        <v>1463</v>
      </c>
      <c r="J485" s="110">
        <v>2185</v>
      </c>
    </row>
    <row r="486" spans="1:10">
      <c r="A486" s="103" t="s">
        <v>1537</v>
      </c>
      <c r="B486" s="124" t="s">
        <v>1538</v>
      </c>
      <c r="C486" s="110">
        <v>7406</v>
      </c>
      <c r="D486" s="109" t="s">
        <v>120</v>
      </c>
      <c r="E486" s="109">
        <v>74</v>
      </c>
      <c r="F486" s="110">
        <v>2870</v>
      </c>
      <c r="G486" s="109" t="s">
        <v>120</v>
      </c>
      <c r="H486" s="109">
        <v>39</v>
      </c>
      <c r="I486" s="109">
        <v>1791</v>
      </c>
      <c r="J486" s="110">
        <v>2215</v>
      </c>
    </row>
    <row r="487" spans="1:10">
      <c r="A487" s="103" t="s">
        <v>1539</v>
      </c>
      <c r="B487" s="124" t="s">
        <v>1540</v>
      </c>
      <c r="C487" s="110">
        <v>9830</v>
      </c>
      <c r="D487" s="109" t="s">
        <v>120</v>
      </c>
      <c r="E487" s="109">
        <v>98</v>
      </c>
      <c r="F487" s="110">
        <v>7102</v>
      </c>
      <c r="G487" s="109" t="s">
        <v>120</v>
      </c>
      <c r="H487" s="109">
        <v>72</v>
      </c>
      <c r="I487" s="109">
        <v>1417</v>
      </c>
      <c r="J487" s="110">
        <v>1278</v>
      </c>
    </row>
    <row r="488" spans="1:10">
      <c r="A488" s="103" t="s">
        <v>1541</v>
      </c>
      <c r="B488" s="124" t="s">
        <v>1534</v>
      </c>
      <c r="C488" s="110">
        <v>21004</v>
      </c>
      <c r="D488" s="109" t="s">
        <v>120</v>
      </c>
      <c r="E488" s="109">
        <v>210</v>
      </c>
      <c r="F488" s="110">
        <v>11870</v>
      </c>
      <c r="G488" s="109" t="s">
        <v>120</v>
      </c>
      <c r="H488" s="109">
        <v>57</v>
      </c>
      <c r="I488" s="109">
        <v>290</v>
      </c>
      <c r="J488" s="110">
        <v>707</v>
      </c>
    </row>
    <row r="489" spans="1:10">
      <c r="A489" s="103" t="s">
        <v>1542</v>
      </c>
      <c r="B489" s="124" t="s">
        <v>1543</v>
      </c>
      <c r="C489" s="110">
        <v>9935</v>
      </c>
      <c r="D489" s="109" t="s">
        <v>120</v>
      </c>
      <c r="E489" s="109">
        <v>99</v>
      </c>
      <c r="F489" s="110">
        <v>4648</v>
      </c>
      <c r="G489" s="109" t="s">
        <v>120</v>
      </c>
      <c r="H489" s="109">
        <v>47</v>
      </c>
      <c r="I489" s="109">
        <v>1401</v>
      </c>
      <c r="J489" s="110">
        <v>1831</v>
      </c>
    </row>
    <row r="490" spans="1:10">
      <c r="A490" s="103" t="s">
        <v>1544</v>
      </c>
      <c r="B490" s="124" t="s">
        <v>1545</v>
      </c>
      <c r="C490" s="110">
        <v>13368</v>
      </c>
      <c r="D490" s="109" t="s">
        <v>120</v>
      </c>
      <c r="E490" s="109">
        <v>134</v>
      </c>
      <c r="F490" s="110">
        <v>6691</v>
      </c>
      <c r="G490" s="109" t="s">
        <v>120</v>
      </c>
      <c r="H490" s="109">
        <v>50</v>
      </c>
      <c r="I490" s="109">
        <v>863</v>
      </c>
      <c r="J490" s="110">
        <v>1364</v>
      </c>
    </row>
    <row r="491" spans="1:10" s="119" customFormat="1">
      <c r="A491" s="123" t="s">
        <v>120</v>
      </c>
      <c r="B491" s="275" t="s">
        <v>947</v>
      </c>
      <c r="C491" s="276"/>
      <c r="D491" s="276"/>
      <c r="E491" s="276"/>
      <c r="F491" s="276"/>
      <c r="G491" s="276"/>
      <c r="H491" s="276"/>
      <c r="I491" s="276"/>
      <c r="J491" s="276"/>
    </row>
    <row r="492" spans="1:10">
      <c r="A492" s="103" t="s">
        <v>1546</v>
      </c>
      <c r="B492" s="124" t="s">
        <v>1547</v>
      </c>
      <c r="C492" s="110">
        <v>11518</v>
      </c>
      <c r="D492" s="109" t="s">
        <v>120</v>
      </c>
      <c r="E492" s="109">
        <v>115</v>
      </c>
      <c r="F492" s="110">
        <v>7584</v>
      </c>
      <c r="G492" s="109" t="s">
        <v>120</v>
      </c>
      <c r="H492" s="109">
        <v>66</v>
      </c>
      <c r="I492" s="109">
        <v>1124</v>
      </c>
      <c r="J492" s="110">
        <v>1188</v>
      </c>
    </row>
    <row r="493" spans="1:10">
      <c r="A493" s="103" t="s">
        <v>1548</v>
      </c>
      <c r="B493" s="124" t="s">
        <v>932</v>
      </c>
      <c r="C493" s="110">
        <v>541</v>
      </c>
      <c r="D493" s="109" t="s">
        <v>120</v>
      </c>
      <c r="E493" s="109">
        <v>5</v>
      </c>
      <c r="F493" s="110">
        <v>2117</v>
      </c>
      <c r="G493" s="109" t="s">
        <v>120</v>
      </c>
      <c r="H493" s="109">
        <v>391</v>
      </c>
      <c r="I493" s="109" t="s">
        <v>122</v>
      </c>
      <c r="J493" s="110" t="s">
        <v>122</v>
      </c>
    </row>
    <row r="494" spans="1:10">
      <c r="A494" s="103" t="s">
        <v>1549</v>
      </c>
      <c r="B494" s="124" t="s">
        <v>934</v>
      </c>
      <c r="C494" s="110">
        <v>10977</v>
      </c>
      <c r="D494" s="109" t="s">
        <v>120</v>
      </c>
      <c r="E494" s="109">
        <v>110</v>
      </c>
      <c r="F494" s="110">
        <v>5467</v>
      </c>
      <c r="G494" s="109" t="s">
        <v>120</v>
      </c>
      <c r="H494" s="109">
        <v>50</v>
      </c>
      <c r="I494" s="109" t="s">
        <v>122</v>
      </c>
      <c r="J494" s="110" t="s">
        <v>122</v>
      </c>
    </row>
    <row r="495" spans="1:10">
      <c r="A495" s="103" t="s">
        <v>1550</v>
      </c>
      <c r="B495" s="124" t="s">
        <v>1551</v>
      </c>
      <c r="C495" s="110">
        <v>17875</v>
      </c>
      <c r="D495" s="109" t="s">
        <v>120</v>
      </c>
      <c r="E495" s="109">
        <v>179</v>
      </c>
      <c r="F495" s="110">
        <v>7528</v>
      </c>
      <c r="G495" s="109" t="s">
        <v>120</v>
      </c>
      <c r="H495" s="109">
        <v>42</v>
      </c>
      <c r="I495" s="109">
        <v>460</v>
      </c>
      <c r="J495" s="110">
        <v>1198</v>
      </c>
    </row>
    <row r="496" spans="1:10">
      <c r="A496" s="103" t="s">
        <v>1552</v>
      </c>
      <c r="B496" s="124" t="s">
        <v>932</v>
      </c>
      <c r="C496" s="110">
        <v>748</v>
      </c>
      <c r="D496" s="109" t="s">
        <v>120</v>
      </c>
      <c r="E496" s="109">
        <v>8</v>
      </c>
      <c r="F496" s="110">
        <v>3590</v>
      </c>
      <c r="G496" s="109" t="s">
        <v>120</v>
      </c>
      <c r="H496" s="109">
        <v>480</v>
      </c>
      <c r="I496" s="109" t="s">
        <v>122</v>
      </c>
      <c r="J496" s="110" t="s">
        <v>122</v>
      </c>
    </row>
    <row r="497" spans="1:10">
      <c r="A497" s="103" t="s">
        <v>1553</v>
      </c>
      <c r="B497" s="124" t="s">
        <v>934</v>
      </c>
      <c r="C497" s="110">
        <v>17127</v>
      </c>
      <c r="D497" s="109" t="s">
        <v>120</v>
      </c>
      <c r="E497" s="109">
        <v>171</v>
      </c>
      <c r="F497" s="110">
        <v>3938</v>
      </c>
      <c r="G497" s="109" t="s">
        <v>120</v>
      </c>
      <c r="H497" s="109">
        <v>23</v>
      </c>
      <c r="I497" s="109" t="s">
        <v>122</v>
      </c>
      <c r="J497" s="110" t="s">
        <v>122</v>
      </c>
    </row>
    <row r="498" spans="1:10" s="119" customFormat="1">
      <c r="A498" s="123" t="s">
        <v>120</v>
      </c>
      <c r="B498" s="273" t="s">
        <v>1554</v>
      </c>
      <c r="C498" s="274"/>
      <c r="D498" s="274"/>
      <c r="E498" s="274"/>
      <c r="F498" s="274"/>
      <c r="G498" s="274"/>
      <c r="H498" s="274"/>
      <c r="I498" s="274"/>
      <c r="J498" s="274"/>
    </row>
    <row r="499" spans="1:10" s="119" customFormat="1">
      <c r="A499" s="123" t="s">
        <v>120</v>
      </c>
      <c r="B499" s="275" t="s">
        <v>924</v>
      </c>
      <c r="C499" s="276"/>
      <c r="D499" s="276"/>
      <c r="E499" s="276"/>
      <c r="F499" s="276"/>
      <c r="G499" s="276"/>
      <c r="H499" s="276"/>
      <c r="I499" s="276"/>
      <c r="J499" s="276"/>
    </row>
    <row r="500" spans="1:10">
      <c r="A500" s="103" t="s">
        <v>1555</v>
      </c>
      <c r="B500" s="124" t="s">
        <v>1556</v>
      </c>
      <c r="C500" s="110">
        <v>11029</v>
      </c>
      <c r="D500" s="109" t="s">
        <v>120</v>
      </c>
      <c r="E500" s="109">
        <v>110</v>
      </c>
      <c r="F500" s="110">
        <v>4600</v>
      </c>
      <c r="G500" s="109" t="s">
        <v>120</v>
      </c>
      <c r="H500" s="109">
        <v>42</v>
      </c>
      <c r="I500" s="109">
        <v>1219</v>
      </c>
      <c r="J500" s="110">
        <v>1841</v>
      </c>
    </row>
    <row r="501" spans="1:10">
      <c r="A501" s="103" t="s">
        <v>1557</v>
      </c>
      <c r="B501" s="124" t="s">
        <v>1558</v>
      </c>
      <c r="C501" s="110">
        <v>12373</v>
      </c>
      <c r="D501" s="109" t="s">
        <v>120</v>
      </c>
      <c r="E501" s="109">
        <v>124</v>
      </c>
      <c r="F501" s="110">
        <v>4860</v>
      </c>
      <c r="G501" s="109" t="s">
        <v>120</v>
      </c>
      <c r="H501" s="109">
        <v>39</v>
      </c>
      <c r="I501" s="109">
        <v>1001</v>
      </c>
      <c r="J501" s="110">
        <v>1777</v>
      </c>
    </row>
    <row r="502" spans="1:10" s="119" customFormat="1">
      <c r="A502" s="123" t="s">
        <v>120</v>
      </c>
      <c r="B502" s="275" t="s">
        <v>947</v>
      </c>
      <c r="C502" s="276"/>
      <c r="D502" s="276"/>
      <c r="E502" s="276"/>
      <c r="F502" s="276"/>
      <c r="G502" s="276"/>
      <c r="H502" s="276"/>
      <c r="I502" s="276"/>
      <c r="J502" s="276"/>
    </row>
    <row r="503" spans="1:10">
      <c r="A503" s="103" t="s">
        <v>1559</v>
      </c>
      <c r="B503" s="124" t="s">
        <v>1560</v>
      </c>
      <c r="C503" s="110">
        <v>25620</v>
      </c>
      <c r="D503" s="109" t="s">
        <v>120</v>
      </c>
      <c r="E503" s="109">
        <v>256</v>
      </c>
      <c r="F503" s="110">
        <v>24574</v>
      </c>
      <c r="G503" s="109" t="s">
        <v>120</v>
      </c>
      <c r="H503" s="109">
        <v>96</v>
      </c>
      <c r="I503" s="109">
        <v>164</v>
      </c>
      <c r="J503" s="110">
        <v>254</v>
      </c>
    </row>
    <row r="504" spans="1:10">
      <c r="A504" s="103" t="s">
        <v>1561</v>
      </c>
      <c r="B504" s="124" t="s">
        <v>932</v>
      </c>
      <c r="C504" s="110">
        <v>832</v>
      </c>
      <c r="D504" s="109" t="s">
        <v>120</v>
      </c>
      <c r="E504" s="109">
        <v>8</v>
      </c>
      <c r="F504" s="110">
        <v>11786</v>
      </c>
      <c r="G504" s="109" t="s">
        <v>120</v>
      </c>
      <c r="H504" s="109">
        <v>1417</v>
      </c>
      <c r="I504" s="109" t="s">
        <v>122</v>
      </c>
      <c r="J504" s="110" t="s">
        <v>122</v>
      </c>
    </row>
    <row r="505" spans="1:10">
      <c r="A505" s="103" t="s">
        <v>1562</v>
      </c>
      <c r="B505" s="124" t="s">
        <v>934</v>
      </c>
      <c r="C505" s="110">
        <v>24788</v>
      </c>
      <c r="D505" s="109" t="s">
        <v>120</v>
      </c>
      <c r="E505" s="109">
        <v>248</v>
      </c>
      <c r="F505" s="110">
        <v>12788</v>
      </c>
      <c r="G505" s="109" t="s">
        <v>120</v>
      </c>
      <c r="H505" s="109">
        <v>52</v>
      </c>
      <c r="I505" s="109" t="s">
        <v>122</v>
      </c>
      <c r="J505" s="110" t="s">
        <v>122</v>
      </c>
    </row>
    <row r="506" spans="1:10">
      <c r="A506" s="103" t="s">
        <v>1563</v>
      </c>
      <c r="B506" s="124" t="s">
        <v>1564</v>
      </c>
      <c r="C506" s="110">
        <v>18490</v>
      </c>
      <c r="D506" s="109" t="s">
        <v>120</v>
      </c>
      <c r="E506" s="109">
        <v>185</v>
      </c>
      <c r="F506" s="110">
        <v>11585</v>
      </c>
      <c r="G506" s="109" t="s">
        <v>120</v>
      </c>
      <c r="H506" s="109">
        <v>63</v>
      </c>
      <c r="I506" s="109">
        <v>422</v>
      </c>
      <c r="J506" s="110">
        <v>732</v>
      </c>
    </row>
    <row r="507" spans="1:10">
      <c r="A507" s="103" t="s">
        <v>1565</v>
      </c>
      <c r="B507" s="124" t="s">
        <v>932</v>
      </c>
      <c r="C507" s="110">
        <v>446</v>
      </c>
      <c r="D507" s="109" t="s">
        <v>120</v>
      </c>
      <c r="E507" s="109">
        <v>5</v>
      </c>
      <c r="F507" s="110">
        <v>5611</v>
      </c>
      <c r="G507" s="109" t="s">
        <v>120</v>
      </c>
      <c r="H507" s="109">
        <v>1258</v>
      </c>
      <c r="I507" s="109" t="s">
        <v>122</v>
      </c>
      <c r="J507" s="110" t="s">
        <v>122</v>
      </c>
    </row>
    <row r="508" spans="1:10">
      <c r="A508" s="103" t="s">
        <v>1566</v>
      </c>
      <c r="B508" s="124" t="s">
        <v>934</v>
      </c>
      <c r="C508" s="110">
        <v>18044</v>
      </c>
      <c r="D508" s="109" t="s">
        <v>120</v>
      </c>
      <c r="E508" s="109">
        <v>180</v>
      </c>
      <c r="F508" s="110">
        <v>5974</v>
      </c>
      <c r="G508" s="109" t="s">
        <v>120</v>
      </c>
      <c r="H508" s="109">
        <v>33</v>
      </c>
      <c r="I508" s="109" t="s">
        <v>122</v>
      </c>
      <c r="J508" s="110" t="s">
        <v>122</v>
      </c>
    </row>
    <row r="509" spans="1:10" s="119" customFormat="1">
      <c r="A509" s="123" t="s">
        <v>120</v>
      </c>
      <c r="B509" s="273" t="s">
        <v>1567</v>
      </c>
      <c r="C509" s="274"/>
      <c r="D509" s="274"/>
      <c r="E509" s="274"/>
      <c r="F509" s="274"/>
      <c r="G509" s="274"/>
      <c r="H509" s="274"/>
      <c r="I509" s="274"/>
      <c r="J509" s="274"/>
    </row>
    <row r="510" spans="1:10" s="119" customFormat="1">
      <c r="A510" s="123" t="s">
        <v>120</v>
      </c>
      <c r="B510" s="275" t="s">
        <v>1568</v>
      </c>
      <c r="C510" s="276"/>
      <c r="D510" s="276"/>
      <c r="E510" s="276"/>
      <c r="F510" s="276"/>
      <c r="G510" s="276"/>
      <c r="H510" s="276"/>
      <c r="I510" s="276"/>
      <c r="J510" s="276"/>
    </row>
    <row r="511" spans="1:10">
      <c r="A511" s="103" t="s">
        <v>1569</v>
      </c>
      <c r="B511" s="124" t="s">
        <v>1570</v>
      </c>
      <c r="C511" s="110">
        <v>15375</v>
      </c>
      <c r="D511" s="109" t="s">
        <v>120</v>
      </c>
      <c r="E511" s="109">
        <v>154</v>
      </c>
      <c r="F511" s="110">
        <v>7252</v>
      </c>
      <c r="G511" s="109" t="s">
        <v>120</v>
      </c>
      <c r="H511" s="109">
        <v>47</v>
      </c>
      <c r="I511" s="109">
        <v>642</v>
      </c>
      <c r="J511" s="110">
        <v>1250</v>
      </c>
    </row>
    <row r="512" spans="1:10" s="119" customFormat="1">
      <c r="A512" s="123" t="s">
        <v>120</v>
      </c>
      <c r="B512" s="275" t="s">
        <v>947</v>
      </c>
      <c r="C512" s="276"/>
      <c r="D512" s="276"/>
      <c r="E512" s="276"/>
      <c r="F512" s="276"/>
      <c r="G512" s="276"/>
      <c r="H512" s="276"/>
      <c r="I512" s="276"/>
      <c r="J512" s="276"/>
    </row>
    <row r="513" spans="1:10">
      <c r="A513" s="103" t="s">
        <v>1571</v>
      </c>
      <c r="B513" s="124" t="s">
        <v>1572</v>
      </c>
      <c r="C513" s="110">
        <v>29663</v>
      </c>
      <c r="D513" s="109" t="s">
        <v>120</v>
      </c>
      <c r="E513" s="109">
        <v>297</v>
      </c>
      <c r="F513" s="110">
        <v>13361</v>
      </c>
      <c r="G513" s="109" t="s">
        <v>120</v>
      </c>
      <c r="H513" s="109">
        <v>45</v>
      </c>
      <c r="I513" s="109">
        <v>101</v>
      </c>
      <c r="J513" s="110">
        <v>601</v>
      </c>
    </row>
    <row r="514" spans="1:10">
      <c r="A514" s="103" t="s">
        <v>1573</v>
      </c>
      <c r="B514" s="124" t="s">
        <v>932</v>
      </c>
      <c r="C514" s="110">
        <v>684</v>
      </c>
      <c r="D514" s="109" t="s">
        <v>120</v>
      </c>
      <c r="E514" s="109">
        <v>7</v>
      </c>
      <c r="F514" s="110">
        <v>4617</v>
      </c>
      <c r="G514" s="109" t="s">
        <v>120</v>
      </c>
      <c r="H514" s="109">
        <v>675</v>
      </c>
      <c r="I514" s="109" t="s">
        <v>122</v>
      </c>
      <c r="J514" s="110" t="s">
        <v>122</v>
      </c>
    </row>
    <row r="515" spans="1:10">
      <c r="A515" s="103" t="s">
        <v>1574</v>
      </c>
      <c r="B515" s="124" t="s">
        <v>934</v>
      </c>
      <c r="C515" s="110">
        <v>28979</v>
      </c>
      <c r="D515" s="109" t="s">
        <v>120</v>
      </c>
      <c r="E515" s="109">
        <v>290</v>
      </c>
      <c r="F515" s="110">
        <v>8744</v>
      </c>
      <c r="G515" s="109" t="s">
        <v>120</v>
      </c>
      <c r="H515" s="109">
        <v>30</v>
      </c>
      <c r="I515" s="109" t="s">
        <v>122</v>
      </c>
      <c r="J515" s="110" t="s">
        <v>122</v>
      </c>
    </row>
    <row r="516" spans="1:10">
      <c r="A516" s="103" t="s">
        <v>1575</v>
      </c>
      <c r="B516" s="124" t="s">
        <v>1576</v>
      </c>
      <c r="C516" s="110">
        <v>15051</v>
      </c>
      <c r="D516" s="109" t="s">
        <v>120</v>
      </c>
      <c r="E516" s="109">
        <v>150</v>
      </c>
      <c r="F516" s="110">
        <v>9233</v>
      </c>
      <c r="G516" s="109" t="s">
        <v>120</v>
      </c>
      <c r="H516" s="109">
        <v>61</v>
      </c>
      <c r="I516" s="109">
        <v>675</v>
      </c>
      <c r="J516" s="110">
        <v>949</v>
      </c>
    </row>
    <row r="517" spans="1:10">
      <c r="A517" s="103" t="s">
        <v>1577</v>
      </c>
      <c r="B517" s="124" t="s">
        <v>932</v>
      </c>
      <c r="C517" s="110">
        <v>501</v>
      </c>
      <c r="D517" s="109" t="s">
        <v>120</v>
      </c>
      <c r="E517" s="109">
        <v>5</v>
      </c>
      <c r="F517" s="110">
        <v>4332</v>
      </c>
      <c r="G517" s="109" t="s">
        <v>120</v>
      </c>
      <c r="H517" s="109">
        <v>865</v>
      </c>
      <c r="I517" s="109" t="s">
        <v>122</v>
      </c>
      <c r="J517" s="110" t="s">
        <v>122</v>
      </c>
    </row>
    <row r="518" spans="1:10">
      <c r="A518" s="103" t="s">
        <v>1578</v>
      </c>
      <c r="B518" s="124" t="s">
        <v>934</v>
      </c>
      <c r="C518" s="110">
        <v>14550</v>
      </c>
      <c r="D518" s="109" t="s">
        <v>120</v>
      </c>
      <c r="E518" s="109">
        <v>145</v>
      </c>
      <c r="F518" s="110">
        <v>4901</v>
      </c>
      <c r="G518" s="109" t="s">
        <v>120</v>
      </c>
      <c r="H518" s="109">
        <v>34</v>
      </c>
      <c r="I518" s="109" t="s">
        <v>122</v>
      </c>
      <c r="J518" s="110" t="s">
        <v>122</v>
      </c>
    </row>
    <row r="519" spans="1:10">
      <c r="A519" s="103" t="s">
        <v>1579</v>
      </c>
      <c r="B519" s="124" t="s">
        <v>1580</v>
      </c>
      <c r="C519" s="110">
        <v>18693</v>
      </c>
      <c r="D519" s="109" t="s">
        <v>120</v>
      </c>
      <c r="E519" s="109">
        <v>187</v>
      </c>
      <c r="F519" s="110">
        <v>31668</v>
      </c>
      <c r="G519" s="109" t="s">
        <v>120</v>
      </c>
      <c r="H519" s="109">
        <v>169</v>
      </c>
      <c r="I519" s="109">
        <v>411</v>
      </c>
      <c r="J519" s="110">
        <v>175</v>
      </c>
    </row>
    <row r="520" spans="1:10">
      <c r="A520" s="103" t="s">
        <v>1581</v>
      </c>
      <c r="B520" s="124" t="s">
        <v>932</v>
      </c>
      <c r="C520" s="110">
        <v>1082</v>
      </c>
      <c r="D520" s="109" t="s">
        <v>120</v>
      </c>
      <c r="E520" s="109">
        <v>11</v>
      </c>
      <c r="F520" s="110">
        <v>18189</v>
      </c>
      <c r="G520" s="109" t="s">
        <v>120</v>
      </c>
      <c r="H520" s="109">
        <v>1681</v>
      </c>
      <c r="I520" s="109" t="s">
        <v>122</v>
      </c>
      <c r="J520" s="110" t="s">
        <v>122</v>
      </c>
    </row>
    <row r="521" spans="1:10">
      <c r="A521" s="103" t="s">
        <v>1582</v>
      </c>
      <c r="B521" s="124" t="s">
        <v>934</v>
      </c>
      <c r="C521" s="110">
        <v>17611</v>
      </c>
      <c r="D521" s="109" t="s">
        <v>120</v>
      </c>
      <c r="E521" s="109">
        <v>176</v>
      </c>
      <c r="F521" s="110">
        <v>13479</v>
      </c>
      <c r="G521" s="109" t="s">
        <v>120</v>
      </c>
      <c r="H521" s="109">
        <v>77</v>
      </c>
      <c r="I521" s="109" t="s">
        <v>122</v>
      </c>
      <c r="J521" s="110" t="s">
        <v>122</v>
      </c>
    </row>
    <row r="522" spans="1:10">
      <c r="A522" s="103" t="s">
        <v>1583</v>
      </c>
      <c r="B522" s="124" t="s">
        <v>1584</v>
      </c>
      <c r="C522" s="110">
        <v>33226</v>
      </c>
      <c r="D522" s="109" t="s">
        <v>120</v>
      </c>
      <c r="E522" s="109">
        <v>332</v>
      </c>
      <c r="F522" s="110">
        <v>24797</v>
      </c>
      <c r="G522" s="109" t="s">
        <v>120</v>
      </c>
      <c r="H522" s="109">
        <v>75</v>
      </c>
      <c r="I522" s="109">
        <v>64</v>
      </c>
      <c r="J522" s="110">
        <v>249</v>
      </c>
    </row>
    <row r="523" spans="1:10">
      <c r="A523" s="103" t="s">
        <v>1585</v>
      </c>
      <c r="B523" s="124" t="s">
        <v>932</v>
      </c>
      <c r="C523" s="110">
        <v>765</v>
      </c>
      <c r="D523" s="109" t="s">
        <v>120</v>
      </c>
      <c r="E523" s="109">
        <v>8</v>
      </c>
      <c r="F523" s="110">
        <v>9545</v>
      </c>
      <c r="G523" s="109" t="s">
        <v>120</v>
      </c>
      <c r="H523" s="109">
        <v>1248</v>
      </c>
      <c r="I523" s="109" t="s">
        <v>122</v>
      </c>
      <c r="J523" s="110" t="s">
        <v>122</v>
      </c>
    </row>
    <row r="524" spans="1:10">
      <c r="A524" s="103" t="s">
        <v>1586</v>
      </c>
      <c r="B524" s="124" t="s">
        <v>934</v>
      </c>
      <c r="C524" s="110">
        <v>32461</v>
      </c>
      <c r="D524" s="109" t="s">
        <v>120</v>
      </c>
      <c r="E524" s="109">
        <v>324</v>
      </c>
      <c r="F524" s="110">
        <v>15252</v>
      </c>
      <c r="G524" s="109" t="s">
        <v>120</v>
      </c>
      <c r="H524" s="109">
        <v>47</v>
      </c>
      <c r="I524" s="109" t="s">
        <v>122</v>
      </c>
      <c r="J524" s="110" t="s">
        <v>122</v>
      </c>
    </row>
    <row r="525" spans="1:10" s="119" customFormat="1">
      <c r="A525" s="123" t="s">
        <v>120</v>
      </c>
      <c r="B525" s="273" t="s">
        <v>1587</v>
      </c>
      <c r="C525" s="274"/>
      <c r="D525" s="274"/>
      <c r="E525" s="274"/>
      <c r="F525" s="274"/>
      <c r="G525" s="274"/>
      <c r="H525" s="274"/>
      <c r="I525" s="274"/>
      <c r="J525" s="274"/>
    </row>
    <row r="526" spans="1:10" s="119" customFormat="1">
      <c r="A526" s="123" t="s">
        <v>120</v>
      </c>
      <c r="B526" s="275" t="s">
        <v>1019</v>
      </c>
      <c r="C526" s="276"/>
      <c r="D526" s="276"/>
      <c r="E526" s="276"/>
      <c r="F526" s="276"/>
      <c r="G526" s="276"/>
      <c r="H526" s="276"/>
      <c r="I526" s="276"/>
      <c r="J526" s="276"/>
    </row>
    <row r="527" spans="1:10">
      <c r="A527" s="103" t="s">
        <v>1588</v>
      </c>
      <c r="B527" s="124" t="s">
        <v>1589</v>
      </c>
      <c r="C527" s="110">
        <v>569</v>
      </c>
      <c r="D527" s="109" t="s">
        <v>120</v>
      </c>
      <c r="E527" s="109">
        <v>6</v>
      </c>
      <c r="F527" s="110">
        <v>5516</v>
      </c>
      <c r="G527" s="109" t="s">
        <v>120</v>
      </c>
      <c r="H527" s="109">
        <v>969</v>
      </c>
      <c r="I527" s="109">
        <v>2337</v>
      </c>
      <c r="J527" s="110">
        <v>1610</v>
      </c>
    </row>
    <row r="528" spans="1:10" s="119" customFormat="1">
      <c r="A528" s="123" t="s">
        <v>120</v>
      </c>
      <c r="B528" s="275" t="s">
        <v>943</v>
      </c>
      <c r="C528" s="276"/>
      <c r="D528" s="276"/>
      <c r="E528" s="276"/>
      <c r="F528" s="276"/>
      <c r="G528" s="276"/>
      <c r="H528" s="276"/>
      <c r="I528" s="276"/>
      <c r="J528" s="276"/>
    </row>
    <row r="529" spans="1:10">
      <c r="A529" s="103" t="s">
        <v>1590</v>
      </c>
      <c r="B529" s="124" t="s">
        <v>1591</v>
      </c>
      <c r="C529" s="110">
        <v>7337</v>
      </c>
      <c r="D529" s="109" t="s">
        <v>120</v>
      </c>
      <c r="E529" s="109">
        <v>73</v>
      </c>
      <c r="F529" s="110">
        <v>3456</v>
      </c>
      <c r="G529" s="109" t="s">
        <v>120</v>
      </c>
      <c r="H529" s="109">
        <v>47</v>
      </c>
      <c r="I529" s="109">
        <v>1801</v>
      </c>
      <c r="J529" s="110">
        <v>2114</v>
      </c>
    </row>
    <row r="530" spans="1:10">
      <c r="A530" s="103" t="s">
        <v>1592</v>
      </c>
      <c r="B530" s="124" t="s">
        <v>1593</v>
      </c>
      <c r="C530" s="110">
        <v>7082</v>
      </c>
      <c r="D530" s="109" t="s">
        <v>120</v>
      </c>
      <c r="E530" s="109">
        <v>71</v>
      </c>
      <c r="F530" s="110">
        <v>5352</v>
      </c>
      <c r="G530" s="109" t="s">
        <v>120</v>
      </c>
      <c r="H530" s="109">
        <v>76</v>
      </c>
      <c r="I530" s="109">
        <v>1839</v>
      </c>
      <c r="J530" s="110">
        <v>1650</v>
      </c>
    </row>
    <row r="531" spans="1:10">
      <c r="A531" s="103" t="s">
        <v>1594</v>
      </c>
      <c r="B531" s="124" t="s">
        <v>1595</v>
      </c>
      <c r="C531" s="110">
        <v>12312</v>
      </c>
      <c r="D531" s="109" t="s">
        <v>120</v>
      </c>
      <c r="E531" s="109">
        <v>122</v>
      </c>
      <c r="F531" s="110">
        <v>7595</v>
      </c>
      <c r="G531" s="109" t="s">
        <v>120</v>
      </c>
      <c r="H531" s="109">
        <v>62</v>
      </c>
      <c r="I531" s="109">
        <v>1008</v>
      </c>
      <c r="J531" s="110">
        <v>1186</v>
      </c>
    </row>
    <row r="532" spans="1:10">
      <c r="A532" s="103" t="s">
        <v>1596</v>
      </c>
      <c r="B532" s="124" t="s">
        <v>1589</v>
      </c>
      <c r="C532" s="110">
        <v>9265</v>
      </c>
      <c r="D532" s="109" t="s">
        <v>120</v>
      </c>
      <c r="E532" s="109">
        <v>93</v>
      </c>
      <c r="F532" s="110">
        <v>4375</v>
      </c>
      <c r="G532" s="109" t="s">
        <v>120</v>
      </c>
      <c r="H532" s="109">
        <v>47</v>
      </c>
      <c r="I532" s="109">
        <v>1505</v>
      </c>
      <c r="J532" s="110">
        <v>1897</v>
      </c>
    </row>
    <row r="533" spans="1:10">
      <c r="A533" s="103" t="s">
        <v>1597</v>
      </c>
      <c r="B533" s="124" t="s">
        <v>1598</v>
      </c>
      <c r="C533" s="110">
        <v>10288</v>
      </c>
      <c r="D533" s="109" t="s">
        <v>120</v>
      </c>
      <c r="E533" s="109">
        <v>103</v>
      </c>
      <c r="F533" s="110">
        <v>4793</v>
      </c>
      <c r="G533" s="109" t="s">
        <v>120</v>
      </c>
      <c r="H533" s="109">
        <v>47</v>
      </c>
      <c r="I533" s="109">
        <v>1340</v>
      </c>
      <c r="J533" s="110">
        <v>1796</v>
      </c>
    </row>
    <row r="534" spans="1:10" s="119" customFormat="1">
      <c r="A534" s="123" t="s">
        <v>120</v>
      </c>
      <c r="B534" s="275" t="s">
        <v>929</v>
      </c>
      <c r="C534" s="276"/>
      <c r="D534" s="276"/>
      <c r="E534" s="276"/>
      <c r="F534" s="276"/>
      <c r="G534" s="276"/>
      <c r="H534" s="276"/>
      <c r="I534" s="276"/>
      <c r="J534" s="276"/>
    </row>
    <row r="535" spans="1:10">
      <c r="A535" s="103" t="s">
        <v>1599</v>
      </c>
      <c r="B535" s="124" t="s">
        <v>1600</v>
      </c>
      <c r="C535" s="110">
        <v>13867</v>
      </c>
      <c r="D535" s="109" t="s">
        <v>120</v>
      </c>
      <c r="E535" s="109">
        <v>139</v>
      </c>
      <c r="F535" s="110">
        <v>9234</v>
      </c>
      <c r="G535" s="109" t="s">
        <v>120</v>
      </c>
      <c r="H535" s="109">
        <v>67</v>
      </c>
      <c r="I535" s="109">
        <v>796</v>
      </c>
      <c r="J535" s="110">
        <v>948</v>
      </c>
    </row>
    <row r="536" spans="1:10">
      <c r="A536" s="103" t="s">
        <v>1601</v>
      </c>
      <c r="B536" s="124" t="s">
        <v>932</v>
      </c>
      <c r="C536" s="110">
        <v>976</v>
      </c>
      <c r="D536" s="109" t="s">
        <v>120</v>
      </c>
      <c r="E536" s="109">
        <v>9</v>
      </c>
      <c r="F536" s="110">
        <v>4426</v>
      </c>
      <c r="G536" s="109" t="s">
        <v>120</v>
      </c>
      <c r="H536" s="109">
        <v>453</v>
      </c>
      <c r="I536" s="109" t="s">
        <v>122</v>
      </c>
      <c r="J536" s="110" t="s">
        <v>122</v>
      </c>
    </row>
    <row r="537" spans="1:10">
      <c r="A537" s="103" t="s">
        <v>1602</v>
      </c>
      <c r="B537" s="124" t="s">
        <v>934</v>
      </c>
      <c r="C537" s="110">
        <v>12891</v>
      </c>
      <c r="D537" s="109" t="s">
        <v>120</v>
      </c>
      <c r="E537" s="109">
        <v>130</v>
      </c>
      <c r="F537" s="110">
        <v>4808</v>
      </c>
      <c r="G537" s="109" t="s">
        <v>120</v>
      </c>
      <c r="H537" s="109">
        <v>37</v>
      </c>
      <c r="I537" s="109" t="s">
        <v>122</v>
      </c>
      <c r="J537" s="110" t="s">
        <v>122</v>
      </c>
    </row>
    <row r="538" spans="1:10" s="119" customFormat="1">
      <c r="A538" s="123" t="s">
        <v>120</v>
      </c>
      <c r="B538" s="273" t="s">
        <v>1603</v>
      </c>
      <c r="C538" s="274"/>
      <c r="D538" s="274"/>
      <c r="E538" s="274"/>
      <c r="F538" s="274"/>
      <c r="G538" s="274"/>
      <c r="H538" s="274"/>
      <c r="I538" s="274"/>
      <c r="J538" s="274"/>
    </row>
    <row r="539" spans="1:10" s="119" customFormat="1">
      <c r="A539" s="123" t="s">
        <v>120</v>
      </c>
      <c r="B539" s="275" t="s">
        <v>922</v>
      </c>
      <c r="C539" s="276"/>
      <c r="D539" s="276"/>
      <c r="E539" s="276"/>
      <c r="F539" s="276"/>
      <c r="G539" s="276"/>
      <c r="H539" s="276"/>
      <c r="I539" s="276"/>
      <c r="J539" s="276"/>
    </row>
    <row r="540" spans="1:10">
      <c r="A540" s="103" t="s">
        <v>1604</v>
      </c>
      <c r="B540" s="124" t="s">
        <v>1605</v>
      </c>
      <c r="C540" s="110">
        <v>1096</v>
      </c>
      <c r="D540" s="109" t="s">
        <v>120</v>
      </c>
      <c r="E540" s="109">
        <v>10</v>
      </c>
      <c r="F540" s="110">
        <v>16130</v>
      </c>
      <c r="G540" s="109" t="s">
        <v>120</v>
      </c>
      <c r="H540" s="109">
        <v>1472</v>
      </c>
      <c r="I540" s="109">
        <v>2315</v>
      </c>
      <c r="J540" s="110">
        <v>469</v>
      </c>
    </row>
    <row r="541" spans="1:10" s="119" customFormat="1">
      <c r="A541" s="123" t="s">
        <v>120</v>
      </c>
      <c r="B541" s="275" t="s">
        <v>943</v>
      </c>
      <c r="C541" s="276"/>
      <c r="D541" s="276"/>
      <c r="E541" s="276"/>
      <c r="F541" s="276"/>
      <c r="G541" s="276"/>
      <c r="H541" s="276"/>
      <c r="I541" s="276"/>
      <c r="J541" s="276"/>
    </row>
    <row r="542" spans="1:10">
      <c r="A542" s="103" t="s">
        <v>1606</v>
      </c>
      <c r="B542" s="124" t="s">
        <v>1607</v>
      </c>
      <c r="C542" s="110">
        <v>8640</v>
      </c>
      <c r="D542" s="109" t="s">
        <v>120</v>
      </c>
      <c r="E542" s="109">
        <v>87</v>
      </c>
      <c r="F542" s="110">
        <v>5287</v>
      </c>
      <c r="G542" s="109" t="s">
        <v>120</v>
      </c>
      <c r="H542" s="109">
        <v>61</v>
      </c>
      <c r="I542" s="109">
        <v>1586</v>
      </c>
      <c r="J542" s="110">
        <v>1665</v>
      </c>
    </row>
    <row r="543" spans="1:10">
      <c r="A543" s="103" t="s">
        <v>1608</v>
      </c>
      <c r="B543" s="124" t="s">
        <v>1609</v>
      </c>
      <c r="C543" s="110">
        <v>14101</v>
      </c>
      <c r="D543" s="109" t="s">
        <v>120</v>
      </c>
      <c r="E543" s="109">
        <v>141</v>
      </c>
      <c r="F543" s="110">
        <v>4765</v>
      </c>
      <c r="G543" s="109" t="s">
        <v>120</v>
      </c>
      <c r="H543" s="109">
        <v>34</v>
      </c>
      <c r="I543" s="109">
        <v>773</v>
      </c>
      <c r="J543" s="110">
        <v>1801</v>
      </c>
    </row>
    <row r="544" spans="1:10">
      <c r="A544" s="103" t="s">
        <v>1610</v>
      </c>
      <c r="B544" s="124" t="s">
        <v>1605</v>
      </c>
      <c r="C544" s="110">
        <v>13208</v>
      </c>
      <c r="D544" s="109" t="s">
        <v>120</v>
      </c>
      <c r="E544" s="109">
        <v>132</v>
      </c>
      <c r="F544" s="110">
        <v>7492</v>
      </c>
      <c r="G544" s="109" t="s">
        <v>120</v>
      </c>
      <c r="H544" s="109">
        <v>57</v>
      </c>
      <c r="I544" s="109">
        <v>881</v>
      </c>
      <c r="J544" s="110">
        <v>1202</v>
      </c>
    </row>
    <row r="545" spans="1:10">
      <c r="A545" s="103" t="s">
        <v>1611</v>
      </c>
      <c r="B545" s="124" t="s">
        <v>1612</v>
      </c>
      <c r="C545" s="110">
        <v>12281</v>
      </c>
      <c r="D545" s="109" t="s">
        <v>120</v>
      </c>
      <c r="E545" s="109">
        <v>123</v>
      </c>
      <c r="F545" s="110">
        <v>5845</v>
      </c>
      <c r="G545" s="109" t="s">
        <v>120</v>
      </c>
      <c r="H545" s="109">
        <v>48</v>
      </c>
      <c r="I545" s="109">
        <v>1012</v>
      </c>
      <c r="J545" s="110">
        <v>1544</v>
      </c>
    </row>
    <row r="546" spans="1:10">
      <c r="A546" s="103" t="s">
        <v>1613</v>
      </c>
      <c r="B546" s="124" t="s">
        <v>1614</v>
      </c>
      <c r="C546" s="110">
        <v>9321</v>
      </c>
      <c r="D546" s="109" t="s">
        <v>120</v>
      </c>
      <c r="E546" s="109">
        <v>93</v>
      </c>
      <c r="F546" s="110">
        <v>3967</v>
      </c>
      <c r="G546" s="109" t="s">
        <v>120</v>
      </c>
      <c r="H546" s="109">
        <v>43</v>
      </c>
      <c r="I546" s="109">
        <v>1498</v>
      </c>
      <c r="J546" s="110">
        <v>2000</v>
      </c>
    </row>
    <row r="547" spans="1:10" s="119" customFormat="1">
      <c r="A547" s="123" t="s">
        <v>120</v>
      </c>
      <c r="B547" s="273" t="s">
        <v>1615</v>
      </c>
      <c r="C547" s="274"/>
      <c r="D547" s="274"/>
      <c r="E547" s="274"/>
      <c r="F547" s="274"/>
      <c r="G547" s="274"/>
      <c r="H547" s="274"/>
      <c r="I547" s="274"/>
      <c r="J547" s="274"/>
    </row>
    <row r="548" spans="1:10" s="119" customFormat="1">
      <c r="A548" s="123" t="s">
        <v>120</v>
      </c>
      <c r="B548" s="275" t="s">
        <v>1296</v>
      </c>
      <c r="C548" s="276"/>
      <c r="D548" s="276"/>
      <c r="E548" s="276"/>
      <c r="F548" s="276"/>
      <c r="G548" s="276"/>
      <c r="H548" s="276"/>
      <c r="I548" s="276"/>
      <c r="J548" s="276"/>
    </row>
    <row r="549" spans="1:10">
      <c r="A549" s="103" t="s">
        <v>1616</v>
      </c>
      <c r="B549" s="124" t="s">
        <v>1617</v>
      </c>
      <c r="C549" s="110">
        <v>16264</v>
      </c>
      <c r="D549" s="109" t="s">
        <v>120</v>
      </c>
      <c r="E549" s="109">
        <v>163</v>
      </c>
      <c r="F549" s="110">
        <v>4983</v>
      </c>
      <c r="G549" s="109" t="s">
        <v>120</v>
      </c>
      <c r="H549" s="109">
        <v>31</v>
      </c>
      <c r="I549" s="109">
        <v>573</v>
      </c>
      <c r="J549" s="110">
        <v>1744</v>
      </c>
    </row>
    <row r="550" spans="1:10" s="119" customFormat="1">
      <c r="A550" s="123" t="s">
        <v>120</v>
      </c>
      <c r="B550" s="275" t="s">
        <v>947</v>
      </c>
      <c r="C550" s="276"/>
      <c r="D550" s="276"/>
      <c r="E550" s="276"/>
      <c r="F550" s="276"/>
      <c r="G550" s="276"/>
      <c r="H550" s="276"/>
      <c r="I550" s="276"/>
      <c r="J550" s="276"/>
    </row>
    <row r="551" spans="1:10">
      <c r="A551" s="103" t="s">
        <v>1618</v>
      </c>
      <c r="B551" s="124" t="s">
        <v>1619</v>
      </c>
      <c r="C551" s="110">
        <v>16331</v>
      </c>
      <c r="D551" s="109" t="s">
        <v>120</v>
      </c>
      <c r="E551" s="109">
        <v>163</v>
      </c>
      <c r="F551" s="110">
        <v>6906</v>
      </c>
      <c r="G551" s="109" t="s">
        <v>120</v>
      </c>
      <c r="H551" s="109">
        <v>42</v>
      </c>
      <c r="I551" s="109">
        <v>565</v>
      </c>
      <c r="J551" s="110">
        <v>1315</v>
      </c>
    </row>
    <row r="552" spans="1:10">
      <c r="A552" s="103" t="s">
        <v>1620</v>
      </c>
      <c r="B552" s="124" t="s">
        <v>932</v>
      </c>
      <c r="C552" s="110">
        <v>365</v>
      </c>
      <c r="D552" s="109" t="s">
        <v>120</v>
      </c>
      <c r="E552" s="109">
        <v>4</v>
      </c>
      <c r="F552" s="110">
        <v>2364</v>
      </c>
      <c r="G552" s="109" t="s">
        <v>120</v>
      </c>
      <c r="H552" s="109">
        <v>648</v>
      </c>
      <c r="I552" s="109" t="s">
        <v>122</v>
      </c>
      <c r="J552" s="110" t="s">
        <v>122</v>
      </c>
    </row>
    <row r="553" spans="1:10">
      <c r="A553" s="103" t="s">
        <v>1621</v>
      </c>
      <c r="B553" s="124" t="s">
        <v>934</v>
      </c>
      <c r="C553" s="110">
        <v>15966</v>
      </c>
      <c r="D553" s="109" t="s">
        <v>120</v>
      </c>
      <c r="E553" s="109">
        <v>159</v>
      </c>
      <c r="F553" s="110">
        <v>4542</v>
      </c>
      <c r="G553" s="109" t="s">
        <v>120</v>
      </c>
      <c r="H553" s="109">
        <v>28</v>
      </c>
      <c r="I553" s="109" t="s">
        <v>122</v>
      </c>
      <c r="J553" s="110" t="s">
        <v>122</v>
      </c>
    </row>
    <row r="554" spans="1:10">
      <c r="A554" s="103" t="s">
        <v>1622</v>
      </c>
      <c r="B554" s="124" t="s">
        <v>1623</v>
      </c>
      <c r="C554" s="110">
        <v>22912</v>
      </c>
      <c r="D554" s="109" t="s">
        <v>120</v>
      </c>
      <c r="E554" s="109">
        <v>229</v>
      </c>
      <c r="F554" s="110">
        <v>15803</v>
      </c>
      <c r="G554" s="109" t="s">
        <v>120</v>
      </c>
      <c r="H554" s="109">
        <v>69</v>
      </c>
      <c r="I554" s="109">
        <v>232</v>
      </c>
      <c r="J554" s="110">
        <v>483</v>
      </c>
    </row>
    <row r="555" spans="1:10">
      <c r="A555" s="103" t="s">
        <v>1624</v>
      </c>
      <c r="B555" s="124" t="s">
        <v>932</v>
      </c>
      <c r="C555" s="110">
        <v>655</v>
      </c>
      <c r="D555" s="109" t="s">
        <v>120</v>
      </c>
      <c r="E555" s="109">
        <v>7</v>
      </c>
      <c r="F555" s="110">
        <v>9093</v>
      </c>
      <c r="G555" s="109" t="s">
        <v>120</v>
      </c>
      <c r="H555" s="109">
        <v>1388</v>
      </c>
      <c r="I555" s="109" t="s">
        <v>122</v>
      </c>
      <c r="J555" s="110" t="s">
        <v>122</v>
      </c>
    </row>
    <row r="556" spans="1:10">
      <c r="A556" s="103" t="s">
        <v>1625</v>
      </c>
      <c r="B556" s="124" t="s">
        <v>934</v>
      </c>
      <c r="C556" s="110">
        <v>22257</v>
      </c>
      <c r="D556" s="109" t="s">
        <v>120</v>
      </c>
      <c r="E556" s="109">
        <v>222</v>
      </c>
      <c r="F556" s="110">
        <v>6710</v>
      </c>
      <c r="G556" s="109" t="s">
        <v>120</v>
      </c>
      <c r="H556" s="109">
        <v>30</v>
      </c>
      <c r="I556" s="109" t="s">
        <v>122</v>
      </c>
      <c r="J556" s="110" t="s">
        <v>122</v>
      </c>
    </row>
    <row r="557" spans="1:10">
      <c r="A557" s="103" t="s">
        <v>1626</v>
      </c>
      <c r="B557" s="124" t="s">
        <v>1627</v>
      </c>
      <c r="C557" s="110">
        <v>23602</v>
      </c>
      <c r="D557" s="109" t="s">
        <v>120</v>
      </c>
      <c r="E557" s="109">
        <v>236</v>
      </c>
      <c r="F557" s="110">
        <v>13364</v>
      </c>
      <c r="G557" s="109" t="s">
        <v>120</v>
      </c>
      <c r="H557" s="109">
        <v>57</v>
      </c>
      <c r="I557" s="109">
        <v>214</v>
      </c>
      <c r="J557" s="110">
        <v>600</v>
      </c>
    </row>
    <row r="558" spans="1:10">
      <c r="A558" s="103" t="s">
        <v>1628</v>
      </c>
      <c r="B558" s="124" t="s">
        <v>932</v>
      </c>
      <c r="C558" s="110">
        <v>431</v>
      </c>
      <c r="D558" s="109" t="s">
        <v>120</v>
      </c>
      <c r="E558" s="109">
        <v>4</v>
      </c>
      <c r="F558" s="110">
        <v>5965</v>
      </c>
      <c r="G558" s="109" t="s">
        <v>120</v>
      </c>
      <c r="H558" s="109">
        <v>1384</v>
      </c>
      <c r="I558" s="109" t="s">
        <v>122</v>
      </c>
      <c r="J558" s="110" t="s">
        <v>122</v>
      </c>
    </row>
    <row r="559" spans="1:10">
      <c r="A559" s="103" t="s">
        <v>1629</v>
      </c>
      <c r="B559" s="124" t="s">
        <v>934</v>
      </c>
      <c r="C559" s="110">
        <v>23171</v>
      </c>
      <c r="D559" s="109" t="s">
        <v>120</v>
      </c>
      <c r="E559" s="109">
        <v>232</v>
      </c>
      <c r="F559" s="110">
        <v>7399</v>
      </c>
      <c r="G559" s="109" t="s">
        <v>120</v>
      </c>
      <c r="H559" s="109">
        <v>32</v>
      </c>
      <c r="I559" s="109" t="s">
        <v>122</v>
      </c>
      <c r="J559" s="110" t="s">
        <v>122</v>
      </c>
    </row>
    <row r="560" spans="1:10" s="119" customFormat="1">
      <c r="A560" s="123" t="s">
        <v>120</v>
      </c>
      <c r="B560" s="273" t="s">
        <v>1630</v>
      </c>
      <c r="C560" s="274"/>
      <c r="D560" s="274"/>
      <c r="E560" s="274"/>
      <c r="F560" s="274"/>
      <c r="G560" s="274"/>
      <c r="H560" s="274"/>
      <c r="I560" s="274"/>
      <c r="J560" s="274"/>
    </row>
    <row r="561" spans="1:10" s="119" customFormat="1">
      <c r="A561" s="123" t="s">
        <v>120</v>
      </c>
      <c r="B561" s="275" t="s">
        <v>943</v>
      </c>
      <c r="C561" s="276"/>
      <c r="D561" s="276"/>
      <c r="E561" s="276"/>
      <c r="F561" s="276"/>
      <c r="G561" s="276"/>
      <c r="H561" s="276"/>
      <c r="I561" s="276"/>
      <c r="J561" s="276"/>
    </row>
    <row r="562" spans="1:10">
      <c r="A562" s="103" t="s">
        <v>1631</v>
      </c>
      <c r="B562" s="124" t="s">
        <v>1632</v>
      </c>
      <c r="C562" s="110">
        <v>11100</v>
      </c>
      <c r="D562" s="109" t="s">
        <v>120</v>
      </c>
      <c r="E562" s="109">
        <v>111</v>
      </c>
      <c r="F562" s="110">
        <v>5138</v>
      </c>
      <c r="G562" s="109" t="s">
        <v>120</v>
      </c>
      <c r="H562" s="109">
        <v>46</v>
      </c>
      <c r="I562" s="109">
        <v>1200</v>
      </c>
      <c r="J562" s="110">
        <v>1709</v>
      </c>
    </row>
    <row r="563" spans="1:10">
      <c r="A563" s="103" t="s">
        <v>1633</v>
      </c>
      <c r="B563" s="124" t="s">
        <v>1634</v>
      </c>
      <c r="C563" s="110">
        <v>11181</v>
      </c>
      <c r="D563" s="109" t="s">
        <v>120</v>
      </c>
      <c r="E563" s="109">
        <v>112</v>
      </c>
      <c r="F563" s="110">
        <v>7216</v>
      </c>
      <c r="G563" s="109" t="s">
        <v>120</v>
      </c>
      <c r="H563" s="109">
        <v>65</v>
      </c>
      <c r="I563" s="109">
        <v>1181</v>
      </c>
      <c r="J563" s="110">
        <v>1255</v>
      </c>
    </row>
    <row r="564" spans="1:10">
      <c r="A564" s="103" t="s">
        <v>1635</v>
      </c>
      <c r="B564" s="124" t="s">
        <v>1636</v>
      </c>
      <c r="C564" s="110">
        <v>10841</v>
      </c>
      <c r="D564" s="109" t="s">
        <v>120</v>
      </c>
      <c r="E564" s="109">
        <v>108</v>
      </c>
      <c r="F564" s="110">
        <v>4897</v>
      </c>
      <c r="G564" s="109" t="s">
        <v>120</v>
      </c>
      <c r="H564" s="109">
        <v>45</v>
      </c>
      <c r="I564" s="109">
        <v>1251</v>
      </c>
      <c r="J564" s="110">
        <v>1765</v>
      </c>
    </row>
    <row r="565" spans="1:10">
      <c r="A565" s="103" t="s">
        <v>1637</v>
      </c>
      <c r="B565" s="124" t="s">
        <v>1638</v>
      </c>
      <c r="C565" s="110">
        <v>15646</v>
      </c>
      <c r="D565" s="109" t="s">
        <v>120</v>
      </c>
      <c r="E565" s="109">
        <v>156</v>
      </c>
      <c r="F565" s="110">
        <v>8074</v>
      </c>
      <c r="G565" s="109" t="s">
        <v>120</v>
      </c>
      <c r="H565" s="109">
        <v>52</v>
      </c>
      <c r="I565" s="109">
        <v>621</v>
      </c>
      <c r="J565" s="110">
        <v>1113</v>
      </c>
    </row>
    <row r="566" spans="1:10">
      <c r="A566" s="103" t="s">
        <v>1639</v>
      </c>
      <c r="B566" s="124" t="s">
        <v>1640</v>
      </c>
      <c r="C566" s="110">
        <v>8839</v>
      </c>
      <c r="D566" s="109" t="s">
        <v>120</v>
      </c>
      <c r="E566" s="109">
        <v>88</v>
      </c>
      <c r="F566" s="110">
        <v>4322</v>
      </c>
      <c r="G566" s="109" t="s">
        <v>120</v>
      </c>
      <c r="H566" s="109">
        <v>49</v>
      </c>
      <c r="I566" s="109">
        <v>1554</v>
      </c>
      <c r="J566" s="110">
        <v>1916</v>
      </c>
    </row>
    <row r="567" spans="1:10">
      <c r="A567" s="103" t="s">
        <v>1641</v>
      </c>
      <c r="B567" s="124" t="s">
        <v>1642</v>
      </c>
      <c r="C567" s="110">
        <v>20904</v>
      </c>
      <c r="D567" s="109" t="s">
        <v>120</v>
      </c>
      <c r="E567" s="109">
        <v>209</v>
      </c>
      <c r="F567" s="110">
        <v>5496</v>
      </c>
      <c r="G567" s="109" t="s">
        <v>120</v>
      </c>
      <c r="H567" s="109">
        <v>26</v>
      </c>
      <c r="I567" s="109">
        <v>293</v>
      </c>
      <c r="J567" s="110">
        <v>1616</v>
      </c>
    </row>
    <row r="568" spans="1:10">
      <c r="A568" s="103" t="s">
        <v>1643</v>
      </c>
      <c r="B568" s="124" t="s">
        <v>1644</v>
      </c>
      <c r="C568" s="110">
        <v>14249</v>
      </c>
      <c r="D568" s="109" t="s">
        <v>120</v>
      </c>
      <c r="E568" s="109">
        <v>143</v>
      </c>
      <c r="F568" s="110">
        <v>9562</v>
      </c>
      <c r="G568" s="109" t="s">
        <v>120</v>
      </c>
      <c r="H568" s="109">
        <v>67</v>
      </c>
      <c r="I568" s="109">
        <v>753</v>
      </c>
      <c r="J568" s="110">
        <v>920</v>
      </c>
    </row>
    <row r="569" spans="1:10">
      <c r="A569" s="103" t="s">
        <v>1645</v>
      </c>
      <c r="B569" s="124" t="s">
        <v>1646</v>
      </c>
      <c r="C569" s="110">
        <v>6383</v>
      </c>
      <c r="D569" s="109" t="s">
        <v>120</v>
      </c>
      <c r="E569" s="109">
        <v>64</v>
      </c>
      <c r="F569" s="110">
        <v>3622</v>
      </c>
      <c r="G569" s="109" t="s">
        <v>120</v>
      </c>
      <c r="H569" s="109">
        <v>57</v>
      </c>
      <c r="I569" s="109">
        <v>1916</v>
      </c>
      <c r="J569" s="110">
        <v>2085</v>
      </c>
    </row>
    <row r="570" spans="1:10">
      <c r="A570" s="103" t="s">
        <v>1647</v>
      </c>
      <c r="B570" s="124" t="s">
        <v>1648</v>
      </c>
      <c r="C570" s="110">
        <v>20111</v>
      </c>
      <c r="D570" s="109" t="s">
        <v>120</v>
      </c>
      <c r="E570" s="109">
        <v>201</v>
      </c>
      <c r="F570" s="110">
        <v>6493</v>
      </c>
      <c r="G570" s="109" t="s">
        <v>120</v>
      </c>
      <c r="H570" s="109">
        <v>32</v>
      </c>
      <c r="I570" s="109">
        <v>340</v>
      </c>
      <c r="J570" s="110">
        <v>1400</v>
      </c>
    </row>
    <row r="571" spans="1:10" s="119" customFormat="1">
      <c r="A571" s="123" t="s">
        <v>120</v>
      </c>
      <c r="B571" s="275" t="s">
        <v>1101</v>
      </c>
      <c r="C571" s="276"/>
      <c r="D571" s="276"/>
      <c r="E571" s="276"/>
      <c r="F571" s="276"/>
      <c r="G571" s="276"/>
      <c r="H571" s="276"/>
      <c r="I571" s="276"/>
      <c r="J571" s="276"/>
    </row>
    <row r="572" spans="1:10">
      <c r="A572" s="103" t="s">
        <v>1649</v>
      </c>
      <c r="B572" s="124" t="s">
        <v>1650</v>
      </c>
      <c r="C572" s="110">
        <v>10671</v>
      </c>
      <c r="D572" s="109" t="s">
        <v>120</v>
      </c>
      <c r="E572" s="109">
        <v>107</v>
      </c>
      <c r="F572" s="110">
        <v>10183</v>
      </c>
      <c r="G572" s="109" t="s">
        <v>120</v>
      </c>
      <c r="H572" s="109">
        <v>95</v>
      </c>
      <c r="I572" s="109">
        <v>1276</v>
      </c>
      <c r="J572" s="110">
        <v>856</v>
      </c>
    </row>
    <row r="573" spans="1:10">
      <c r="A573" s="103" t="s">
        <v>1651</v>
      </c>
      <c r="B573" s="124" t="s">
        <v>932</v>
      </c>
      <c r="C573" s="110">
        <v>357</v>
      </c>
      <c r="D573" s="109" t="s">
        <v>120</v>
      </c>
      <c r="E573" s="109">
        <v>3</v>
      </c>
      <c r="F573" s="110">
        <v>5787</v>
      </c>
      <c r="G573" s="109" t="s">
        <v>120</v>
      </c>
      <c r="H573" s="109">
        <v>1621</v>
      </c>
      <c r="I573" s="109" t="s">
        <v>122</v>
      </c>
      <c r="J573" s="110" t="s">
        <v>122</v>
      </c>
    </row>
    <row r="574" spans="1:10">
      <c r="A574" s="103" t="s">
        <v>1652</v>
      </c>
      <c r="B574" s="124" t="s">
        <v>934</v>
      </c>
      <c r="C574" s="110">
        <v>10314</v>
      </c>
      <c r="D574" s="109" t="s">
        <v>120</v>
      </c>
      <c r="E574" s="109">
        <v>104</v>
      </c>
      <c r="F574" s="110">
        <v>4396</v>
      </c>
      <c r="G574" s="109" t="s">
        <v>120</v>
      </c>
      <c r="H574" s="109">
        <v>43</v>
      </c>
      <c r="I574" s="109" t="s">
        <v>122</v>
      </c>
      <c r="J574" s="110" t="s">
        <v>122</v>
      </c>
    </row>
    <row r="575" spans="1:10">
      <c r="A575" s="103" t="s">
        <v>1653</v>
      </c>
      <c r="B575" s="124" t="s">
        <v>1654</v>
      </c>
      <c r="C575" s="110">
        <v>17493</v>
      </c>
      <c r="D575" s="109" t="s">
        <v>120</v>
      </c>
      <c r="E575" s="109">
        <v>175</v>
      </c>
      <c r="F575" s="110">
        <v>33949</v>
      </c>
      <c r="G575" s="109" t="s">
        <v>120</v>
      </c>
      <c r="H575" s="109">
        <v>194</v>
      </c>
      <c r="I575" s="109">
        <v>488</v>
      </c>
      <c r="J575" s="110">
        <v>160</v>
      </c>
    </row>
    <row r="576" spans="1:10">
      <c r="A576" s="103" t="s">
        <v>1655</v>
      </c>
      <c r="B576" s="124" t="s">
        <v>932</v>
      </c>
      <c r="C576" s="110">
        <v>1187</v>
      </c>
      <c r="D576" s="109" t="s">
        <v>120</v>
      </c>
      <c r="E576" s="109">
        <v>12</v>
      </c>
      <c r="F576" s="110">
        <v>25634</v>
      </c>
      <c r="G576" s="109" t="s">
        <v>120</v>
      </c>
      <c r="H576" s="109">
        <v>2160</v>
      </c>
      <c r="I576" s="109" t="s">
        <v>122</v>
      </c>
      <c r="J576" s="110" t="s">
        <v>122</v>
      </c>
    </row>
    <row r="577" spans="1:10">
      <c r="A577" s="103" t="s">
        <v>1656</v>
      </c>
      <c r="B577" s="124" t="s">
        <v>934</v>
      </c>
      <c r="C577" s="110">
        <v>16306</v>
      </c>
      <c r="D577" s="109" t="s">
        <v>120</v>
      </c>
      <c r="E577" s="109">
        <v>163</v>
      </c>
      <c r="F577" s="110">
        <v>8315</v>
      </c>
      <c r="G577" s="109" t="s">
        <v>120</v>
      </c>
      <c r="H577" s="109">
        <v>51</v>
      </c>
      <c r="I577" s="109" t="s">
        <v>122</v>
      </c>
      <c r="J577" s="110" t="s">
        <v>122</v>
      </c>
    </row>
    <row r="578" spans="1:10" s="119" customFormat="1">
      <c r="A578" s="123" t="s">
        <v>120</v>
      </c>
      <c r="B578" s="273" t="s">
        <v>1657</v>
      </c>
      <c r="C578" s="274"/>
      <c r="D578" s="274"/>
      <c r="E578" s="274"/>
      <c r="F578" s="274"/>
      <c r="G578" s="274"/>
      <c r="H578" s="274"/>
      <c r="I578" s="274"/>
      <c r="J578" s="274"/>
    </row>
    <row r="579" spans="1:10" s="119" customFormat="1">
      <c r="A579" s="123" t="s">
        <v>120</v>
      </c>
      <c r="B579" s="275" t="s">
        <v>1019</v>
      </c>
      <c r="C579" s="276"/>
      <c r="D579" s="276"/>
      <c r="E579" s="276"/>
      <c r="F579" s="276"/>
      <c r="G579" s="276"/>
      <c r="H579" s="276"/>
      <c r="I579" s="276"/>
      <c r="J579" s="276"/>
    </row>
    <row r="580" spans="1:10">
      <c r="A580" s="103" t="s">
        <v>1658</v>
      </c>
      <c r="B580" s="124" t="s">
        <v>1659</v>
      </c>
      <c r="C580" s="110">
        <v>784</v>
      </c>
      <c r="D580" s="109" t="s">
        <v>120</v>
      </c>
      <c r="E580" s="109">
        <v>7</v>
      </c>
      <c r="F580" s="110">
        <v>14449</v>
      </c>
      <c r="G580" s="109" t="s">
        <v>120</v>
      </c>
      <c r="H580" s="109">
        <v>1843</v>
      </c>
      <c r="I580" s="109">
        <v>2331</v>
      </c>
      <c r="J580" s="110">
        <v>544</v>
      </c>
    </row>
    <row r="581" spans="1:10" s="119" customFormat="1">
      <c r="A581" s="123" t="s">
        <v>120</v>
      </c>
      <c r="B581" s="275" t="s">
        <v>1022</v>
      </c>
      <c r="C581" s="276"/>
      <c r="D581" s="276"/>
      <c r="E581" s="276"/>
      <c r="F581" s="276"/>
      <c r="G581" s="276"/>
      <c r="H581" s="276"/>
      <c r="I581" s="276"/>
      <c r="J581" s="276"/>
    </row>
    <row r="582" spans="1:10">
      <c r="A582" s="103" t="s">
        <v>1660</v>
      </c>
      <c r="B582" s="124" t="s">
        <v>1659</v>
      </c>
      <c r="C582" s="110">
        <v>17895</v>
      </c>
      <c r="D582" s="109" t="s">
        <v>120</v>
      </c>
      <c r="E582" s="109">
        <v>180</v>
      </c>
      <c r="F582" s="110">
        <v>9826</v>
      </c>
      <c r="G582" s="109" t="s">
        <v>120</v>
      </c>
      <c r="H582" s="109">
        <v>55</v>
      </c>
      <c r="I582" s="109">
        <v>458</v>
      </c>
      <c r="J582" s="110">
        <v>892</v>
      </c>
    </row>
    <row r="583" spans="1:10">
      <c r="A583" s="103" t="s">
        <v>1661</v>
      </c>
      <c r="B583" s="124" t="s">
        <v>1662</v>
      </c>
      <c r="C583" s="110">
        <v>17014</v>
      </c>
      <c r="D583" s="109" t="s">
        <v>120</v>
      </c>
      <c r="E583" s="109">
        <v>170</v>
      </c>
      <c r="F583" s="110">
        <v>9064</v>
      </c>
      <c r="G583" s="109" t="s">
        <v>120</v>
      </c>
      <c r="H583" s="109">
        <v>53</v>
      </c>
      <c r="I583" s="109">
        <v>518</v>
      </c>
      <c r="J583" s="110">
        <v>974</v>
      </c>
    </row>
    <row r="584" spans="1:10">
      <c r="A584" s="103" t="s">
        <v>1663</v>
      </c>
      <c r="B584" s="124" t="s">
        <v>1664</v>
      </c>
      <c r="C584" s="110">
        <v>10575</v>
      </c>
      <c r="D584" s="109" t="s">
        <v>120</v>
      </c>
      <c r="E584" s="109">
        <v>106</v>
      </c>
      <c r="F584" s="110">
        <v>20181</v>
      </c>
      <c r="G584" s="109" t="s">
        <v>120</v>
      </c>
      <c r="H584" s="109">
        <v>191</v>
      </c>
      <c r="I584" s="109">
        <v>1293</v>
      </c>
      <c r="J584" s="110">
        <v>337</v>
      </c>
    </row>
    <row r="585" spans="1:10">
      <c r="A585" s="103" t="s">
        <v>1665</v>
      </c>
      <c r="B585" s="124" t="s">
        <v>1666</v>
      </c>
      <c r="C585" s="110">
        <v>8450</v>
      </c>
      <c r="D585" s="109" t="s">
        <v>120</v>
      </c>
      <c r="E585" s="109">
        <v>84</v>
      </c>
      <c r="F585" s="110">
        <v>7293</v>
      </c>
      <c r="G585" s="109" t="s">
        <v>120</v>
      </c>
      <c r="H585" s="109">
        <v>86</v>
      </c>
      <c r="I585" s="109">
        <v>1630</v>
      </c>
      <c r="J585" s="110">
        <v>1246</v>
      </c>
    </row>
    <row r="586" spans="1:10">
      <c r="A586" s="103" t="s">
        <v>1667</v>
      </c>
      <c r="B586" s="124" t="s">
        <v>1668</v>
      </c>
      <c r="C586" s="110">
        <v>12694</v>
      </c>
      <c r="D586" s="109" t="s">
        <v>120</v>
      </c>
      <c r="E586" s="109">
        <v>127</v>
      </c>
      <c r="F586" s="110">
        <v>10155</v>
      </c>
      <c r="G586" s="109" t="s">
        <v>120</v>
      </c>
      <c r="H586" s="109">
        <v>80</v>
      </c>
      <c r="I586" s="109">
        <v>957</v>
      </c>
      <c r="J586" s="110">
        <v>860</v>
      </c>
    </row>
    <row r="587" spans="1:10">
      <c r="A587" s="103" t="s">
        <v>1669</v>
      </c>
      <c r="B587" s="124" t="s">
        <v>1670</v>
      </c>
      <c r="C587" s="110">
        <v>16217</v>
      </c>
      <c r="D587" s="109" t="s">
        <v>120</v>
      </c>
      <c r="E587" s="109">
        <v>162</v>
      </c>
      <c r="F587" s="110">
        <v>17753</v>
      </c>
      <c r="G587" s="109" t="s">
        <v>120</v>
      </c>
      <c r="H587" s="109">
        <v>109</v>
      </c>
      <c r="I587" s="109">
        <v>579</v>
      </c>
      <c r="J587" s="110">
        <v>409</v>
      </c>
    </row>
    <row r="588" spans="1:10">
      <c r="A588" s="103" t="s">
        <v>1671</v>
      </c>
      <c r="B588" s="124" t="s">
        <v>1672</v>
      </c>
      <c r="C588" s="110">
        <v>21622</v>
      </c>
      <c r="D588" s="109" t="s">
        <v>120</v>
      </c>
      <c r="E588" s="109">
        <v>216</v>
      </c>
      <c r="F588" s="110">
        <v>5238</v>
      </c>
      <c r="G588" s="109" t="s">
        <v>120</v>
      </c>
      <c r="H588" s="109">
        <v>24</v>
      </c>
      <c r="I588" s="109">
        <v>270</v>
      </c>
      <c r="J588" s="110">
        <v>1680</v>
      </c>
    </row>
    <row r="589" spans="1:10">
      <c r="A589" s="103" t="s">
        <v>1673</v>
      </c>
      <c r="B589" s="124" t="s">
        <v>1674</v>
      </c>
      <c r="C589" s="110">
        <v>17791</v>
      </c>
      <c r="D589" s="109" t="s">
        <v>120</v>
      </c>
      <c r="E589" s="109">
        <v>178</v>
      </c>
      <c r="F589" s="110">
        <v>14386</v>
      </c>
      <c r="G589" s="109" t="s">
        <v>120</v>
      </c>
      <c r="H589" s="109">
        <v>81</v>
      </c>
      <c r="I589" s="109">
        <v>468</v>
      </c>
      <c r="J589" s="110">
        <v>549</v>
      </c>
    </row>
    <row r="590" spans="1:10" s="119" customFormat="1">
      <c r="A590" s="123" t="s">
        <v>120</v>
      </c>
      <c r="B590" s="273" t="s">
        <v>1675</v>
      </c>
      <c r="C590" s="274"/>
      <c r="D590" s="274"/>
      <c r="E590" s="274"/>
      <c r="F590" s="274"/>
      <c r="G590" s="274"/>
      <c r="H590" s="274"/>
      <c r="I590" s="274"/>
      <c r="J590" s="274"/>
    </row>
    <row r="591" spans="1:10" s="119" customFormat="1">
      <c r="A591" s="123" t="s">
        <v>120</v>
      </c>
      <c r="B591" s="275" t="s">
        <v>943</v>
      </c>
      <c r="C591" s="276"/>
      <c r="D591" s="276"/>
      <c r="E591" s="276"/>
      <c r="F591" s="276"/>
      <c r="G591" s="276"/>
      <c r="H591" s="276"/>
      <c r="I591" s="276"/>
      <c r="J591" s="276"/>
    </row>
    <row r="592" spans="1:10">
      <c r="A592" s="103" t="s">
        <v>1676</v>
      </c>
      <c r="B592" s="124" t="s">
        <v>1677</v>
      </c>
      <c r="C592" s="110">
        <v>25326</v>
      </c>
      <c r="D592" s="109" t="s">
        <v>120</v>
      </c>
      <c r="E592" s="109">
        <v>252</v>
      </c>
      <c r="F592" s="110">
        <v>6870</v>
      </c>
      <c r="G592" s="109" t="s">
        <v>120</v>
      </c>
      <c r="H592" s="109">
        <v>27</v>
      </c>
      <c r="I592" s="109">
        <v>176</v>
      </c>
      <c r="J592" s="110">
        <v>1324</v>
      </c>
    </row>
    <row r="593" spans="1:10">
      <c r="A593" s="103" t="s">
        <v>1678</v>
      </c>
      <c r="B593" s="124" t="s">
        <v>1679</v>
      </c>
      <c r="C593" s="110">
        <v>13580</v>
      </c>
      <c r="D593" s="109" t="s">
        <v>120</v>
      </c>
      <c r="E593" s="109">
        <v>136</v>
      </c>
      <c r="F593" s="110">
        <v>5196</v>
      </c>
      <c r="G593" s="109" t="s">
        <v>120</v>
      </c>
      <c r="H593" s="109">
        <v>38</v>
      </c>
      <c r="I593" s="109">
        <v>828</v>
      </c>
      <c r="J593" s="110">
        <v>1690</v>
      </c>
    </row>
    <row r="594" spans="1:10">
      <c r="A594" s="103" t="s">
        <v>1680</v>
      </c>
      <c r="B594" s="124" t="s">
        <v>1681</v>
      </c>
      <c r="C594" s="110">
        <v>10922</v>
      </c>
      <c r="D594" s="109" t="s">
        <v>120</v>
      </c>
      <c r="E594" s="109">
        <v>109</v>
      </c>
      <c r="F594" s="110">
        <v>4493</v>
      </c>
      <c r="G594" s="109" t="s">
        <v>120</v>
      </c>
      <c r="H594" s="109">
        <v>41</v>
      </c>
      <c r="I594" s="109">
        <v>1237</v>
      </c>
      <c r="J594" s="110">
        <v>1872</v>
      </c>
    </row>
    <row r="595" spans="1:10">
      <c r="A595" s="103" t="s">
        <v>1682</v>
      </c>
      <c r="B595" s="124" t="s">
        <v>1683</v>
      </c>
      <c r="C595" s="110">
        <v>16280</v>
      </c>
      <c r="D595" s="109" t="s">
        <v>120</v>
      </c>
      <c r="E595" s="109">
        <v>163</v>
      </c>
      <c r="F595" s="110">
        <v>5981</v>
      </c>
      <c r="G595" s="109" t="s">
        <v>120</v>
      </c>
      <c r="H595" s="109">
        <v>37</v>
      </c>
      <c r="I595" s="109">
        <v>572</v>
      </c>
      <c r="J595" s="110">
        <v>1512</v>
      </c>
    </row>
    <row r="596" spans="1:10">
      <c r="A596" s="103" t="s">
        <v>1684</v>
      </c>
      <c r="B596" s="124" t="s">
        <v>1685</v>
      </c>
      <c r="C596" s="110">
        <v>17472</v>
      </c>
      <c r="D596" s="109" t="s">
        <v>120</v>
      </c>
      <c r="E596" s="109">
        <v>175</v>
      </c>
      <c r="F596" s="110">
        <v>5592</v>
      </c>
      <c r="G596" s="109" t="s">
        <v>120</v>
      </c>
      <c r="H596" s="109">
        <v>32</v>
      </c>
      <c r="I596" s="109">
        <v>490</v>
      </c>
      <c r="J596" s="110">
        <v>1596</v>
      </c>
    </row>
    <row r="597" spans="1:10" s="119" customFormat="1">
      <c r="A597" s="123" t="s">
        <v>120</v>
      </c>
      <c r="B597" s="275" t="s">
        <v>1026</v>
      </c>
      <c r="C597" s="276"/>
      <c r="D597" s="276"/>
      <c r="E597" s="276"/>
      <c r="F597" s="276"/>
      <c r="G597" s="276"/>
      <c r="H597" s="276"/>
      <c r="I597" s="276"/>
      <c r="J597" s="276"/>
    </row>
    <row r="598" spans="1:10">
      <c r="A598" s="103" t="s">
        <v>1686</v>
      </c>
      <c r="B598" s="124" t="s">
        <v>1687</v>
      </c>
      <c r="C598" s="110">
        <v>23966</v>
      </c>
      <c r="D598" s="109" t="s">
        <v>120</v>
      </c>
      <c r="E598" s="109">
        <v>240</v>
      </c>
      <c r="F598" s="110">
        <v>20251</v>
      </c>
      <c r="G598" s="109" t="s">
        <v>120</v>
      </c>
      <c r="H598" s="109">
        <v>84</v>
      </c>
      <c r="I598" s="109">
        <v>206</v>
      </c>
      <c r="J598" s="110">
        <v>336</v>
      </c>
    </row>
    <row r="599" spans="1:10">
      <c r="A599" s="103" t="s">
        <v>1688</v>
      </c>
      <c r="B599" s="124" t="s">
        <v>932</v>
      </c>
      <c r="C599" s="110">
        <v>1769</v>
      </c>
      <c r="D599" s="109" t="s">
        <v>120</v>
      </c>
      <c r="E599" s="109">
        <v>18</v>
      </c>
      <c r="F599" s="110">
        <v>13649</v>
      </c>
      <c r="G599" s="109" t="s">
        <v>120</v>
      </c>
      <c r="H599" s="109">
        <v>772</v>
      </c>
      <c r="I599" s="109" t="s">
        <v>122</v>
      </c>
      <c r="J599" s="110" t="s">
        <v>122</v>
      </c>
    </row>
    <row r="600" spans="1:10">
      <c r="A600" s="103" t="s">
        <v>1689</v>
      </c>
      <c r="B600" s="124" t="s">
        <v>934</v>
      </c>
      <c r="C600" s="110">
        <v>22197</v>
      </c>
      <c r="D600" s="109" t="s">
        <v>120</v>
      </c>
      <c r="E600" s="109">
        <v>222</v>
      </c>
      <c r="F600" s="110">
        <v>6602</v>
      </c>
      <c r="G600" s="109" t="s">
        <v>120</v>
      </c>
      <c r="H600" s="109">
        <v>30</v>
      </c>
      <c r="I600" s="109" t="s">
        <v>122</v>
      </c>
      <c r="J600" s="110" t="s">
        <v>122</v>
      </c>
    </row>
    <row r="601" spans="1:10" s="119" customFormat="1">
      <c r="A601" s="123" t="s">
        <v>120</v>
      </c>
      <c r="B601" s="273" t="s">
        <v>1690</v>
      </c>
      <c r="C601" s="274"/>
      <c r="D601" s="274"/>
      <c r="E601" s="274"/>
      <c r="F601" s="274"/>
      <c r="G601" s="274"/>
      <c r="H601" s="274"/>
      <c r="I601" s="274"/>
      <c r="J601" s="274"/>
    </row>
    <row r="602" spans="1:10" s="119" customFormat="1">
      <c r="A602" s="123" t="s">
        <v>120</v>
      </c>
      <c r="B602" s="275" t="s">
        <v>1019</v>
      </c>
      <c r="C602" s="276"/>
      <c r="D602" s="276"/>
      <c r="E602" s="276"/>
      <c r="F602" s="276"/>
      <c r="G602" s="276"/>
      <c r="H602" s="276"/>
      <c r="I602" s="276"/>
      <c r="J602" s="276"/>
    </row>
    <row r="603" spans="1:10">
      <c r="A603" s="103" t="s">
        <v>1691</v>
      </c>
      <c r="B603" s="124" t="s">
        <v>1692</v>
      </c>
      <c r="C603" s="110">
        <v>853</v>
      </c>
      <c r="D603" s="109" t="s">
        <v>120</v>
      </c>
      <c r="E603" s="109">
        <v>9</v>
      </c>
      <c r="F603" s="110">
        <v>13518</v>
      </c>
      <c r="G603" s="109" t="s">
        <v>120</v>
      </c>
      <c r="H603" s="109">
        <v>1585</v>
      </c>
      <c r="I603" s="109">
        <v>2329</v>
      </c>
      <c r="J603" s="110">
        <v>589</v>
      </c>
    </row>
    <row r="604" spans="1:10" s="119" customFormat="1">
      <c r="A604" s="123" t="s">
        <v>120</v>
      </c>
      <c r="B604" s="275" t="s">
        <v>943</v>
      </c>
      <c r="C604" s="276"/>
      <c r="D604" s="276"/>
      <c r="E604" s="276"/>
      <c r="F604" s="276"/>
      <c r="G604" s="276"/>
      <c r="H604" s="276"/>
      <c r="I604" s="276"/>
      <c r="J604" s="276"/>
    </row>
    <row r="605" spans="1:10">
      <c r="A605" s="103" t="s">
        <v>1693</v>
      </c>
      <c r="B605" s="124" t="s">
        <v>1694</v>
      </c>
      <c r="C605" s="110">
        <v>8612</v>
      </c>
      <c r="D605" s="109" t="s">
        <v>120</v>
      </c>
      <c r="E605" s="109">
        <v>86</v>
      </c>
      <c r="F605" s="110">
        <v>3165</v>
      </c>
      <c r="G605" s="109" t="s">
        <v>120</v>
      </c>
      <c r="H605" s="109">
        <v>37</v>
      </c>
      <c r="I605" s="109">
        <v>1592</v>
      </c>
      <c r="J605" s="110">
        <v>2170</v>
      </c>
    </row>
    <row r="606" spans="1:10">
      <c r="A606" s="103" t="s">
        <v>1695</v>
      </c>
      <c r="B606" s="124" t="s">
        <v>1696</v>
      </c>
      <c r="C606" s="110">
        <v>8619</v>
      </c>
      <c r="D606" s="109" t="s">
        <v>120</v>
      </c>
      <c r="E606" s="109">
        <v>86</v>
      </c>
      <c r="F606" s="110">
        <v>4149</v>
      </c>
      <c r="G606" s="109" t="s">
        <v>120</v>
      </c>
      <c r="H606" s="109">
        <v>48</v>
      </c>
      <c r="I606" s="109">
        <v>1589</v>
      </c>
      <c r="J606" s="110">
        <v>1961</v>
      </c>
    </row>
    <row r="607" spans="1:10">
      <c r="A607" s="103" t="s">
        <v>1697</v>
      </c>
      <c r="B607" s="124" t="s">
        <v>1698</v>
      </c>
      <c r="C607" s="110">
        <v>12038</v>
      </c>
      <c r="D607" s="109" t="s">
        <v>120</v>
      </c>
      <c r="E607" s="109">
        <v>120</v>
      </c>
      <c r="F607" s="110">
        <v>4775</v>
      </c>
      <c r="G607" s="109" t="s">
        <v>120</v>
      </c>
      <c r="H607" s="109">
        <v>40</v>
      </c>
      <c r="I607" s="109">
        <v>1046</v>
      </c>
      <c r="J607" s="110">
        <v>1798</v>
      </c>
    </row>
    <row r="608" spans="1:10">
      <c r="A608" s="103" t="s">
        <v>1699</v>
      </c>
      <c r="B608" s="124" t="s">
        <v>1700</v>
      </c>
      <c r="C608" s="110">
        <v>20073</v>
      </c>
      <c r="D608" s="109" t="s">
        <v>120</v>
      </c>
      <c r="E608" s="109">
        <v>201</v>
      </c>
      <c r="F608" s="110">
        <v>8587</v>
      </c>
      <c r="G608" s="109" t="s">
        <v>120</v>
      </c>
      <c r="H608" s="109">
        <v>43</v>
      </c>
      <c r="I608" s="109">
        <v>342</v>
      </c>
      <c r="J608" s="110">
        <v>1038</v>
      </c>
    </row>
    <row r="609" spans="1:10" s="119" customFormat="1">
      <c r="A609" s="123" t="s">
        <v>120</v>
      </c>
      <c r="B609" s="273" t="s">
        <v>1701</v>
      </c>
      <c r="C609" s="274"/>
      <c r="D609" s="274"/>
      <c r="E609" s="274"/>
      <c r="F609" s="274"/>
      <c r="G609" s="274"/>
      <c r="H609" s="274"/>
      <c r="I609" s="274"/>
      <c r="J609" s="274"/>
    </row>
    <row r="610" spans="1:10" s="119" customFormat="1">
      <c r="A610" s="123" t="s">
        <v>120</v>
      </c>
      <c r="B610" s="275" t="s">
        <v>1019</v>
      </c>
      <c r="C610" s="276"/>
      <c r="D610" s="276"/>
      <c r="E610" s="276"/>
      <c r="F610" s="276"/>
      <c r="G610" s="276"/>
      <c r="H610" s="276"/>
      <c r="I610" s="276"/>
      <c r="J610" s="276"/>
    </row>
    <row r="611" spans="1:10">
      <c r="A611" s="103" t="s">
        <v>1702</v>
      </c>
      <c r="B611" s="124" t="s">
        <v>1703</v>
      </c>
      <c r="C611" s="110">
        <v>468</v>
      </c>
      <c r="D611" s="105" t="s">
        <v>1075</v>
      </c>
      <c r="E611" s="109">
        <v>5</v>
      </c>
      <c r="F611" s="110">
        <v>3505</v>
      </c>
      <c r="G611" s="109" t="s">
        <v>120</v>
      </c>
      <c r="H611" s="109">
        <v>749</v>
      </c>
      <c r="I611" s="109">
        <v>2340</v>
      </c>
      <c r="J611" s="110">
        <v>2108</v>
      </c>
    </row>
    <row r="612" spans="1:10" s="119" customFormat="1">
      <c r="A612" s="123" t="s">
        <v>120</v>
      </c>
      <c r="B612" s="275" t="s">
        <v>943</v>
      </c>
      <c r="C612" s="276"/>
      <c r="D612" s="276"/>
      <c r="E612" s="276"/>
      <c r="F612" s="276"/>
      <c r="G612" s="276"/>
      <c r="H612" s="276"/>
      <c r="I612" s="276"/>
      <c r="J612" s="276"/>
    </row>
    <row r="613" spans="1:10">
      <c r="A613" s="103" t="s">
        <v>1704</v>
      </c>
      <c r="B613" s="124" t="s">
        <v>1705</v>
      </c>
      <c r="C613" s="110">
        <v>10674</v>
      </c>
      <c r="D613" s="109" t="s">
        <v>120</v>
      </c>
      <c r="E613" s="109">
        <v>107</v>
      </c>
      <c r="F613" s="110">
        <v>3436</v>
      </c>
      <c r="G613" s="109" t="s">
        <v>120</v>
      </c>
      <c r="H613" s="109">
        <v>32</v>
      </c>
      <c r="I613" s="109">
        <v>1274</v>
      </c>
      <c r="J613" s="110">
        <v>2120</v>
      </c>
    </row>
    <row r="614" spans="1:10">
      <c r="A614" s="103" t="s">
        <v>1706</v>
      </c>
      <c r="B614" s="124" t="s">
        <v>1707</v>
      </c>
      <c r="C614" s="110">
        <v>7762</v>
      </c>
      <c r="D614" s="109" t="s">
        <v>120</v>
      </c>
      <c r="E614" s="109">
        <v>78</v>
      </c>
      <c r="F614" s="110">
        <v>3366</v>
      </c>
      <c r="G614" s="109" t="s">
        <v>120</v>
      </c>
      <c r="H614" s="109">
        <v>43</v>
      </c>
      <c r="I614" s="109">
        <v>1738</v>
      </c>
      <c r="J614" s="110">
        <v>2132</v>
      </c>
    </row>
    <row r="615" spans="1:10">
      <c r="A615" s="103" t="s">
        <v>1708</v>
      </c>
      <c r="B615" s="124" t="s">
        <v>1709</v>
      </c>
      <c r="C615" s="110">
        <v>9985</v>
      </c>
      <c r="D615" s="109" t="s">
        <v>120</v>
      </c>
      <c r="E615" s="109">
        <v>100</v>
      </c>
      <c r="F615" s="110">
        <v>7977</v>
      </c>
      <c r="G615" s="109" t="s">
        <v>120</v>
      </c>
      <c r="H615" s="109">
        <v>80</v>
      </c>
      <c r="I615" s="109">
        <v>1392</v>
      </c>
      <c r="J615" s="110">
        <v>1127</v>
      </c>
    </row>
    <row r="616" spans="1:10">
      <c r="A616" s="103" t="s">
        <v>1710</v>
      </c>
      <c r="B616" s="124" t="s">
        <v>1711</v>
      </c>
      <c r="C616" s="110">
        <v>7584</v>
      </c>
      <c r="D616" s="109" t="s">
        <v>120</v>
      </c>
      <c r="E616" s="109">
        <v>76</v>
      </c>
      <c r="F616" s="110">
        <v>10107</v>
      </c>
      <c r="G616" s="109" t="s">
        <v>120</v>
      </c>
      <c r="H616" s="109">
        <v>133</v>
      </c>
      <c r="I616" s="109">
        <v>1761</v>
      </c>
      <c r="J616" s="110">
        <v>862</v>
      </c>
    </row>
    <row r="617" spans="1:10">
      <c r="A617" s="103" t="s">
        <v>1712</v>
      </c>
      <c r="B617" s="124" t="s">
        <v>1703</v>
      </c>
      <c r="C617" s="110">
        <v>11479</v>
      </c>
      <c r="D617" s="109" t="s">
        <v>120</v>
      </c>
      <c r="E617" s="109">
        <v>115</v>
      </c>
      <c r="F617" s="110">
        <v>3918</v>
      </c>
      <c r="G617" s="109" t="s">
        <v>120</v>
      </c>
      <c r="H617" s="109">
        <v>34</v>
      </c>
      <c r="I617" s="109">
        <v>1128</v>
      </c>
      <c r="J617" s="110">
        <v>2009</v>
      </c>
    </row>
    <row r="618" spans="1:10">
      <c r="A618" s="103" t="s">
        <v>1713</v>
      </c>
      <c r="B618" s="124" t="s">
        <v>1714</v>
      </c>
      <c r="C618" s="110">
        <v>6941</v>
      </c>
      <c r="D618" s="109" t="s">
        <v>120</v>
      </c>
      <c r="E618" s="109">
        <v>69</v>
      </c>
      <c r="F618" s="110">
        <v>4562</v>
      </c>
      <c r="G618" s="109" t="s">
        <v>120</v>
      </c>
      <c r="H618" s="109">
        <v>66</v>
      </c>
      <c r="I618" s="109">
        <v>1856</v>
      </c>
      <c r="J618" s="110">
        <v>1855</v>
      </c>
    </row>
    <row r="619" spans="1:10">
      <c r="A619" s="103" t="s">
        <v>1715</v>
      </c>
      <c r="B619" s="124" t="s">
        <v>1716</v>
      </c>
      <c r="C619" s="110">
        <v>22062</v>
      </c>
      <c r="D619" s="109" t="s">
        <v>120</v>
      </c>
      <c r="E619" s="109">
        <v>220</v>
      </c>
      <c r="F619" s="110">
        <v>7309</v>
      </c>
      <c r="G619" s="109" t="s">
        <v>120</v>
      </c>
      <c r="H619" s="109">
        <v>33</v>
      </c>
      <c r="I619" s="109">
        <v>258</v>
      </c>
      <c r="J619" s="110">
        <v>1242</v>
      </c>
    </row>
    <row r="620" spans="1:10" s="119" customFormat="1">
      <c r="A620" s="123" t="s">
        <v>120</v>
      </c>
      <c r="B620" s="275" t="s">
        <v>947</v>
      </c>
      <c r="C620" s="276"/>
      <c r="D620" s="276"/>
      <c r="E620" s="276"/>
      <c r="F620" s="276"/>
      <c r="G620" s="276"/>
      <c r="H620" s="276"/>
      <c r="I620" s="276"/>
      <c r="J620" s="276"/>
    </row>
    <row r="621" spans="1:10">
      <c r="A621" s="103" t="s">
        <v>1717</v>
      </c>
      <c r="B621" s="124" t="s">
        <v>1718</v>
      </c>
      <c r="C621" s="110">
        <v>15095</v>
      </c>
      <c r="D621" s="109" t="s">
        <v>120</v>
      </c>
      <c r="E621" s="109">
        <v>151</v>
      </c>
      <c r="F621" s="110">
        <v>11442</v>
      </c>
      <c r="G621" s="109" t="s">
        <v>120</v>
      </c>
      <c r="H621" s="109">
        <v>76</v>
      </c>
      <c r="I621" s="109">
        <v>667</v>
      </c>
      <c r="J621" s="110">
        <v>748</v>
      </c>
    </row>
    <row r="622" spans="1:10">
      <c r="A622" s="103" t="s">
        <v>1719</v>
      </c>
      <c r="B622" s="124" t="s">
        <v>932</v>
      </c>
      <c r="C622" s="110">
        <v>704</v>
      </c>
      <c r="D622" s="109" t="s">
        <v>120</v>
      </c>
      <c r="E622" s="109">
        <v>7</v>
      </c>
      <c r="F622" s="110">
        <v>4596</v>
      </c>
      <c r="G622" s="109" t="s">
        <v>120</v>
      </c>
      <c r="H622" s="109">
        <v>653</v>
      </c>
      <c r="I622" s="109" t="s">
        <v>122</v>
      </c>
      <c r="J622" s="110" t="s">
        <v>122</v>
      </c>
    </row>
    <row r="623" spans="1:10">
      <c r="A623" s="103" t="s">
        <v>1720</v>
      </c>
      <c r="B623" s="124" t="s">
        <v>934</v>
      </c>
      <c r="C623" s="110">
        <v>14391</v>
      </c>
      <c r="D623" s="109" t="s">
        <v>120</v>
      </c>
      <c r="E623" s="109">
        <v>144</v>
      </c>
      <c r="F623" s="110">
        <v>6846</v>
      </c>
      <c r="G623" s="109" t="s">
        <v>120</v>
      </c>
      <c r="H623" s="109">
        <v>48</v>
      </c>
      <c r="I623" s="109" t="s">
        <v>122</v>
      </c>
      <c r="J623" s="110" t="s">
        <v>122</v>
      </c>
    </row>
    <row r="624" spans="1:10">
      <c r="A624" s="103" t="s">
        <v>1721</v>
      </c>
      <c r="B624" s="124" t="s">
        <v>1722</v>
      </c>
      <c r="C624" s="110">
        <v>12209</v>
      </c>
      <c r="D624" s="109" t="s">
        <v>120</v>
      </c>
      <c r="E624" s="109">
        <v>122</v>
      </c>
      <c r="F624" s="110">
        <v>5996</v>
      </c>
      <c r="G624" s="109" t="s">
        <v>120</v>
      </c>
      <c r="H624" s="109">
        <v>49</v>
      </c>
      <c r="I624" s="109">
        <v>1025</v>
      </c>
      <c r="J624" s="110">
        <v>1506</v>
      </c>
    </row>
    <row r="625" spans="1:10">
      <c r="A625" s="103" t="s">
        <v>1723</v>
      </c>
      <c r="B625" s="124" t="s">
        <v>932</v>
      </c>
      <c r="C625" s="110">
        <v>139</v>
      </c>
      <c r="D625" s="109" t="s">
        <v>120</v>
      </c>
      <c r="E625" s="109">
        <v>1</v>
      </c>
      <c r="F625" s="110">
        <v>1852</v>
      </c>
      <c r="G625" s="109" t="s">
        <v>120</v>
      </c>
      <c r="H625" s="109">
        <v>1332</v>
      </c>
      <c r="I625" s="109" t="s">
        <v>122</v>
      </c>
      <c r="J625" s="110" t="s">
        <v>122</v>
      </c>
    </row>
    <row r="626" spans="1:10">
      <c r="A626" s="103" t="s">
        <v>1724</v>
      </c>
      <c r="B626" s="124" t="s">
        <v>934</v>
      </c>
      <c r="C626" s="110">
        <v>12070</v>
      </c>
      <c r="D626" s="109" t="s">
        <v>120</v>
      </c>
      <c r="E626" s="109">
        <v>121</v>
      </c>
      <c r="F626" s="110">
        <v>4144</v>
      </c>
      <c r="G626" s="109" t="s">
        <v>120</v>
      </c>
      <c r="H626" s="109">
        <v>34</v>
      </c>
      <c r="I626" s="109" t="s">
        <v>122</v>
      </c>
      <c r="J626" s="110" t="s">
        <v>122</v>
      </c>
    </row>
    <row r="627" spans="1:10">
      <c r="A627" s="103" t="s">
        <v>1725</v>
      </c>
      <c r="B627" s="124" t="s">
        <v>1726</v>
      </c>
      <c r="C627" s="110">
        <v>13210</v>
      </c>
      <c r="D627" s="109" t="s">
        <v>120</v>
      </c>
      <c r="E627" s="109">
        <v>132</v>
      </c>
      <c r="F627" s="110">
        <v>7657</v>
      </c>
      <c r="G627" s="109" t="s">
        <v>120</v>
      </c>
      <c r="H627" s="109">
        <v>58</v>
      </c>
      <c r="I627" s="109">
        <v>880</v>
      </c>
      <c r="J627" s="110">
        <v>1177</v>
      </c>
    </row>
    <row r="628" spans="1:10">
      <c r="A628" s="103" t="s">
        <v>1727</v>
      </c>
      <c r="B628" s="124" t="s">
        <v>932</v>
      </c>
      <c r="C628" s="110">
        <v>224</v>
      </c>
      <c r="D628" s="109" t="s">
        <v>120</v>
      </c>
      <c r="E628" s="109">
        <v>2</v>
      </c>
      <c r="F628" s="110">
        <v>2596</v>
      </c>
      <c r="G628" s="109" t="s">
        <v>120</v>
      </c>
      <c r="H628" s="109">
        <v>1159</v>
      </c>
      <c r="I628" s="109" t="s">
        <v>122</v>
      </c>
      <c r="J628" s="110" t="s">
        <v>122</v>
      </c>
    </row>
    <row r="629" spans="1:10">
      <c r="A629" s="103" t="s">
        <v>1728</v>
      </c>
      <c r="B629" s="124" t="s">
        <v>934</v>
      </c>
      <c r="C629" s="110">
        <v>12986</v>
      </c>
      <c r="D629" s="109" t="s">
        <v>120</v>
      </c>
      <c r="E629" s="109">
        <v>130</v>
      </c>
      <c r="F629" s="110">
        <v>5061</v>
      </c>
      <c r="G629" s="109" t="s">
        <v>120</v>
      </c>
      <c r="H629" s="109">
        <v>39</v>
      </c>
      <c r="I629" s="109" t="s">
        <v>122</v>
      </c>
      <c r="J629" s="110" t="s">
        <v>122</v>
      </c>
    </row>
    <row r="630" spans="1:10">
      <c r="A630" s="103" t="s">
        <v>1729</v>
      </c>
      <c r="B630" s="124" t="s">
        <v>1730</v>
      </c>
      <c r="C630" s="110">
        <v>15091</v>
      </c>
      <c r="D630" s="109" t="s">
        <v>120</v>
      </c>
      <c r="E630" s="109">
        <v>151</v>
      </c>
      <c r="F630" s="110">
        <v>7325</v>
      </c>
      <c r="G630" s="109" t="s">
        <v>120</v>
      </c>
      <c r="H630" s="109">
        <v>49</v>
      </c>
      <c r="I630" s="109">
        <v>668</v>
      </c>
      <c r="J630" s="110">
        <v>1236</v>
      </c>
    </row>
    <row r="631" spans="1:10">
      <c r="A631" s="103" t="s">
        <v>1731</v>
      </c>
      <c r="B631" s="124" t="s">
        <v>932</v>
      </c>
      <c r="C631" s="110">
        <v>231</v>
      </c>
      <c r="D631" s="109" t="s">
        <v>120</v>
      </c>
      <c r="E631" s="109">
        <v>2</v>
      </c>
      <c r="F631" s="110">
        <v>1394</v>
      </c>
      <c r="G631" s="109" t="s">
        <v>120</v>
      </c>
      <c r="H631" s="109">
        <v>603</v>
      </c>
      <c r="I631" s="109" t="s">
        <v>122</v>
      </c>
      <c r="J631" s="110" t="s">
        <v>122</v>
      </c>
    </row>
    <row r="632" spans="1:10">
      <c r="A632" s="103" t="s">
        <v>1732</v>
      </c>
      <c r="B632" s="124" t="s">
        <v>934</v>
      </c>
      <c r="C632" s="110">
        <v>14860</v>
      </c>
      <c r="D632" s="109" t="s">
        <v>120</v>
      </c>
      <c r="E632" s="109">
        <v>149</v>
      </c>
      <c r="F632" s="110">
        <v>5931</v>
      </c>
      <c r="G632" s="109" t="s">
        <v>120</v>
      </c>
      <c r="H632" s="109">
        <v>40</v>
      </c>
      <c r="I632" s="109" t="s">
        <v>122</v>
      </c>
      <c r="J632" s="110" t="s">
        <v>122</v>
      </c>
    </row>
    <row r="633" spans="1:10">
      <c r="A633" s="103" t="s">
        <v>1733</v>
      </c>
      <c r="B633" s="124" t="s">
        <v>1734</v>
      </c>
      <c r="C633" s="110">
        <v>14803</v>
      </c>
      <c r="D633" s="109" t="s">
        <v>120</v>
      </c>
      <c r="E633" s="109">
        <v>148</v>
      </c>
      <c r="F633" s="110">
        <v>9437</v>
      </c>
      <c r="G633" s="109" t="s">
        <v>120</v>
      </c>
      <c r="H633" s="109">
        <v>64</v>
      </c>
      <c r="I633" s="109">
        <v>693</v>
      </c>
      <c r="J633" s="110">
        <v>928</v>
      </c>
    </row>
    <row r="634" spans="1:10">
      <c r="A634" s="103" t="s">
        <v>1735</v>
      </c>
      <c r="B634" s="124" t="s">
        <v>932</v>
      </c>
      <c r="C634" s="110">
        <v>197</v>
      </c>
      <c r="D634" s="109" t="s">
        <v>120</v>
      </c>
      <c r="E634" s="109">
        <v>2</v>
      </c>
      <c r="F634" s="110">
        <v>3012</v>
      </c>
      <c r="G634" s="109" t="s">
        <v>120</v>
      </c>
      <c r="H634" s="109">
        <v>1529</v>
      </c>
      <c r="I634" s="109" t="s">
        <v>122</v>
      </c>
      <c r="J634" s="110" t="s">
        <v>122</v>
      </c>
    </row>
    <row r="635" spans="1:10">
      <c r="A635" s="103" t="s">
        <v>1736</v>
      </c>
      <c r="B635" s="124" t="s">
        <v>934</v>
      </c>
      <c r="C635" s="110">
        <v>14606</v>
      </c>
      <c r="D635" s="109" t="s">
        <v>120</v>
      </c>
      <c r="E635" s="109">
        <v>146</v>
      </c>
      <c r="F635" s="110">
        <v>6425</v>
      </c>
      <c r="G635" s="109" t="s">
        <v>120</v>
      </c>
      <c r="H635" s="109">
        <v>44</v>
      </c>
      <c r="I635" s="109" t="s">
        <v>122</v>
      </c>
      <c r="J635" s="110" t="s">
        <v>122</v>
      </c>
    </row>
    <row r="636" spans="1:10" s="119" customFormat="1">
      <c r="A636" s="123" t="s">
        <v>120</v>
      </c>
      <c r="B636" s="273" t="s">
        <v>1737</v>
      </c>
      <c r="C636" s="274"/>
      <c r="D636" s="274"/>
      <c r="E636" s="274"/>
      <c r="F636" s="274"/>
      <c r="G636" s="274"/>
      <c r="H636" s="274"/>
      <c r="I636" s="274"/>
      <c r="J636" s="274"/>
    </row>
    <row r="637" spans="1:10" s="119" customFormat="1">
      <c r="A637" s="123" t="s">
        <v>120</v>
      </c>
      <c r="B637" s="275" t="s">
        <v>1022</v>
      </c>
      <c r="C637" s="276"/>
      <c r="D637" s="276"/>
      <c r="E637" s="276"/>
      <c r="F637" s="276"/>
      <c r="G637" s="276"/>
      <c r="H637" s="276"/>
      <c r="I637" s="276"/>
      <c r="J637" s="276"/>
    </row>
    <row r="638" spans="1:10">
      <c r="A638" s="103" t="s">
        <v>1738</v>
      </c>
      <c r="B638" s="124" t="s">
        <v>1739</v>
      </c>
      <c r="C638" s="110">
        <v>13584</v>
      </c>
      <c r="D638" s="109" t="s">
        <v>120</v>
      </c>
      <c r="E638" s="109">
        <v>136</v>
      </c>
      <c r="F638" s="110">
        <v>5304</v>
      </c>
      <c r="G638" s="109" t="s">
        <v>120</v>
      </c>
      <c r="H638" s="109">
        <v>39</v>
      </c>
      <c r="I638" s="109">
        <v>827</v>
      </c>
      <c r="J638" s="110">
        <v>1661</v>
      </c>
    </row>
    <row r="639" spans="1:10">
      <c r="A639" s="103" t="s">
        <v>1740</v>
      </c>
      <c r="B639" s="124" t="s">
        <v>1609</v>
      </c>
      <c r="C639" s="110">
        <v>17885</v>
      </c>
      <c r="D639" s="109" t="s">
        <v>120</v>
      </c>
      <c r="E639" s="109">
        <v>179</v>
      </c>
      <c r="F639" s="110">
        <v>6828</v>
      </c>
      <c r="G639" s="109" t="s">
        <v>120</v>
      </c>
      <c r="H639" s="109">
        <v>38</v>
      </c>
      <c r="I639" s="109">
        <v>459</v>
      </c>
      <c r="J639" s="110">
        <v>1334</v>
      </c>
    </row>
    <row r="640" spans="1:10" s="119" customFormat="1">
      <c r="A640" s="123" t="s">
        <v>120</v>
      </c>
      <c r="B640" s="275" t="s">
        <v>947</v>
      </c>
      <c r="C640" s="276"/>
      <c r="D640" s="276"/>
      <c r="E640" s="276"/>
      <c r="F640" s="276"/>
      <c r="G640" s="276"/>
      <c r="H640" s="276"/>
      <c r="I640" s="276"/>
      <c r="J640" s="276"/>
    </row>
    <row r="641" spans="1:10">
      <c r="A641" s="103" t="s">
        <v>1741</v>
      </c>
      <c r="B641" s="124" t="s">
        <v>1742</v>
      </c>
      <c r="C641" s="110">
        <v>12088</v>
      </c>
      <c r="D641" s="109" t="s">
        <v>120</v>
      </c>
      <c r="E641" s="109">
        <v>121</v>
      </c>
      <c r="F641" s="110">
        <v>14751</v>
      </c>
      <c r="G641" s="109" t="s">
        <v>120</v>
      </c>
      <c r="H641" s="109">
        <v>122</v>
      </c>
      <c r="I641" s="109">
        <v>1042</v>
      </c>
      <c r="J641" s="110">
        <v>527</v>
      </c>
    </row>
    <row r="642" spans="1:10">
      <c r="A642" s="103" t="s">
        <v>1743</v>
      </c>
      <c r="B642" s="124" t="s">
        <v>932</v>
      </c>
      <c r="C642" s="110">
        <v>370</v>
      </c>
      <c r="D642" s="109" t="s">
        <v>120</v>
      </c>
      <c r="E642" s="109">
        <v>4</v>
      </c>
      <c r="F642" s="110">
        <v>7381</v>
      </c>
      <c r="G642" s="109" t="s">
        <v>120</v>
      </c>
      <c r="H642" s="109">
        <v>1995</v>
      </c>
      <c r="I642" s="109" t="s">
        <v>122</v>
      </c>
      <c r="J642" s="110" t="s">
        <v>122</v>
      </c>
    </row>
    <row r="643" spans="1:10">
      <c r="A643" s="103" t="s">
        <v>1744</v>
      </c>
      <c r="B643" s="124" t="s">
        <v>934</v>
      </c>
      <c r="C643" s="110">
        <v>11718</v>
      </c>
      <c r="D643" s="109" t="s">
        <v>120</v>
      </c>
      <c r="E643" s="109">
        <v>117</v>
      </c>
      <c r="F643" s="110">
        <v>7370</v>
      </c>
      <c r="G643" s="109" t="s">
        <v>120</v>
      </c>
      <c r="H643" s="109">
        <v>63</v>
      </c>
      <c r="I643" s="109" t="s">
        <v>122</v>
      </c>
      <c r="J643" s="110" t="s">
        <v>122</v>
      </c>
    </row>
    <row r="644" spans="1:10">
      <c r="A644" s="103" t="s">
        <v>1745</v>
      </c>
      <c r="B644" s="124" t="s">
        <v>1746</v>
      </c>
      <c r="C644" s="110">
        <v>13073</v>
      </c>
      <c r="D644" s="109" t="s">
        <v>120</v>
      </c>
      <c r="E644" s="109">
        <v>131</v>
      </c>
      <c r="F644" s="110">
        <v>9008</v>
      </c>
      <c r="G644" s="109" t="s">
        <v>120</v>
      </c>
      <c r="H644" s="109">
        <v>69</v>
      </c>
      <c r="I644" s="109">
        <v>900</v>
      </c>
      <c r="J644" s="110">
        <v>983</v>
      </c>
    </row>
    <row r="645" spans="1:10">
      <c r="A645" s="103" t="s">
        <v>1747</v>
      </c>
      <c r="B645" s="124" t="s">
        <v>932</v>
      </c>
      <c r="C645" s="110">
        <v>304</v>
      </c>
      <c r="D645" s="109" t="s">
        <v>120</v>
      </c>
      <c r="E645" s="109">
        <v>3</v>
      </c>
      <c r="F645" s="110">
        <v>3935</v>
      </c>
      <c r="G645" s="109" t="s">
        <v>120</v>
      </c>
      <c r="H645" s="109">
        <v>1294</v>
      </c>
      <c r="I645" s="109" t="s">
        <v>122</v>
      </c>
      <c r="J645" s="110" t="s">
        <v>122</v>
      </c>
    </row>
    <row r="646" spans="1:10">
      <c r="A646" s="103" t="s">
        <v>1748</v>
      </c>
      <c r="B646" s="124" t="s">
        <v>934</v>
      </c>
      <c r="C646" s="110">
        <v>12769</v>
      </c>
      <c r="D646" s="109" t="s">
        <v>120</v>
      </c>
      <c r="E646" s="109">
        <v>128</v>
      </c>
      <c r="F646" s="110">
        <v>5073</v>
      </c>
      <c r="G646" s="109" t="s">
        <v>120</v>
      </c>
      <c r="H646" s="109">
        <v>40</v>
      </c>
      <c r="I646" s="109" t="s">
        <v>122</v>
      </c>
      <c r="J646" s="110" t="s">
        <v>122</v>
      </c>
    </row>
    <row r="647" spans="1:10">
      <c r="A647" s="103" t="s">
        <v>1749</v>
      </c>
      <c r="B647" s="124" t="s">
        <v>1750</v>
      </c>
      <c r="C647" s="110">
        <v>16700</v>
      </c>
      <c r="D647" s="109" t="s">
        <v>120</v>
      </c>
      <c r="E647" s="109">
        <v>167</v>
      </c>
      <c r="F647" s="110">
        <v>10219</v>
      </c>
      <c r="G647" s="109" t="s">
        <v>120</v>
      </c>
      <c r="H647" s="109">
        <v>61</v>
      </c>
      <c r="I647" s="109">
        <v>543</v>
      </c>
      <c r="J647" s="110">
        <v>851</v>
      </c>
    </row>
    <row r="648" spans="1:10">
      <c r="A648" s="103" t="s">
        <v>1751</v>
      </c>
      <c r="B648" s="124" t="s">
        <v>932</v>
      </c>
      <c r="C648" s="110">
        <v>289</v>
      </c>
      <c r="D648" s="109" t="s">
        <v>120</v>
      </c>
      <c r="E648" s="109">
        <v>3</v>
      </c>
      <c r="F648" s="110">
        <v>4469</v>
      </c>
      <c r="G648" s="109" t="s">
        <v>120</v>
      </c>
      <c r="H648" s="109">
        <v>1546</v>
      </c>
      <c r="I648" s="109" t="s">
        <v>122</v>
      </c>
      <c r="J648" s="110" t="s">
        <v>122</v>
      </c>
    </row>
    <row r="649" spans="1:10">
      <c r="A649" s="103" t="s">
        <v>1752</v>
      </c>
      <c r="B649" s="124" t="s">
        <v>934</v>
      </c>
      <c r="C649" s="110">
        <v>16411</v>
      </c>
      <c r="D649" s="109" t="s">
        <v>120</v>
      </c>
      <c r="E649" s="109">
        <v>164</v>
      </c>
      <c r="F649" s="110">
        <v>5750</v>
      </c>
      <c r="G649" s="109" t="s">
        <v>120</v>
      </c>
      <c r="H649" s="109">
        <v>35</v>
      </c>
      <c r="I649" s="109" t="s">
        <v>122</v>
      </c>
      <c r="J649" s="110" t="s">
        <v>122</v>
      </c>
    </row>
    <row r="650" spans="1:10">
      <c r="A650" s="103" t="s">
        <v>1753</v>
      </c>
      <c r="B650" s="124" t="s">
        <v>1754</v>
      </c>
      <c r="C650" s="110">
        <v>25147</v>
      </c>
      <c r="D650" s="109" t="s">
        <v>120</v>
      </c>
      <c r="E650" s="109">
        <v>251</v>
      </c>
      <c r="F650" s="110">
        <v>24080</v>
      </c>
      <c r="G650" s="109" t="s">
        <v>120</v>
      </c>
      <c r="H650" s="109">
        <v>96</v>
      </c>
      <c r="I650" s="109">
        <v>179</v>
      </c>
      <c r="J650" s="110">
        <v>264</v>
      </c>
    </row>
    <row r="651" spans="1:10">
      <c r="A651" s="103" t="s">
        <v>1755</v>
      </c>
      <c r="B651" s="124" t="s">
        <v>932</v>
      </c>
      <c r="C651" s="110">
        <v>835</v>
      </c>
      <c r="D651" s="109" t="s">
        <v>120</v>
      </c>
      <c r="E651" s="109">
        <v>8</v>
      </c>
      <c r="F651" s="110">
        <v>13793</v>
      </c>
      <c r="G651" s="109" t="s">
        <v>120</v>
      </c>
      <c r="H651" s="109">
        <v>1652</v>
      </c>
      <c r="I651" s="109" t="s">
        <v>122</v>
      </c>
      <c r="J651" s="110" t="s">
        <v>122</v>
      </c>
    </row>
    <row r="652" spans="1:10">
      <c r="A652" s="103" t="s">
        <v>1756</v>
      </c>
      <c r="B652" s="124" t="s">
        <v>934</v>
      </c>
      <c r="C652" s="110">
        <v>24312</v>
      </c>
      <c r="D652" s="109" t="s">
        <v>120</v>
      </c>
      <c r="E652" s="109">
        <v>243</v>
      </c>
      <c r="F652" s="110">
        <v>10287</v>
      </c>
      <c r="G652" s="109" t="s">
        <v>120</v>
      </c>
      <c r="H652" s="109">
        <v>42</v>
      </c>
      <c r="I652" s="109" t="s">
        <v>122</v>
      </c>
      <c r="J652" s="110" t="s">
        <v>122</v>
      </c>
    </row>
    <row r="653" spans="1:10" s="119" customFormat="1">
      <c r="A653" s="123" t="s">
        <v>120</v>
      </c>
      <c r="B653" s="273" t="s">
        <v>1757</v>
      </c>
      <c r="C653" s="274"/>
      <c r="D653" s="274"/>
      <c r="E653" s="274"/>
      <c r="F653" s="274"/>
      <c r="G653" s="274"/>
      <c r="H653" s="274"/>
      <c r="I653" s="274"/>
      <c r="J653" s="274"/>
    </row>
    <row r="654" spans="1:10">
      <c r="A654" s="103" t="s">
        <v>1758</v>
      </c>
      <c r="B654" s="124" t="s">
        <v>1759</v>
      </c>
      <c r="C654" s="110">
        <v>17598</v>
      </c>
      <c r="D654" s="109" t="s">
        <v>120</v>
      </c>
      <c r="E654" s="109">
        <v>176</v>
      </c>
      <c r="F654" s="110">
        <v>348190</v>
      </c>
      <c r="G654" s="105" t="s">
        <v>927</v>
      </c>
      <c r="H654" s="109">
        <v>1979</v>
      </c>
      <c r="I654" s="109">
        <v>479</v>
      </c>
      <c r="J654" s="110">
        <v>8</v>
      </c>
    </row>
    <row r="655" spans="1:10">
      <c r="A655" s="103" t="s">
        <v>1760</v>
      </c>
      <c r="B655" s="124" t="s">
        <v>1491</v>
      </c>
      <c r="C655" s="110">
        <v>5776</v>
      </c>
      <c r="D655" s="109" t="s">
        <v>120</v>
      </c>
      <c r="E655" s="109">
        <v>58</v>
      </c>
      <c r="F655" s="110">
        <v>94368</v>
      </c>
      <c r="G655" s="109" t="s">
        <v>120</v>
      </c>
      <c r="H655" s="109">
        <v>1634</v>
      </c>
      <c r="I655" s="109">
        <v>1959</v>
      </c>
      <c r="J655" s="110">
        <v>40</v>
      </c>
    </row>
    <row r="656" spans="1:10">
      <c r="A656" s="103" t="s">
        <v>1761</v>
      </c>
      <c r="B656" s="124" t="s">
        <v>1762</v>
      </c>
      <c r="C656" s="110">
        <v>11572</v>
      </c>
      <c r="D656" s="109" t="s">
        <v>120</v>
      </c>
      <c r="E656" s="109">
        <v>116</v>
      </c>
      <c r="F656" s="110">
        <v>201447</v>
      </c>
      <c r="G656" s="109" t="s">
        <v>120</v>
      </c>
      <c r="H656" s="109">
        <v>1741</v>
      </c>
      <c r="I656" s="109">
        <v>1120</v>
      </c>
      <c r="J656" s="110">
        <v>15</v>
      </c>
    </row>
    <row r="657" spans="1:10">
      <c r="A657" s="103" t="s">
        <v>1763</v>
      </c>
      <c r="B657" s="124" t="s">
        <v>1716</v>
      </c>
      <c r="C657" s="110">
        <v>8432</v>
      </c>
      <c r="D657" s="109" t="s">
        <v>120</v>
      </c>
      <c r="E657" s="109">
        <v>84</v>
      </c>
      <c r="F657" s="110">
        <v>109883</v>
      </c>
      <c r="G657" s="109" t="s">
        <v>120</v>
      </c>
      <c r="H657" s="109">
        <v>1303</v>
      </c>
      <c r="I657" s="109">
        <v>1631</v>
      </c>
      <c r="J657" s="110">
        <v>34</v>
      </c>
    </row>
    <row r="658" spans="1:10" s="119" customFormat="1">
      <c r="A658" s="123" t="s">
        <v>120</v>
      </c>
      <c r="B658" s="273" t="s">
        <v>2</v>
      </c>
      <c r="C658" s="274"/>
      <c r="D658" s="274"/>
      <c r="E658" s="274"/>
      <c r="F658" s="274"/>
      <c r="G658" s="274"/>
      <c r="H658" s="274"/>
      <c r="I658" s="274"/>
      <c r="J658" s="274"/>
    </row>
    <row r="659" spans="1:10" s="119" customFormat="1">
      <c r="A659" s="123" t="s">
        <v>120</v>
      </c>
      <c r="B659" s="273" t="s">
        <v>1764</v>
      </c>
      <c r="C659" s="274"/>
      <c r="D659" s="274"/>
      <c r="E659" s="274"/>
      <c r="F659" s="274"/>
      <c r="G659" s="274"/>
      <c r="H659" s="274"/>
      <c r="I659" s="274"/>
      <c r="J659" s="274"/>
    </row>
    <row r="660" spans="1:10" s="119" customFormat="1">
      <c r="A660" s="123" t="s">
        <v>120</v>
      </c>
      <c r="B660" s="275" t="s">
        <v>936</v>
      </c>
      <c r="C660" s="276"/>
      <c r="D660" s="276"/>
      <c r="E660" s="276"/>
      <c r="F660" s="276"/>
      <c r="G660" s="276"/>
      <c r="H660" s="276"/>
      <c r="I660" s="276"/>
      <c r="J660" s="276"/>
    </row>
    <row r="661" spans="1:10">
      <c r="A661" s="103" t="s">
        <v>1765</v>
      </c>
      <c r="B661" s="124" t="s">
        <v>1766</v>
      </c>
      <c r="C661" s="110">
        <v>2003</v>
      </c>
      <c r="D661" s="109" t="s">
        <v>120</v>
      </c>
      <c r="E661" s="109">
        <v>20</v>
      </c>
      <c r="F661" s="110">
        <v>16753</v>
      </c>
      <c r="G661" s="109" t="s">
        <v>120</v>
      </c>
      <c r="H661" s="109">
        <v>836</v>
      </c>
      <c r="I661" s="109">
        <v>2239</v>
      </c>
      <c r="J661" s="110">
        <v>443</v>
      </c>
    </row>
    <row r="662" spans="1:10">
      <c r="A662" s="103" t="s">
        <v>1767</v>
      </c>
      <c r="B662" s="124" t="s">
        <v>1768</v>
      </c>
      <c r="C662" s="110">
        <v>1011</v>
      </c>
      <c r="D662" s="109" t="s">
        <v>120</v>
      </c>
      <c r="E662" s="109">
        <v>10</v>
      </c>
      <c r="F662" s="110">
        <v>5560</v>
      </c>
      <c r="G662" s="109" t="s">
        <v>120</v>
      </c>
      <c r="H662" s="109">
        <v>550</v>
      </c>
      <c r="I662" s="109">
        <v>2323</v>
      </c>
      <c r="J662" s="110">
        <v>1602</v>
      </c>
    </row>
    <row r="663" spans="1:10" s="119" customFormat="1">
      <c r="A663" s="123" t="s">
        <v>120</v>
      </c>
      <c r="B663" s="275" t="s">
        <v>943</v>
      </c>
      <c r="C663" s="276"/>
      <c r="D663" s="276"/>
      <c r="E663" s="276"/>
      <c r="F663" s="276"/>
      <c r="G663" s="276"/>
      <c r="H663" s="276"/>
      <c r="I663" s="276"/>
      <c r="J663" s="276"/>
    </row>
    <row r="664" spans="1:10">
      <c r="A664" s="103" t="s">
        <v>1769</v>
      </c>
      <c r="B664" s="124" t="s">
        <v>1770</v>
      </c>
      <c r="C664" s="110">
        <v>32540</v>
      </c>
      <c r="D664" s="105" t="s">
        <v>927</v>
      </c>
      <c r="E664" s="109">
        <v>325</v>
      </c>
      <c r="F664" s="110">
        <v>14423</v>
      </c>
      <c r="G664" s="109" t="s">
        <v>120</v>
      </c>
      <c r="H664" s="109">
        <v>44</v>
      </c>
      <c r="I664" s="109">
        <v>73</v>
      </c>
      <c r="J664" s="110">
        <v>546</v>
      </c>
    </row>
    <row r="665" spans="1:10">
      <c r="A665" s="103" t="s">
        <v>1771</v>
      </c>
      <c r="B665" s="124" t="s">
        <v>1772</v>
      </c>
      <c r="C665" s="110">
        <v>22806</v>
      </c>
      <c r="D665" s="109" t="s">
        <v>120</v>
      </c>
      <c r="E665" s="109">
        <v>228</v>
      </c>
      <c r="F665" s="110">
        <v>5367</v>
      </c>
      <c r="G665" s="109" t="s">
        <v>120</v>
      </c>
      <c r="H665" s="109">
        <v>24</v>
      </c>
      <c r="I665" s="109">
        <v>235</v>
      </c>
      <c r="J665" s="110">
        <v>1644</v>
      </c>
    </row>
    <row r="666" spans="1:10">
      <c r="A666" s="103" t="s">
        <v>1773</v>
      </c>
      <c r="B666" s="124" t="s">
        <v>1774</v>
      </c>
      <c r="C666" s="110">
        <v>13577</v>
      </c>
      <c r="D666" s="109" t="s">
        <v>120</v>
      </c>
      <c r="E666" s="109">
        <v>136</v>
      </c>
      <c r="F666" s="110">
        <v>5285</v>
      </c>
      <c r="G666" s="109" t="s">
        <v>120</v>
      </c>
      <c r="H666" s="109">
        <v>39</v>
      </c>
      <c r="I666" s="109">
        <v>829</v>
      </c>
      <c r="J666" s="110">
        <v>1667</v>
      </c>
    </row>
    <row r="667" spans="1:10">
      <c r="A667" s="103" t="s">
        <v>1775</v>
      </c>
      <c r="B667" s="124" t="s">
        <v>1776</v>
      </c>
      <c r="C667" s="110">
        <v>15104</v>
      </c>
      <c r="D667" s="109" t="s">
        <v>120</v>
      </c>
      <c r="E667" s="109">
        <v>151</v>
      </c>
      <c r="F667" s="110">
        <v>3524</v>
      </c>
      <c r="G667" s="109" t="s">
        <v>120</v>
      </c>
      <c r="H667" s="109">
        <v>23</v>
      </c>
      <c r="I667" s="109">
        <v>664</v>
      </c>
      <c r="J667" s="110">
        <v>2104</v>
      </c>
    </row>
    <row r="668" spans="1:10">
      <c r="A668" s="103" t="s">
        <v>1777</v>
      </c>
      <c r="B668" s="124" t="s">
        <v>1778</v>
      </c>
      <c r="C668" s="110">
        <v>8692</v>
      </c>
      <c r="D668" s="109" t="s">
        <v>120</v>
      </c>
      <c r="E668" s="109">
        <v>87</v>
      </c>
      <c r="F668" s="110">
        <v>4110</v>
      </c>
      <c r="G668" s="109" t="s">
        <v>120</v>
      </c>
      <c r="H668" s="109">
        <v>47</v>
      </c>
      <c r="I668" s="109">
        <v>1578</v>
      </c>
      <c r="J668" s="110">
        <v>1970</v>
      </c>
    </row>
    <row r="669" spans="1:10">
      <c r="A669" s="103" t="s">
        <v>1779</v>
      </c>
      <c r="B669" s="124" t="s">
        <v>1780</v>
      </c>
      <c r="C669" s="110">
        <v>9823</v>
      </c>
      <c r="D669" s="109" t="s">
        <v>120</v>
      </c>
      <c r="E669" s="109">
        <v>98</v>
      </c>
      <c r="F669" s="110">
        <v>4287</v>
      </c>
      <c r="G669" s="109" t="s">
        <v>120</v>
      </c>
      <c r="H669" s="109">
        <v>44</v>
      </c>
      <c r="I669" s="109">
        <v>1420</v>
      </c>
      <c r="J669" s="110">
        <v>1929</v>
      </c>
    </row>
    <row r="670" spans="1:10">
      <c r="A670" s="103" t="s">
        <v>1781</v>
      </c>
      <c r="B670" s="124" t="s">
        <v>1782</v>
      </c>
      <c r="C670" s="110">
        <v>19860</v>
      </c>
      <c r="D670" s="109" t="s">
        <v>120</v>
      </c>
      <c r="E670" s="109">
        <v>199</v>
      </c>
      <c r="F670" s="110">
        <v>4906</v>
      </c>
      <c r="G670" s="109" t="s">
        <v>120</v>
      </c>
      <c r="H670" s="109">
        <v>25</v>
      </c>
      <c r="I670" s="109">
        <v>353</v>
      </c>
      <c r="J670" s="110">
        <v>1762</v>
      </c>
    </row>
    <row r="671" spans="1:10">
      <c r="A671" s="103" t="s">
        <v>1783</v>
      </c>
      <c r="B671" s="124" t="s">
        <v>1766</v>
      </c>
      <c r="C671" s="110">
        <v>26092</v>
      </c>
      <c r="D671" s="109" t="s">
        <v>120</v>
      </c>
      <c r="E671" s="109">
        <v>261</v>
      </c>
      <c r="F671" s="110">
        <v>10467</v>
      </c>
      <c r="G671" s="109" t="s">
        <v>120</v>
      </c>
      <c r="H671" s="109">
        <v>40</v>
      </c>
      <c r="I671" s="109">
        <v>154</v>
      </c>
      <c r="J671" s="110">
        <v>833</v>
      </c>
    </row>
    <row r="672" spans="1:10">
      <c r="A672" s="103" t="s">
        <v>1784</v>
      </c>
      <c r="B672" s="124" t="s">
        <v>1785</v>
      </c>
      <c r="C672" s="110">
        <v>17019</v>
      </c>
      <c r="D672" s="109" t="s">
        <v>120</v>
      </c>
      <c r="E672" s="109">
        <v>170</v>
      </c>
      <c r="F672" s="110">
        <v>7188</v>
      </c>
      <c r="G672" s="109" t="s">
        <v>120</v>
      </c>
      <c r="H672" s="109">
        <v>42</v>
      </c>
      <c r="I672" s="109">
        <v>516</v>
      </c>
      <c r="J672" s="110">
        <v>1261</v>
      </c>
    </row>
    <row r="673" spans="1:10">
      <c r="A673" s="103" t="s">
        <v>1786</v>
      </c>
      <c r="B673" s="124" t="s">
        <v>1787</v>
      </c>
      <c r="C673" s="110">
        <v>14089</v>
      </c>
      <c r="D673" s="109" t="s">
        <v>120</v>
      </c>
      <c r="E673" s="109">
        <v>141</v>
      </c>
      <c r="F673" s="110">
        <v>2972</v>
      </c>
      <c r="G673" s="109" t="s">
        <v>120</v>
      </c>
      <c r="H673" s="109">
        <v>21</v>
      </c>
      <c r="I673" s="109">
        <v>775</v>
      </c>
      <c r="J673" s="110">
        <v>2201</v>
      </c>
    </row>
    <row r="674" spans="1:10">
      <c r="A674" s="103" t="s">
        <v>1788</v>
      </c>
      <c r="B674" s="124" t="s">
        <v>1789</v>
      </c>
      <c r="C674" s="110">
        <v>7648</v>
      </c>
      <c r="D674" s="109" t="s">
        <v>120</v>
      </c>
      <c r="E674" s="109">
        <v>76</v>
      </c>
      <c r="F674" s="110">
        <v>2193</v>
      </c>
      <c r="G674" s="109" t="s">
        <v>120</v>
      </c>
      <c r="H674" s="109">
        <v>29</v>
      </c>
      <c r="I674" s="109">
        <v>1752</v>
      </c>
      <c r="J674" s="110">
        <v>2284</v>
      </c>
    </row>
    <row r="675" spans="1:10">
      <c r="A675" s="103" t="s">
        <v>1790</v>
      </c>
      <c r="B675" s="124" t="s">
        <v>1791</v>
      </c>
      <c r="C675" s="110">
        <v>7189</v>
      </c>
      <c r="D675" s="109" t="s">
        <v>120</v>
      </c>
      <c r="E675" s="109">
        <v>72</v>
      </c>
      <c r="F675" s="110">
        <v>2293</v>
      </c>
      <c r="G675" s="109" t="s">
        <v>120</v>
      </c>
      <c r="H675" s="109">
        <v>32</v>
      </c>
      <c r="I675" s="109">
        <v>1819</v>
      </c>
      <c r="J675" s="110">
        <v>2280</v>
      </c>
    </row>
    <row r="676" spans="1:10">
      <c r="A676" s="103" t="s">
        <v>1792</v>
      </c>
      <c r="B676" s="124" t="s">
        <v>1793</v>
      </c>
      <c r="C676" s="110">
        <v>14836</v>
      </c>
      <c r="D676" s="109" t="s">
        <v>120</v>
      </c>
      <c r="E676" s="109">
        <v>148</v>
      </c>
      <c r="F676" s="110">
        <v>2409</v>
      </c>
      <c r="G676" s="109" t="s">
        <v>120</v>
      </c>
      <c r="H676" s="109">
        <v>16</v>
      </c>
      <c r="I676" s="109">
        <v>690</v>
      </c>
      <c r="J676" s="110">
        <v>2268</v>
      </c>
    </row>
    <row r="677" spans="1:10">
      <c r="A677" s="103" t="s">
        <v>1794</v>
      </c>
      <c r="B677" s="124" t="s">
        <v>1768</v>
      </c>
      <c r="C677" s="110">
        <v>14149</v>
      </c>
      <c r="D677" s="109" t="s">
        <v>120</v>
      </c>
      <c r="E677" s="109">
        <v>142</v>
      </c>
      <c r="F677" s="110">
        <v>6700</v>
      </c>
      <c r="G677" s="109" t="s">
        <v>120</v>
      </c>
      <c r="H677" s="109">
        <v>47</v>
      </c>
      <c r="I677" s="109">
        <v>763</v>
      </c>
      <c r="J677" s="110">
        <v>1360</v>
      </c>
    </row>
    <row r="678" spans="1:10">
      <c r="A678" s="103" t="s">
        <v>1795</v>
      </c>
      <c r="B678" s="124" t="s">
        <v>1796</v>
      </c>
      <c r="C678" s="110">
        <v>16957</v>
      </c>
      <c r="D678" s="109" t="s">
        <v>120</v>
      </c>
      <c r="E678" s="109">
        <v>170</v>
      </c>
      <c r="F678" s="110">
        <v>3004</v>
      </c>
      <c r="G678" s="109" t="s">
        <v>120</v>
      </c>
      <c r="H678" s="109">
        <v>18</v>
      </c>
      <c r="I678" s="109">
        <v>525</v>
      </c>
      <c r="J678" s="110">
        <v>2197</v>
      </c>
    </row>
    <row r="679" spans="1:10">
      <c r="A679" s="103" t="s">
        <v>1797</v>
      </c>
      <c r="B679" s="124" t="s">
        <v>1798</v>
      </c>
      <c r="C679" s="110">
        <v>17320</v>
      </c>
      <c r="D679" s="109" t="s">
        <v>120</v>
      </c>
      <c r="E679" s="109">
        <v>173</v>
      </c>
      <c r="F679" s="110">
        <v>4926</v>
      </c>
      <c r="G679" s="109" t="s">
        <v>120</v>
      </c>
      <c r="H679" s="109">
        <v>28</v>
      </c>
      <c r="I679" s="109">
        <v>495</v>
      </c>
      <c r="J679" s="110">
        <v>1754</v>
      </c>
    </row>
    <row r="680" spans="1:10">
      <c r="A680" s="103" t="s">
        <v>1799</v>
      </c>
      <c r="B680" s="124" t="s">
        <v>1800</v>
      </c>
      <c r="C680" s="110">
        <v>14711</v>
      </c>
      <c r="D680" s="109" t="s">
        <v>120</v>
      </c>
      <c r="E680" s="109">
        <v>147</v>
      </c>
      <c r="F680" s="110">
        <v>4405</v>
      </c>
      <c r="G680" s="109" t="s">
        <v>120</v>
      </c>
      <c r="H680" s="109">
        <v>30</v>
      </c>
      <c r="I680" s="109">
        <v>704</v>
      </c>
      <c r="J680" s="110">
        <v>1889</v>
      </c>
    </row>
    <row r="681" spans="1:10" s="119" customFormat="1">
      <c r="A681" s="123" t="s">
        <v>120</v>
      </c>
      <c r="B681" s="273" t="s">
        <v>1801</v>
      </c>
      <c r="C681" s="274"/>
      <c r="D681" s="274"/>
      <c r="E681" s="274"/>
      <c r="F681" s="274"/>
      <c r="G681" s="274"/>
      <c r="H681" s="274"/>
      <c r="I681" s="274"/>
      <c r="J681" s="274"/>
    </row>
    <row r="682" spans="1:10" s="119" customFormat="1">
      <c r="A682" s="123" t="s">
        <v>120</v>
      </c>
      <c r="B682" s="275" t="s">
        <v>1019</v>
      </c>
      <c r="C682" s="276"/>
      <c r="D682" s="276"/>
      <c r="E682" s="276"/>
      <c r="F682" s="276"/>
      <c r="G682" s="276"/>
      <c r="H682" s="276"/>
      <c r="I682" s="276"/>
      <c r="J682" s="276"/>
    </row>
    <row r="683" spans="1:10">
      <c r="A683" s="103" t="s">
        <v>1802</v>
      </c>
      <c r="B683" s="124" t="s">
        <v>1803</v>
      </c>
      <c r="C683" s="110">
        <v>2110</v>
      </c>
      <c r="D683" s="109" t="s">
        <v>120</v>
      </c>
      <c r="E683" s="109">
        <v>21</v>
      </c>
      <c r="F683" s="110">
        <v>26329</v>
      </c>
      <c r="G683" s="109" t="s">
        <v>120</v>
      </c>
      <c r="H683" s="109">
        <v>1248</v>
      </c>
      <c r="I683" s="109">
        <v>2224</v>
      </c>
      <c r="J683" s="110">
        <v>230</v>
      </c>
    </row>
    <row r="684" spans="1:10" s="119" customFormat="1">
      <c r="A684" s="123" t="s">
        <v>120</v>
      </c>
      <c r="B684" s="275" t="s">
        <v>943</v>
      </c>
      <c r="C684" s="276"/>
      <c r="D684" s="276"/>
      <c r="E684" s="276"/>
      <c r="F684" s="276"/>
      <c r="G684" s="276"/>
      <c r="H684" s="276"/>
      <c r="I684" s="276"/>
      <c r="J684" s="276"/>
    </row>
    <row r="685" spans="1:10">
      <c r="A685" s="103" t="s">
        <v>1804</v>
      </c>
      <c r="B685" s="124" t="s">
        <v>1805</v>
      </c>
      <c r="C685" s="110">
        <v>5426</v>
      </c>
      <c r="D685" s="109" t="s">
        <v>120</v>
      </c>
      <c r="E685" s="109">
        <v>54</v>
      </c>
      <c r="F685" s="110">
        <v>3281</v>
      </c>
      <c r="G685" s="109" t="s">
        <v>120</v>
      </c>
      <c r="H685" s="109">
        <v>60</v>
      </c>
      <c r="I685" s="109">
        <v>1993</v>
      </c>
      <c r="J685" s="110">
        <v>2150</v>
      </c>
    </row>
    <row r="686" spans="1:10">
      <c r="A686" s="103" t="s">
        <v>1806</v>
      </c>
      <c r="B686" s="124" t="s">
        <v>1803</v>
      </c>
      <c r="C686" s="110">
        <v>26266</v>
      </c>
      <c r="D686" s="109" t="s">
        <v>120</v>
      </c>
      <c r="E686" s="109">
        <v>263</v>
      </c>
      <c r="F686" s="110">
        <v>13355</v>
      </c>
      <c r="G686" s="109" t="s">
        <v>120</v>
      </c>
      <c r="H686" s="109">
        <v>51</v>
      </c>
      <c r="I686" s="109">
        <v>148</v>
      </c>
      <c r="J686" s="110">
        <v>602</v>
      </c>
    </row>
    <row r="687" spans="1:10">
      <c r="A687" s="103" t="s">
        <v>1807</v>
      </c>
      <c r="B687" s="124" t="s">
        <v>1808</v>
      </c>
      <c r="C687" s="110">
        <v>10631</v>
      </c>
      <c r="D687" s="109" t="s">
        <v>120</v>
      </c>
      <c r="E687" s="109">
        <v>106</v>
      </c>
      <c r="F687" s="110">
        <v>3764</v>
      </c>
      <c r="G687" s="109" t="s">
        <v>120</v>
      </c>
      <c r="H687" s="109">
        <v>35</v>
      </c>
      <c r="I687" s="109">
        <v>1284</v>
      </c>
      <c r="J687" s="110">
        <v>2049</v>
      </c>
    </row>
    <row r="688" spans="1:10">
      <c r="A688" s="103" t="s">
        <v>1809</v>
      </c>
      <c r="B688" s="124" t="s">
        <v>1810</v>
      </c>
      <c r="C688" s="110">
        <v>6787</v>
      </c>
      <c r="D688" s="109" t="s">
        <v>120</v>
      </c>
      <c r="E688" s="109">
        <v>68</v>
      </c>
      <c r="F688" s="110">
        <v>4097</v>
      </c>
      <c r="G688" s="109" t="s">
        <v>120</v>
      </c>
      <c r="H688" s="109">
        <v>60</v>
      </c>
      <c r="I688" s="109">
        <v>1873</v>
      </c>
      <c r="J688" s="110">
        <v>1974</v>
      </c>
    </row>
    <row r="689" spans="1:10">
      <c r="A689" s="103" t="s">
        <v>1811</v>
      </c>
      <c r="B689" s="124" t="s">
        <v>1812</v>
      </c>
      <c r="C689" s="110">
        <v>14128</v>
      </c>
      <c r="D689" s="109" t="s">
        <v>120</v>
      </c>
      <c r="E689" s="109">
        <v>141</v>
      </c>
      <c r="F689" s="110">
        <v>6888</v>
      </c>
      <c r="G689" s="109" t="s">
        <v>120</v>
      </c>
      <c r="H689" s="109">
        <v>49</v>
      </c>
      <c r="I689" s="109">
        <v>767</v>
      </c>
      <c r="J689" s="110">
        <v>1319</v>
      </c>
    </row>
    <row r="690" spans="1:10">
      <c r="A690" s="103" t="s">
        <v>1813</v>
      </c>
      <c r="B690" s="124" t="s">
        <v>1814</v>
      </c>
      <c r="C690" s="110">
        <v>14872</v>
      </c>
      <c r="D690" s="109" t="s">
        <v>120</v>
      </c>
      <c r="E690" s="109">
        <v>149</v>
      </c>
      <c r="F690" s="110">
        <v>4231</v>
      </c>
      <c r="G690" s="109" t="s">
        <v>120</v>
      </c>
      <c r="H690" s="109">
        <v>28</v>
      </c>
      <c r="I690" s="109">
        <v>688</v>
      </c>
      <c r="J690" s="110">
        <v>1945</v>
      </c>
    </row>
    <row r="691" spans="1:10">
      <c r="A691" s="103" t="s">
        <v>1815</v>
      </c>
      <c r="B691" s="124" t="s">
        <v>1816</v>
      </c>
      <c r="C691" s="110">
        <v>11323</v>
      </c>
      <c r="D691" s="109" t="s">
        <v>120</v>
      </c>
      <c r="E691" s="109">
        <v>113</v>
      </c>
      <c r="F691" s="110">
        <v>4233</v>
      </c>
      <c r="G691" s="109" t="s">
        <v>120</v>
      </c>
      <c r="H691" s="109">
        <v>37</v>
      </c>
      <c r="I691" s="109">
        <v>1156</v>
      </c>
      <c r="J691" s="110">
        <v>1944</v>
      </c>
    </row>
    <row r="692" spans="1:10">
      <c r="A692" s="103" t="s">
        <v>1817</v>
      </c>
      <c r="B692" s="124" t="s">
        <v>1818</v>
      </c>
      <c r="C692" s="110">
        <v>11116</v>
      </c>
      <c r="D692" s="109" t="s">
        <v>120</v>
      </c>
      <c r="E692" s="109">
        <v>111</v>
      </c>
      <c r="F692" s="110">
        <v>5351</v>
      </c>
      <c r="G692" s="109" t="s">
        <v>120</v>
      </c>
      <c r="H692" s="109">
        <v>48</v>
      </c>
      <c r="I692" s="109">
        <v>1196</v>
      </c>
      <c r="J692" s="110">
        <v>1651</v>
      </c>
    </row>
    <row r="693" spans="1:10">
      <c r="A693" s="103" t="s">
        <v>1819</v>
      </c>
      <c r="B693" s="124" t="s">
        <v>1820</v>
      </c>
      <c r="C693" s="110">
        <v>14401</v>
      </c>
      <c r="D693" s="109" t="s">
        <v>120</v>
      </c>
      <c r="E693" s="109">
        <v>144</v>
      </c>
      <c r="F693" s="110">
        <v>3878</v>
      </c>
      <c r="G693" s="109" t="s">
        <v>120</v>
      </c>
      <c r="H693" s="109">
        <v>27</v>
      </c>
      <c r="I693" s="109">
        <v>743</v>
      </c>
      <c r="J693" s="110">
        <v>2024</v>
      </c>
    </row>
    <row r="694" spans="1:10">
      <c r="A694" s="103" t="s">
        <v>1821</v>
      </c>
      <c r="B694" s="124" t="s">
        <v>1822</v>
      </c>
      <c r="C694" s="110">
        <v>16219</v>
      </c>
      <c r="D694" s="109" t="s">
        <v>120</v>
      </c>
      <c r="E694" s="109">
        <v>162</v>
      </c>
      <c r="F694" s="110">
        <v>6029</v>
      </c>
      <c r="G694" s="109" t="s">
        <v>120</v>
      </c>
      <c r="H694" s="109">
        <v>37</v>
      </c>
      <c r="I694" s="109">
        <v>578</v>
      </c>
      <c r="J694" s="110">
        <v>1495</v>
      </c>
    </row>
    <row r="695" spans="1:10" s="119" customFormat="1">
      <c r="A695" s="123" t="s">
        <v>120</v>
      </c>
      <c r="B695" s="275" t="s">
        <v>1101</v>
      </c>
      <c r="C695" s="276"/>
      <c r="D695" s="276"/>
      <c r="E695" s="276"/>
      <c r="F695" s="276"/>
      <c r="G695" s="276"/>
      <c r="H695" s="276"/>
      <c r="I695" s="276"/>
      <c r="J695" s="276"/>
    </row>
    <row r="696" spans="1:10">
      <c r="A696" s="103" t="s">
        <v>1823</v>
      </c>
      <c r="B696" s="124" t="s">
        <v>1824</v>
      </c>
      <c r="C696" s="110">
        <v>10760</v>
      </c>
      <c r="D696" s="109" t="s">
        <v>120</v>
      </c>
      <c r="E696" s="109">
        <v>108</v>
      </c>
      <c r="F696" s="110">
        <v>6095</v>
      </c>
      <c r="G696" s="109" t="s">
        <v>120</v>
      </c>
      <c r="H696" s="109">
        <v>57</v>
      </c>
      <c r="I696" s="109">
        <v>1262</v>
      </c>
      <c r="J696" s="110">
        <v>1480</v>
      </c>
    </row>
    <row r="697" spans="1:10">
      <c r="A697" s="103" t="s">
        <v>1825</v>
      </c>
      <c r="B697" s="124" t="s">
        <v>932</v>
      </c>
      <c r="C697" s="110">
        <v>467</v>
      </c>
      <c r="D697" s="109" t="s">
        <v>120</v>
      </c>
      <c r="E697" s="109">
        <v>5</v>
      </c>
      <c r="F697" s="110">
        <v>1440</v>
      </c>
      <c r="G697" s="109" t="s">
        <v>120</v>
      </c>
      <c r="H697" s="109">
        <v>308</v>
      </c>
      <c r="I697" s="109" t="s">
        <v>122</v>
      </c>
      <c r="J697" s="110" t="s">
        <v>122</v>
      </c>
    </row>
    <row r="698" spans="1:10">
      <c r="A698" s="103" t="s">
        <v>1826</v>
      </c>
      <c r="B698" s="124" t="s">
        <v>934</v>
      </c>
      <c r="C698" s="110">
        <v>10293</v>
      </c>
      <c r="D698" s="109" t="s">
        <v>120</v>
      </c>
      <c r="E698" s="109">
        <v>103</v>
      </c>
      <c r="F698" s="110">
        <v>4655</v>
      </c>
      <c r="G698" s="109" t="s">
        <v>120</v>
      </c>
      <c r="H698" s="109">
        <v>45</v>
      </c>
      <c r="I698" s="109" t="s">
        <v>122</v>
      </c>
      <c r="J698" s="110" t="s">
        <v>122</v>
      </c>
    </row>
    <row r="699" spans="1:10">
      <c r="A699" s="103" t="s">
        <v>1827</v>
      </c>
      <c r="B699" s="124" t="s">
        <v>1828</v>
      </c>
      <c r="C699" s="110">
        <v>12646</v>
      </c>
      <c r="D699" s="109" t="s">
        <v>120</v>
      </c>
      <c r="E699" s="109">
        <v>127</v>
      </c>
      <c r="F699" s="110">
        <v>6733</v>
      </c>
      <c r="G699" s="109" t="s">
        <v>120</v>
      </c>
      <c r="H699" s="109">
        <v>53</v>
      </c>
      <c r="I699" s="109">
        <v>964</v>
      </c>
      <c r="J699" s="110">
        <v>1357</v>
      </c>
    </row>
    <row r="700" spans="1:10">
      <c r="A700" s="103" t="s">
        <v>1829</v>
      </c>
      <c r="B700" s="124" t="s">
        <v>932</v>
      </c>
      <c r="C700" s="110">
        <v>500</v>
      </c>
      <c r="D700" s="109" t="s">
        <v>120</v>
      </c>
      <c r="E700" s="109">
        <v>5</v>
      </c>
      <c r="F700" s="110">
        <v>2474</v>
      </c>
      <c r="G700" s="109" t="s">
        <v>120</v>
      </c>
      <c r="H700" s="109">
        <v>495</v>
      </c>
      <c r="I700" s="109" t="s">
        <v>122</v>
      </c>
      <c r="J700" s="110" t="s">
        <v>122</v>
      </c>
    </row>
    <row r="701" spans="1:10">
      <c r="A701" s="103" t="s">
        <v>1830</v>
      </c>
      <c r="B701" s="124" t="s">
        <v>934</v>
      </c>
      <c r="C701" s="110">
        <v>12146</v>
      </c>
      <c r="D701" s="109" t="s">
        <v>120</v>
      </c>
      <c r="E701" s="109">
        <v>122</v>
      </c>
      <c r="F701" s="110">
        <v>4259</v>
      </c>
      <c r="G701" s="109" t="s">
        <v>120</v>
      </c>
      <c r="H701" s="109">
        <v>35</v>
      </c>
      <c r="I701" s="109" t="s">
        <v>122</v>
      </c>
      <c r="J701" s="110" t="s">
        <v>122</v>
      </c>
    </row>
    <row r="702" spans="1:10">
      <c r="A702" s="103" t="s">
        <v>1831</v>
      </c>
      <c r="B702" s="124" t="s">
        <v>1832</v>
      </c>
      <c r="C702" s="110">
        <v>11425</v>
      </c>
      <c r="D702" s="109" t="s">
        <v>120</v>
      </c>
      <c r="E702" s="109">
        <v>114</v>
      </c>
      <c r="F702" s="110">
        <v>6655</v>
      </c>
      <c r="G702" s="109" t="s">
        <v>120</v>
      </c>
      <c r="H702" s="109">
        <v>58</v>
      </c>
      <c r="I702" s="109">
        <v>1138</v>
      </c>
      <c r="J702" s="110">
        <v>1370</v>
      </c>
    </row>
    <row r="703" spans="1:10">
      <c r="A703" s="103" t="s">
        <v>1833</v>
      </c>
      <c r="B703" s="124" t="s">
        <v>932</v>
      </c>
      <c r="C703" s="110">
        <v>1069</v>
      </c>
      <c r="D703" s="109" t="s">
        <v>120</v>
      </c>
      <c r="E703" s="109">
        <v>11</v>
      </c>
      <c r="F703" s="110">
        <v>3308</v>
      </c>
      <c r="G703" s="109" t="s">
        <v>120</v>
      </c>
      <c r="H703" s="109">
        <v>309</v>
      </c>
      <c r="I703" s="109" t="s">
        <v>122</v>
      </c>
      <c r="J703" s="110" t="s">
        <v>122</v>
      </c>
    </row>
    <row r="704" spans="1:10">
      <c r="A704" s="103" t="s">
        <v>1834</v>
      </c>
      <c r="B704" s="124" t="s">
        <v>934</v>
      </c>
      <c r="C704" s="110">
        <v>10356</v>
      </c>
      <c r="D704" s="109" t="s">
        <v>120</v>
      </c>
      <c r="E704" s="109">
        <v>103</v>
      </c>
      <c r="F704" s="110">
        <v>3347</v>
      </c>
      <c r="G704" s="109" t="s">
        <v>120</v>
      </c>
      <c r="H704" s="109">
        <v>32</v>
      </c>
      <c r="I704" s="109" t="s">
        <v>122</v>
      </c>
      <c r="J704" s="110" t="s">
        <v>122</v>
      </c>
    </row>
    <row r="705" spans="1:10" s="119" customFormat="1">
      <c r="A705" s="123" t="s">
        <v>120</v>
      </c>
      <c r="B705" s="273" t="s">
        <v>1835</v>
      </c>
      <c r="C705" s="274"/>
      <c r="D705" s="274"/>
      <c r="E705" s="274"/>
      <c r="F705" s="274"/>
      <c r="G705" s="274"/>
      <c r="H705" s="274"/>
      <c r="I705" s="274"/>
      <c r="J705" s="274"/>
    </row>
    <row r="706" spans="1:10" s="119" customFormat="1">
      <c r="A706" s="123" t="s">
        <v>120</v>
      </c>
      <c r="B706" s="275" t="s">
        <v>922</v>
      </c>
      <c r="C706" s="276"/>
      <c r="D706" s="276"/>
      <c r="E706" s="276"/>
      <c r="F706" s="276"/>
      <c r="G706" s="276"/>
      <c r="H706" s="276"/>
      <c r="I706" s="276"/>
      <c r="J706" s="276"/>
    </row>
    <row r="707" spans="1:10">
      <c r="A707" s="103" t="s">
        <v>1836</v>
      </c>
      <c r="B707" s="124" t="s">
        <v>1837</v>
      </c>
      <c r="C707" s="110">
        <v>1428</v>
      </c>
      <c r="D707" s="109" t="s">
        <v>120</v>
      </c>
      <c r="E707" s="109">
        <v>15</v>
      </c>
      <c r="F707" s="110">
        <v>4386</v>
      </c>
      <c r="G707" s="109" t="s">
        <v>120</v>
      </c>
      <c r="H707" s="109">
        <v>307</v>
      </c>
      <c r="I707" s="109">
        <v>2286</v>
      </c>
      <c r="J707" s="110">
        <v>1894</v>
      </c>
    </row>
    <row r="708" spans="1:10" s="119" customFormat="1">
      <c r="A708" s="123" t="s">
        <v>120</v>
      </c>
      <c r="B708" s="275" t="s">
        <v>943</v>
      </c>
      <c r="C708" s="276"/>
      <c r="D708" s="276"/>
      <c r="E708" s="276"/>
      <c r="F708" s="276"/>
      <c r="G708" s="276"/>
      <c r="H708" s="276"/>
      <c r="I708" s="276"/>
      <c r="J708" s="276"/>
    </row>
    <row r="709" spans="1:10">
      <c r="A709" s="103" t="s">
        <v>1838</v>
      </c>
      <c r="B709" s="124" t="s">
        <v>1839</v>
      </c>
      <c r="C709" s="110">
        <v>10361</v>
      </c>
      <c r="D709" s="109" t="s">
        <v>120</v>
      </c>
      <c r="E709" s="109">
        <v>103</v>
      </c>
      <c r="F709" s="110">
        <v>2886</v>
      </c>
      <c r="G709" s="109" t="s">
        <v>120</v>
      </c>
      <c r="H709" s="109">
        <v>28</v>
      </c>
      <c r="I709" s="109">
        <v>1326</v>
      </c>
      <c r="J709" s="110">
        <v>2213</v>
      </c>
    </row>
    <row r="710" spans="1:10">
      <c r="A710" s="103" t="s">
        <v>1840</v>
      </c>
      <c r="B710" s="124" t="s">
        <v>1841</v>
      </c>
      <c r="C710" s="110">
        <v>22180</v>
      </c>
      <c r="D710" s="109" t="s">
        <v>120</v>
      </c>
      <c r="E710" s="109">
        <v>223</v>
      </c>
      <c r="F710" s="110">
        <v>15023</v>
      </c>
      <c r="G710" s="109" t="s">
        <v>120</v>
      </c>
      <c r="H710" s="109">
        <v>68</v>
      </c>
      <c r="I710" s="109">
        <v>256</v>
      </c>
      <c r="J710" s="110">
        <v>518</v>
      </c>
    </row>
    <row r="711" spans="1:10">
      <c r="A711" s="103" t="s">
        <v>1842</v>
      </c>
      <c r="B711" s="124" t="s">
        <v>1843</v>
      </c>
      <c r="C711" s="110">
        <v>19242</v>
      </c>
      <c r="D711" s="109" t="s">
        <v>120</v>
      </c>
      <c r="E711" s="109">
        <v>192</v>
      </c>
      <c r="F711" s="110">
        <v>6387</v>
      </c>
      <c r="G711" s="109" t="s">
        <v>120</v>
      </c>
      <c r="H711" s="109">
        <v>33</v>
      </c>
      <c r="I711" s="109">
        <v>382</v>
      </c>
      <c r="J711" s="110">
        <v>1425</v>
      </c>
    </row>
    <row r="712" spans="1:10">
      <c r="A712" s="103" t="s">
        <v>1844</v>
      </c>
      <c r="B712" s="124" t="s">
        <v>1845</v>
      </c>
      <c r="C712" s="110">
        <v>9612</v>
      </c>
      <c r="D712" s="109" t="s">
        <v>120</v>
      </c>
      <c r="E712" s="109">
        <v>96</v>
      </c>
      <c r="F712" s="110">
        <v>2315</v>
      </c>
      <c r="G712" s="109" t="s">
        <v>120</v>
      </c>
      <c r="H712" s="109">
        <v>24</v>
      </c>
      <c r="I712" s="109">
        <v>1447</v>
      </c>
      <c r="J712" s="110">
        <v>2278</v>
      </c>
    </row>
    <row r="713" spans="1:10">
      <c r="A713" s="103" t="s">
        <v>1846</v>
      </c>
      <c r="B713" s="124" t="s">
        <v>1847</v>
      </c>
      <c r="C713" s="110">
        <v>9683</v>
      </c>
      <c r="D713" s="109" t="s">
        <v>120</v>
      </c>
      <c r="E713" s="109">
        <v>97</v>
      </c>
      <c r="F713" s="110">
        <v>4167</v>
      </c>
      <c r="G713" s="109" t="s">
        <v>120</v>
      </c>
      <c r="H713" s="109">
        <v>43</v>
      </c>
      <c r="I713" s="109">
        <v>1432</v>
      </c>
      <c r="J713" s="110">
        <v>1958</v>
      </c>
    </row>
    <row r="714" spans="1:10">
      <c r="A714" s="103" t="s">
        <v>1848</v>
      </c>
      <c r="B714" s="124" t="s">
        <v>1849</v>
      </c>
      <c r="C714" s="110">
        <v>11766</v>
      </c>
      <c r="D714" s="109" t="s">
        <v>120</v>
      </c>
      <c r="E714" s="109">
        <v>118</v>
      </c>
      <c r="F714" s="110">
        <v>3583</v>
      </c>
      <c r="G714" s="109" t="s">
        <v>120</v>
      </c>
      <c r="H714" s="109">
        <v>30</v>
      </c>
      <c r="I714" s="109">
        <v>1087</v>
      </c>
      <c r="J714" s="110">
        <v>2095</v>
      </c>
    </row>
    <row r="715" spans="1:10">
      <c r="A715" s="103" t="s">
        <v>1850</v>
      </c>
      <c r="B715" s="124" t="s">
        <v>1837</v>
      </c>
      <c r="C715" s="110">
        <v>8774</v>
      </c>
      <c r="D715" s="109" t="s">
        <v>120</v>
      </c>
      <c r="E715" s="109">
        <v>88</v>
      </c>
      <c r="F715" s="110">
        <v>4227</v>
      </c>
      <c r="G715" s="109" t="s">
        <v>120</v>
      </c>
      <c r="H715" s="109">
        <v>48</v>
      </c>
      <c r="I715" s="109">
        <v>1566</v>
      </c>
      <c r="J715" s="110">
        <v>1946</v>
      </c>
    </row>
    <row r="716" spans="1:10">
      <c r="A716" s="103" t="s">
        <v>1851</v>
      </c>
      <c r="B716" s="124" t="s">
        <v>1852</v>
      </c>
      <c r="C716" s="110">
        <v>11221</v>
      </c>
      <c r="D716" s="109" t="s">
        <v>120</v>
      </c>
      <c r="E716" s="109">
        <v>112</v>
      </c>
      <c r="F716" s="110">
        <v>4502</v>
      </c>
      <c r="G716" s="109" t="s">
        <v>120</v>
      </c>
      <c r="H716" s="109">
        <v>40</v>
      </c>
      <c r="I716" s="109">
        <v>1172</v>
      </c>
      <c r="J716" s="110">
        <v>1871</v>
      </c>
    </row>
    <row r="717" spans="1:10">
      <c r="A717" s="103" t="s">
        <v>1853</v>
      </c>
      <c r="B717" s="124" t="s">
        <v>1854</v>
      </c>
      <c r="C717" s="110">
        <v>19022</v>
      </c>
      <c r="D717" s="109" t="s">
        <v>120</v>
      </c>
      <c r="E717" s="109">
        <v>190</v>
      </c>
      <c r="F717" s="110">
        <v>5470</v>
      </c>
      <c r="G717" s="109" t="s">
        <v>120</v>
      </c>
      <c r="H717" s="109">
        <v>29</v>
      </c>
      <c r="I717" s="109">
        <v>392</v>
      </c>
      <c r="J717" s="110">
        <v>1622</v>
      </c>
    </row>
    <row r="718" spans="1:10">
      <c r="A718" s="103" t="s">
        <v>1855</v>
      </c>
      <c r="B718" s="124" t="s">
        <v>1856</v>
      </c>
      <c r="C718" s="110">
        <v>14579</v>
      </c>
      <c r="D718" s="109" t="s">
        <v>120</v>
      </c>
      <c r="E718" s="109">
        <v>146</v>
      </c>
      <c r="F718" s="110">
        <v>5060</v>
      </c>
      <c r="G718" s="109" t="s">
        <v>120</v>
      </c>
      <c r="H718" s="109">
        <v>35</v>
      </c>
      <c r="I718" s="109">
        <v>723</v>
      </c>
      <c r="J718" s="110">
        <v>1730</v>
      </c>
    </row>
    <row r="719" spans="1:10">
      <c r="A719" s="103" t="s">
        <v>1857</v>
      </c>
      <c r="B719" s="124" t="s">
        <v>1858</v>
      </c>
      <c r="C719" s="110">
        <v>11046</v>
      </c>
      <c r="D719" s="109" t="s">
        <v>120</v>
      </c>
      <c r="E719" s="109">
        <v>110</v>
      </c>
      <c r="F719" s="110">
        <v>3745</v>
      </c>
      <c r="G719" s="109" t="s">
        <v>120</v>
      </c>
      <c r="H719" s="109">
        <v>34</v>
      </c>
      <c r="I719" s="109">
        <v>1213</v>
      </c>
      <c r="J719" s="110">
        <v>2057</v>
      </c>
    </row>
    <row r="720" spans="1:10">
      <c r="A720" s="103" t="s">
        <v>1859</v>
      </c>
      <c r="B720" s="124" t="s">
        <v>1860</v>
      </c>
      <c r="C720" s="110">
        <v>13607</v>
      </c>
      <c r="D720" s="109" t="s">
        <v>120</v>
      </c>
      <c r="E720" s="109">
        <v>136</v>
      </c>
      <c r="F720" s="110">
        <v>3055</v>
      </c>
      <c r="G720" s="109" t="s">
        <v>120</v>
      </c>
      <c r="H720" s="109">
        <v>22</v>
      </c>
      <c r="I720" s="109">
        <v>823</v>
      </c>
      <c r="J720" s="110">
        <v>2189</v>
      </c>
    </row>
    <row r="721" spans="1:10" s="119" customFormat="1">
      <c r="A721" s="123" t="s">
        <v>120</v>
      </c>
      <c r="B721" s="275" t="s">
        <v>947</v>
      </c>
      <c r="C721" s="276"/>
      <c r="D721" s="276"/>
      <c r="E721" s="276"/>
      <c r="F721" s="276"/>
      <c r="G721" s="276"/>
      <c r="H721" s="276"/>
      <c r="I721" s="276"/>
      <c r="J721" s="276"/>
    </row>
    <row r="722" spans="1:10">
      <c r="A722" s="103" t="s">
        <v>1861</v>
      </c>
      <c r="B722" s="124" t="s">
        <v>1862</v>
      </c>
      <c r="C722" s="110">
        <v>10625</v>
      </c>
      <c r="D722" s="109" t="s">
        <v>120</v>
      </c>
      <c r="E722" s="109">
        <v>106</v>
      </c>
      <c r="F722" s="110">
        <v>6372</v>
      </c>
      <c r="G722" s="109" t="s">
        <v>120</v>
      </c>
      <c r="H722" s="109">
        <v>60</v>
      </c>
      <c r="I722" s="109">
        <v>1286</v>
      </c>
      <c r="J722" s="110">
        <v>1429</v>
      </c>
    </row>
    <row r="723" spans="1:10">
      <c r="A723" s="103" t="s">
        <v>1863</v>
      </c>
      <c r="B723" s="124" t="s">
        <v>932</v>
      </c>
      <c r="C723" s="110">
        <v>650</v>
      </c>
      <c r="D723" s="109" t="s">
        <v>120</v>
      </c>
      <c r="E723" s="109">
        <v>6</v>
      </c>
      <c r="F723" s="110">
        <v>2068</v>
      </c>
      <c r="G723" s="109" t="s">
        <v>120</v>
      </c>
      <c r="H723" s="109">
        <v>318</v>
      </c>
      <c r="I723" s="109" t="s">
        <v>122</v>
      </c>
      <c r="J723" s="110" t="s">
        <v>122</v>
      </c>
    </row>
    <row r="724" spans="1:10">
      <c r="A724" s="103" t="s">
        <v>1864</v>
      </c>
      <c r="B724" s="124" t="s">
        <v>934</v>
      </c>
      <c r="C724" s="110">
        <v>9975</v>
      </c>
      <c r="D724" s="109" t="s">
        <v>120</v>
      </c>
      <c r="E724" s="109">
        <v>100</v>
      </c>
      <c r="F724" s="110">
        <v>4304</v>
      </c>
      <c r="G724" s="109" t="s">
        <v>120</v>
      </c>
      <c r="H724" s="109">
        <v>43</v>
      </c>
      <c r="I724" s="109" t="s">
        <v>122</v>
      </c>
      <c r="J724" s="110" t="s">
        <v>122</v>
      </c>
    </row>
    <row r="725" spans="1:10">
      <c r="A725" s="103" t="s">
        <v>1865</v>
      </c>
      <c r="B725" s="124" t="s">
        <v>1866</v>
      </c>
      <c r="C725" s="110">
        <v>15414</v>
      </c>
      <c r="D725" s="109" t="s">
        <v>120</v>
      </c>
      <c r="E725" s="109">
        <v>154</v>
      </c>
      <c r="F725" s="110">
        <v>6836</v>
      </c>
      <c r="G725" s="109" t="s">
        <v>120</v>
      </c>
      <c r="H725" s="109">
        <v>44</v>
      </c>
      <c r="I725" s="109">
        <v>638</v>
      </c>
      <c r="J725" s="110">
        <v>1333</v>
      </c>
    </row>
    <row r="726" spans="1:10">
      <c r="A726" s="103" t="s">
        <v>1867</v>
      </c>
      <c r="B726" s="124" t="s">
        <v>932</v>
      </c>
      <c r="C726" s="110">
        <v>1316</v>
      </c>
      <c r="D726" s="109" t="s">
        <v>120</v>
      </c>
      <c r="E726" s="109">
        <v>13</v>
      </c>
      <c r="F726" s="110">
        <v>1431</v>
      </c>
      <c r="G726" s="109" t="s">
        <v>120</v>
      </c>
      <c r="H726" s="109">
        <v>109</v>
      </c>
      <c r="I726" s="109" t="s">
        <v>122</v>
      </c>
      <c r="J726" s="110" t="s">
        <v>122</v>
      </c>
    </row>
    <row r="727" spans="1:10">
      <c r="A727" s="103" t="s">
        <v>1868</v>
      </c>
      <c r="B727" s="124" t="s">
        <v>934</v>
      </c>
      <c r="C727" s="110">
        <v>14098</v>
      </c>
      <c r="D727" s="109" t="s">
        <v>120</v>
      </c>
      <c r="E727" s="109">
        <v>141</v>
      </c>
      <c r="F727" s="110">
        <v>5405</v>
      </c>
      <c r="G727" s="109" t="s">
        <v>120</v>
      </c>
      <c r="H727" s="109">
        <v>38</v>
      </c>
      <c r="I727" s="109" t="s">
        <v>122</v>
      </c>
      <c r="J727" s="110" t="s">
        <v>122</v>
      </c>
    </row>
    <row r="728" spans="1:10" s="119" customFormat="1">
      <c r="A728" s="123" t="s">
        <v>120</v>
      </c>
      <c r="B728" s="273" t="s">
        <v>1869</v>
      </c>
      <c r="C728" s="274"/>
      <c r="D728" s="274"/>
      <c r="E728" s="274"/>
      <c r="F728" s="274"/>
      <c r="G728" s="274"/>
      <c r="H728" s="274"/>
      <c r="I728" s="274"/>
      <c r="J728" s="274"/>
    </row>
    <row r="729" spans="1:10" s="119" customFormat="1">
      <c r="A729" s="123" t="s">
        <v>120</v>
      </c>
      <c r="B729" s="275" t="s">
        <v>1019</v>
      </c>
      <c r="C729" s="276"/>
      <c r="D729" s="276"/>
      <c r="E729" s="276"/>
      <c r="F729" s="276"/>
      <c r="G729" s="276"/>
      <c r="H729" s="276"/>
      <c r="I729" s="276"/>
      <c r="J729" s="276"/>
    </row>
    <row r="730" spans="1:10">
      <c r="A730" s="103" t="s">
        <v>1870</v>
      </c>
      <c r="B730" s="124" t="s">
        <v>1871</v>
      </c>
      <c r="C730" s="110">
        <v>3303</v>
      </c>
      <c r="D730" s="109" t="s">
        <v>120</v>
      </c>
      <c r="E730" s="109">
        <v>33</v>
      </c>
      <c r="F730" s="110">
        <v>17528</v>
      </c>
      <c r="G730" s="109" t="s">
        <v>120</v>
      </c>
      <c r="H730" s="109">
        <v>531</v>
      </c>
      <c r="I730" s="109">
        <v>2146</v>
      </c>
      <c r="J730" s="110">
        <v>418</v>
      </c>
    </row>
    <row r="731" spans="1:10" s="119" customFormat="1">
      <c r="A731" s="123" t="s">
        <v>120</v>
      </c>
      <c r="B731" s="275" t="s">
        <v>924</v>
      </c>
      <c r="C731" s="276"/>
      <c r="D731" s="276"/>
      <c r="E731" s="276"/>
      <c r="F731" s="276"/>
      <c r="G731" s="276"/>
      <c r="H731" s="276"/>
      <c r="I731" s="276"/>
      <c r="J731" s="276"/>
    </row>
    <row r="732" spans="1:10">
      <c r="A732" s="103" t="s">
        <v>1872</v>
      </c>
      <c r="B732" s="124" t="s">
        <v>1873</v>
      </c>
      <c r="C732" s="110">
        <v>21261</v>
      </c>
      <c r="D732" s="109" t="s">
        <v>120</v>
      </c>
      <c r="E732" s="109">
        <v>213</v>
      </c>
      <c r="F732" s="110">
        <v>5353</v>
      </c>
      <c r="G732" s="109" t="s">
        <v>120</v>
      </c>
      <c r="H732" s="109">
        <v>25</v>
      </c>
      <c r="I732" s="109">
        <v>284</v>
      </c>
      <c r="J732" s="110">
        <v>1649</v>
      </c>
    </row>
    <row r="733" spans="1:10">
      <c r="A733" s="103" t="s">
        <v>1874</v>
      </c>
      <c r="B733" s="124" t="s">
        <v>1875</v>
      </c>
      <c r="C733" s="110">
        <v>13022</v>
      </c>
      <c r="D733" s="109" t="s">
        <v>120</v>
      </c>
      <c r="E733" s="109">
        <v>130</v>
      </c>
      <c r="F733" s="110">
        <v>5102</v>
      </c>
      <c r="G733" s="109" t="s">
        <v>120</v>
      </c>
      <c r="H733" s="109">
        <v>39</v>
      </c>
      <c r="I733" s="109">
        <v>907</v>
      </c>
      <c r="J733" s="110">
        <v>1717</v>
      </c>
    </row>
    <row r="734" spans="1:10">
      <c r="A734" s="103" t="s">
        <v>1876</v>
      </c>
      <c r="B734" s="124" t="s">
        <v>1877</v>
      </c>
      <c r="C734" s="110">
        <v>25921</v>
      </c>
      <c r="D734" s="109" t="s">
        <v>120</v>
      </c>
      <c r="E734" s="109">
        <v>259</v>
      </c>
      <c r="F734" s="110">
        <v>9980</v>
      </c>
      <c r="G734" s="109" t="s">
        <v>120</v>
      </c>
      <c r="H734" s="109">
        <v>39</v>
      </c>
      <c r="I734" s="109">
        <v>157</v>
      </c>
      <c r="J734" s="110">
        <v>873</v>
      </c>
    </row>
    <row r="735" spans="1:10">
      <c r="A735" s="103" t="s">
        <v>1878</v>
      </c>
      <c r="B735" s="124" t="s">
        <v>1879</v>
      </c>
      <c r="C735" s="110">
        <v>23488</v>
      </c>
      <c r="D735" s="109" t="s">
        <v>120</v>
      </c>
      <c r="E735" s="109">
        <v>235</v>
      </c>
      <c r="F735" s="110">
        <v>7007</v>
      </c>
      <c r="G735" s="109" t="s">
        <v>120</v>
      </c>
      <c r="H735" s="109">
        <v>30</v>
      </c>
      <c r="I735" s="109">
        <v>217</v>
      </c>
      <c r="J735" s="110">
        <v>1296</v>
      </c>
    </row>
    <row r="736" spans="1:10">
      <c r="A736" s="103" t="s">
        <v>1880</v>
      </c>
      <c r="B736" s="124" t="s">
        <v>1881</v>
      </c>
      <c r="C736" s="110">
        <v>9029</v>
      </c>
      <c r="D736" s="109" t="s">
        <v>120</v>
      </c>
      <c r="E736" s="109">
        <v>90</v>
      </c>
      <c r="F736" s="110">
        <v>4091</v>
      </c>
      <c r="G736" s="109" t="s">
        <v>120</v>
      </c>
      <c r="H736" s="109">
        <v>45</v>
      </c>
      <c r="I736" s="109">
        <v>1527</v>
      </c>
      <c r="J736" s="110">
        <v>1975</v>
      </c>
    </row>
    <row r="737" spans="1:10">
      <c r="A737" s="103" t="s">
        <v>1882</v>
      </c>
      <c r="B737" s="124" t="s">
        <v>1883</v>
      </c>
      <c r="C737" s="110">
        <v>12063</v>
      </c>
      <c r="D737" s="109" t="s">
        <v>120</v>
      </c>
      <c r="E737" s="109">
        <v>121</v>
      </c>
      <c r="F737" s="110">
        <v>4514</v>
      </c>
      <c r="G737" s="109" t="s">
        <v>120</v>
      </c>
      <c r="H737" s="109">
        <v>37</v>
      </c>
      <c r="I737" s="109">
        <v>1044</v>
      </c>
      <c r="J737" s="110">
        <v>1867</v>
      </c>
    </row>
    <row r="738" spans="1:10">
      <c r="A738" s="103" t="s">
        <v>1884</v>
      </c>
      <c r="B738" s="124" t="s">
        <v>1885</v>
      </c>
      <c r="C738" s="110">
        <v>18715</v>
      </c>
      <c r="D738" s="109" t="s">
        <v>120</v>
      </c>
      <c r="E738" s="109">
        <v>187</v>
      </c>
      <c r="F738" s="110">
        <v>9272</v>
      </c>
      <c r="G738" s="109" t="s">
        <v>120</v>
      </c>
      <c r="H738" s="109">
        <v>50</v>
      </c>
      <c r="I738" s="109">
        <v>410</v>
      </c>
      <c r="J738" s="110">
        <v>943</v>
      </c>
    </row>
    <row r="739" spans="1:10" s="119" customFormat="1">
      <c r="A739" s="123" t="s">
        <v>120</v>
      </c>
      <c r="B739" s="273" t="s">
        <v>1886</v>
      </c>
      <c r="C739" s="274"/>
      <c r="D739" s="274"/>
      <c r="E739" s="274"/>
      <c r="F739" s="274"/>
      <c r="G739" s="274"/>
      <c r="H739" s="274"/>
      <c r="I739" s="274"/>
      <c r="J739" s="274"/>
    </row>
    <row r="740" spans="1:10" s="119" customFormat="1">
      <c r="A740" s="123" t="s">
        <v>120</v>
      </c>
      <c r="B740" s="275" t="s">
        <v>943</v>
      </c>
      <c r="C740" s="276"/>
      <c r="D740" s="276"/>
      <c r="E740" s="276"/>
      <c r="F740" s="276"/>
      <c r="G740" s="276"/>
      <c r="H740" s="276"/>
      <c r="I740" s="276"/>
      <c r="J740" s="276"/>
    </row>
    <row r="741" spans="1:10">
      <c r="A741" s="103" t="s">
        <v>1887</v>
      </c>
      <c r="B741" s="124" t="s">
        <v>1888</v>
      </c>
      <c r="C741" s="110">
        <v>7084</v>
      </c>
      <c r="D741" s="109" t="s">
        <v>120</v>
      </c>
      <c r="E741" s="109">
        <v>71</v>
      </c>
      <c r="F741" s="110">
        <v>3264</v>
      </c>
      <c r="G741" s="109" t="s">
        <v>120</v>
      </c>
      <c r="H741" s="109">
        <v>46</v>
      </c>
      <c r="I741" s="109">
        <v>1838</v>
      </c>
      <c r="J741" s="110">
        <v>2155</v>
      </c>
    </row>
    <row r="742" spans="1:10">
      <c r="A742" s="103" t="s">
        <v>1889</v>
      </c>
      <c r="B742" s="124" t="s">
        <v>1890</v>
      </c>
      <c r="C742" s="110">
        <v>7169</v>
      </c>
      <c r="D742" s="109" t="s">
        <v>120</v>
      </c>
      <c r="E742" s="109">
        <v>72</v>
      </c>
      <c r="F742" s="110">
        <v>2921</v>
      </c>
      <c r="G742" s="109" t="s">
        <v>120</v>
      </c>
      <c r="H742" s="109">
        <v>41</v>
      </c>
      <c r="I742" s="109">
        <v>1826</v>
      </c>
      <c r="J742" s="110">
        <v>2208</v>
      </c>
    </row>
    <row r="743" spans="1:10">
      <c r="A743" s="103" t="s">
        <v>1891</v>
      </c>
      <c r="B743" s="124" t="s">
        <v>1892</v>
      </c>
      <c r="C743" s="110">
        <v>20037</v>
      </c>
      <c r="D743" s="109" t="s">
        <v>120</v>
      </c>
      <c r="E743" s="109">
        <v>200</v>
      </c>
      <c r="F743" s="110">
        <v>6241</v>
      </c>
      <c r="G743" s="109" t="s">
        <v>120</v>
      </c>
      <c r="H743" s="109">
        <v>31</v>
      </c>
      <c r="I743" s="109">
        <v>344</v>
      </c>
      <c r="J743" s="110">
        <v>1451</v>
      </c>
    </row>
    <row r="744" spans="1:10">
      <c r="A744" s="103" t="s">
        <v>1893</v>
      </c>
      <c r="B744" s="124" t="s">
        <v>1894</v>
      </c>
      <c r="C744" s="110">
        <v>10167</v>
      </c>
      <c r="D744" s="109" t="s">
        <v>120</v>
      </c>
      <c r="E744" s="109">
        <v>102</v>
      </c>
      <c r="F744" s="110">
        <v>5801</v>
      </c>
      <c r="G744" s="109" t="s">
        <v>120</v>
      </c>
      <c r="H744" s="109">
        <v>57</v>
      </c>
      <c r="I744" s="109">
        <v>1359</v>
      </c>
      <c r="J744" s="110">
        <v>1557</v>
      </c>
    </row>
    <row r="745" spans="1:10">
      <c r="A745" s="103" t="s">
        <v>1895</v>
      </c>
      <c r="B745" s="124" t="s">
        <v>1896</v>
      </c>
      <c r="C745" s="110">
        <v>9944</v>
      </c>
      <c r="D745" s="109" t="s">
        <v>120</v>
      </c>
      <c r="E745" s="109">
        <v>99</v>
      </c>
      <c r="F745" s="110">
        <v>4651</v>
      </c>
      <c r="G745" s="109" t="s">
        <v>120</v>
      </c>
      <c r="H745" s="109">
        <v>47</v>
      </c>
      <c r="I745" s="109">
        <v>1398</v>
      </c>
      <c r="J745" s="110">
        <v>1828</v>
      </c>
    </row>
    <row r="746" spans="1:10" s="119" customFormat="1">
      <c r="A746" s="123" t="s">
        <v>120</v>
      </c>
      <c r="B746" s="275" t="s">
        <v>947</v>
      </c>
      <c r="C746" s="276"/>
      <c r="D746" s="276"/>
      <c r="E746" s="276"/>
      <c r="F746" s="276"/>
      <c r="G746" s="276"/>
      <c r="H746" s="276"/>
      <c r="I746" s="276"/>
      <c r="J746" s="276"/>
    </row>
    <row r="747" spans="1:10">
      <c r="A747" s="103" t="s">
        <v>1897</v>
      </c>
      <c r="B747" s="124" t="s">
        <v>1898</v>
      </c>
      <c r="C747" s="110">
        <v>17870</v>
      </c>
      <c r="D747" s="109" t="s">
        <v>120</v>
      </c>
      <c r="E747" s="109">
        <v>179</v>
      </c>
      <c r="F747" s="110">
        <v>15874</v>
      </c>
      <c r="G747" s="109" t="s">
        <v>120</v>
      </c>
      <c r="H747" s="109">
        <v>89</v>
      </c>
      <c r="I747" s="109">
        <v>461</v>
      </c>
      <c r="J747" s="110">
        <v>480</v>
      </c>
    </row>
    <row r="748" spans="1:10">
      <c r="A748" s="103" t="s">
        <v>1899</v>
      </c>
      <c r="B748" s="124" t="s">
        <v>932</v>
      </c>
      <c r="C748" s="110">
        <v>1480</v>
      </c>
      <c r="D748" s="109" t="s">
        <v>120</v>
      </c>
      <c r="E748" s="109">
        <v>15</v>
      </c>
      <c r="F748" s="110">
        <v>11879</v>
      </c>
      <c r="G748" s="109" t="s">
        <v>120</v>
      </c>
      <c r="H748" s="109">
        <v>803</v>
      </c>
      <c r="I748" s="109" t="s">
        <v>122</v>
      </c>
      <c r="J748" s="110" t="s">
        <v>122</v>
      </c>
    </row>
    <row r="749" spans="1:10">
      <c r="A749" s="103" t="s">
        <v>1900</v>
      </c>
      <c r="B749" s="124" t="s">
        <v>934</v>
      </c>
      <c r="C749" s="110">
        <v>16390</v>
      </c>
      <c r="D749" s="109" t="s">
        <v>120</v>
      </c>
      <c r="E749" s="109">
        <v>164</v>
      </c>
      <c r="F749" s="110">
        <v>3995</v>
      </c>
      <c r="G749" s="109" t="s">
        <v>120</v>
      </c>
      <c r="H749" s="109">
        <v>24</v>
      </c>
      <c r="I749" s="109" t="s">
        <v>122</v>
      </c>
      <c r="J749" s="110" t="s">
        <v>122</v>
      </c>
    </row>
    <row r="750" spans="1:10">
      <c r="A750" s="103" t="s">
        <v>1901</v>
      </c>
      <c r="B750" s="124" t="s">
        <v>1902</v>
      </c>
      <c r="C750" s="110">
        <v>15257</v>
      </c>
      <c r="D750" s="109" t="s">
        <v>120</v>
      </c>
      <c r="E750" s="109">
        <v>153</v>
      </c>
      <c r="F750" s="110">
        <v>6957</v>
      </c>
      <c r="G750" s="109" t="s">
        <v>120</v>
      </c>
      <c r="H750" s="109">
        <v>46</v>
      </c>
      <c r="I750" s="109">
        <v>652</v>
      </c>
      <c r="J750" s="110">
        <v>1303</v>
      </c>
    </row>
    <row r="751" spans="1:10">
      <c r="A751" s="103" t="s">
        <v>1903</v>
      </c>
      <c r="B751" s="124" t="s">
        <v>932</v>
      </c>
      <c r="C751" s="110">
        <v>789</v>
      </c>
      <c r="D751" s="109" t="s">
        <v>120</v>
      </c>
      <c r="E751" s="109">
        <v>8</v>
      </c>
      <c r="F751" s="110">
        <v>1459</v>
      </c>
      <c r="G751" s="109" t="s">
        <v>120</v>
      </c>
      <c r="H751" s="109">
        <v>185</v>
      </c>
      <c r="I751" s="109" t="s">
        <v>122</v>
      </c>
      <c r="J751" s="110" t="s">
        <v>122</v>
      </c>
    </row>
    <row r="752" spans="1:10">
      <c r="A752" s="103" t="s">
        <v>1904</v>
      </c>
      <c r="B752" s="124" t="s">
        <v>934</v>
      </c>
      <c r="C752" s="110">
        <v>14468</v>
      </c>
      <c r="D752" s="109" t="s">
        <v>120</v>
      </c>
      <c r="E752" s="109">
        <v>145</v>
      </c>
      <c r="F752" s="110">
        <v>5498</v>
      </c>
      <c r="G752" s="109" t="s">
        <v>120</v>
      </c>
      <c r="H752" s="109">
        <v>38</v>
      </c>
      <c r="I752" s="109" t="s">
        <v>122</v>
      </c>
      <c r="J752" s="110" t="s">
        <v>122</v>
      </c>
    </row>
    <row r="753" spans="1:10" s="119" customFormat="1">
      <c r="A753" s="123" t="s">
        <v>120</v>
      </c>
      <c r="B753" s="273" t="s">
        <v>1905</v>
      </c>
      <c r="C753" s="274"/>
      <c r="D753" s="274"/>
      <c r="E753" s="274"/>
      <c r="F753" s="274"/>
      <c r="G753" s="274"/>
      <c r="H753" s="274"/>
      <c r="I753" s="274"/>
      <c r="J753" s="274"/>
    </row>
    <row r="754" spans="1:10" s="119" customFormat="1">
      <c r="A754" s="123" t="s">
        <v>120</v>
      </c>
      <c r="B754" s="275" t="s">
        <v>1019</v>
      </c>
      <c r="C754" s="276"/>
      <c r="D754" s="276"/>
      <c r="E754" s="276"/>
      <c r="F754" s="276"/>
      <c r="G754" s="276"/>
      <c r="H754" s="276"/>
      <c r="I754" s="276"/>
      <c r="J754" s="276"/>
    </row>
    <row r="755" spans="1:10">
      <c r="A755" s="103" t="s">
        <v>1906</v>
      </c>
      <c r="B755" s="124" t="s">
        <v>1907</v>
      </c>
      <c r="C755" s="110">
        <v>4213</v>
      </c>
      <c r="D755" s="109" t="s">
        <v>120</v>
      </c>
      <c r="E755" s="109">
        <v>42</v>
      </c>
      <c r="F755" s="110">
        <v>18630</v>
      </c>
      <c r="G755" s="109" t="s">
        <v>120</v>
      </c>
      <c r="H755" s="109">
        <v>442</v>
      </c>
      <c r="I755" s="109">
        <v>2077</v>
      </c>
      <c r="J755" s="110">
        <v>378</v>
      </c>
    </row>
    <row r="756" spans="1:10" s="119" customFormat="1">
      <c r="A756" s="123" t="s">
        <v>120</v>
      </c>
      <c r="B756" s="275" t="s">
        <v>943</v>
      </c>
      <c r="C756" s="276"/>
      <c r="D756" s="276"/>
      <c r="E756" s="276"/>
      <c r="F756" s="276"/>
      <c r="G756" s="276"/>
      <c r="H756" s="276"/>
      <c r="I756" s="276"/>
      <c r="J756" s="276"/>
    </row>
    <row r="757" spans="1:10">
      <c r="A757" s="103" t="s">
        <v>1908</v>
      </c>
      <c r="B757" s="124" t="s">
        <v>1909</v>
      </c>
      <c r="C757" s="110">
        <v>7065</v>
      </c>
      <c r="D757" s="109" t="s">
        <v>120</v>
      </c>
      <c r="E757" s="109">
        <v>71</v>
      </c>
      <c r="F757" s="110">
        <v>4570</v>
      </c>
      <c r="G757" s="109" t="s">
        <v>120</v>
      </c>
      <c r="H757" s="109">
        <v>65</v>
      </c>
      <c r="I757" s="109">
        <v>1842</v>
      </c>
      <c r="J757" s="110">
        <v>1852</v>
      </c>
    </row>
    <row r="758" spans="1:10">
      <c r="A758" s="103" t="s">
        <v>1910</v>
      </c>
      <c r="B758" s="124" t="s">
        <v>1911</v>
      </c>
      <c r="C758" s="110">
        <v>9668</v>
      </c>
      <c r="D758" s="109" t="s">
        <v>120</v>
      </c>
      <c r="E758" s="109">
        <v>97</v>
      </c>
      <c r="F758" s="110">
        <v>3429</v>
      </c>
      <c r="G758" s="109" t="s">
        <v>120</v>
      </c>
      <c r="H758" s="109">
        <v>35</v>
      </c>
      <c r="I758" s="109">
        <v>1437</v>
      </c>
      <c r="J758" s="110">
        <v>2122</v>
      </c>
    </row>
    <row r="759" spans="1:10">
      <c r="A759" s="103" t="s">
        <v>1912</v>
      </c>
      <c r="B759" s="124" t="s">
        <v>1913</v>
      </c>
      <c r="C759" s="110">
        <v>13827</v>
      </c>
      <c r="D759" s="109" t="s">
        <v>120</v>
      </c>
      <c r="E759" s="109">
        <v>138</v>
      </c>
      <c r="F759" s="110">
        <v>8124</v>
      </c>
      <c r="G759" s="109" t="s">
        <v>120</v>
      </c>
      <c r="H759" s="109">
        <v>59</v>
      </c>
      <c r="I759" s="109">
        <v>800</v>
      </c>
      <c r="J759" s="110">
        <v>1105</v>
      </c>
    </row>
    <row r="760" spans="1:10">
      <c r="A760" s="103" t="s">
        <v>1914</v>
      </c>
      <c r="B760" s="124" t="s">
        <v>1907</v>
      </c>
      <c r="C760" s="110">
        <v>15082</v>
      </c>
      <c r="D760" s="109" t="s">
        <v>120</v>
      </c>
      <c r="E760" s="109">
        <v>151</v>
      </c>
      <c r="F760" s="110">
        <v>8529</v>
      </c>
      <c r="G760" s="109" t="s">
        <v>120</v>
      </c>
      <c r="H760" s="109">
        <v>57</v>
      </c>
      <c r="I760" s="109">
        <v>669</v>
      </c>
      <c r="J760" s="110">
        <v>1045</v>
      </c>
    </row>
    <row r="761" spans="1:10">
      <c r="A761" s="103" t="s">
        <v>1915</v>
      </c>
      <c r="B761" s="124" t="s">
        <v>1916</v>
      </c>
      <c r="C761" s="110">
        <v>11009</v>
      </c>
      <c r="D761" s="109" t="s">
        <v>120</v>
      </c>
      <c r="E761" s="109">
        <v>110</v>
      </c>
      <c r="F761" s="110">
        <v>3639</v>
      </c>
      <c r="G761" s="109" t="s">
        <v>120</v>
      </c>
      <c r="H761" s="109">
        <v>33</v>
      </c>
      <c r="I761" s="109">
        <v>1223</v>
      </c>
      <c r="J761" s="110">
        <v>2077</v>
      </c>
    </row>
    <row r="762" spans="1:10">
      <c r="A762" s="103" t="s">
        <v>1917</v>
      </c>
      <c r="B762" s="124" t="s">
        <v>1918</v>
      </c>
      <c r="C762" s="110">
        <v>10619</v>
      </c>
      <c r="D762" s="109" t="s">
        <v>120</v>
      </c>
      <c r="E762" s="109">
        <v>106</v>
      </c>
      <c r="F762" s="110">
        <v>3893</v>
      </c>
      <c r="G762" s="109" t="s">
        <v>120</v>
      </c>
      <c r="H762" s="109">
        <v>37</v>
      </c>
      <c r="I762" s="109">
        <v>1287</v>
      </c>
      <c r="J762" s="110">
        <v>2016</v>
      </c>
    </row>
    <row r="763" spans="1:10">
      <c r="A763" s="103" t="s">
        <v>1919</v>
      </c>
      <c r="B763" s="124" t="s">
        <v>1920</v>
      </c>
      <c r="C763" s="110">
        <v>8853</v>
      </c>
      <c r="D763" s="109" t="s">
        <v>120</v>
      </c>
      <c r="E763" s="109">
        <v>89</v>
      </c>
      <c r="F763" s="110">
        <v>3009</v>
      </c>
      <c r="G763" s="109" t="s">
        <v>120</v>
      </c>
      <c r="H763" s="109">
        <v>34</v>
      </c>
      <c r="I763" s="109">
        <v>1552</v>
      </c>
      <c r="J763" s="110">
        <v>2195</v>
      </c>
    </row>
    <row r="764" spans="1:10">
      <c r="A764" s="103" t="s">
        <v>1921</v>
      </c>
      <c r="B764" s="124" t="s">
        <v>1922</v>
      </c>
      <c r="C764" s="110">
        <v>9840</v>
      </c>
      <c r="D764" s="109" t="s">
        <v>120</v>
      </c>
      <c r="E764" s="109">
        <v>98</v>
      </c>
      <c r="F764" s="110">
        <v>4110</v>
      </c>
      <c r="G764" s="109" t="s">
        <v>120</v>
      </c>
      <c r="H764" s="109">
        <v>42</v>
      </c>
      <c r="I764" s="109">
        <v>1415</v>
      </c>
      <c r="J764" s="110">
        <v>1970</v>
      </c>
    </row>
    <row r="765" spans="1:10">
      <c r="A765" s="103" t="s">
        <v>1923</v>
      </c>
      <c r="B765" s="124" t="s">
        <v>1924</v>
      </c>
      <c r="C765" s="110">
        <v>12968</v>
      </c>
      <c r="D765" s="109" t="s">
        <v>120</v>
      </c>
      <c r="E765" s="109">
        <v>130</v>
      </c>
      <c r="F765" s="110">
        <v>5325</v>
      </c>
      <c r="G765" s="109" t="s">
        <v>120</v>
      </c>
      <c r="H765" s="109">
        <v>41</v>
      </c>
      <c r="I765" s="109">
        <v>914</v>
      </c>
      <c r="J765" s="110">
        <v>1658</v>
      </c>
    </row>
    <row r="766" spans="1:10" s="119" customFormat="1">
      <c r="A766" s="123" t="s">
        <v>120</v>
      </c>
      <c r="B766" s="273" t="s">
        <v>1925</v>
      </c>
      <c r="C766" s="274"/>
      <c r="D766" s="274"/>
      <c r="E766" s="274"/>
      <c r="F766" s="274"/>
      <c r="G766" s="274"/>
      <c r="H766" s="274"/>
      <c r="I766" s="274"/>
      <c r="J766" s="274"/>
    </row>
    <row r="767" spans="1:10" s="119" customFormat="1">
      <c r="A767" s="123" t="s">
        <v>120</v>
      </c>
      <c r="B767" s="275" t="s">
        <v>1019</v>
      </c>
      <c r="C767" s="276"/>
      <c r="D767" s="276"/>
      <c r="E767" s="276"/>
      <c r="F767" s="276"/>
      <c r="G767" s="276"/>
      <c r="H767" s="276"/>
      <c r="I767" s="276"/>
      <c r="J767" s="276"/>
    </row>
    <row r="768" spans="1:10">
      <c r="A768" s="103" t="s">
        <v>1926</v>
      </c>
      <c r="B768" s="124" t="s">
        <v>1927</v>
      </c>
      <c r="C768" s="110">
        <v>2610</v>
      </c>
      <c r="D768" s="109" t="s">
        <v>120</v>
      </c>
      <c r="E768" s="109">
        <v>26</v>
      </c>
      <c r="F768" s="110">
        <v>34230</v>
      </c>
      <c r="G768" s="109" t="s">
        <v>120</v>
      </c>
      <c r="H768" s="109">
        <v>1311</v>
      </c>
      <c r="I768" s="109">
        <v>2191</v>
      </c>
      <c r="J768" s="110">
        <v>155</v>
      </c>
    </row>
    <row r="769" spans="1:10" s="119" customFormat="1">
      <c r="A769" s="123" t="s">
        <v>120</v>
      </c>
      <c r="B769" s="275" t="s">
        <v>924</v>
      </c>
      <c r="C769" s="276"/>
      <c r="D769" s="276"/>
      <c r="E769" s="276"/>
      <c r="F769" s="276"/>
      <c r="G769" s="276"/>
      <c r="H769" s="276"/>
      <c r="I769" s="276"/>
      <c r="J769" s="276"/>
    </row>
    <row r="770" spans="1:10">
      <c r="A770" s="103" t="s">
        <v>1928</v>
      </c>
      <c r="B770" s="124" t="s">
        <v>1929</v>
      </c>
      <c r="C770" s="110">
        <v>8729</v>
      </c>
      <c r="D770" s="109" t="s">
        <v>120</v>
      </c>
      <c r="E770" s="109">
        <v>87</v>
      </c>
      <c r="F770" s="110">
        <v>5274</v>
      </c>
      <c r="G770" s="109" t="s">
        <v>120</v>
      </c>
      <c r="H770" s="109">
        <v>60</v>
      </c>
      <c r="I770" s="109">
        <v>1573</v>
      </c>
      <c r="J770" s="110">
        <v>1671</v>
      </c>
    </row>
    <row r="771" spans="1:10">
      <c r="A771" s="103" t="s">
        <v>1930</v>
      </c>
      <c r="B771" s="124" t="s">
        <v>1931</v>
      </c>
      <c r="C771" s="110">
        <v>15929</v>
      </c>
      <c r="D771" s="109" t="s">
        <v>120</v>
      </c>
      <c r="E771" s="109">
        <v>159</v>
      </c>
      <c r="F771" s="110">
        <v>7209</v>
      </c>
      <c r="G771" s="109" t="s">
        <v>120</v>
      </c>
      <c r="H771" s="109">
        <v>45</v>
      </c>
      <c r="I771" s="109">
        <v>605</v>
      </c>
      <c r="J771" s="110">
        <v>1256</v>
      </c>
    </row>
    <row r="772" spans="1:10">
      <c r="A772" s="103" t="s">
        <v>1932</v>
      </c>
      <c r="B772" s="124" t="s">
        <v>1927</v>
      </c>
      <c r="C772" s="110">
        <v>10466</v>
      </c>
      <c r="D772" s="109" t="s">
        <v>120</v>
      </c>
      <c r="E772" s="109">
        <v>105</v>
      </c>
      <c r="F772" s="110">
        <v>7323</v>
      </c>
      <c r="G772" s="109" t="s">
        <v>120</v>
      </c>
      <c r="H772" s="109">
        <v>70</v>
      </c>
      <c r="I772" s="109">
        <v>1305</v>
      </c>
      <c r="J772" s="110">
        <v>1237</v>
      </c>
    </row>
    <row r="773" spans="1:10">
      <c r="A773" s="103" t="s">
        <v>1933</v>
      </c>
      <c r="B773" s="124" t="s">
        <v>1934</v>
      </c>
      <c r="C773" s="110">
        <v>7331</v>
      </c>
      <c r="D773" s="109" t="s">
        <v>120</v>
      </c>
      <c r="E773" s="109">
        <v>73</v>
      </c>
      <c r="F773" s="110">
        <v>5758</v>
      </c>
      <c r="G773" s="109" t="s">
        <v>120</v>
      </c>
      <c r="H773" s="109">
        <v>79</v>
      </c>
      <c r="I773" s="109">
        <v>1803</v>
      </c>
      <c r="J773" s="110">
        <v>1565</v>
      </c>
    </row>
    <row r="774" spans="1:10">
      <c r="A774" s="103" t="s">
        <v>1935</v>
      </c>
      <c r="B774" s="124" t="s">
        <v>1936</v>
      </c>
      <c r="C774" s="110">
        <v>10411</v>
      </c>
      <c r="D774" s="109" t="s">
        <v>120</v>
      </c>
      <c r="E774" s="109">
        <v>104</v>
      </c>
      <c r="F774" s="110">
        <v>6406</v>
      </c>
      <c r="G774" s="109" t="s">
        <v>120</v>
      </c>
      <c r="H774" s="109">
        <v>62</v>
      </c>
      <c r="I774" s="109">
        <v>1316</v>
      </c>
      <c r="J774" s="110">
        <v>1421</v>
      </c>
    </row>
    <row r="775" spans="1:10">
      <c r="A775" s="103" t="s">
        <v>1937</v>
      </c>
      <c r="B775" s="124" t="s">
        <v>1938</v>
      </c>
      <c r="C775" s="110">
        <v>8170</v>
      </c>
      <c r="D775" s="109" t="s">
        <v>120</v>
      </c>
      <c r="E775" s="109">
        <v>82</v>
      </c>
      <c r="F775" s="110">
        <v>5527</v>
      </c>
      <c r="G775" s="109" t="s">
        <v>120</v>
      </c>
      <c r="H775" s="109">
        <v>68</v>
      </c>
      <c r="I775" s="109">
        <v>1677</v>
      </c>
      <c r="J775" s="110">
        <v>1608</v>
      </c>
    </row>
    <row r="776" spans="1:10">
      <c r="A776" s="103" t="s">
        <v>1939</v>
      </c>
      <c r="B776" s="124" t="s">
        <v>1940</v>
      </c>
      <c r="C776" s="110">
        <v>9917</v>
      </c>
      <c r="D776" s="109" t="s">
        <v>120</v>
      </c>
      <c r="E776" s="109">
        <v>99</v>
      </c>
      <c r="F776" s="110">
        <v>6443</v>
      </c>
      <c r="G776" s="109" t="s">
        <v>120</v>
      </c>
      <c r="H776" s="109">
        <v>65</v>
      </c>
      <c r="I776" s="109">
        <v>1403</v>
      </c>
      <c r="J776" s="110">
        <v>1413</v>
      </c>
    </row>
    <row r="777" spans="1:10" s="119" customFormat="1">
      <c r="A777" s="123" t="s">
        <v>120</v>
      </c>
      <c r="B777" s="275" t="s">
        <v>1101</v>
      </c>
      <c r="C777" s="276"/>
      <c r="D777" s="276"/>
      <c r="E777" s="276"/>
      <c r="F777" s="276"/>
      <c r="G777" s="276"/>
      <c r="H777" s="276"/>
      <c r="I777" s="276"/>
      <c r="J777" s="276"/>
    </row>
    <row r="778" spans="1:10">
      <c r="A778" s="103" t="s">
        <v>1941</v>
      </c>
      <c r="B778" s="124" t="s">
        <v>1942</v>
      </c>
      <c r="C778" s="110">
        <v>15113</v>
      </c>
      <c r="D778" s="109" t="s">
        <v>120</v>
      </c>
      <c r="E778" s="109">
        <v>151</v>
      </c>
      <c r="F778" s="110">
        <v>8596</v>
      </c>
      <c r="G778" s="109" t="s">
        <v>120</v>
      </c>
      <c r="H778" s="109">
        <v>57</v>
      </c>
      <c r="I778" s="109">
        <v>663</v>
      </c>
      <c r="J778" s="110">
        <v>1036</v>
      </c>
    </row>
    <row r="779" spans="1:10">
      <c r="A779" s="103" t="s">
        <v>1943</v>
      </c>
      <c r="B779" s="124" t="s">
        <v>932</v>
      </c>
      <c r="C779" s="110">
        <v>773</v>
      </c>
      <c r="D779" s="109" t="s">
        <v>120</v>
      </c>
      <c r="E779" s="109">
        <v>8</v>
      </c>
      <c r="F779" s="110">
        <v>2488</v>
      </c>
      <c r="G779" s="109" t="s">
        <v>120</v>
      </c>
      <c r="H779" s="109">
        <v>322</v>
      </c>
      <c r="I779" s="109" t="s">
        <v>122</v>
      </c>
      <c r="J779" s="110" t="s">
        <v>122</v>
      </c>
    </row>
    <row r="780" spans="1:10">
      <c r="A780" s="103" t="s">
        <v>1944</v>
      </c>
      <c r="B780" s="124" t="s">
        <v>934</v>
      </c>
      <c r="C780" s="110">
        <v>14340</v>
      </c>
      <c r="D780" s="109" t="s">
        <v>120</v>
      </c>
      <c r="E780" s="109">
        <v>143</v>
      </c>
      <c r="F780" s="110">
        <v>6108</v>
      </c>
      <c r="G780" s="109" t="s">
        <v>120</v>
      </c>
      <c r="H780" s="109">
        <v>43</v>
      </c>
      <c r="I780" s="109" t="s">
        <v>122</v>
      </c>
      <c r="J780" s="110" t="s">
        <v>122</v>
      </c>
    </row>
    <row r="781" spans="1:10">
      <c r="A781" s="103" t="s">
        <v>1945</v>
      </c>
      <c r="B781" s="124" t="s">
        <v>1946</v>
      </c>
      <c r="C781" s="110">
        <v>11854</v>
      </c>
      <c r="D781" s="109" t="s">
        <v>120</v>
      </c>
      <c r="E781" s="109">
        <v>119</v>
      </c>
      <c r="F781" s="110">
        <v>8582</v>
      </c>
      <c r="G781" s="109" t="s">
        <v>120</v>
      </c>
      <c r="H781" s="109">
        <v>72</v>
      </c>
      <c r="I781" s="109">
        <v>1074</v>
      </c>
      <c r="J781" s="110">
        <v>1039</v>
      </c>
    </row>
    <row r="782" spans="1:10">
      <c r="A782" s="103" t="s">
        <v>1947</v>
      </c>
      <c r="B782" s="124" t="s">
        <v>932</v>
      </c>
      <c r="C782" s="110">
        <v>1291</v>
      </c>
      <c r="D782" s="109" t="s">
        <v>120</v>
      </c>
      <c r="E782" s="109">
        <v>13</v>
      </c>
      <c r="F782" s="110">
        <v>1694</v>
      </c>
      <c r="G782" s="109" t="s">
        <v>120</v>
      </c>
      <c r="H782" s="109">
        <v>131</v>
      </c>
      <c r="I782" s="109" t="s">
        <v>122</v>
      </c>
      <c r="J782" s="110" t="s">
        <v>122</v>
      </c>
    </row>
    <row r="783" spans="1:10">
      <c r="A783" s="103" t="s">
        <v>1948</v>
      </c>
      <c r="B783" s="124" t="s">
        <v>934</v>
      </c>
      <c r="C783" s="110">
        <v>10563</v>
      </c>
      <c r="D783" s="109" t="s">
        <v>120</v>
      </c>
      <c r="E783" s="109">
        <v>106</v>
      </c>
      <c r="F783" s="110">
        <v>6888</v>
      </c>
      <c r="G783" s="109" t="s">
        <v>120</v>
      </c>
      <c r="H783" s="109">
        <v>65</v>
      </c>
      <c r="I783" s="109" t="s">
        <v>122</v>
      </c>
      <c r="J783" s="110" t="s">
        <v>122</v>
      </c>
    </row>
    <row r="784" spans="1:10" s="119" customFormat="1">
      <c r="A784" s="123" t="s">
        <v>120</v>
      </c>
      <c r="B784" s="273" t="s">
        <v>1949</v>
      </c>
      <c r="C784" s="274"/>
      <c r="D784" s="274"/>
      <c r="E784" s="274"/>
      <c r="F784" s="274"/>
      <c r="G784" s="274"/>
      <c r="H784" s="274"/>
      <c r="I784" s="274"/>
      <c r="J784" s="274"/>
    </row>
    <row r="785" spans="1:10" s="119" customFormat="1">
      <c r="A785" s="123" t="s">
        <v>120</v>
      </c>
      <c r="B785" s="275" t="s">
        <v>1019</v>
      </c>
      <c r="C785" s="276"/>
      <c r="D785" s="276"/>
      <c r="E785" s="276"/>
      <c r="F785" s="276"/>
      <c r="G785" s="276"/>
      <c r="H785" s="276"/>
      <c r="I785" s="276"/>
      <c r="J785" s="276"/>
    </row>
    <row r="786" spans="1:10">
      <c r="A786" s="103" t="s">
        <v>1950</v>
      </c>
      <c r="B786" s="124" t="s">
        <v>1951</v>
      </c>
      <c r="C786" s="110">
        <v>1391</v>
      </c>
      <c r="D786" s="109" t="s">
        <v>120</v>
      </c>
      <c r="E786" s="109">
        <v>14</v>
      </c>
      <c r="F786" s="110">
        <v>21828</v>
      </c>
      <c r="G786" s="109" t="s">
        <v>120</v>
      </c>
      <c r="H786" s="109">
        <v>1569</v>
      </c>
      <c r="I786" s="109">
        <v>2288</v>
      </c>
      <c r="J786" s="110">
        <v>307</v>
      </c>
    </row>
    <row r="787" spans="1:10" s="119" customFormat="1">
      <c r="A787" s="123" t="s">
        <v>120</v>
      </c>
      <c r="B787" s="275" t="s">
        <v>1022</v>
      </c>
      <c r="C787" s="276"/>
      <c r="D787" s="276"/>
      <c r="E787" s="276"/>
      <c r="F787" s="276"/>
      <c r="G787" s="276"/>
      <c r="H787" s="276"/>
      <c r="I787" s="276"/>
      <c r="J787" s="276"/>
    </row>
    <row r="788" spans="1:10">
      <c r="A788" s="103" t="s">
        <v>1952</v>
      </c>
      <c r="B788" s="124" t="s">
        <v>1953</v>
      </c>
      <c r="C788" s="110">
        <v>8460</v>
      </c>
      <c r="D788" s="109" t="s">
        <v>120</v>
      </c>
      <c r="E788" s="109">
        <v>85</v>
      </c>
      <c r="F788" s="110">
        <v>4039</v>
      </c>
      <c r="G788" s="109" t="s">
        <v>120</v>
      </c>
      <c r="H788" s="109">
        <v>48</v>
      </c>
      <c r="I788" s="109">
        <v>1625</v>
      </c>
      <c r="J788" s="110">
        <v>1984</v>
      </c>
    </row>
    <row r="789" spans="1:10">
      <c r="A789" s="103" t="s">
        <v>1954</v>
      </c>
      <c r="B789" s="124" t="s">
        <v>1955</v>
      </c>
      <c r="C789" s="110">
        <v>12646</v>
      </c>
      <c r="D789" s="109" t="s">
        <v>120</v>
      </c>
      <c r="E789" s="109">
        <v>126</v>
      </c>
      <c r="F789" s="110">
        <v>5885</v>
      </c>
      <c r="G789" s="109" t="s">
        <v>120</v>
      </c>
      <c r="H789" s="109">
        <v>47</v>
      </c>
      <c r="I789" s="109">
        <v>964</v>
      </c>
      <c r="J789" s="110">
        <v>1534</v>
      </c>
    </row>
    <row r="790" spans="1:10">
      <c r="A790" s="103" t="s">
        <v>1956</v>
      </c>
      <c r="B790" s="124" t="s">
        <v>1957</v>
      </c>
      <c r="C790" s="110">
        <v>6645</v>
      </c>
      <c r="D790" s="109" t="s">
        <v>120</v>
      </c>
      <c r="E790" s="109">
        <v>66</v>
      </c>
      <c r="F790" s="110">
        <v>2773</v>
      </c>
      <c r="G790" s="109" t="s">
        <v>120</v>
      </c>
      <c r="H790" s="109">
        <v>42</v>
      </c>
      <c r="I790" s="109">
        <v>1888</v>
      </c>
      <c r="J790" s="110">
        <v>2227</v>
      </c>
    </row>
    <row r="791" spans="1:10">
      <c r="A791" s="103" t="s">
        <v>1958</v>
      </c>
      <c r="B791" s="124" t="s">
        <v>1959</v>
      </c>
      <c r="C791" s="110">
        <v>11169</v>
      </c>
      <c r="D791" s="109" t="s">
        <v>120</v>
      </c>
      <c r="E791" s="109">
        <v>112</v>
      </c>
      <c r="F791" s="110">
        <v>6485</v>
      </c>
      <c r="G791" s="109" t="s">
        <v>120</v>
      </c>
      <c r="H791" s="109">
        <v>58</v>
      </c>
      <c r="I791" s="109">
        <v>1187</v>
      </c>
      <c r="J791" s="110">
        <v>1402</v>
      </c>
    </row>
    <row r="792" spans="1:10">
      <c r="A792" s="103" t="s">
        <v>1960</v>
      </c>
      <c r="B792" s="124" t="s">
        <v>1951</v>
      </c>
      <c r="C792" s="110">
        <v>15870</v>
      </c>
      <c r="D792" s="109" t="s">
        <v>120</v>
      </c>
      <c r="E792" s="109">
        <v>158</v>
      </c>
      <c r="F792" s="110">
        <v>11812</v>
      </c>
      <c r="G792" s="109" t="s">
        <v>120</v>
      </c>
      <c r="H792" s="109">
        <v>74</v>
      </c>
      <c r="I792" s="109">
        <v>609</v>
      </c>
      <c r="J792" s="110">
        <v>717</v>
      </c>
    </row>
    <row r="793" spans="1:10">
      <c r="A793" s="103" t="s">
        <v>1961</v>
      </c>
      <c r="B793" s="124" t="s">
        <v>1962</v>
      </c>
      <c r="C793" s="110">
        <v>13599</v>
      </c>
      <c r="D793" s="109" t="s">
        <v>120</v>
      </c>
      <c r="E793" s="109">
        <v>136</v>
      </c>
      <c r="F793" s="110">
        <v>5849</v>
      </c>
      <c r="G793" s="109" t="s">
        <v>120</v>
      </c>
      <c r="H793" s="109">
        <v>43</v>
      </c>
      <c r="I793" s="109">
        <v>824</v>
      </c>
      <c r="J793" s="110">
        <v>1543</v>
      </c>
    </row>
    <row r="794" spans="1:10">
      <c r="A794" s="103" t="s">
        <v>1963</v>
      </c>
      <c r="B794" s="124" t="s">
        <v>1964</v>
      </c>
      <c r="C794" s="110">
        <v>9576</v>
      </c>
      <c r="D794" s="109" t="s">
        <v>120</v>
      </c>
      <c r="E794" s="109">
        <v>96</v>
      </c>
      <c r="F794" s="110">
        <v>6183</v>
      </c>
      <c r="G794" s="109" t="s">
        <v>120</v>
      </c>
      <c r="H794" s="109">
        <v>65</v>
      </c>
      <c r="I794" s="109">
        <v>1456</v>
      </c>
      <c r="J794" s="110">
        <v>1463</v>
      </c>
    </row>
    <row r="795" spans="1:10">
      <c r="A795" s="103" t="s">
        <v>1965</v>
      </c>
      <c r="B795" s="124" t="s">
        <v>1966</v>
      </c>
      <c r="C795" s="110">
        <v>8985</v>
      </c>
      <c r="D795" s="109" t="s">
        <v>120</v>
      </c>
      <c r="E795" s="109">
        <v>90</v>
      </c>
      <c r="F795" s="110">
        <v>3829</v>
      </c>
      <c r="G795" s="109" t="s">
        <v>120</v>
      </c>
      <c r="H795" s="109">
        <v>43</v>
      </c>
      <c r="I795" s="109">
        <v>1534</v>
      </c>
      <c r="J795" s="110">
        <v>2036</v>
      </c>
    </row>
    <row r="796" spans="1:10">
      <c r="A796" s="103" t="s">
        <v>1967</v>
      </c>
      <c r="B796" s="124" t="s">
        <v>1968</v>
      </c>
      <c r="C796" s="110">
        <v>7560</v>
      </c>
      <c r="D796" s="109" t="s">
        <v>120</v>
      </c>
      <c r="E796" s="109">
        <v>76</v>
      </c>
      <c r="F796" s="110">
        <v>4914</v>
      </c>
      <c r="G796" s="109" t="s">
        <v>120</v>
      </c>
      <c r="H796" s="109">
        <v>65</v>
      </c>
      <c r="I796" s="109">
        <v>1763</v>
      </c>
      <c r="J796" s="110">
        <v>1760</v>
      </c>
    </row>
    <row r="797" spans="1:10">
      <c r="A797" s="103" t="s">
        <v>1969</v>
      </c>
      <c r="B797" s="124" t="s">
        <v>1970</v>
      </c>
      <c r="C797" s="110">
        <v>10708</v>
      </c>
      <c r="D797" s="109" t="s">
        <v>120</v>
      </c>
      <c r="E797" s="109">
        <v>107</v>
      </c>
      <c r="F797" s="110">
        <v>3162</v>
      </c>
      <c r="G797" s="109" t="s">
        <v>120</v>
      </c>
      <c r="H797" s="109">
        <v>30</v>
      </c>
      <c r="I797" s="109">
        <v>1272</v>
      </c>
      <c r="J797" s="110">
        <v>2171</v>
      </c>
    </row>
    <row r="798" spans="1:10" s="119" customFormat="1">
      <c r="A798" s="123" t="s">
        <v>120</v>
      </c>
      <c r="B798" s="275" t="s">
        <v>947</v>
      </c>
      <c r="C798" s="276"/>
      <c r="D798" s="276"/>
      <c r="E798" s="276"/>
      <c r="F798" s="276"/>
      <c r="G798" s="276"/>
      <c r="H798" s="276"/>
      <c r="I798" s="276"/>
      <c r="J798" s="276"/>
    </row>
    <row r="799" spans="1:10">
      <c r="A799" s="103" t="s">
        <v>1971</v>
      </c>
      <c r="B799" s="124" t="s">
        <v>1972</v>
      </c>
      <c r="C799" s="110">
        <v>10107</v>
      </c>
      <c r="D799" s="109" t="s">
        <v>120</v>
      </c>
      <c r="E799" s="109">
        <v>101</v>
      </c>
      <c r="F799" s="110">
        <v>6349</v>
      </c>
      <c r="G799" s="109" t="s">
        <v>120</v>
      </c>
      <c r="H799" s="109">
        <v>63</v>
      </c>
      <c r="I799" s="109">
        <v>1368</v>
      </c>
      <c r="J799" s="110">
        <v>1434</v>
      </c>
    </row>
    <row r="800" spans="1:10">
      <c r="A800" s="103" t="s">
        <v>1973</v>
      </c>
      <c r="B800" s="124" t="s">
        <v>932</v>
      </c>
      <c r="C800" s="110">
        <v>1678</v>
      </c>
      <c r="D800" s="109" t="s">
        <v>120</v>
      </c>
      <c r="E800" s="109">
        <v>17</v>
      </c>
      <c r="F800" s="110">
        <v>3273</v>
      </c>
      <c r="G800" s="109" t="s">
        <v>120</v>
      </c>
      <c r="H800" s="109">
        <v>195</v>
      </c>
      <c r="I800" s="109" t="s">
        <v>122</v>
      </c>
      <c r="J800" s="110" t="s">
        <v>122</v>
      </c>
    </row>
    <row r="801" spans="1:10">
      <c r="A801" s="103" t="s">
        <v>1974</v>
      </c>
      <c r="B801" s="124" t="s">
        <v>934</v>
      </c>
      <c r="C801" s="110">
        <v>8429</v>
      </c>
      <c r="D801" s="109" t="s">
        <v>120</v>
      </c>
      <c r="E801" s="109">
        <v>84</v>
      </c>
      <c r="F801" s="110">
        <v>3076</v>
      </c>
      <c r="G801" s="109" t="s">
        <v>120</v>
      </c>
      <c r="H801" s="109">
        <v>36</v>
      </c>
      <c r="I801" s="109" t="s">
        <v>122</v>
      </c>
      <c r="J801" s="110" t="s">
        <v>122</v>
      </c>
    </row>
    <row r="802" spans="1:10">
      <c r="A802" s="103" t="s">
        <v>1975</v>
      </c>
      <c r="B802" s="124" t="s">
        <v>1976</v>
      </c>
      <c r="C802" s="110">
        <v>12158</v>
      </c>
      <c r="D802" s="109" t="s">
        <v>120</v>
      </c>
      <c r="E802" s="109">
        <v>122</v>
      </c>
      <c r="F802" s="110">
        <v>5244</v>
      </c>
      <c r="G802" s="109" t="s">
        <v>120</v>
      </c>
      <c r="H802" s="109">
        <v>43</v>
      </c>
      <c r="I802" s="109">
        <v>1031</v>
      </c>
      <c r="J802" s="110">
        <v>1679</v>
      </c>
    </row>
    <row r="803" spans="1:10">
      <c r="A803" s="103" t="s">
        <v>1977</v>
      </c>
      <c r="B803" s="124" t="s">
        <v>932</v>
      </c>
      <c r="C803" s="110">
        <v>2977</v>
      </c>
      <c r="D803" s="109" t="s">
        <v>120</v>
      </c>
      <c r="E803" s="109">
        <v>30</v>
      </c>
      <c r="F803" s="110">
        <v>2110</v>
      </c>
      <c r="G803" s="109" t="s">
        <v>120</v>
      </c>
      <c r="H803" s="109">
        <v>71</v>
      </c>
      <c r="I803" s="109" t="s">
        <v>122</v>
      </c>
      <c r="J803" s="110" t="s">
        <v>122</v>
      </c>
    </row>
    <row r="804" spans="1:10">
      <c r="A804" s="103" t="s">
        <v>1978</v>
      </c>
      <c r="B804" s="124" t="s">
        <v>934</v>
      </c>
      <c r="C804" s="110">
        <v>9181</v>
      </c>
      <c r="D804" s="109" t="s">
        <v>120</v>
      </c>
      <c r="E804" s="109">
        <v>92</v>
      </c>
      <c r="F804" s="110">
        <v>3134</v>
      </c>
      <c r="G804" s="109" t="s">
        <v>120</v>
      </c>
      <c r="H804" s="109">
        <v>34</v>
      </c>
      <c r="I804" s="109" t="s">
        <v>122</v>
      </c>
      <c r="J804" s="110" t="s">
        <v>122</v>
      </c>
    </row>
    <row r="805" spans="1:10" s="119" customFormat="1">
      <c r="A805" s="123" t="s">
        <v>120</v>
      </c>
      <c r="B805" s="273" t="s">
        <v>1979</v>
      </c>
      <c r="C805" s="274"/>
      <c r="D805" s="274"/>
      <c r="E805" s="274"/>
      <c r="F805" s="274"/>
      <c r="G805" s="274"/>
      <c r="H805" s="274"/>
      <c r="I805" s="274"/>
      <c r="J805" s="274"/>
    </row>
    <row r="806" spans="1:10" s="119" customFormat="1">
      <c r="A806" s="123" t="s">
        <v>120</v>
      </c>
      <c r="B806" s="275" t="s">
        <v>924</v>
      </c>
      <c r="C806" s="276"/>
      <c r="D806" s="276"/>
      <c r="E806" s="276"/>
      <c r="F806" s="276"/>
      <c r="G806" s="276"/>
      <c r="H806" s="276"/>
      <c r="I806" s="276"/>
      <c r="J806" s="276"/>
    </row>
    <row r="807" spans="1:10">
      <c r="A807" s="103" t="s">
        <v>1980</v>
      </c>
      <c r="B807" s="124" t="s">
        <v>1981</v>
      </c>
      <c r="C807" s="110">
        <v>6746</v>
      </c>
      <c r="D807" s="109" t="s">
        <v>120</v>
      </c>
      <c r="E807" s="109">
        <v>68</v>
      </c>
      <c r="F807" s="110">
        <v>3760</v>
      </c>
      <c r="G807" s="109" t="s">
        <v>120</v>
      </c>
      <c r="H807" s="109">
        <v>56</v>
      </c>
      <c r="I807" s="109">
        <v>1878</v>
      </c>
      <c r="J807" s="110">
        <v>2051</v>
      </c>
    </row>
    <row r="808" spans="1:10">
      <c r="A808" s="103" t="s">
        <v>1982</v>
      </c>
      <c r="B808" s="124" t="s">
        <v>1983</v>
      </c>
      <c r="C808" s="110">
        <v>10262</v>
      </c>
      <c r="D808" s="109" t="s">
        <v>120</v>
      </c>
      <c r="E808" s="109">
        <v>103</v>
      </c>
      <c r="F808" s="110">
        <v>9064</v>
      </c>
      <c r="G808" s="109" t="s">
        <v>120</v>
      </c>
      <c r="H808" s="109">
        <v>88</v>
      </c>
      <c r="I808" s="109">
        <v>1345</v>
      </c>
      <c r="J808" s="110">
        <v>974</v>
      </c>
    </row>
    <row r="809" spans="1:10">
      <c r="A809" s="103" t="s">
        <v>1984</v>
      </c>
      <c r="B809" s="124" t="s">
        <v>1985</v>
      </c>
      <c r="C809" s="110">
        <v>6425</v>
      </c>
      <c r="D809" s="109" t="s">
        <v>120</v>
      </c>
      <c r="E809" s="109">
        <v>64</v>
      </c>
      <c r="F809" s="110">
        <v>11557</v>
      </c>
      <c r="G809" s="109" t="s">
        <v>120</v>
      </c>
      <c r="H809" s="109">
        <v>180</v>
      </c>
      <c r="I809" s="109">
        <v>1913</v>
      </c>
      <c r="J809" s="110">
        <v>737</v>
      </c>
    </row>
    <row r="810" spans="1:10">
      <c r="A810" s="103" t="s">
        <v>1986</v>
      </c>
      <c r="B810" s="124" t="s">
        <v>1987</v>
      </c>
      <c r="C810" s="110">
        <v>13121</v>
      </c>
      <c r="D810" s="109" t="s">
        <v>120</v>
      </c>
      <c r="E810" s="109">
        <v>131</v>
      </c>
      <c r="F810" s="110">
        <v>8054</v>
      </c>
      <c r="G810" s="109" t="s">
        <v>120</v>
      </c>
      <c r="H810" s="109">
        <v>61</v>
      </c>
      <c r="I810" s="109">
        <v>895</v>
      </c>
      <c r="J810" s="110">
        <v>1116</v>
      </c>
    </row>
    <row r="811" spans="1:10">
      <c r="A811" s="103" t="s">
        <v>1988</v>
      </c>
      <c r="B811" s="124" t="s">
        <v>1989</v>
      </c>
      <c r="C811" s="110">
        <v>11313</v>
      </c>
      <c r="D811" s="109" t="s">
        <v>120</v>
      </c>
      <c r="E811" s="109">
        <v>113</v>
      </c>
      <c r="F811" s="110">
        <v>14185</v>
      </c>
      <c r="G811" s="109" t="s">
        <v>120</v>
      </c>
      <c r="H811" s="109">
        <v>125</v>
      </c>
      <c r="I811" s="109">
        <v>1159</v>
      </c>
      <c r="J811" s="110">
        <v>561</v>
      </c>
    </row>
    <row r="812" spans="1:10">
      <c r="A812" s="103" t="s">
        <v>1990</v>
      </c>
      <c r="B812" s="124" t="s">
        <v>1991</v>
      </c>
      <c r="C812" s="110">
        <v>9306</v>
      </c>
      <c r="D812" s="109" t="s">
        <v>120</v>
      </c>
      <c r="E812" s="109">
        <v>93</v>
      </c>
      <c r="F812" s="110">
        <v>14083</v>
      </c>
      <c r="G812" s="109" t="s">
        <v>120</v>
      </c>
      <c r="H812" s="109">
        <v>151</v>
      </c>
      <c r="I812" s="109">
        <v>1500</v>
      </c>
      <c r="J812" s="110">
        <v>566</v>
      </c>
    </row>
    <row r="813" spans="1:10">
      <c r="A813" s="103" t="s">
        <v>1992</v>
      </c>
      <c r="B813" s="124" t="s">
        <v>1993</v>
      </c>
      <c r="C813" s="110">
        <v>12795</v>
      </c>
      <c r="D813" s="109" t="s">
        <v>120</v>
      </c>
      <c r="E813" s="109">
        <v>128</v>
      </c>
      <c r="F813" s="110">
        <v>4369</v>
      </c>
      <c r="G813" s="109" t="s">
        <v>120</v>
      </c>
      <c r="H813" s="109">
        <v>34</v>
      </c>
      <c r="I813" s="109">
        <v>943</v>
      </c>
      <c r="J813" s="110">
        <v>1901</v>
      </c>
    </row>
    <row r="814" spans="1:10">
      <c r="A814" s="103" t="s">
        <v>1994</v>
      </c>
      <c r="B814" s="124" t="s">
        <v>1995</v>
      </c>
      <c r="C814" s="110">
        <v>10673</v>
      </c>
      <c r="D814" s="109" t="s">
        <v>120</v>
      </c>
      <c r="E814" s="109">
        <v>107</v>
      </c>
      <c r="F814" s="110">
        <v>11917</v>
      </c>
      <c r="G814" s="109" t="s">
        <v>120</v>
      </c>
      <c r="H814" s="109">
        <v>112</v>
      </c>
      <c r="I814" s="109">
        <v>1275</v>
      </c>
      <c r="J814" s="110">
        <v>705</v>
      </c>
    </row>
    <row r="815" spans="1:10">
      <c r="A815" s="103" t="s">
        <v>1996</v>
      </c>
      <c r="B815" s="124" t="s">
        <v>1997</v>
      </c>
      <c r="C815" s="110">
        <v>14111</v>
      </c>
      <c r="D815" s="109" t="s">
        <v>120</v>
      </c>
      <c r="E815" s="109">
        <v>141</v>
      </c>
      <c r="F815" s="110">
        <v>19814</v>
      </c>
      <c r="G815" s="109" t="s">
        <v>120</v>
      </c>
      <c r="H815" s="109">
        <v>140</v>
      </c>
      <c r="I815" s="109">
        <v>769</v>
      </c>
      <c r="J815" s="110">
        <v>349</v>
      </c>
    </row>
    <row r="816" spans="1:10">
      <c r="A816" s="103" t="s">
        <v>1998</v>
      </c>
      <c r="B816" s="124" t="s">
        <v>1999</v>
      </c>
      <c r="C816" s="110">
        <v>10880</v>
      </c>
      <c r="D816" s="109" t="s">
        <v>120</v>
      </c>
      <c r="E816" s="109">
        <v>109</v>
      </c>
      <c r="F816" s="110">
        <v>8110</v>
      </c>
      <c r="G816" s="109" t="s">
        <v>120</v>
      </c>
      <c r="H816" s="109">
        <v>75</v>
      </c>
      <c r="I816" s="109">
        <v>1242</v>
      </c>
      <c r="J816" s="110">
        <v>1107</v>
      </c>
    </row>
    <row r="817" spans="1:10">
      <c r="A817" s="103" t="s">
        <v>2000</v>
      </c>
      <c r="B817" s="124" t="s">
        <v>2001</v>
      </c>
      <c r="C817" s="110">
        <v>8079</v>
      </c>
      <c r="D817" s="109" t="s">
        <v>120</v>
      </c>
      <c r="E817" s="109">
        <v>81</v>
      </c>
      <c r="F817" s="110">
        <v>5974</v>
      </c>
      <c r="G817" s="109" t="s">
        <v>120</v>
      </c>
      <c r="H817" s="109">
        <v>74</v>
      </c>
      <c r="I817" s="109">
        <v>1691</v>
      </c>
      <c r="J817" s="110">
        <v>1514</v>
      </c>
    </row>
    <row r="818" spans="1:10">
      <c r="A818" s="103" t="s">
        <v>2002</v>
      </c>
      <c r="B818" s="124" t="s">
        <v>2003</v>
      </c>
      <c r="C818" s="110">
        <v>7276</v>
      </c>
      <c r="D818" s="109" t="s">
        <v>120</v>
      </c>
      <c r="E818" s="109">
        <v>73</v>
      </c>
      <c r="F818" s="110">
        <v>12547</v>
      </c>
      <c r="G818" s="109" t="s">
        <v>120</v>
      </c>
      <c r="H818" s="109">
        <v>172</v>
      </c>
      <c r="I818" s="109">
        <v>1809</v>
      </c>
      <c r="J818" s="110">
        <v>658</v>
      </c>
    </row>
    <row r="819" spans="1:10">
      <c r="A819" s="103" t="s">
        <v>2004</v>
      </c>
      <c r="B819" s="124" t="s">
        <v>2005</v>
      </c>
      <c r="C819" s="110">
        <v>11390</v>
      </c>
      <c r="D819" s="109" t="s">
        <v>120</v>
      </c>
      <c r="E819" s="109">
        <v>114</v>
      </c>
      <c r="F819" s="110">
        <v>4392</v>
      </c>
      <c r="G819" s="109" t="s">
        <v>120</v>
      </c>
      <c r="H819" s="109">
        <v>39</v>
      </c>
      <c r="I819" s="109">
        <v>1142</v>
      </c>
      <c r="J819" s="110">
        <v>1892</v>
      </c>
    </row>
    <row r="820" spans="1:10">
      <c r="A820" s="103" t="s">
        <v>2006</v>
      </c>
      <c r="B820" s="124" t="s">
        <v>2007</v>
      </c>
      <c r="C820" s="110">
        <v>7542</v>
      </c>
      <c r="D820" s="109" t="s">
        <v>120</v>
      </c>
      <c r="E820" s="109">
        <v>75</v>
      </c>
      <c r="F820" s="110">
        <v>2889</v>
      </c>
      <c r="G820" s="109" t="s">
        <v>120</v>
      </c>
      <c r="H820" s="109">
        <v>38</v>
      </c>
      <c r="I820" s="109">
        <v>1767</v>
      </c>
      <c r="J820" s="110">
        <v>2212</v>
      </c>
    </row>
    <row r="821" spans="1:10" s="119" customFormat="1">
      <c r="A821" s="123" t="s">
        <v>120</v>
      </c>
      <c r="B821" s="275" t="s">
        <v>1047</v>
      </c>
      <c r="C821" s="276"/>
      <c r="D821" s="276"/>
      <c r="E821" s="276"/>
      <c r="F821" s="276"/>
      <c r="G821" s="276"/>
      <c r="H821" s="276"/>
      <c r="I821" s="276"/>
      <c r="J821" s="276"/>
    </row>
    <row r="822" spans="1:10">
      <c r="A822" s="103" t="s">
        <v>2008</v>
      </c>
      <c r="B822" s="124" t="s">
        <v>2009</v>
      </c>
      <c r="C822" s="110">
        <v>13397</v>
      </c>
      <c r="D822" s="109" t="s">
        <v>120</v>
      </c>
      <c r="E822" s="109">
        <v>134</v>
      </c>
      <c r="F822" s="110">
        <v>13256</v>
      </c>
      <c r="G822" s="109" t="s">
        <v>120</v>
      </c>
      <c r="H822" s="109">
        <v>99</v>
      </c>
      <c r="I822" s="109">
        <v>855</v>
      </c>
      <c r="J822" s="110">
        <v>610</v>
      </c>
    </row>
    <row r="823" spans="1:10">
      <c r="A823" s="103" t="s">
        <v>2010</v>
      </c>
      <c r="B823" s="124" t="s">
        <v>932</v>
      </c>
      <c r="C823" s="110">
        <v>2346</v>
      </c>
      <c r="D823" s="109" t="s">
        <v>120</v>
      </c>
      <c r="E823" s="109">
        <v>23</v>
      </c>
      <c r="F823" s="110">
        <v>6477</v>
      </c>
      <c r="G823" s="109" t="s">
        <v>120</v>
      </c>
      <c r="H823" s="109">
        <v>276</v>
      </c>
      <c r="I823" s="109" t="s">
        <v>122</v>
      </c>
      <c r="J823" s="110" t="s">
        <v>122</v>
      </c>
    </row>
    <row r="824" spans="1:10">
      <c r="A824" s="103" t="s">
        <v>2011</v>
      </c>
      <c r="B824" s="124" t="s">
        <v>934</v>
      </c>
      <c r="C824" s="110">
        <v>11051</v>
      </c>
      <c r="D824" s="109" t="s">
        <v>120</v>
      </c>
      <c r="E824" s="109">
        <v>111</v>
      </c>
      <c r="F824" s="110">
        <v>6779</v>
      </c>
      <c r="G824" s="109" t="s">
        <v>120</v>
      </c>
      <c r="H824" s="109">
        <v>61</v>
      </c>
      <c r="I824" s="109" t="s">
        <v>122</v>
      </c>
      <c r="J824" s="110" t="s">
        <v>122</v>
      </c>
    </row>
    <row r="825" spans="1:10">
      <c r="A825" s="103" t="s">
        <v>2012</v>
      </c>
      <c r="B825" s="124" t="s">
        <v>2013</v>
      </c>
      <c r="C825" s="110">
        <v>14637</v>
      </c>
      <c r="D825" s="109" t="s">
        <v>120</v>
      </c>
      <c r="E825" s="109">
        <v>146</v>
      </c>
      <c r="F825" s="110">
        <v>11595</v>
      </c>
      <c r="G825" s="109" t="s">
        <v>120</v>
      </c>
      <c r="H825" s="109">
        <v>79</v>
      </c>
      <c r="I825" s="109">
        <v>713</v>
      </c>
      <c r="J825" s="110">
        <v>731</v>
      </c>
    </row>
    <row r="826" spans="1:10">
      <c r="A826" s="103" t="s">
        <v>2014</v>
      </c>
      <c r="B826" s="124" t="s">
        <v>932</v>
      </c>
      <c r="C826" s="110">
        <v>669</v>
      </c>
      <c r="D826" s="109" t="s">
        <v>120</v>
      </c>
      <c r="E826" s="109">
        <v>7</v>
      </c>
      <c r="F826" s="110">
        <v>4855</v>
      </c>
      <c r="G826" s="109" t="s">
        <v>120</v>
      </c>
      <c r="H826" s="109">
        <v>726</v>
      </c>
      <c r="I826" s="109" t="s">
        <v>122</v>
      </c>
      <c r="J826" s="110" t="s">
        <v>122</v>
      </c>
    </row>
    <row r="827" spans="1:10">
      <c r="A827" s="103" t="s">
        <v>2015</v>
      </c>
      <c r="B827" s="124" t="s">
        <v>934</v>
      </c>
      <c r="C827" s="110">
        <v>13968</v>
      </c>
      <c r="D827" s="109" t="s">
        <v>120</v>
      </c>
      <c r="E827" s="109">
        <v>139</v>
      </c>
      <c r="F827" s="110">
        <v>6740</v>
      </c>
      <c r="G827" s="109" t="s">
        <v>120</v>
      </c>
      <c r="H827" s="109">
        <v>48</v>
      </c>
      <c r="I827" s="109" t="s">
        <v>122</v>
      </c>
      <c r="J827" s="110" t="s">
        <v>122</v>
      </c>
    </row>
    <row r="828" spans="1:10" s="119" customFormat="1">
      <c r="A828" s="123" t="s">
        <v>120</v>
      </c>
      <c r="B828" s="273" t="s">
        <v>2016</v>
      </c>
      <c r="C828" s="274"/>
      <c r="D828" s="274"/>
      <c r="E828" s="274"/>
      <c r="F828" s="274"/>
      <c r="G828" s="274"/>
      <c r="H828" s="274"/>
      <c r="I828" s="274"/>
      <c r="J828" s="274"/>
    </row>
    <row r="829" spans="1:10" s="119" customFormat="1">
      <c r="A829" s="123" t="s">
        <v>120</v>
      </c>
      <c r="B829" s="275" t="s">
        <v>924</v>
      </c>
      <c r="C829" s="276"/>
      <c r="D829" s="276"/>
      <c r="E829" s="276"/>
      <c r="F829" s="276"/>
      <c r="G829" s="276"/>
      <c r="H829" s="276"/>
      <c r="I829" s="276"/>
      <c r="J829" s="276"/>
    </row>
    <row r="830" spans="1:10">
      <c r="A830" s="103" t="s">
        <v>2017</v>
      </c>
      <c r="B830" s="124" t="s">
        <v>2018</v>
      </c>
      <c r="C830" s="110">
        <v>14811</v>
      </c>
      <c r="D830" s="109" t="s">
        <v>120</v>
      </c>
      <c r="E830" s="109">
        <v>148</v>
      </c>
      <c r="F830" s="110">
        <v>7912</v>
      </c>
      <c r="G830" s="109" t="s">
        <v>120</v>
      </c>
      <c r="H830" s="109">
        <v>53</v>
      </c>
      <c r="I830" s="109">
        <v>692</v>
      </c>
      <c r="J830" s="110">
        <v>1138</v>
      </c>
    </row>
    <row r="831" spans="1:10">
      <c r="A831" s="103" t="s">
        <v>2019</v>
      </c>
      <c r="B831" s="124" t="s">
        <v>2020</v>
      </c>
      <c r="C831" s="110">
        <v>12217</v>
      </c>
      <c r="D831" s="109" t="s">
        <v>120</v>
      </c>
      <c r="E831" s="109">
        <v>122</v>
      </c>
      <c r="F831" s="110">
        <v>5641</v>
      </c>
      <c r="G831" s="109" t="s">
        <v>120</v>
      </c>
      <c r="H831" s="109">
        <v>46</v>
      </c>
      <c r="I831" s="109">
        <v>1024</v>
      </c>
      <c r="J831" s="110">
        <v>1583</v>
      </c>
    </row>
    <row r="832" spans="1:10">
      <c r="A832" s="103" t="s">
        <v>2021</v>
      </c>
      <c r="B832" s="124" t="s">
        <v>2022</v>
      </c>
      <c r="C832" s="110">
        <v>11654</v>
      </c>
      <c r="D832" s="109" t="s">
        <v>120</v>
      </c>
      <c r="E832" s="109">
        <v>117</v>
      </c>
      <c r="F832" s="110">
        <v>9085</v>
      </c>
      <c r="G832" s="109" t="s">
        <v>120</v>
      </c>
      <c r="H832" s="109">
        <v>78</v>
      </c>
      <c r="I832" s="109">
        <v>1105</v>
      </c>
      <c r="J832" s="110">
        <v>972</v>
      </c>
    </row>
    <row r="833" spans="1:10">
      <c r="A833" s="103" t="s">
        <v>2023</v>
      </c>
      <c r="B833" s="124" t="s">
        <v>2024</v>
      </c>
      <c r="C833" s="110">
        <v>9153</v>
      </c>
      <c r="D833" s="109" t="s">
        <v>120</v>
      </c>
      <c r="E833" s="109">
        <v>92</v>
      </c>
      <c r="F833" s="110">
        <v>5693</v>
      </c>
      <c r="G833" s="109" t="s">
        <v>120</v>
      </c>
      <c r="H833" s="109">
        <v>62</v>
      </c>
      <c r="I833" s="109">
        <v>1516</v>
      </c>
      <c r="J833" s="110">
        <v>1578</v>
      </c>
    </row>
    <row r="834" spans="1:10">
      <c r="A834" s="103" t="s">
        <v>2025</v>
      </c>
      <c r="B834" s="124" t="s">
        <v>2026</v>
      </c>
      <c r="C834" s="110">
        <v>8315</v>
      </c>
      <c r="D834" s="109" t="s">
        <v>120</v>
      </c>
      <c r="E834" s="109">
        <v>83</v>
      </c>
      <c r="F834" s="110">
        <v>5756</v>
      </c>
      <c r="G834" s="109" t="s">
        <v>120</v>
      </c>
      <c r="H834" s="109">
        <v>69</v>
      </c>
      <c r="I834" s="109">
        <v>1653</v>
      </c>
      <c r="J834" s="110">
        <v>1566</v>
      </c>
    </row>
    <row r="835" spans="1:10" s="119" customFormat="1">
      <c r="A835" s="123" t="s">
        <v>120</v>
      </c>
      <c r="B835" s="275" t="s">
        <v>929</v>
      </c>
      <c r="C835" s="276"/>
      <c r="D835" s="276"/>
      <c r="E835" s="276"/>
      <c r="F835" s="276"/>
      <c r="G835" s="276"/>
      <c r="H835" s="276"/>
      <c r="I835" s="276"/>
      <c r="J835" s="276"/>
    </row>
    <row r="836" spans="1:10">
      <c r="A836" s="103" t="s">
        <v>2027</v>
      </c>
      <c r="B836" s="124" t="s">
        <v>2028</v>
      </c>
      <c r="C836" s="110">
        <v>7514</v>
      </c>
      <c r="D836" s="109" t="s">
        <v>120</v>
      </c>
      <c r="E836" s="109">
        <v>75</v>
      </c>
      <c r="F836" s="110">
        <v>23244</v>
      </c>
      <c r="G836" s="109" t="s">
        <v>120</v>
      </c>
      <c r="H836" s="109">
        <v>309</v>
      </c>
      <c r="I836" s="109">
        <v>1773</v>
      </c>
      <c r="J836" s="110">
        <v>278</v>
      </c>
    </row>
    <row r="837" spans="1:10">
      <c r="A837" s="103" t="s">
        <v>2029</v>
      </c>
      <c r="B837" s="124" t="s">
        <v>932</v>
      </c>
      <c r="C837" s="110">
        <v>1900</v>
      </c>
      <c r="D837" s="109" t="s">
        <v>120</v>
      </c>
      <c r="E837" s="109">
        <v>19</v>
      </c>
      <c r="F837" s="110">
        <v>18820</v>
      </c>
      <c r="G837" s="109" t="s">
        <v>120</v>
      </c>
      <c r="H837" s="109">
        <v>991</v>
      </c>
      <c r="I837" s="109" t="s">
        <v>122</v>
      </c>
      <c r="J837" s="110" t="s">
        <v>122</v>
      </c>
    </row>
    <row r="838" spans="1:10">
      <c r="A838" s="103" t="s">
        <v>2030</v>
      </c>
      <c r="B838" s="124" t="s">
        <v>934</v>
      </c>
      <c r="C838" s="110">
        <v>5614</v>
      </c>
      <c r="D838" s="109" t="s">
        <v>120</v>
      </c>
      <c r="E838" s="109">
        <v>56</v>
      </c>
      <c r="F838" s="110">
        <v>4424</v>
      </c>
      <c r="G838" s="109" t="s">
        <v>120</v>
      </c>
      <c r="H838" s="109">
        <v>79</v>
      </c>
      <c r="I838" s="109" t="s">
        <v>122</v>
      </c>
      <c r="J838" s="110" t="s">
        <v>122</v>
      </c>
    </row>
    <row r="839" spans="1:10" s="119" customFormat="1">
      <c r="A839" s="123" t="s">
        <v>120</v>
      </c>
      <c r="B839" s="273" t="s">
        <v>2031</v>
      </c>
      <c r="C839" s="274"/>
      <c r="D839" s="274"/>
      <c r="E839" s="274"/>
      <c r="F839" s="274"/>
      <c r="G839" s="274"/>
      <c r="H839" s="274"/>
      <c r="I839" s="274"/>
      <c r="J839" s="274"/>
    </row>
    <row r="840" spans="1:10" s="119" customFormat="1">
      <c r="A840" s="123" t="s">
        <v>120</v>
      </c>
      <c r="B840" s="275" t="s">
        <v>936</v>
      </c>
      <c r="C840" s="276"/>
      <c r="D840" s="276"/>
      <c r="E840" s="276"/>
      <c r="F840" s="276"/>
      <c r="G840" s="276"/>
      <c r="H840" s="276"/>
      <c r="I840" s="276"/>
      <c r="J840" s="276"/>
    </row>
    <row r="841" spans="1:10">
      <c r="A841" s="103" t="s">
        <v>2032</v>
      </c>
      <c r="B841" s="124" t="s">
        <v>2033</v>
      </c>
      <c r="C841" s="110">
        <v>3575</v>
      </c>
      <c r="D841" s="109" t="s">
        <v>120</v>
      </c>
      <c r="E841" s="109">
        <v>36</v>
      </c>
      <c r="F841" s="110">
        <v>29728</v>
      </c>
      <c r="G841" s="109" t="s">
        <v>120</v>
      </c>
      <c r="H841" s="109">
        <v>832</v>
      </c>
      <c r="I841" s="109">
        <v>2121</v>
      </c>
      <c r="J841" s="110">
        <v>194</v>
      </c>
    </row>
    <row r="842" spans="1:10">
      <c r="A842" s="103" t="s">
        <v>2034</v>
      </c>
      <c r="B842" s="124" t="s">
        <v>2035</v>
      </c>
      <c r="C842" s="110">
        <v>915</v>
      </c>
      <c r="D842" s="105" t="s">
        <v>1075</v>
      </c>
      <c r="E842" s="109">
        <v>9</v>
      </c>
      <c r="F842" s="110">
        <v>2500</v>
      </c>
      <c r="G842" s="109" t="s">
        <v>120</v>
      </c>
      <c r="H842" s="109">
        <v>273</v>
      </c>
      <c r="I842" s="109">
        <v>2326</v>
      </c>
      <c r="J842" s="110">
        <v>2259</v>
      </c>
    </row>
    <row r="843" spans="1:10" s="119" customFormat="1">
      <c r="A843" s="123" t="s">
        <v>120</v>
      </c>
      <c r="B843" s="275" t="s">
        <v>943</v>
      </c>
      <c r="C843" s="276"/>
      <c r="D843" s="276"/>
      <c r="E843" s="276"/>
      <c r="F843" s="276"/>
      <c r="G843" s="276"/>
      <c r="H843" s="276"/>
      <c r="I843" s="276"/>
      <c r="J843" s="276"/>
    </row>
    <row r="844" spans="1:10">
      <c r="A844" s="103" t="s">
        <v>2036</v>
      </c>
      <c r="B844" s="124" t="s">
        <v>2037</v>
      </c>
      <c r="C844" s="110">
        <v>9867</v>
      </c>
      <c r="D844" s="109" t="s">
        <v>120</v>
      </c>
      <c r="E844" s="109">
        <v>99</v>
      </c>
      <c r="F844" s="110">
        <v>5594</v>
      </c>
      <c r="G844" s="109" t="s">
        <v>120</v>
      </c>
      <c r="H844" s="109">
        <v>57</v>
      </c>
      <c r="I844" s="109">
        <v>1411</v>
      </c>
      <c r="J844" s="110">
        <v>1594</v>
      </c>
    </row>
    <row r="845" spans="1:10">
      <c r="A845" s="103" t="s">
        <v>2038</v>
      </c>
      <c r="B845" s="124" t="s">
        <v>2039</v>
      </c>
      <c r="C845" s="110">
        <v>16096</v>
      </c>
      <c r="D845" s="109" t="s">
        <v>120</v>
      </c>
      <c r="E845" s="109">
        <v>161</v>
      </c>
      <c r="F845" s="110">
        <v>10451</v>
      </c>
      <c r="G845" s="109" t="s">
        <v>120</v>
      </c>
      <c r="H845" s="109">
        <v>65</v>
      </c>
      <c r="I845" s="109">
        <v>588</v>
      </c>
      <c r="J845" s="110">
        <v>835</v>
      </c>
    </row>
    <row r="846" spans="1:10">
      <c r="A846" s="103" t="s">
        <v>2040</v>
      </c>
      <c r="B846" s="124" t="s">
        <v>2033</v>
      </c>
      <c r="C846" s="110">
        <v>30755</v>
      </c>
      <c r="D846" s="109" t="s">
        <v>120</v>
      </c>
      <c r="E846" s="109">
        <v>307</v>
      </c>
      <c r="F846" s="110">
        <v>18230</v>
      </c>
      <c r="G846" s="109" t="s">
        <v>120</v>
      </c>
      <c r="H846" s="109">
        <v>59</v>
      </c>
      <c r="I846" s="109">
        <v>91</v>
      </c>
      <c r="J846" s="110">
        <v>394</v>
      </c>
    </row>
    <row r="847" spans="1:10">
      <c r="A847" s="103" t="s">
        <v>2041</v>
      </c>
      <c r="B847" s="124" t="s">
        <v>2042</v>
      </c>
      <c r="C847" s="110">
        <v>7733</v>
      </c>
      <c r="D847" s="109" t="s">
        <v>120</v>
      </c>
      <c r="E847" s="109">
        <v>77</v>
      </c>
      <c r="F847" s="110">
        <v>3940</v>
      </c>
      <c r="G847" s="109" t="s">
        <v>120</v>
      </c>
      <c r="H847" s="109">
        <v>51</v>
      </c>
      <c r="I847" s="109">
        <v>1744</v>
      </c>
      <c r="J847" s="110">
        <v>2004</v>
      </c>
    </row>
    <row r="848" spans="1:10">
      <c r="A848" s="103" t="s">
        <v>2043</v>
      </c>
      <c r="B848" s="124" t="s">
        <v>2044</v>
      </c>
      <c r="C848" s="110">
        <v>16082</v>
      </c>
      <c r="D848" s="109" t="s">
        <v>120</v>
      </c>
      <c r="E848" s="109">
        <v>161</v>
      </c>
      <c r="F848" s="110">
        <v>9729</v>
      </c>
      <c r="G848" s="109" t="s">
        <v>120</v>
      </c>
      <c r="H848" s="109">
        <v>60</v>
      </c>
      <c r="I848" s="109">
        <v>590</v>
      </c>
      <c r="J848" s="110">
        <v>900</v>
      </c>
    </row>
    <row r="849" spans="1:10">
      <c r="A849" s="103" t="s">
        <v>2045</v>
      </c>
      <c r="B849" s="124" t="s">
        <v>2035</v>
      </c>
      <c r="C849" s="110">
        <v>17346</v>
      </c>
      <c r="D849" s="109" t="s">
        <v>120</v>
      </c>
      <c r="E849" s="109">
        <v>173</v>
      </c>
      <c r="F849" s="110">
        <v>7793</v>
      </c>
      <c r="G849" s="109" t="s">
        <v>120</v>
      </c>
      <c r="H849" s="109">
        <v>45</v>
      </c>
      <c r="I849" s="109">
        <v>494</v>
      </c>
      <c r="J849" s="110">
        <v>1157</v>
      </c>
    </row>
    <row r="850" spans="1:10">
      <c r="A850" s="103" t="s">
        <v>2046</v>
      </c>
      <c r="B850" s="124" t="s">
        <v>2047</v>
      </c>
      <c r="C850" s="110">
        <v>14054</v>
      </c>
      <c r="D850" s="109" t="s">
        <v>120</v>
      </c>
      <c r="E850" s="109">
        <v>141</v>
      </c>
      <c r="F850" s="110">
        <v>7352</v>
      </c>
      <c r="G850" s="109" t="s">
        <v>120</v>
      </c>
      <c r="H850" s="109">
        <v>52</v>
      </c>
      <c r="I850" s="109">
        <v>778</v>
      </c>
      <c r="J850" s="110">
        <v>1231</v>
      </c>
    </row>
    <row r="851" spans="1:10">
      <c r="A851" s="103" t="s">
        <v>2048</v>
      </c>
      <c r="B851" s="124" t="s">
        <v>2049</v>
      </c>
      <c r="C851" s="110">
        <v>10891</v>
      </c>
      <c r="D851" s="109" t="s">
        <v>120</v>
      </c>
      <c r="E851" s="109">
        <v>109</v>
      </c>
      <c r="F851" s="110">
        <v>6850</v>
      </c>
      <c r="G851" s="109" t="s">
        <v>120</v>
      </c>
      <c r="H851" s="109">
        <v>63</v>
      </c>
      <c r="I851" s="109">
        <v>1241</v>
      </c>
      <c r="J851" s="110">
        <v>1329</v>
      </c>
    </row>
    <row r="852" spans="1:10">
      <c r="A852" s="103" t="s">
        <v>2050</v>
      </c>
      <c r="B852" s="124" t="s">
        <v>2051</v>
      </c>
      <c r="C852" s="110">
        <v>12107</v>
      </c>
      <c r="D852" s="109" t="s">
        <v>120</v>
      </c>
      <c r="E852" s="109">
        <v>121</v>
      </c>
      <c r="F852" s="110">
        <v>4649</v>
      </c>
      <c r="G852" s="109" t="s">
        <v>120</v>
      </c>
      <c r="H852" s="109">
        <v>38</v>
      </c>
      <c r="I852" s="109">
        <v>1040</v>
      </c>
      <c r="J852" s="110">
        <v>1830</v>
      </c>
    </row>
    <row r="853" spans="1:10" s="119" customFormat="1">
      <c r="A853" s="123" t="s">
        <v>120</v>
      </c>
      <c r="B853" s="273" t="s">
        <v>2052</v>
      </c>
      <c r="C853" s="274"/>
      <c r="D853" s="274"/>
      <c r="E853" s="274"/>
      <c r="F853" s="274"/>
      <c r="G853" s="274"/>
      <c r="H853" s="274"/>
      <c r="I853" s="274"/>
      <c r="J853" s="274"/>
    </row>
    <row r="854" spans="1:10" s="119" customFormat="1">
      <c r="A854" s="123" t="s">
        <v>120</v>
      </c>
      <c r="B854" s="275" t="s">
        <v>943</v>
      </c>
      <c r="C854" s="276"/>
      <c r="D854" s="276"/>
      <c r="E854" s="276"/>
      <c r="F854" s="276"/>
      <c r="G854" s="276"/>
      <c r="H854" s="276"/>
      <c r="I854" s="276"/>
      <c r="J854" s="276"/>
    </row>
    <row r="855" spans="1:10">
      <c r="A855" s="103" t="s">
        <v>2053</v>
      </c>
      <c r="B855" s="124" t="s">
        <v>2054</v>
      </c>
      <c r="C855" s="110">
        <v>10837</v>
      </c>
      <c r="D855" s="109" t="s">
        <v>120</v>
      </c>
      <c r="E855" s="109">
        <v>108</v>
      </c>
      <c r="F855" s="110">
        <v>6565</v>
      </c>
      <c r="G855" s="109" t="s">
        <v>120</v>
      </c>
      <c r="H855" s="109">
        <v>61</v>
      </c>
      <c r="I855" s="109">
        <v>1252</v>
      </c>
      <c r="J855" s="110">
        <v>1387</v>
      </c>
    </row>
    <row r="856" spans="1:10">
      <c r="A856" s="103" t="s">
        <v>2055</v>
      </c>
      <c r="B856" s="124" t="s">
        <v>2056</v>
      </c>
      <c r="C856" s="110">
        <v>9461</v>
      </c>
      <c r="D856" s="109" t="s">
        <v>120</v>
      </c>
      <c r="E856" s="109">
        <v>95</v>
      </c>
      <c r="F856" s="110">
        <v>5570</v>
      </c>
      <c r="G856" s="109" t="s">
        <v>120</v>
      </c>
      <c r="H856" s="109">
        <v>59</v>
      </c>
      <c r="I856" s="109">
        <v>1476</v>
      </c>
      <c r="J856" s="110">
        <v>1599</v>
      </c>
    </row>
    <row r="857" spans="1:10">
      <c r="A857" s="103" t="s">
        <v>2057</v>
      </c>
      <c r="B857" s="124" t="s">
        <v>2058</v>
      </c>
      <c r="C857" s="110">
        <v>10929</v>
      </c>
      <c r="D857" s="109" t="s">
        <v>120</v>
      </c>
      <c r="E857" s="109">
        <v>109</v>
      </c>
      <c r="F857" s="110">
        <v>4896</v>
      </c>
      <c r="G857" s="109" t="s">
        <v>120</v>
      </c>
      <c r="H857" s="109">
        <v>45</v>
      </c>
      <c r="I857" s="109">
        <v>1235</v>
      </c>
      <c r="J857" s="110">
        <v>1766</v>
      </c>
    </row>
    <row r="858" spans="1:10">
      <c r="A858" s="103" t="s">
        <v>2059</v>
      </c>
      <c r="B858" s="124" t="s">
        <v>2060</v>
      </c>
      <c r="C858" s="110">
        <v>7794</v>
      </c>
      <c r="D858" s="109" t="s">
        <v>120</v>
      </c>
      <c r="E858" s="109">
        <v>78</v>
      </c>
      <c r="F858" s="110">
        <v>4405</v>
      </c>
      <c r="G858" s="109" t="s">
        <v>120</v>
      </c>
      <c r="H858" s="109">
        <v>57</v>
      </c>
      <c r="I858" s="109">
        <v>1730</v>
      </c>
      <c r="J858" s="110">
        <v>1889</v>
      </c>
    </row>
    <row r="859" spans="1:10" s="119" customFormat="1">
      <c r="A859" s="123" t="s">
        <v>120</v>
      </c>
      <c r="B859" s="275" t="s">
        <v>1047</v>
      </c>
      <c r="C859" s="276"/>
      <c r="D859" s="276"/>
      <c r="E859" s="276"/>
      <c r="F859" s="276"/>
      <c r="G859" s="276"/>
      <c r="H859" s="276"/>
      <c r="I859" s="276"/>
      <c r="J859" s="276"/>
    </row>
    <row r="860" spans="1:10">
      <c r="A860" s="103" t="s">
        <v>2061</v>
      </c>
      <c r="B860" s="124" t="s">
        <v>2062</v>
      </c>
      <c r="C860" s="110">
        <v>14155</v>
      </c>
      <c r="D860" s="109" t="s">
        <v>120</v>
      </c>
      <c r="E860" s="109">
        <v>141</v>
      </c>
      <c r="F860" s="110">
        <v>6515</v>
      </c>
      <c r="G860" s="109" t="s">
        <v>120</v>
      </c>
      <c r="H860" s="109">
        <v>46</v>
      </c>
      <c r="I860" s="109">
        <v>762</v>
      </c>
      <c r="J860" s="110">
        <v>1396</v>
      </c>
    </row>
    <row r="861" spans="1:10">
      <c r="A861" s="103" t="s">
        <v>2063</v>
      </c>
      <c r="B861" s="124" t="s">
        <v>932</v>
      </c>
      <c r="C861" s="110">
        <v>365</v>
      </c>
      <c r="D861" s="109" t="s">
        <v>120</v>
      </c>
      <c r="E861" s="109">
        <v>3</v>
      </c>
      <c r="F861" s="110">
        <v>920</v>
      </c>
      <c r="G861" s="109" t="s">
        <v>120</v>
      </c>
      <c r="H861" s="109">
        <v>252</v>
      </c>
      <c r="I861" s="109" t="s">
        <v>122</v>
      </c>
      <c r="J861" s="110" t="s">
        <v>122</v>
      </c>
    </row>
    <row r="862" spans="1:10">
      <c r="A862" s="103" t="s">
        <v>2064</v>
      </c>
      <c r="B862" s="124" t="s">
        <v>934</v>
      </c>
      <c r="C862" s="110">
        <v>13790</v>
      </c>
      <c r="D862" s="109" t="s">
        <v>120</v>
      </c>
      <c r="E862" s="109">
        <v>138</v>
      </c>
      <c r="F862" s="110">
        <v>5595</v>
      </c>
      <c r="G862" s="109" t="s">
        <v>120</v>
      </c>
      <c r="H862" s="109">
        <v>41</v>
      </c>
      <c r="I862" s="109" t="s">
        <v>122</v>
      </c>
      <c r="J862" s="110" t="s">
        <v>122</v>
      </c>
    </row>
    <row r="863" spans="1:10">
      <c r="A863" s="103" t="s">
        <v>2065</v>
      </c>
      <c r="B863" s="124" t="s">
        <v>2066</v>
      </c>
      <c r="C863" s="110">
        <v>19372</v>
      </c>
      <c r="D863" s="109" t="s">
        <v>120</v>
      </c>
      <c r="E863" s="109">
        <v>194</v>
      </c>
      <c r="F863" s="110">
        <v>17108</v>
      </c>
      <c r="G863" s="109" t="s">
        <v>120</v>
      </c>
      <c r="H863" s="109">
        <v>88</v>
      </c>
      <c r="I863" s="109">
        <v>379</v>
      </c>
      <c r="J863" s="110">
        <v>429</v>
      </c>
    </row>
    <row r="864" spans="1:10">
      <c r="A864" s="103" t="s">
        <v>2067</v>
      </c>
      <c r="B864" s="124" t="s">
        <v>932</v>
      </c>
      <c r="C864" s="110">
        <v>1512</v>
      </c>
      <c r="D864" s="109" t="s">
        <v>120</v>
      </c>
      <c r="E864" s="109">
        <v>15</v>
      </c>
      <c r="F864" s="110">
        <v>8388</v>
      </c>
      <c r="G864" s="109" t="s">
        <v>120</v>
      </c>
      <c r="H864" s="109">
        <v>555</v>
      </c>
      <c r="I864" s="109" t="s">
        <v>122</v>
      </c>
      <c r="J864" s="110" t="s">
        <v>122</v>
      </c>
    </row>
    <row r="865" spans="1:10">
      <c r="A865" s="103" t="s">
        <v>2068</v>
      </c>
      <c r="B865" s="124" t="s">
        <v>934</v>
      </c>
      <c r="C865" s="110">
        <v>17860</v>
      </c>
      <c r="D865" s="109" t="s">
        <v>120</v>
      </c>
      <c r="E865" s="109">
        <v>179</v>
      </c>
      <c r="F865" s="110">
        <v>8720</v>
      </c>
      <c r="G865" s="109" t="s">
        <v>120</v>
      </c>
      <c r="H865" s="109">
        <v>49</v>
      </c>
      <c r="I865" s="109" t="s">
        <v>122</v>
      </c>
      <c r="J865" s="110" t="s">
        <v>122</v>
      </c>
    </row>
    <row r="866" spans="1:10">
      <c r="A866" s="103" t="s">
        <v>2069</v>
      </c>
      <c r="B866" s="124" t="s">
        <v>2070</v>
      </c>
      <c r="C866" s="110">
        <v>8454</v>
      </c>
      <c r="D866" s="109" t="s">
        <v>120</v>
      </c>
      <c r="E866" s="109">
        <v>85</v>
      </c>
      <c r="F866" s="110">
        <v>14149</v>
      </c>
      <c r="G866" s="109" t="s">
        <v>120</v>
      </c>
      <c r="H866" s="109">
        <v>167</v>
      </c>
      <c r="I866" s="109">
        <v>1627</v>
      </c>
      <c r="J866" s="110">
        <v>564</v>
      </c>
    </row>
    <row r="867" spans="1:10">
      <c r="A867" s="103" t="s">
        <v>2071</v>
      </c>
      <c r="B867" s="124" t="s">
        <v>932</v>
      </c>
      <c r="C867" s="110">
        <v>1526</v>
      </c>
      <c r="D867" s="109" t="s">
        <v>120</v>
      </c>
      <c r="E867" s="109">
        <v>15</v>
      </c>
      <c r="F867" s="110">
        <v>9083</v>
      </c>
      <c r="G867" s="109" t="s">
        <v>120</v>
      </c>
      <c r="H867" s="109">
        <v>595</v>
      </c>
      <c r="I867" s="109" t="s">
        <v>122</v>
      </c>
      <c r="J867" s="110" t="s">
        <v>122</v>
      </c>
    </row>
    <row r="868" spans="1:10">
      <c r="A868" s="103" t="s">
        <v>2072</v>
      </c>
      <c r="B868" s="124" t="s">
        <v>934</v>
      </c>
      <c r="C868" s="110">
        <v>6928</v>
      </c>
      <c r="D868" s="109" t="s">
        <v>120</v>
      </c>
      <c r="E868" s="109">
        <v>70</v>
      </c>
      <c r="F868" s="110">
        <v>5066</v>
      </c>
      <c r="G868" s="109" t="s">
        <v>120</v>
      </c>
      <c r="H868" s="109">
        <v>73</v>
      </c>
      <c r="I868" s="109" t="s">
        <v>122</v>
      </c>
      <c r="J868" s="110" t="s">
        <v>122</v>
      </c>
    </row>
    <row r="869" spans="1:10" s="119" customFormat="1">
      <c r="A869" s="123" t="s">
        <v>120</v>
      </c>
      <c r="B869" s="273" t="s">
        <v>2073</v>
      </c>
      <c r="C869" s="274"/>
      <c r="D869" s="274"/>
      <c r="E869" s="274"/>
      <c r="F869" s="274"/>
      <c r="G869" s="274"/>
      <c r="H869" s="274"/>
      <c r="I869" s="274"/>
      <c r="J869" s="274"/>
    </row>
    <row r="870" spans="1:10" s="119" customFormat="1">
      <c r="A870" s="123" t="s">
        <v>120</v>
      </c>
      <c r="B870" s="275" t="s">
        <v>924</v>
      </c>
      <c r="C870" s="276"/>
      <c r="D870" s="276"/>
      <c r="E870" s="276"/>
      <c r="F870" s="276"/>
      <c r="G870" s="276"/>
      <c r="H870" s="276"/>
      <c r="I870" s="276"/>
      <c r="J870" s="276"/>
    </row>
    <row r="871" spans="1:10">
      <c r="A871" s="103" t="s">
        <v>2074</v>
      </c>
      <c r="B871" s="124" t="s">
        <v>2075</v>
      </c>
      <c r="C871" s="110">
        <v>18837</v>
      </c>
      <c r="D871" s="109" t="s">
        <v>120</v>
      </c>
      <c r="E871" s="109">
        <v>188</v>
      </c>
      <c r="F871" s="110">
        <v>3920</v>
      </c>
      <c r="G871" s="109" t="s">
        <v>120</v>
      </c>
      <c r="H871" s="109">
        <v>21</v>
      </c>
      <c r="I871" s="109">
        <v>401</v>
      </c>
      <c r="J871" s="110">
        <v>2008</v>
      </c>
    </row>
    <row r="872" spans="1:10">
      <c r="A872" s="103" t="s">
        <v>2076</v>
      </c>
      <c r="B872" s="124" t="s">
        <v>2077</v>
      </c>
      <c r="C872" s="110">
        <v>11035</v>
      </c>
      <c r="D872" s="109" t="s">
        <v>120</v>
      </c>
      <c r="E872" s="109">
        <v>110</v>
      </c>
      <c r="F872" s="110">
        <v>3874</v>
      </c>
      <c r="G872" s="109" t="s">
        <v>120</v>
      </c>
      <c r="H872" s="109">
        <v>35</v>
      </c>
      <c r="I872" s="109">
        <v>1216</v>
      </c>
      <c r="J872" s="110">
        <v>2025</v>
      </c>
    </row>
    <row r="873" spans="1:10">
      <c r="A873" s="103" t="s">
        <v>2078</v>
      </c>
      <c r="B873" s="124" t="s">
        <v>2079</v>
      </c>
      <c r="C873" s="110">
        <v>11672</v>
      </c>
      <c r="D873" s="109" t="s">
        <v>120</v>
      </c>
      <c r="E873" s="109">
        <v>117</v>
      </c>
      <c r="F873" s="110">
        <v>3762</v>
      </c>
      <c r="G873" s="109" t="s">
        <v>120</v>
      </c>
      <c r="H873" s="109">
        <v>32</v>
      </c>
      <c r="I873" s="109">
        <v>1100</v>
      </c>
      <c r="J873" s="110">
        <v>2050</v>
      </c>
    </row>
    <row r="874" spans="1:10">
      <c r="A874" s="103" t="s">
        <v>2080</v>
      </c>
      <c r="B874" s="124" t="s">
        <v>2081</v>
      </c>
      <c r="C874" s="110">
        <v>10713</v>
      </c>
      <c r="D874" s="109" t="s">
        <v>120</v>
      </c>
      <c r="E874" s="109">
        <v>107</v>
      </c>
      <c r="F874" s="110">
        <v>1615</v>
      </c>
      <c r="G874" s="105" t="s">
        <v>1075</v>
      </c>
      <c r="H874" s="109">
        <v>15</v>
      </c>
      <c r="I874" s="109">
        <v>1271</v>
      </c>
      <c r="J874" s="110">
        <v>2307</v>
      </c>
    </row>
    <row r="875" spans="1:10">
      <c r="A875" s="103" t="s">
        <v>2082</v>
      </c>
      <c r="B875" s="124" t="s">
        <v>2083</v>
      </c>
      <c r="C875" s="110">
        <v>11121</v>
      </c>
      <c r="D875" s="109" t="s">
        <v>120</v>
      </c>
      <c r="E875" s="109">
        <v>111</v>
      </c>
      <c r="F875" s="110">
        <v>4516</v>
      </c>
      <c r="G875" s="109" t="s">
        <v>120</v>
      </c>
      <c r="H875" s="109">
        <v>41</v>
      </c>
      <c r="I875" s="109">
        <v>1194</v>
      </c>
      <c r="J875" s="110">
        <v>1866</v>
      </c>
    </row>
    <row r="876" spans="1:10">
      <c r="A876" s="103" t="s">
        <v>2084</v>
      </c>
      <c r="B876" s="124" t="s">
        <v>2085</v>
      </c>
      <c r="C876" s="110">
        <v>17162</v>
      </c>
      <c r="D876" s="109" t="s">
        <v>120</v>
      </c>
      <c r="E876" s="109">
        <v>172</v>
      </c>
      <c r="F876" s="110">
        <v>2579</v>
      </c>
      <c r="G876" s="109" t="s">
        <v>120</v>
      </c>
      <c r="H876" s="109">
        <v>15</v>
      </c>
      <c r="I876" s="109">
        <v>503</v>
      </c>
      <c r="J876" s="110">
        <v>2253</v>
      </c>
    </row>
    <row r="877" spans="1:10" s="119" customFormat="1">
      <c r="A877" s="123" t="s">
        <v>120</v>
      </c>
      <c r="B877" s="275" t="s">
        <v>1026</v>
      </c>
      <c r="C877" s="276"/>
      <c r="D877" s="276"/>
      <c r="E877" s="276"/>
      <c r="F877" s="276"/>
      <c r="G877" s="276"/>
      <c r="H877" s="276"/>
      <c r="I877" s="276"/>
      <c r="J877" s="276"/>
    </row>
    <row r="878" spans="1:10">
      <c r="A878" s="103" t="s">
        <v>2086</v>
      </c>
      <c r="B878" s="124" t="s">
        <v>2087</v>
      </c>
      <c r="C878" s="110">
        <v>14680</v>
      </c>
      <c r="D878" s="109" t="s">
        <v>120</v>
      </c>
      <c r="E878" s="109">
        <v>147</v>
      </c>
      <c r="F878" s="110">
        <v>14445</v>
      </c>
      <c r="G878" s="109" t="s">
        <v>120</v>
      </c>
      <c r="H878" s="109">
        <v>98</v>
      </c>
      <c r="I878" s="109">
        <v>706</v>
      </c>
      <c r="J878" s="110">
        <v>545</v>
      </c>
    </row>
    <row r="879" spans="1:10">
      <c r="A879" s="103" t="s">
        <v>2088</v>
      </c>
      <c r="B879" s="124" t="s">
        <v>932</v>
      </c>
      <c r="C879" s="110">
        <v>805</v>
      </c>
      <c r="D879" s="109" t="s">
        <v>120</v>
      </c>
      <c r="E879" s="109">
        <v>8</v>
      </c>
      <c r="F879" s="110">
        <v>10648</v>
      </c>
      <c r="G879" s="109" t="s">
        <v>120</v>
      </c>
      <c r="H879" s="109">
        <v>1323</v>
      </c>
      <c r="I879" s="109" t="s">
        <v>122</v>
      </c>
      <c r="J879" s="110" t="s">
        <v>122</v>
      </c>
    </row>
    <row r="880" spans="1:10">
      <c r="A880" s="103" t="s">
        <v>2089</v>
      </c>
      <c r="B880" s="124" t="s">
        <v>934</v>
      </c>
      <c r="C880" s="110">
        <v>13875</v>
      </c>
      <c r="D880" s="109" t="s">
        <v>120</v>
      </c>
      <c r="E880" s="109">
        <v>139</v>
      </c>
      <c r="F880" s="110">
        <v>3797</v>
      </c>
      <c r="G880" s="109" t="s">
        <v>120</v>
      </c>
      <c r="H880" s="109">
        <v>27</v>
      </c>
      <c r="I880" s="109" t="s">
        <v>122</v>
      </c>
      <c r="J880" s="110" t="s">
        <v>122</v>
      </c>
    </row>
    <row r="881" spans="1:10" s="119" customFormat="1">
      <c r="A881" s="123" t="s">
        <v>120</v>
      </c>
      <c r="B881" s="273" t="s">
        <v>2090</v>
      </c>
      <c r="C881" s="274"/>
      <c r="D881" s="274"/>
      <c r="E881" s="274"/>
      <c r="F881" s="274"/>
      <c r="G881" s="274"/>
      <c r="H881" s="274"/>
      <c r="I881" s="274"/>
      <c r="J881" s="274"/>
    </row>
    <row r="882" spans="1:10" s="119" customFormat="1">
      <c r="A882" s="123" t="s">
        <v>120</v>
      </c>
      <c r="B882" s="275" t="s">
        <v>922</v>
      </c>
      <c r="C882" s="276"/>
      <c r="D882" s="276"/>
      <c r="E882" s="276"/>
      <c r="F882" s="276"/>
      <c r="G882" s="276"/>
      <c r="H882" s="276"/>
      <c r="I882" s="276"/>
      <c r="J882" s="276"/>
    </row>
    <row r="883" spans="1:10">
      <c r="A883" s="103" t="s">
        <v>2091</v>
      </c>
      <c r="B883" s="124" t="s">
        <v>2092</v>
      </c>
      <c r="C883" s="110">
        <v>5049</v>
      </c>
      <c r="D883" s="109" t="s">
        <v>120</v>
      </c>
      <c r="E883" s="109">
        <v>51</v>
      </c>
      <c r="F883" s="110">
        <v>47417</v>
      </c>
      <c r="G883" s="109" t="s">
        <v>120</v>
      </c>
      <c r="H883" s="109">
        <v>939</v>
      </c>
      <c r="I883" s="109">
        <v>2016</v>
      </c>
      <c r="J883" s="110">
        <v>100</v>
      </c>
    </row>
    <row r="884" spans="1:10" s="119" customFormat="1">
      <c r="A884" s="123" t="s">
        <v>120</v>
      </c>
      <c r="B884" s="275" t="s">
        <v>943</v>
      </c>
      <c r="C884" s="276"/>
      <c r="D884" s="276"/>
      <c r="E884" s="276"/>
      <c r="F884" s="276"/>
      <c r="G884" s="276"/>
      <c r="H884" s="276"/>
      <c r="I884" s="276"/>
      <c r="J884" s="276"/>
    </row>
    <row r="885" spans="1:10">
      <c r="A885" s="103" t="s">
        <v>2093</v>
      </c>
      <c r="B885" s="124" t="s">
        <v>2094</v>
      </c>
      <c r="C885" s="110">
        <v>8492</v>
      </c>
      <c r="D885" s="109" t="s">
        <v>120</v>
      </c>
      <c r="E885" s="109">
        <v>85</v>
      </c>
      <c r="F885" s="110">
        <v>3886</v>
      </c>
      <c r="G885" s="109" t="s">
        <v>120</v>
      </c>
      <c r="H885" s="109">
        <v>46</v>
      </c>
      <c r="I885" s="109">
        <v>1617</v>
      </c>
      <c r="J885" s="110">
        <v>2021</v>
      </c>
    </row>
    <row r="886" spans="1:10">
      <c r="A886" s="103" t="s">
        <v>2095</v>
      </c>
      <c r="B886" s="124" t="s">
        <v>2096</v>
      </c>
      <c r="C886" s="110">
        <v>7882</v>
      </c>
      <c r="D886" s="109" t="s">
        <v>120</v>
      </c>
      <c r="E886" s="109">
        <v>79</v>
      </c>
      <c r="F886" s="110">
        <v>3668</v>
      </c>
      <c r="G886" s="109" t="s">
        <v>120</v>
      </c>
      <c r="H886" s="109">
        <v>47</v>
      </c>
      <c r="I886" s="109">
        <v>1718</v>
      </c>
      <c r="J886" s="110">
        <v>2072</v>
      </c>
    </row>
    <row r="887" spans="1:10">
      <c r="A887" s="103" t="s">
        <v>2097</v>
      </c>
      <c r="B887" s="124" t="s">
        <v>2098</v>
      </c>
      <c r="C887" s="110">
        <v>8988</v>
      </c>
      <c r="D887" s="109" t="s">
        <v>120</v>
      </c>
      <c r="E887" s="109">
        <v>90</v>
      </c>
      <c r="F887" s="110">
        <v>8813</v>
      </c>
      <c r="G887" s="109" t="s">
        <v>120</v>
      </c>
      <c r="H887" s="109">
        <v>98</v>
      </c>
      <c r="I887" s="109">
        <v>1533</v>
      </c>
      <c r="J887" s="110">
        <v>1008</v>
      </c>
    </row>
    <row r="888" spans="1:10">
      <c r="A888" s="103" t="s">
        <v>2099</v>
      </c>
      <c r="B888" s="124" t="s">
        <v>2100</v>
      </c>
      <c r="C888" s="110">
        <v>10099</v>
      </c>
      <c r="D888" s="109" t="s">
        <v>120</v>
      </c>
      <c r="E888" s="109">
        <v>101</v>
      </c>
      <c r="F888" s="110">
        <v>7649</v>
      </c>
      <c r="G888" s="109" t="s">
        <v>120</v>
      </c>
      <c r="H888" s="109">
        <v>76</v>
      </c>
      <c r="I888" s="109">
        <v>1372</v>
      </c>
      <c r="J888" s="110">
        <v>1178</v>
      </c>
    </row>
    <row r="889" spans="1:10">
      <c r="A889" s="103" t="s">
        <v>2101</v>
      </c>
      <c r="B889" s="124" t="s">
        <v>2102</v>
      </c>
      <c r="C889" s="110">
        <v>4040</v>
      </c>
      <c r="D889" s="109" t="s">
        <v>120</v>
      </c>
      <c r="E889" s="109">
        <v>40</v>
      </c>
      <c r="F889" s="110">
        <v>2965</v>
      </c>
      <c r="G889" s="109" t="s">
        <v>120</v>
      </c>
      <c r="H889" s="109">
        <v>73</v>
      </c>
      <c r="I889" s="109">
        <v>2092</v>
      </c>
      <c r="J889" s="110">
        <v>2204</v>
      </c>
    </row>
    <row r="890" spans="1:10">
      <c r="A890" s="103" t="s">
        <v>2103</v>
      </c>
      <c r="B890" s="124" t="s">
        <v>2092</v>
      </c>
      <c r="C890" s="110">
        <v>16119</v>
      </c>
      <c r="D890" s="109" t="s">
        <v>120</v>
      </c>
      <c r="E890" s="109">
        <v>161</v>
      </c>
      <c r="F890" s="110">
        <v>12126</v>
      </c>
      <c r="G890" s="109" t="s">
        <v>120</v>
      </c>
      <c r="H890" s="109">
        <v>75</v>
      </c>
      <c r="I890" s="109">
        <v>585</v>
      </c>
      <c r="J890" s="110">
        <v>689</v>
      </c>
    </row>
    <row r="891" spans="1:10">
      <c r="A891" s="103" t="s">
        <v>2104</v>
      </c>
      <c r="B891" s="124" t="s">
        <v>2105</v>
      </c>
      <c r="C891" s="110">
        <v>6285</v>
      </c>
      <c r="D891" s="109" t="s">
        <v>120</v>
      </c>
      <c r="E891" s="109">
        <v>63</v>
      </c>
      <c r="F891" s="110">
        <v>4621</v>
      </c>
      <c r="G891" s="109" t="s">
        <v>120</v>
      </c>
      <c r="H891" s="109">
        <v>74</v>
      </c>
      <c r="I891" s="109">
        <v>1926</v>
      </c>
      <c r="J891" s="110">
        <v>1837</v>
      </c>
    </row>
    <row r="892" spans="1:10">
      <c r="A892" s="103" t="s">
        <v>2106</v>
      </c>
      <c r="B892" s="124" t="s">
        <v>2107</v>
      </c>
      <c r="C892" s="110">
        <v>12920</v>
      </c>
      <c r="D892" s="109" t="s">
        <v>120</v>
      </c>
      <c r="E892" s="109">
        <v>129</v>
      </c>
      <c r="F892" s="110">
        <v>6427</v>
      </c>
      <c r="G892" s="109" t="s">
        <v>120</v>
      </c>
      <c r="H892" s="109">
        <v>50</v>
      </c>
      <c r="I892" s="109">
        <v>922</v>
      </c>
      <c r="J892" s="110">
        <v>1416</v>
      </c>
    </row>
    <row r="893" spans="1:10" s="119" customFormat="1">
      <c r="A893" s="123" t="s">
        <v>120</v>
      </c>
      <c r="B893" s="275" t="s">
        <v>1101</v>
      </c>
      <c r="C893" s="276"/>
      <c r="D893" s="276"/>
      <c r="E893" s="276"/>
      <c r="F893" s="276"/>
      <c r="G893" s="276"/>
      <c r="H893" s="276"/>
      <c r="I893" s="276"/>
      <c r="J893" s="276"/>
    </row>
    <row r="894" spans="1:10">
      <c r="A894" s="103" t="s">
        <v>2108</v>
      </c>
      <c r="B894" s="124" t="s">
        <v>2109</v>
      </c>
      <c r="C894" s="110">
        <v>7241</v>
      </c>
      <c r="D894" s="109" t="s">
        <v>120</v>
      </c>
      <c r="E894" s="109">
        <v>72</v>
      </c>
      <c r="F894" s="110">
        <v>6639</v>
      </c>
      <c r="G894" s="109" t="s">
        <v>120</v>
      </c>
      <c r="H894" s="109">
        <v>92</v>
      </c>
      <c r="I894" s="109">
        <v>1813</v>
      </c>
      <c r="J894" s="110">
        <v>1372</v>
      </c>
    </row>
    <row r="895" spans="1:10">
      <c r="A895" s="103" t="s">
        <v>2110</v>
      </c>
      <c r="B895" s="124" t="s">
        <v>932</v>
      </c>
      <c r="C895" s="110">
        <v>3044</v>
      </c>
      <c r="D895" s="109" t="s">
        <v>120</v>
      </c>
      <c r="E895" s="109">
        <v>31</v>
      </c>
      <c r="F895" s="110">
        <v>2530</v>
      </c>
      <c r="G895" s="109" t="s">
        <v>120</v>
      </c>
      <c r="H895" s="109">
        <v>83</v>
      </c>
      <c r="I895" s="109" t="s">
        <v>122</v>
      </c>
      <c r="J895" s="110" t="s">
        <v>122</v>
      </c>
    </row>
    <row r="896" spans="1:10">
      <c r="A896" s="103" t="s">
        <v>2111</v>
      </c>
      <c r="B896" s="124" t="s">
        <v>934</v>
      </c>
      <c r="C896" s="110">
        <v>4197</v>
      </c>
      <c r="D896" s="109" t="s">
        <v>120</v>
      </c>
      <c r="E896" s="109">
        <v>41</v>
      </c>
      <c r="F896" s="110">
        <v>4109</v>
      </c>
      <c r="G896" s="109" t="s">
        <v>120</v>
      </c>
      <c r="H896" s="109">
        <v>98</v>
      </c>
      <c r="I896" s="109" t="s">
        <v>122</v>
      </c>
      <c r="J896" s="110" t="s">
        <v>122</v>
      </c>
    </row>
    <row r="897" spans="1:10">
      <c r="A897" s="103" t="s">
        <v>2112</v>
      </c>
      <c r="B897" s="124" t="s">
        <v>2113</v>
      </c>
      <c r="C897" s="110">
        <v>6294</v>
      </c>
      <c r="D897" s="109" t="s">
        <v>120</v>
      </c>
      <c r="E897" s="109">
        <v>63</v>
      </c>
      <c r="F897" s="110">
        <v>8962</v>
      </c>
      <c r="G897" s="109" t="s">
        <v>120</v>
      </c>
      <c r="H897" s="109">
        <v>142</v>
      </c>
      <c r="I897" s="109">
        <v>1924</v>
      </c>
      <c r="J897" s="110">
        <v>990</v>
      </c>
    </row>
    <row r="898" spans="1:10">
      <c r="A898" s="103" t="s">
        <v>2114</v>
      </c>
      <c r="B898" s="124" t="s">
        <v>932</v>
      </c>
      <c r="C898" s="110">
        <v>1382</v>
      </c>
      <c r="D898" s="109" t="s">
        <v>120</v>
      </c>
      <c r="E898" s="109">
        <v>14</v>
      </c>
      <c r="F898" s="110">
        <v>3753</v>
      </c>
      <c r="G898" s="109" t="s">
        <v>120</v>
      </c>
      <c r="H898" s="109">
        <v>272</v>
      </c>
      <c r="I898" s="109" t="s">
        <v>122</v>
      </c>
      <c r="J898" s="110" t="s">
        <v>122</v>
      </c>
    </row>
    <row r="899" spans="1:10">
      <c r="A899" s="103" t="s">
        <v>2115</v>
      </c>
      <c r="B899" s="124" t="s">
        <v>934</v>
      </c>
      <c r="C899" s="110">
        <v>4912</v>
      </c>
      <c r="D899" s="109" t="s">
        <v>120</v>
      </c>
      <c r="E899" s="109">
        <v>49</v>
      </c>
      <c r="F899" s="110">
        <v>5209</v>
      </c>
      <c r="G899" s="109" t="s">
        <v>120</v>
      </c>
      <c r="H899" s="109">
        <v>106</v>
      </c>
      <c r="I899" s="109" t="s">
        <v>122</v>
      </c>
      <c r="J899" s="110" t="s">
        <v>122</v>
      </c>
    </row>
    <row r="900" spans="1:10" s="119" customFormat="1">
      <c r="A900" s="123" t="s">
        <v>120</v>
      </c>
      <c r="B900" s="273" t="s">
        <v>2116</v>
      </c>
      <c r="C900" s="274"/>
      <c r="D900" s="274"/>
      <c r="E900" s="274"/>
      <c r="F900" s="274"/>
      <c r="G900" s="274"/>
      <c r="H900" s="274"/>
      <c r="I900" s="274"/>
      <c r="J900" s="274"/>
    </row>
    <row r="901" spans="1:10" s="119" customFormat="1">
      <c r="A901" s="123" t="s">
        <v>120</v>
      </c>
      <c r="B901" s="275" t="s">
        <v>1019</v>
      </c>
      <c r="C901" s="276"/>
      <c r="D901" s="276"/>
      <c r="E901" s="276"/>
      <c r="F901" s="276"/>
      <c r="G901" s="276"/>
      <c r="H901" s="276"/>
      <c r="I901" s="276"/>
      <c r="J901" s="276"/>
    </row>
    <row r="902" spans="1:10">
      <c r="A902" s="103" t="s">
        <v>2117</v>
      </c>
      <c r="B902" s="124" t="s">
        <v>2118</v>
      </c>
      <c r="C902" s="110">
        <v>1931</v>
      </c>
      <c r="D902" s="109" t="s">
        <v>120</v>
      </c>
      <c r="E902" s="109">
        <v>19</v>
      </c>
      <c r="F902" s="110">
        <v>15656</v>
      </c>
      <c r="G902" s="109" t="s">
        <v>120</v>
      </c>
      <c r="H902" s="109">
        <v>811</v>
      </c>
      <c r="I902" s="109">
        <v>2245</v>
      </c>
      <c r="J902" s="110">
        <v>489</v>
      </c>
    </row>
    <row r="903" spans="1:10" s="119" customFormat="1">
      <c r="A903" s="123" t="s">
        <v>120</v>
      </c>
      <c r="B903" s="275" t="s">
        <v>943</v>
      </c>
      <c r="C903" s="276"/>
      <c r="D903" s="276"/>
      <c r="E903" s="276"/>
      <c r="F903" s="276"/>
      <c r="G903" s="276"/>
      <c r="H903" s="276"/>
      <c r="I903" s="276"/>
      <c r="J903" s="276"/>
    </row>
    <row r="904" spans="1:10">
      <c r="A904" s="103" t="s">
        <v>2119</v>
      </c>
      <c r="B904" s="124" t="s">
        <v>2120</v>
      </c>
      <c r="C904" s="110">
        <v>11182</v>
      </c>
      <c r="D904" s="109" t="s">
        <v>120</v>
      </c>
      <c r="E904" s="109">
        <v>112</v>
      </c>
      <c r="F904" s="110">
        <v>6003</v>
      </c>
      <c r="G904" s="109" t="s">
        <v>120</v>
      </c>
      <c r="H904" s="109">
        <v>54</v>
      </c>
      <c r="I904" s="109">
        <v>1180</v>
      </c>
      <c r="J904" s="110">
        <v>1502</v>
      </c>
    </row>
    <row r="905" spans="1:10">
      <c r="A905" s="103" t="s">
        <v>2121</v>
      </c>
      <c r="B905" s="124" t="s">
        <v>2122</v>
      </c>
      <c r="C905" s="110">
        <v>10749</v>
      </c>
      <c r="D905" s="109" t="s">
        <v>120</v>
      </c>
      <c r="E905" s="109">
        <v>107</v>
      </c>
      <c r="F905" s="110">
        <v>4310</v>
      </c>
      <c r="G905" s="109" t="s">
        <v>120</v>
      </c>
      <c r="H905" s="109">
        <v>40</v>
      </c>
      <c r="I905" s="109">
        <v>1265</v>
      </c>
      <c r="J905" s="110">
        <v>1920</v>
      </c>
    </row>
    <row r="906" spans="1:10">
      <c r="A906" s="103" t="s">
        <v>2123</v>
      </c>
      <c r="B906" s="124" t="s">
        <v>2124</v>
      </c>
      <c r="C906" s="110">
        <v>14753</v>
      </c>
      <c r="D906" s="109" t="s">
        <v>120</v>
      </c>
      <c r="E906" s="109">
        <v>148</v>
      </c>
      <c r="F906" s="110">
        <v>8024</v>
      </c>
      <c r="G906" s="109" t="s">
        <v>120</v>
      </c>
      <c r="H906" s="109">
        <v>54</v>
      </c>
      <c r="I906" s="109">
        <v>700</v>
      </c>
      <c r="J906" s="110">
        <v>1120</v>
      </c>
    </row>
    <row r="907" spans="1:10">
      <c r="A907" s="103" t="s">
        <v>2125</v>
      </c>
      <c r="B907" s="124" t="s">
        <v>2126</v>
      </c>
      <c r="C907" s="110">
        <v>13797</v>
      </c>
      <c r="D907" s="109" t="s">
        <v>120</v>
      </c>
      <c r="E907" s="109">
        <v>138</v>
      </c>
      <c r="F907" s="110">
        <v>4185</v>
      </c>
      <c r="G907" s="109" t="s">
        <v>120</v>
      </c>
      <c r="H907" s="109">
        <v>30</v>
      </c>
      <c r="I907" s="109">
        <v>803</v>
      </c>
      <c r="J907" s="110">
        <v>1954</v>
      </c>
    </row>
    <row r="908" spans="1:10">
      <c r="A908" s="103" t="s">
        <v>2127</v>
      </c>
      <c r="B908" s="124" t="s">
        <v>2118</v>
      </c>
      <c r="C908" s="110">
        <v>15499</v>
      </c>
      <c r="D908" s="109" t="s">
        <v>120</v>
      </c>
      <c r="E908" s="109">
        <v>155</v>
      </c>
      <c r="F908" s="110">
        <v>8072</v>
      </c>
      <c r="G908" s="109" t="s">
        <v>120</v>
      </c>
      <c r="H908" s="109">
        <v>52</v>
      </c>
      <c r="I908" s="109">
        <v>629</v>
      </c>
      <c r="J908" s="110">
        <v>1114</v>
      </c>
    </row>
    <row r="909" spans="1:10">
      <c r="A909" s="103" t="s">
        <v>2128</v>
      </c>
      <c r="B909" s="124" t="s">
        <v>2129</v>
      </c>
      <c r="C909" s="110">
        <v>10778</v>
      </c>
      <c r="D909" s="109" t="s">
        <v>120</v>
      </c>
      <c r="E909" s="109">
        <v>108</v>
      </c>
      <c r="F909" s="110">
        <v>6000</v>
      </c>
      <c r="G909" s="109" t="s">
        <v>120</v>
      </c>
      <c r="H909" s="109">
        <v>56</v>
      </c>
      <c r="I909" s="109">
        <v>1259</v>
      </c>
      <c r="J909" s="110">
        <v>1503</v>
      </c>
    </row>
    <row r="910" spans="1:10">
      <c r="A910" s="103" t="s">
        <v>2130</v>
      </c>
      <c r="B910" s="124" t="s">
        <v>2131</v>
      </c>
      <c r="C910" s="110">
        <v>17817</v>
      </c>
      <c r="D910" s="109" t="s">
        <v>120</v>
      </c>
      <c r="E910" s="109">
        <v>178</v>
      </c>
      <c r="F910" s="110">
        <v>6608</v>
      </c>
      <c r="G910" s="109" t="s">
        <v>120</v>
      </c>
      <c r="H910" s="109">
        <v>37</v>
      </c>
      <c r="I910" s="109">
        <v>466</v>
      </c>
      <c r="J910" s="110">
        <v>1378</v>
      </c>
    </row>
    <row r="911" spans="1:10" s="119" customFormat="1">
      <c r="A911" s="123" t="s">
        <v>120</v>
      </c>
      <c r="B911" s="273" t="s">
        <v>2132</v>
      </c>
      <c r="C911" s="274"/>
      <c r="D911" s="274"/>
      <c r="E911" s="274"/>
      <c r="F911" s="274"/>
      <c r="G911" s="274"/>
      <c r="H911" s="274"/>
      <c r="I911" s="274"/>
      <c r="J911" s="274"/>
    </row>
    <row r="912" spans="1:10" s="119" customFormat="1">
      <c r="A912" s="123" t="s">
        <v>120</v>
      </c>
      <c r="B912" s="275" t="s">
        <v>922</v>
      </c>
      <c r="C912" s="276"/>
      <c r="D912" s="276"/>
      <c r="E912" s="276"/>
      <c r="F912" s="276"/>
      <c r="G912" s="276"/>
      <c r="H912" s="276"/>
      <c r="I912" s="276"/>
      <c r="J912" s="276"/>
    </row>
    <row r="913" spans="1:10">
      <c r="A913" s="103" t="s">
        <v>2133</v>
      </c>
      <c r="B913" s="124" t="s">
        <v>2134</v>
      </c>
      <c r="C913" s="110">
        <v>3833</v>
      </c>
      <c r="D913" s="109" t="s">
        <v>120</v>
      </c>
      <c r="E913" s="109">
        <v>38</v>
      </c>
      <c r="F913" s="110">
        <v>16058</v>
      </c>
      <c r="G913" s="109" t="s">
        <v>120</v>
      </c>
      <c r="H913" s="109">
        <v>419</v>
      </c>
      <c r="I913" s="109">
        <v>2103</v>
      </c>
      <c r="J913" s="110">
        <v>475</v>
      </c>
    </row>
    <row r="914" spans="1:10" s="119" customFormat="1">
      <c r="A914" s="123" t="s">
        <v>120</v>
      </c>
      <c r="B914" s="275" t="s">
        <v>943</v>
      </c>
      <c r="C914" s="276"/>
      <c r="D914" s="276"/>
      <c r="E914" s="276"/>
      <c r="F914" s="276"/>
      <c r="G914" s="276"/>
      <c r="H914" s="276"/>
      <c r="I914" s="276"/>
      <c r="J914" s="276"/>
    </row>
    <row r="915" spans="1:10">
      <c r="A915" s="103" t="s">
        <v>2135</v>
      </c>
      <c r="B915" s="124" t="s">
        <v>2136</v>
      </c>
      <c r="C915" s="110">
        <v>14306</v>
      </c>
      <c r="D915" s="109" t="s">
        <v>120</v>
      </c>
      <c r="E915" s="109">
        <v>143</v>
      </c>
      <c r="F915" s="110">
        <v>7142</v>
      </c>
      <c r="G915" s="109" t="s">
        <v>120</v>
      </c>
      <c r="H915" s="109">
        <v>50</v>
      </c>
      <c r="I915" s="109">
        <v>750</v>
      </c>
      <c r="J915" s="110">
        <v>1268</v>
      </c>
    </row>
    <row r="916" spans="1:10">
      <c r="A916" s="103" t="s">
        <v>2137</v>
      </c>
      <c r="B916" s="124" t="s">
        <v>2138</v>
      </c>
      <c r="C916" s="110">
        <v>7187</v>
      </c>
      <c r="D916" s="109" t="s">
        <v>120</v>
      </c>
      <c r="E916" s="109">
        <v>72</v>
      </c>
      <c r="F916" s="110">
        <v>4072</v>
      </c>
      <c r="G916" s="109" t="s">
        <v>120</v>
      </c>
      <c r="H916" s="109">
        <v>57</v>
      </c>
      <c r="I916" s="109">
        <v>1820</v>
      </c>
      <c r="J916" s="110">
        <v>1977</v>
      </c>
    </row>
    <row r="917" spans="1:10">
      <c r="A917" s="103" t="s">
        <v>2139</v>
      </c>
      <c r="B917" s="124" t="s">
        <v>2140</v>
      </c>
      <c r="C917" s="110">
        <v>11604</v>
      </c>
      <c r="D917" s="109" t="s">
        <v>120</v>
      </c>
      <c r="E917" s="109">
        <v>116</v>
      </c>
      <c r="F917" s="110">
        <v>5140</v>
      </c>
      <c r="G917" s="109" t="s">
        <v>120</v>
      </c>
      <c r="H917" s="109">
        <v>44</v>
      </c>
      <c r="I917" s="109">
        <v>1113</v>
      </c>
      <c r="J917" s="110">
        <v>1707</v>
      </c>
    </row>
    <row r="918" spans="1:10">
      <c r="A918" s="103" t="s">
        <v>2141</v>
      </c>
      <c r="B918" s="124" t="s">
        <v>2142</v>
      </c>
      <c r="C918" s="110">
        <v>8347</v>
      </c>
      <c r="D918" s="109" t="s">
        <v>120</v>
      </c>
      <c r="E918" s="109">
        <v>84</v>
      </c>
      <c r="F918" s="110">
        <v>3190</v>
      </c>
      <c r="G918" s="109" t="s">
        <v>120</v>
      </c>
      <c r="H918" s="109">
        <v>38</v>
      </c>
      <c r="I918" s="109">
        <v>1645</v>
      </c>
      <c r="J918" s="110">
        <v>2164</v>
      </c>
    </row>
    <row r="919" spans="1:10" s="119" customFormat="1">
      <c r="A919" s="123" t="s">
        <v>120</v>
      </c>
      <c r="B919" s="275" t="s">
        <v>929</v>
      </c>
      <c r="C919" s="276"/>
      <c r="D919" s="276"/>
      <c r="E919" s="276"/>
      <c r="F919" s="276"/>
      <c r="G919" s="276"/>
      <c r="H919" s="276"/>
      <c r="I919" s="276"/>
      <c r="J919" s="276"/>
    </row>
    <row r="920" spans="1:10">
      <c r="A920" s="103" t="s">
        <v>2143</v>
      </c>
      <c r="B920" s="124" t="s">
        <v>2144</v>
      </c>
      <c r="C920" s="110">
        <v>16176</v>
      </c>
      <c r="D920" s="109" t="s">
        <v>120</v>
      </c>
      <c r="E920" s="109">
        <v>162</v>
      </c>
      <c r="F920" s="110">
        <v>20386</v>
      </c>
      <c r="G920" s="109" t="s">
        <v>120</v>
      </c>
      <c r="H920" s="109">
        <v>126</v>
      </c>
      <c r="I920" s="109">
        <v>582</v>
      </c>
      <c r="J920" s="110">
        <v>332</v>
      </c>
    </row>
    <row r="921" spans="1:10">
      <c r="A921" s="103" t="s">
        <v>2145</v>
      </c>
      <c r="B921" s="124" t="s">
        <v>932</v>
      </c>
      <c r="C921" s="110">
        <v>2722</v>
      </c>
      <c r="D921" s="109" t="s">
        <v>120</v>
      </c>
      <c r="E921" s="109">
        <v>28</v>
      </c>
      <c r="F921" s="110">
        <v>9634</v>
      </c>
      <c r="G921" s="109" t="s">
        <v>120</v>
      </c>
      <c r="H921" s="109">
        <v>354</v>
      </c>
      <c r="I921" s="109" t="s">
        <v>122</v>
      </c>
      <c r="J921" s="110" t="s">
        <v>122</v>
      </c>
    </row>
    <row r="922" spans="1:10">
      <c r="A922" s="103" t="s">
        <v>2146</v>
      </c>
      <c r="B922" s="124" t="s">
        <v>934</v>
      </c>
      <c r="C922" s="110">
        <v>13454</v>
      </c>
      <c r="D922" s="109" t="s">
        <v>120</v>
      </c>
      <c r="E922" s="109">
        <v>134</v>
      </c>
      <c r="F922" s="110">
        <v>10752</v>
      </c>
      <c r="G922" s="109" t="s">
        <v>120</v>
      </c>
      <c r="H922" s="109">
        <v>80</v>
      </c>
      <c r="I922" s="109" t="s">
        <v>122</v>
      </c>
      <c r="J922" s="110" t="s">
        <v>122</v>
      </c>
    </row>
    <row r="923" spans="1:10" s="119" customFormat="1">
      <c r="A923" s="123" t="s">
        <v>120</v>
      </c>
      <c r="B923" s="273" t="s">
        <v>2147</v>
      </c>
      <c r="C923" s="274"/>
      <c r="D923" s="274"/>
      <c r="E923" s="274"/>
      <c r="F923" s="274"/>
      <c r="G923" s="274"/>
      <c r="H923" s="274"/>
      <c r="I923" s="274"/>
      <c r="J923" s="274"/>
    </row>
    <row r="924" spans="1:10" s="119" customFormat="1">
      <c r="A924" s="123" t="s">
        <v>120</v>
      </c>
      <c r="B924" s="275" t="s">
        <v>1019</v>
      </c>
      <c r="C924" s="276"/>
      <c r="D924" s="276"/>
      <c r="E924" s="276"/>
      <c r="F924" s="276"/>
      <c r="G924" s="276"/>
      <c r="H924" s="276"/>
      <c r="I924" s="276"/>
      <c r="J924" s="276"/>
    </row>
    <row r="925" spans="1:10">
      <c r="A925" s="103" t="s">
        <v>2148</v>
      </c>
      <c r="B925" s="124" t="s">
        <v>2149</v>
      </c>
      <c r="C925" s="110">
        <v>2035</v>
      </c>
      <c r="D925" s="109" t="s">
        <v>120</v>
      </c>
      <c r="E925" s="109">
        <v>20</v>
      </c>
      <c r="F925" s="110">
        <v>39136</v>
      </c>
      <c r="G925" s="109" t="s">
        <v>120</v>
      </c>
      <c r="H925" s="109">
        <v>1923</v>
      </c>
      <c r="I925" s="109">
        <v>2234</v>
      </c>
      <c r="J925" s="110">
        <v>131</v>
      </c>
    </row>
    <row r="926" spans="1:10" s="119" customFormat="1">
      <c r="A926" s="123" t="s">
        <v>120</v>
      </c>
      <c r="B926" s="275" t="s">
        <v>924</v>
      </c>
      <c r="C926" s="276"/>
      <c r="D926" s="276"/>
      <c r="E926" s="276"/>
      <c r="F926" s="276"/>
      <c r="G926" s="276"/>
      <c r="H926" s="276"/>
      <c r="I926" s="276"/>
      <c r="J926" s="276"/>
    </row>
    <row r="927" spans="1:10">
      <c r="A927" s="103" t="s">
        <v>2150</v>
      </c>
      <c r="B927" s="124" t="s">
        <v>2151</v>
      </c>
      <c r="C927" s="110">
        <v>9485</v>
      </c>
      <c r="D927" s="109" t="s">
        <v>120</v>
      </c>
      <c r="E927" s="109">
        <v>95</v>
      </c>
      <c r="F927" s="110">
        <v>9928</v>
      </c>
      <c r="G927" s="109" t="s">
        <v>120</v>
      </c>
      <c r="H927" s="109">
        <v>105</v>
      </c>
      <c r="I927" s="109">
        <v>1472</v>
      </c>
      <c r="J927" s="110">
        <v>884</v>
      </c>
    </row>
    <row r="928" spans="1:10">
      <c r="A928" s="103" t="s">
        <v>2152</v>
      </c>
      <c r="B928" s="124" t="s">
        <v>2153</v>
      </c>
      <c r="C928" s="110">
        <v>9913</v>
      </c>
      <c r="D928" s="109" t="s">
        <v>120</v>
      </c>
      <c r="E928" s="109">
        <v>99</v>
      </c>
      <c r="F928" s="110">
        <v>3362</v>
      </c>
      <c r="G928" s="109" t="s">
        <v>120</v>
      </c>
      <c r="H928" s="109">
        <v>34</v>
      </c>
      <c r="I928" s="109">
        <v>1404</v>
      </c>
      <c r="J928" s="110">
        <v>2134</v>
      </c>
    </row>
    <row r="929" spans="1:10">
      <c r="A929" s="103" t="s">
        <v>2154</v>
      </c>
      <c r="B929" s="124" t="s">
        <v>2155</v>
      </c>
      <c r="C929" s="110">
        <v>8416</v>
      </c>
      <c r="D929" s="109" t="s">
        <v>120</v>
      </c>
      <c r="E929" s="109">
        <v>84</v>
      </c>
      <c r="F929" s="110">
        <v>8884</v>
      </c>
      <c r="G929" s="109" t="s">
        <v>120</v>
      </c>
      <c r="H929" s="109">
        <v>106</v>
      </c>
      <c r="I929" s="109">
        <v>1636</v>
      </c>
      <c r="J929" s="110">
        <v>1000</v>
      </c>
    </row>
    <row r="930" spans="1:10" s="119" customFormat="1">
      <c r="A930" s="123" t="s">
        <v>120</v>
      </c>
      <c r="B930" s="275" t="s">
        <v>1026</v>
      </c>
      <c r="C930" s="276"/>
      <c r="D930" s="276"/>
      <c r="E930" s="276"/>
      <c r="F930" s="276"/>
      <c r="G930" s="276"/>
      <c r="H930" s="276"/>
      <c r="I930" s="276"/>
      <c r="J930" s="276"/>
    </row>
    <row r="931" spans="1:10">
      <c r="A931" s="103" t="s">
        <v>2156</v>
      </c>
      <c r="B931" s="124" t="s">
        <v>2157</v>
      </c>
      <c r="C931" s="110">
        <v>16986</v>
      </c>
      <c r="D931" s="109" t="s">
        <v>120</v>
      </c>
      <c r="E931" s="109">
        <v>170</v>
      </c>
      <c r="F931" s="110">
        <v>10530</v>
      </c>
      <c r="G931" s="109" t="s">
        <v>120</v>
      </c>
      <c r="H931" s="109">
        <v>62</v>
      </c>
      <c r="I931" s="109">
        <v>522</v>
      </c>
      <c r="J931" s="110">
        <v>830</v>
      </c>
    </row>
    <row r="932" spans="1:10">
      <c r="A932" s="103" t="s">
        <v>2158</v>
      </c>
      <c r="B932" s="124" t="s">
        <v>932</v>
      </c>
      <c r="C932" s="110">
        <v>844</v>
      </c>
      <c r="D932" s="109" t="s">
        <v>120</v>
      </c>
      <c r="E932" s="109">
        <v>8</v>
      </c>
      <c r="F932" s="110">
        <v>2573</v>
      </c>
      <c r="G932" s="109" t="s">
        <v>120</v>
      </c>
      <c r="H932" s="109">
        <v>305</v>
      </c>
      <c r="I932" s="109" t="s">
        <v>122</v>
      </c>
      <c r="J932" s="110" t="s">
        <v>122</v>
      </c>
    </row>
    <row r="933" spans="1:10">
      <c r="A933" s="103" t="s">
        <v>2159</v>
      </c>
      <c r="B933" s="124" t="s">
        <v>934</v>
      </c>
      <c r="C933" s="110">
        <v>16142</v>
      </c>
      <c r="D933" s="109" t="s">
        <v>120</v>
      </c>
      <c r="E933" s="109">
        <v>162</v>
      </c>
      <c r="F933" s="110">
        <v>7957</v>
      </c>
      <c r="G933" s="109" t="s">
        <v>120</v>
      </c>
      <c r="H933" s="109">
        <v>49</v>
      </c>
      <c r="I933" s="109" t="s">
        <v>122</v>
      </c>
      <c r="J933" s="110" t="s">
        <v>122</v>
      </c>
    </row>
    <row r="934" spans="1:10" s="119" customFormat="1">
      <c r="A934" s="123" t="s">
        <v>120</v>
      </c>
      <c r="B934" s="273" t="s">
        <v>2160</v>
      </c>
      <c r="C934" s="274"/>
      <c r="D934" s="274"/>
      <c r="E934" s="274"/>
      <c r="F934" s="274"/>
      <c r="G934" s="274"/>
      <c r="H934" s="274"/>
      <c r="I934" s="274"/>
      <c r="J934" s="274"/>
    </row>
    <row r="935" spans="1:10" s="119" customFormat="1">
      <c r="A935" s="123" t="s">
        <v>120</v>
      </c>
      <c r="B935" s="275" t="s">
        <v>922</v>
      </c>
      <c r="C935" s="276"/>
      <c r="D935" s="276"/>
      <c r="E935" s="276"/>
      <c r="F935" s="276"/>
      <c r="G935" s="276"/>
      <c r="H935" s="276"/>
      <c r="I935" s="276"/>
      <c r="J935" s="276"/>
    </row>
    <row r="936" spans="1:10">
      <c r="A936" s="103" t="s">
        <v>2161</v>
      </c>
      <c r="B936" s="124" t="s">
        <v>2162</v>
      </c>
      <c r="C936" s="110">
        <v>1329</v>
      </c>
      <c r="D936" s="109" t="s">
        <v>120</v>
      </c>
      <c r="E936" s="109">
        <v>13</v>
      </c>
      <c r="F936" s="110">
        <v>19035</v>
      </c>
      <c r="G936" s="109" t="s">
        <v>120</v>
      </c>
      <c r="H936" s="109">
        <v>1432</v>
      </c>
      <c r="I936" s="109">
        <v>2299</v>
      </c>
      <c r="J936" s="110">
        <v>369</v>
      </c>
    </row>
    <row r="937" spans="1:10" s="119" customFormat="1">
      <c r="A937" s="123" t="s">
        <v>120</v>
      </c>
      <c r="B937" s="275" t="s">
        <v>943</v>
      </c>
      <c r="C937" s="276"/>
      <c r="D937" s="276"/>
      <c r="E937" s="276"/>
      <c r="F937" s="276"/>
      <c r="G937" s="276"/>
      <c r="H937" s="276"/>
      <c r="I937" s="276"/>
      <c r="J937" s="276"/>
    </row>
    <row r="938" spans="1:10">
      <c r="A938" s="103" t="s">
        <v>2163</v>
      </c>
      <c r="B938" s="124" t="s">
        <v>2164</v>
      </c>
      <c r="C938" s="110">
        <v>3353</v>
      </c>
      <c r="D938" s="109" t="s">
        <v>120</v>
      </c>
      <c r="E938" s="109">
        <v>33</v>
      </c>
      <c r="F938" s="110">
        <v>3315</v>
      </c>
      <c r="G938" s="109" t="s">
        <v>120</v>
      </c>
      <c r="H938" s="109">
        <v>99</v>
      </c>
      <c r="I938" s="109">
        <v>2142</v>
      </c>
      <c r="J938" s="110">
        <v>2144</v>
      </c>
    </row>
    <row r="939" spans="1:10">
      <c r="A939" s="103" t="s">
        <v>2165</v>
      </c>
      <c r="B939" s="124" t="s">
        <v>2166</v>
      </c>
      <c r="C939" s="110">
        <v>10664</v>
      </c>
      <c r="D939" s="109" t="s">
        <v>120</v>
      </c>
      <c r="E939" s="109">
        <v>107</v>
      </c>
      <c r="F939" s="110">
        <v>3371</v>
      </c>
      <c r="G939" s="109" t="s">
        <v>120</v>
      </c>
      <c r="H939" s="109">
        <v>32</v>
      </c>
      <c r="I939" s="109">
        <v>1277</v>
      </c>
      <c r="J939" s="110">
        <v>2130</v>
      </c>
    </row>
    <row r="940" spans="1:10">
      <c r="A940" s="103" t="s">
        <v>2167</v>
      </c>
      <c r="B940" s="124" t="s">
        <v>2168</v>
      </c>
      <c r="C940" s="110">
        <v>7356</v>
      </c>
      <c r="D940" s="109" t="s">
        <v>120</v>
      </c>
      <c r="E940" s="109">
        <v>74</v>
      </c>
      <c r="F940" s="110">
        <v>3217</v>
      </c>
      <c r="G940" s="109" t="s">
        <v>120</v>
      </c>
      <c r="H940" s="109">
        <v>44</v>
      </c>
      <c r="I940" s="109">
        <v>1798</v>
      </c>
      <c r="J940" s="110">
        <v>2160</v>
      </c>
    </row>
    <row r="941" spans="1:10">
      <c r="A941" s="103" t="s">
        <v>2169</v>
      </c>
      <c r="B941" s="124" t="s">
        <v>2170</v>
      </c>
      <c r="C941" s="110">
        <v>9430</v>
      </c>
      <c r="D941" s="109" t="s">
        <v>120</v>
      </c>
      <c r="E941" s="109">
        <v>94</v>
      </c>
      <c r="F941" s="110">
        <v>5068</v>
      </c>
      <c r="G941" s="109" t="s">
        <v>120</v>
      </c>
      <c r="H941" s="109">
        <v>54</v>
      </c>
      <c r="I941" s="109">
        <v>1483</v>
      </c>
      <c r="J941" s="110">
        <v>1728</v>
      </c>
    </row>
    <row r="942" spans="1:10">
      <c r="A942" s="103" t="s">
        <v>2171</v>
      </c>
      <c r="B942" s="124" t="s">
        <v>2172</v>
      </c>
      <c r="C942" s="110">
        <v>19075</v>
      </c>
      <c r="D942" s="109" t="s">
        <v>120</v>
      </c>
      <c r="E942" s="109">
        <v>191</v>
      </c>
      <c r="F942" s="110">
        <v>7432</v>
      </c>
      <c r="G942" s="109" t="s">
        <v>120</v>
      </c>
      <c r="H942" s="109">
        <v>39</v>
      </c>
      <c r="I942" s="109">
        <v>389</v>
      </c>
      <c r="J942" s="110">
        <v>1218</v>
      </c>
    </row>
    <row r="943" spans="1:10">
      <c r="A943" s="103" t="s">
        <v>2173</v>
      </c>
      <c r="B943" s="124" t="s">
        <v>2174</v>
      </c>
      <c r="C943" s="110">
        <v>8283</v>
      </c>
      <c r="D943" s="109" t="s">
        <v>120</v>
      </c>
      <c r="E943" s="109">
        <v>83</v>
      </c>
      <c r="F943" s="110">
        <v>3894</v>
      </c>
      <c r="G943" s="109" t="s">
        <v>120</v>
      </c>
      <c r="H943" s="109">
        <v>47</v>
      </c>
      <c r="I943" s="109">
        <v>1657</v>
      </c>
      <c r="J943" s="110">
        <v>2015</v>
      </c>
    </row>
    <row r="944" spans="1:10">
      <c r="A944" s="103" t="s">
        <v>2175</v>
      </c>
      <c r="B944" s="124" t="s">
        <v>2176</v>
      </c>
      <c r="C944" s="110">
        <v>11180</v>
      </c>
      <c r="D944" s="109" t="s">
        <v>120</v>
      </c>
      <c r="E944" s="109">
        <v>112</v>
      </c>
      <c r="F944" s="110">
        <v>3901</v>
      </c>
      <c r="G944" s="109" t="s">
        <v>120</v>
      </c>
      <c r="H944" s="109">
        <v>35</v>
      </c>
      <c r="I944" s="109">
        <v>1182</v>
      </c>
      <c r="J944" s="110">
        <v>2012</v>
      </c>
    </row>
    <row r="945" spans="1:10">
      <c r="A945" s="103" t="s">
        <v>2177</v>
      </c>
      <c r="B945" s="124" t="s">
        <v>2162</v>
      </c>
      <c r="C945" s="110">
        <v>17089</v>
      </c>
      <c r="D945" s="109" t="s">
        <v>120</v>
      </c>
      <c r="E945" s="109">
        <v>171</v>
      </c>
      <c r="F945" s="110">
        <v>11358</v>
      </c>
      <c r="G945" s="109" t="s">
        <v>120</v>
      </c>
      <c r="H945" s="109">
        <v>66</v>
      </c>
      <c r="I945" s="109">
        <v>509</v>
      </c>
      <c r="J945" s="110">
        <v>753</v>
      </c>
    </row>
    <row r="946" spans="1:10">
      <c r="A946" s="103" t="s">
        <v>2178</v>
      </c>
      <c r="B946" s="124" t="s">
        <v>2179</v>
      </c>
      <c r="C946" s="110">
        <v>14663</v>
      </c>
      <c r="D946" s="109" t="s">
        <v>120</v>
      </c>
      <c r="E946" s="109">
        <v>147</v>
      </c>
      <c r="F946" s="110">
        <v>4520</v>
      </c>
      <c r="G946" s="109" t="s">
        <v>120</v>
      </c>
      <c r="H946" s="109">
        <v>31</v>
      </c>
      <c r="I946" s="109">
        <v>711</v>
      </c>
      <c r="J946" s="110">
        <v>1865</v>
      </c>
    </row>
    <row r="947" spans="1:10" s="119" customFormat="1">
      <c r="A947" s="123" t="s">
        <v>120</v>
      </c>
      <c r="B947" s="275" t="s">
        <v>1101</v>
      </c>
      <c r="C947" s="276"/>
      <c r="D947" s="276"/>
      <c r="E947" s="276"/>
      <c r="F947" s="276"/>
      <c r="G947" s="276"/>
      <c r="H947" s="276"/>
      <c r="I947" s="276"/>
      <c r="J947" s="276"/>
    </row>
    <row r="948" spans="1:10">
      <c r="A948" s="103" t="s">
        <v>2180</v>
      </c>
      <c r="B948" s="124" t="s">
        <v>2181</v>
      </c>
      <c r="C948" s="110">
        <v>20807</v>
      </c>
      <c r="D948" s="109" t="s">
        <v>120</v>
      </c>
      <c r="E948" s="109">
        <v>208</v>
      </c>
      <c r="F948" s="110">
        <v>6169</v>
      </c>
      <c r="G948" s="109" t="s">
        <v>120</v>
      </c>
      <c r="H948" s="109">
        <v>30</v>
      </c>
      <c r="I948" s="109">
        <v>298</v>
      </c>
      <c r="J948" s="110">
        <v>1467</v>
      </c>
    </row>
    <row r="949" spans="1:10">
      <c r="A949" s="103" t="s">
        <v>2182</v>
      </c>
      <c r="B949" s="124" t="s">
        <v>932</v>
      </c>
      <c r="C949" s="110">
        <v>392</v>
      </c>
      <c r="D949" s="109" t="s">
        <v>120</v>
      </c>
      <c r="E949" s="109">
        <v>4</v>
      </c>
      <c r="F949" s="110">
        <v>2440</v>
      </c>
      <c r="G949" s="109" t="s">
        <v>120</v>
      </c>
      <c r="H949" s="109">
        <v>622</v>
      </c>
      <c r="I949" s="109" t="s">
        <v>122</v>
      </c>
      <c r="J949" s="110" t="s">
        <v>122</v>
      </c>
    </row>
    <row r="950" spans="1:10">
      <c r="A950" s="103" t="s">
        <v>2183</v>
      </c>
      <c r="B950" s="124" t="s">
        <v>2184</v>
      </c>
      <c r="C950" s="110">
        <v>20415</v>
      </c>
      <c r="D950" s="109" t="s">
        <v>120</v>
      </c>
      <c r="E950" s="109">
        <v>204</v>
      </c>
      <c r="F950" s="110">
        <v>3729</v>
      </c>
      <c r="G950" s="109" t="s">
        <v>120</v>
      </c>
      <c r="H950" s="109">
        <v>18</v>
      </c>
      <c r="I950" s="109" t="s">
        <v>122</v>
      </c>
      <c r="J950" s="110" t="s">
        <v>122</v>
      </c>
    </row>
    <row r="951" spans="1:10">
      <c r="A951" s="103" t="s">
        <v>2185</v>
      </c>
      <c r="B951" s="124" t="s">
        <v>2186</v>
      </c>
      <c r="C951" s="110">
        <v>12829</v>
      </c>
      <c r="D951" s="109" t="s">
        <v>120</v>
      </c>
      <c r="E951" s="109">
        <v>128</v>
      </c>
      <c r="F951" s="110">
        <v>5973</v>
      </c>
      <c r="G951" s="109" t="s">
        <v>120</v>
      </c>
      <c r="H951" s="109">
        <v>47</v>
      </c>
      <c r="I951" s="109">
        <v>939</v>
      </c>
      <c r="J951" s="110">
        <v>1515</v>
      </c>
    </row>
    <row r="952" spans="1:10">
      <c r="A952" s="103" t="s">
        <v>2187</v>
      </c>
      <c r="B952" s="124" t="s">
        <v>932</v>
      </c>
      <c r="C952" s="110">
        <v>501</v>
      </c>
      <c r="D952" s="109" t="s">
        <v>120</v>
      </c>
      <c r="E952" s="109">
        <v>5</v>
      </c>
      <c r="F952" s="110">
        <v>2128</v>
      </c>
      <c r="G952" s="109" t="s">
        <v>120</v>
      </c>
      <c r="H952" s="109">
        <v>425</v>
      </c>
      <c r="I952" s="109" t="s">
        <v>122</v>
      </c>
      <c r="J952" s="110" t="s">
        <v>122</v>
      </c>
    </row>
    <row r="953" spans="1:10">
      <c r="A953" s="103" t="s">
        <v>2188</v>
      </c>
      <c r="B953" s="124" t="s">
        <v>934</v>
      </c>
      <c r="C953" s="110">
        <v>12328</v>
      </c>
      <c r="D953" s="109" t="s">
        <v>120</v>
      </c>
      <c r="E953" s="109">
        <v>123</v>
      </c>
      <c r="F953" s="110">
        <v>3845</v>
      </c>
      <c r="G953" s="109" t="s">
        <v>120</v>
      </c>
      <c r="H953" s="109">
        <v>31</v>
      </c>
      <c r="I953" s="109" t="s">
        <v>122</v>
      </c>
      <c r="J953" s="110" t="s">
        <v>122</v>
      </c>
    </row>
    <row r="954" spans="1:10">
      <c r="A954" s="103" t="s">
        <v>2189</v>
      </c>
      <c r="B954" s="124" t="s">
        <v>2190</v>
      </c>
      <c r="C954" s="110">
        <v>12831</v>
      </c>
      <c r="D954" s="109" t="s">
        <v>120</v>
      </c>
      <c r="E954" s="109">
        <v>128</v>
      </c>
      <c r="F954" s="110">
        <v>5509</v>
      </c>
      <c r="G954" s="109" t="s">
        <v>120</v>
      </c>
      <c r="H954" s="109">
        <v>43</v>
      </c>
      <c r="I954" s="109">
        <v>938</v>
      </c>
      <c r="J954" s="110">
        <v>1613</v>
      </c>
    </row>
    <row r="955" spans="1:10">
      <c r="A955" s="103" t="s">
        <v>2191</v>
      </c>
      <c r="B955" s="124" t="s">
        <v>932</v>
      </c>
      <c r="C955" s="110">
        <v>1852</v>
      </c>
      <c r="D955" s="109" t="s">
        <v>120</v>
      </c>
      <c r="E955" s="109">
        <v>19</v>
      </c>
      <c r="F955" s="110">
        <v>2091</v>
      </c>
      <c r="G955" s="109" t="s">
        <v>120</v>
      </c>
      <c r="H955" s="109">
        <v>113</v>
      </c>
      <c r="I955" s="109" t="s">
        <v>122</v>
      </c>
      <c r="J955" s="110" t="s">
        <v>122</v>
      </c>
    </row>
    <row r="956" spans="1:10">
      <c r="A956" s="103" t="s">
        <v>2192</v>
      </c>
      <c r="B956" s="124" t="s">
        <v>934</v>
      </c>
      <c r="C956" s="110">
        <v>10979</v>
      </c>
      <c r="D956" s="109" t="s">
        <v>120</v>
      </c>
      <c r="E956" s="109">
        <v>109</v>
      </c>
      <c r="F956" s="110">
        <v>3418</v>
      </c>
      <c r="G956" s="109" t="s">
        <v>120</v>
      </c>
      <c r="H956" s="109">
        <v>31</v>
      </c>
      <c r="I956" s="109" t="s">
        <v>122</v>
      </c>
      <c r="J956" s="110" t="s">
        <v>122</v>
      </c>
    </row>
    <row r="957" spans="1:10" s="119" customFormat="1">
      <c r="A957" s="123" t="s">
        <v>120</v>
      </c>
      <c r="B957" s="273" t="s">
        <v>2193</v>
      </c>
      <c r="C957" s="274"/>
      <c r="D957" s="274"/>
      <c r="E957" s="274"/>
      <c r="F957" s="274"/>
      <c r="G957" s="274"/>
      <c r="H957" s="274"/>
      <c r="I957" s="274"/>
      <c r="J957" s="274"/>
    </row>
    <row r="958" spans="1:10" s="119" customFormat="1">
      <c r="A958" s="123" t="s">
        <v>120</v>
      </c>
      <c r="B958" s="275" t="s">
        <v>922</v>
      </c>
      <c r="C958" s="276"/>
      <c r="D958" s="276"/>
      <c r="E958" s="276"/>
      <c r="F958" s="276"/>
      <c r="G958" s="276"/>
      <c r="H958" s="276"/>
      <c r="I958" s="276"/>
      <c r="J958" s="276"/>
    </row>
    <row r="959" spans="1:10">
      <c r="A959" s="103" t="s">
        <v>2194</v>
      </c>
      <c r="B959" s="124" t="s">
        <v>2195</v>
      </c>
      <c r="C959" s="110">
        <v>1797</v>
      </c>
      <c r="D959" s="109" t="s">
        <v>120</v>
      </c>
      <c r="E959" s="109">
        <v>18</v>
      </c>
      <c r="F959" s="110">
        <v>13066</v>
      </c>
      <c r="G959" s="109" t="s">
        <v>120</v>
      </c>
      <c r="H959" s="109">
        <v>727</v>
      </c>
      <c r="I959" s="109">
        <v>2254</v>
      </c>
      <c r="J959" s="110">
        <v>627</v>
      </c>
    </row>
    <row r="960" spans="1:10" s="119" customFormat="1">
      <c r="A960" s="123" t="s">
        <v>120</v>
      </c>
      <c r="B960" s="275" t="s">
        <v>924</v>
      </c>
      <c r="C960" s="276"/>
      <c r="D960" s="276"/>
      <c r="E960" s="276"/>
      <c r="F960" s="276"/>
      <c r="G960" s="276"/>
      <c r="H960" s="276"/>
      <c r="I960" s="276"/>
      <c r="J960" s="276"/>
    </row>
    <row r="961" spans="1:10">
      <c r="A961" s="103" t="s">
        <v>2196</v>
      </c>
      <c r="B961" s="124" t="s">
        <v>2197</v>
      </c>
      <c r="C961" s="110">
        <v>13929</v>
      </c>
      <c r="D961" s="109" t="s">
        <v>120</v>
      </c>
      <c r="E961" s="109">
        <v>139</v>
      </c>
      <c r="F961" s="110">
        <v>2844</v>
      </c>
      <c r="G961" s="109" t="s">
        <v>120</v>
      </c>
      <c r="H961" s="109">
        <v>20</v>
      </c>
      <c r="I961" s="109">
        <v>791</v>
      </c>
      <c r="J961" s="110">
        <v>2218</v>
      </c>
    </row>
    <row r="962" spans="1:10">
      <c r="A962" s="103" t="s">
        <v>2198</v>
      </c>
      <c r="B962" s="124" t="s">
        <v>2199</v>
      </c>
      <c r="C962" s="110">
        <v>17627</v>
      </c>
      <c r="D962" s="109" t="s">
        <v>120</v>
      </c>
      <c r="E962" s="109">
        <v>176</v>
      </c>
      <c r="F962" s="110">
        <v>3697</v>
      </c>
      <c r="G962" s="109" t="s">
        <v>120</v>
      </c>
      <c r="H962" s="109">
        <v>21</v>
      </c>
      <c r="I962" s="109">
        <v>477</v>
      </c>
      <c r="J962" s="110">
        <v>2065</v>
      </c>
    </row>
    <row r="963" spans="1:10">
      <c r="A963" s="103" t="s">
        <v>2200</v>
      </c>
      <c r="B963" s="124" t="s">
        <v>2201</v>
      </c>
      <c r="C963" s="110">
        <v>13167</v>
      </c>
      <c r="D963" s="109" t="s">
        <v>120</v>
      </c>
      <c r="E963" s="109">
        <v>132</v>
      </c>
      <c r="F963" s="110">
        <v>2097</v>
      </c>
      <c r="G963" s="109" t="s">
        <v>120</v>
      </c>
      <c r="H963" s="109">
        <v>16</v>
      </c>
      <c r="I963" s="109">
        <v>887</v>
      </c>
      <c r="J963" s="110">
        <v>2289</v>
      </c>
    </row>
    <row r="964" spans="1:10">
      <c r="A964" s="103" t="s">
        <v>2202</v>
      </c>
      <c r="B964" s="124" t="s">
        <v>2203</v>
      </c>
      <c r="C964" s="110">
        <v>17214</v>
      </c>
      <c r="D964" s="109" t="s">
        <v>120</v>
      </c>
      <c r="E964" s="109">
        <v>172</v>
      </c>
      <c r="F964" s="110">
        <v>4146</v>
      </c>
      <c r="G964" s="109" t="s">
        <v>120</v>
      </c>
      <c r="H964" s="109">
        <v>24</v>
      </c>
      <c r="I964" s="109">
        <v>499</v>
      </c>
      <c r="J964" s="110">
        <v>1962</v>
      </c>
    </row>
    <row r="965" spans="1:10">
      <c r="A965" s="103" t="s">
        <v>2204</v>
      </c>
      <c r="B965" s="124" t="s">
        <v>2195</v>
      </c>
      <c r="C965" s="110">
        <v>24503</v>
      </c>
      <c r="D965" s="109" t="s">
        <v>120</v>
      </c>
      <c r="E965" s="109">
        <v>245</v>
      </c>
      <c r="F965" s="110">
        <v>6089</v>
      </c>
      <c r="G965" s="109" t="s">
        <v>120</v>
      </c>
      <c r="H965" s="109">
        <v>25</v>
      </c>
      <c r="I965" s="109">
        <v>191</v>
      </c>
      <c r="J965" s="110">
        <v>1484</v>
      </c>
    </row>
    <row r="966" spans="1:10">
      <c r="A966" s="103" t="s">
        <v>2205</v>
      </c>
      <c r="B966" s="124" t="s">
        <v>2206</v>
      </c>
      <c r="C966" s="110">
        <v>15407</v>
      </c>
      <c r="D966" s="109" t="s">
        <v>120</v>
      </c>
      <c r="E966" s="109">
        <v>154</v>
      </c>
      <c r="F966" s="110">
        <v>3848</v>
      </c>
      <c r="G966" s="109" t="s">
        <v>120</v>
      </c>
      <c r="H966" s="109">
        <v>25</v>
      </c>
      <c r="I966" s="109">
        <v>639</v>
      </c>
      <c r="J966" s="110">
        <v>2031</v>
      </c>
    </row>
    <row r="967" spans="1:10">
      <c r="A967" s="103" t="s">
        <v>2207</v>
      </c>
      <c r="B967" s="124" t="s">
        <v>2208</v>
      </c>
      <c r="C967" s="110">
        <v>21998</v>
      </c>
      <c r="D967" s="109" t="s">
        <v>120</v>
      </c>
      <c r="E967" s="109">
        <v>220</v>
      </c>
      <c r="F967" s="110">
        <v>2566</v>
      </c>
      <c r="G967" s="109" t="s">
        <v>120</v>
      </c>
      <c r="H967" s="109">
        <v>12</v>
      </c>
      <c r="I967" s="109">
        <v>259</v>
      </c>
      <c r="J967" s="110">
        <v>2254</v>
      </c>
    </row>
    <row r="968" spans="1:10" s="119" customFormat="1">
      <c r="A968" s="123" t="s">
        <v>120</v>
      </c>
      <c r="B968" s="273" t="s">
        <v>2209</v>
      </c>
      <c r="C968" s="274"/>
      <c r="D968" s="274"/>
      <c r="E968" s="274"/>
      <c r="F968" s="274"/>
      <c r="G968" s="274"/>
      <c r="H968" s="274"/>
      <c r="I968" s="274"/>
      <c r="J968" s="274"/>
    </row>
    <row r="969" spans="1:10" s="119" customFormat="1">
      <c r="A969" s="123" t="s">
        <v>120</v>
      </c>
      <c r="B969" s="275" t="s">
        <v>943</v>
      </c>
      <c r="C969" s="276"/>
      <c r="D969" s="276"/>
      <c r="E969" s="276"/>
      <c r="F969" s="276"/>
      <c r="G969" s="276"/>
      <c r="H969" s="276"/>
      <c r="I969" s="276"/>
      <c r="J969" s="276"/>
    </row>
    <row r="970" spans="1:10">
      <c r="A970" s="103" t="s">
        <v>2210</v>
      </c>
      <c r="B970" s="124" t="s">
        <v>2037</v>
      </c>
      <c r="C970" s="110">
        <v>11066</v>
      </c>
      <c r="D970" s="109" t="s">
        <v>120</v>
      </c>
      <c r="E970" s="109">
        <v>111</v>
      </c>
      <c r="F970" s="110">
        <v>4646</v>
      </c>
      <c r="G970" s="109" t="s">
        <v>120</v>
      </c>
      <c r="H970" s="109">
        <v>42</v>
      </c>
      <c r="I970" s="109">
        <v>1209</v>
      </c>
      <c r="J970" s="110">
        <v>1832</v>
      </c>
    </row>
    <row r="971" spans="1:10">
      <c r="A971" s="103" t="s">
        <v>2211</v>
      </c>
      <c r="B971" s="124" t="s">
        <v>2212</v>
      </c>
      <c r="C971" s="110">
        <v>12847</v>
      </c>
      <c r="D971" s="109" t="s">
        <v>120</v>
      </c>
      <c r="E971" s="109">
        <v>128</v>
      </c>
      <c r="F971" s="110">
        <v>3949</v>
      </c>
      <c r="G971" s="109" t="s">
        <v>120</v>
      </c>
      <c r="H971" s="109">
        <v>31</v>
      </c>
      <c r="I971" s="109">
        <v>936</v>
      </c>
      <c r="J971" s="110">
        <v>2003</v>
      </c>
    </row>
    <row r="972" spans="1:10">
      <c r="A972" s="103" t="s">
        <v>2213</v>
      </c>
      <c r="B972" s="124" t="s">
        <v>2214</v>
      </c>
      <c r="C972" s="110">
        <v>12380</v>
      </c>
      <c r="D972" s="109" t="s">
        <v>120</v>
      </c>
      <c r="E972" s="109">
        <v>124</v>
      </c>
      <c r="F972" s="110">
        <v>4939</v>
      </c>
      <c r="G972" s="109" t="s">
        <v>120</v>
      </c>
      <c r="H972" s="109">
        <v>40</v>
      </c>
      <c r="I972" s="109">
        <v>999</v>
      </c>
      <c r="J972" s="110">
        <v>1751</v>
      </c>
    </row>
    <row r="973" spans="1:10">
      <c r="A973" s="103" t="s">
        <v>2215</v>
      </c>
      <c r="B973" s="124" t="s">
        <v>2216</v>
      </c>
      <c r="C973" s="110">
        <v>8731</v>
      </c>
      <c r="D973" s="109" t="s">
        <v>120</v>
      </c>
      <c r="E973" s="109">
        <v>87</v>
      </c>
      <c r="F973" s="110">
        <v>6235</v>
      </c>
      <c r="G973" s="109" t="s">
        <v>120</v>
      </c>
      <c r="H973" s="109">
        <v>71</v>
      </c>
      <c r="I973" s="109">
        <v>1572</v>
      </c>
      <c r="J973" s="110">
        <v>1453</v>
      </c>
    </row>
    <row r="974" spans="1:10">
      <c r="A974" s="103" t="s">
        <v>2217</v>
      </c>
      <c r="B974" s="124" t="s">
        <v>2218</v>
      </c>
      <c r="C974" s="110">
        <v>15607</v>
      </c>
      <c r="D974" s="109" t="s">
        <v>120</v>
      </c>
      <c r="E974" s="109">
        <v>156</v>
      </c>
      <c r="F974" s="110">
        <v>5726</v>
      </c>
      <c r="G974" s="109" t="s">
        <v>120</v>
      </c>
      <c r="H974" s="109">
        <v>37</v>
      </c>
      <c r="I974" s="109">
        <v>625</v>
      </c>
      <c r="J974" s="110">
        <v>1572</v>
      </c>
    </row>
    <row r="975" spans="1:10">
      <c r="A975" s="103" t="s">
        <v>2219</v>
      </c>
      <c r="B975" s="124" t="s">
        <v>2220</v>
      </c>
      <c r="C975" s="110">
        <v>11226</v>
      </c>
      <c r="D975" s="109" t="s">
        <v>120</v>
      </c>
      <c r="E975" s="109">
        <v>112</v>
      </c>
      <c r="F975" s="110">
        <v>5427</v>
      </c>
      <c r="G975" s="109" t="s">
        <v>120</v>
      </c>
      <c r="H975" s="109">
        <v>48</v>
      </c>
      <c r="I975" s="109">
        <v>1170</v>
      </c>
      <c r="J975" s="110">
        <v>1628</v>
      </c>
    </row>
    <row r="976" spans="1:10">
      <c r="A976" s="103" t="s">
        <v>2221</v>
      </c>
      <c r="B976" s="124" t="s">
        <v>2222</v>
      </c>
      <c r="C976" s="110">
        <v>10995</v>
      </c>
      <c r="D976" s="109" t="s">
        <v>120</v>
      </c>
      <c r="E976" s="109">
        <v>110</v>
      </c>
      <c r="F976" s="110">
        <v>5644</v>
      </c>
      <c r="G976" s="109" t="s">
        <v>120</v>
      </c>
      <c r="H976" s="109">
        <v>51</v>
      </c>
      <c r="I976" s="109">
        <v>1227</v>
      </c>
      <c r="J976" s="110">
        <v>1582</v>
      </c>
    </row>
    <row r="977" spans="1:10">
      <c r="A977" s="103" t="s">
        <v>2223</v>
      </c>
      <c r="B977" s="124" t="s">
        <v>2224</v>
      </c>
      <c r="C977" s="110">
        <v>11174</v>
      </c>
      <c r="D977" s="109" t="s">
        <v>120</v>
      </c>
      <c r="E977" s="109">
        <v>112</v>
      </c>
      <c r="F977" s="110">
        <v>6708</v>
      </c>
      <c r="G977" s="109" t="s">
        <v>120</v>
      </c>
      <c r="H977" s="109">
        <v>60</v>
      </c>
      <c r="I977" s="109">
        <v>1184</v>
      </c>
      <c r="J977" s="110">
        <v>1359</v>
      </c>
    </row>
    <row r="978" spans="1:10">
      <c r="A978" s="103" t="s">
        <v>2225</v>
      </c>
      <c r="B978" s="124" t="s">
        <v>2226</v>
      </c>
      <c r="C978" s="110">
        <v>13921</v>
      </c>
      <c r="D978" s="109" t="s">
        <v>120</v>
      </c>
      <c r="E978" s="109">
        <v>139</v>
      </c>
      <c r="F978" s="110">
        <v>5121</v>
      </c>
      <c r="G978" s="109" t="s">
        <v>120</v>
      </c>
      <c r="H978" s="109">
        <v>37</v>
      </c>
      <c r="I978" s="109">
        <v>792</v>
      </c>
      <c r="J978" s="110">
        <v>1712</v>
      </c>
    </row>
    <row r="979" spans="1:10">
      <c r="A979" s="103" t="s">
        <v>2227</v>
      </c>
      <c r="B979" s="124" t="s">
        <v>2228</v>
      </c>
      <c r="C979" s="110">
        <v>9751</v>
      </c>
      <c r="D979" s="109" t="s">
        <v>120</v>
      </c>
      <c r="E979" s="109">
        <v>98</v>
      </c>
      <c r="F979" s="110">
        <v>5163</v>
      </c>
      <c r="G979" s="109" t="s">
        <v>120</v>
      </c>
      <c r="H979" s="109">
        <v>53</v>
      </c>
      <c r="I979" s="109">
        <v>1427</v>
      </c>
      <c r="J979" s="110">
        <v>1699</v>
      </c>
    </row>
    <row r="980" spans="1:10">
      <c r="A980" s="103" t="s">
        <v>2229</v>
      </c>
      <c r="B980" s="124" t="s">
        <v>2230</v>
      </c>
      <c r="C980" s="110">
        <v>9324</v>
      </c>
      <c r="D980" s="109" t="s">
        <v>120</v>
      </c>
      <c r="E980" s="109">
        <v>93</v>
      </c>
      <c r="F980" s="110">
        <v>4479</v>
      </c>
      <c r="G980" s="109" t="s">
        <v>120</v>
      </c>
      <c r="H980" s="109">
        <v>48</v>
      </c>
      <c r="I980" s="109">
        <v>1497</v>
      </c>
      <c r="J980" s="110">
        <v>1874</v>
      </c>
    </row>
    <row r="981" spans="1:10">
      <c r="A981" s="103" t="s">
        <v>2231</v>
      </c>
      <c r="B981" s="124" t="s">
        <v>2232</v>
      </c>
      <c r="C981" s="110">
        <v>19613</v>
      </c>
      <c r="D981" s="109" t="s">
        <v>120</v>
      </c>
      <c r="E981" s="109">
        <v>196</v>
      </c>
      <c r="F981" s="110">
        <v>23155</v>
      </c>
      <c r="G981" s="109" t="s">
        <v>120</v>
      </c>
      <c r="H981" s="109">
        <v>118</v>
      </c>
      <c r="I981" s="109">
        <v>372</v>
      </c>
      <c r="J981" s="110">
        <v>279</v>
      </c>
    </row>
    <row r="982" spans="1:10" s="119" customFormat="1">
      <c r="A982" s="123" t="s">
        <v>120</v>
      </c>
      <c r="B982" s="275" t="s">
        <v>947</v>
      </c>
      <c r="C982" s="276"/>
      <c r="D982" s="276"/>
      <c r="E982" s="276"/>
      <c r="F982" s="276"/>
      <c r="G982" s="276"/>
      <c r="H982" s="276"/>
      <c r="I982" s="276"/>
      <c r="J982" s="276"/>
    </row>
    <row r="983" spans="1:10">
      <c r="A983" s="103" t="s">
        <v>2233</v>
      </c>
      <c r="B983" s="124" t="s">
        <v>2234</v>
      </c>
      <c r="C983" s="110">
        <v>12689</v>
      </c>
      <c r="D983" s="109" t="s">
        <v>120</v>
      </c>
      <c r="E983" s="109">
        <v>127</v>
      </c>
      <c r="F983" s="110">
        <v>7097</v>
      </c>
      <c r="G983" s="109" t="s">
        <v>120</v>
      </c>
      <c r="H983" s="109">
        <v>56</v>
      </c>
      <c r="I983" s="109">
        <v>959</v>
      </c>
      <c r="J983" s="110">
        <v>1280</v>
      </c>
    </row>
    <row r="984" spans="1:10">
      <c r="A984" s="103" t="s">
        <v>2235</v>
      </c>
      <c r="B984" s="124" t="s">
        <v>932</v>
      </c>
      <c r="C984" s="110">
        <v>699</v>
      </c>
      <c r="D984" s="109" t="s">
        <v>120</v>
      </c>
      <c r="E984" s="109">
        <v>7</v>
      </c>
      <c r="F984" s="110">
        <v>3101</v>
      </c>
      <c r="G984" s="109" t="s">
        <v>120</v>
      </c>
      <c r="H984" s="109">
        <v>444</v>
      </c>
      <c r="I984" s="109" t="s">
        <v>122</v>
      </c>
      <c r="J984" s="110" t="s">
        <v>122</v>
      </c>
    </row>
    <row r="985" spans="1:10">
      <c r="A985" s="103" t="s">
        <v>2236</v>
      </c>
      <c r="B985" s="124" t="s">
        <v>934</v>
      </c>
      <c r="C985" s="110">
        <v>11990</v>
      </c>
      <c r="D985" s="109" t="s">
        <v>120</v>
      </c>
      <c r="E985" s="109">
        <v>120</v>
      </c>
      <c r="F985" s="110">
        <v>3996</v>
      </c>
      <c r="G985" s="109" t="s">
        <v>120</v>
      </c>
      <c r="H985" s="109">
        <v>33</v>
      </c>
      <c r="I985" s="109" t="s">
        <v>122</v>
      </c>
      <c r="J985" s="110" t="s">
        <v>122</v>
      </c>
    </row>
    <row r="986" spans="1:10">
      <c r="A986" s="103" t="s">
        <v>2237</v>
      </c>
      <c r="B986" s="124" t="s">
        <v>2238</v>
      </c>
      <c r="C986" s="110">
        <v>12350</v>
      </c>
      <c r="D986" s="109" t="s">
        <v>120</v>
      </c>
      <c r="E986" s="109">
        <v>123</v>
      </c>
      <c r="F986" s="110">
        <v>11139</v>
      </c>
      <c r="G986" s="109" t="s">
        <v>120</v>
      </c>
      <c r="H986" s="109">
        <v>90</v>
      </c>
      <c r="I986" s="109">
        <v>1005</v>
      </c>
      <c r="J986" s="110">
        <v>775</v>
      </c>
    </row>
    <row r="987" spans="1:10">
      <c r="A987" s="103" t="s">
        <v>2239</v>
      </c>
      <c r="B987" s="124" t="s">
        <v>932</v>
      </c>
      <c r="C987" s="110">
        <v>2912</v>
      </c>
      <c r="D987" s="109" t="s">
        <v>120</v>
      </c>
      <c r="E987" s="109">
        <v>29</v>
      </c>
      <c r="F987" s="110">
        <v>4964</v>
      </c>
      <c r="G987" s="109" t="s">
        <v>120</v>
      </c>
      <c r="H987" s="109">
        <v>170</v>
      </c>
      <c r="I987" s="109" t="s">
        <v>122</v>
      </c>
      <c r="J987" s="110" t="s">
        <v>122</v>
      </c>
    </row>
    <row r="988" spans="1:10">
      <c r="A988" s="103" t="s">
        <v>2240</v>
      </c>
      <c r="B988" s="124" t="s">
        <v>934</v>
      </c>
      <c r="C988" s="110">
        <v>9438</v>
      </c>
      <c r="D988" s="109" t="s">
        <v>120</v>
      </c>
      <c r="E988" s="109">
        <v>94</v>
      </c>
      <c r="F988" s="110">
        <v>6175</v>
      </c>
      <c r="G988" s="109" t="s">
        <v>120</v>
      </c>
      <c r="H988" s="109">
        <v>65</v>
      </c>
      <c r="I988" s="109" t="s">
        <v>122</v>
      </c>
      <c r="J988" s="110" t="s">
        <v>122</v>
      </c>
    </row>
    <row r="989" spans="1:10">
      <c r="A989" s="103" t="s">
        <v>2241</v>
      </c>
      <c r="B989" s="124" t="s">
        <v>2242</v>
      </c>
      <c r="C989" s="110">
        <v>15355</v>
      </c>
      <c r="D989" s="109" t="s">
        <v>120</v>
      </c>
      <c r="E989" s="109">
        <v>154</v>
      </c>
      <c r="F989" s="110">
        <v>6694</v>
      </c>
      <c r="G989" s="109" t="s">
        <v>120</v>
      </c>
      <c r="H989" s="109">
        <v>44</v>
      </c>
      <c r="I989" s="109">
        <v>644</v>
      </c>
      <c r="J989" s="110">
        <v>1361</v>
      </c>
    </row>
    <row r="990" spans="1:10">
      <c r="A990" s="103" t="s">
        <v>2243</v>
      </c>
      <c r="B990" s="124" t="s">
        <v>932</v>
      </c>
      <c r="C990" s="110">
        <v>619</v>
      </c>
      <c r="D990" s="109" t="s">
        <v>120</v>
      </c>
      <c r="E990" s="109">
        <v>6</v>
      </c>
      <c r="F990" s="110">
        <v>3165</v>
      </c>
      <c r="G990" s="109" t="s">
        <v>120</v>
      </c>
      <c r="H990" s="109">
        <v>511</v>
      </c>
      <c r="I990" s="109" t="s">
        <v>122</v>
      </c>
      <c r="J990" s="110" t="s">
        <v>122</v>
      </c>
    </row>
    <row r="991" spans="1:10">
      <c r="A991" s="103" t="s">
        <v>2244</v>
      </c>
      <c r="B991" s="124" t="s">
        <v>934</v>
      </c>
      <c r="C991" s="110">
        <v>14736</v>
      </c>
      <c r="D991" s="109" t="s">
        <v>120</v>
      </c>
      <c r="E991" s="109">
        <v>148</v>
      </c>
      <c r="F991" s="110">
        <v>3529</v>
      </c>
      <c r="G991" s="109" t="s">
        <v>120</v>
      </c>
      <c r="H991" s="109">
        <v>24</v>
      </c>
      <c r="I991" s="109" t="s">
        <v>122</v>
      </c>
      <c r="J991" s="110" t="s">
        <v>122</v>
      </c>
    </row>
    <row r="992" spans="1:10" s="119" customFormat="1">
      <c r="A992" s="123" t="s">
        <v>120</v>
      </c>
      <c r="B992" s="273" t="s">
        <v>1757</v>
      </c>
      <c r="C992" s="274"/>
      <c r="D992" s="274"/>
      <c r="E992" s="274"/>
      <c r="F992" s="274"/>
      <c r="G992" s="274"/>
      <c r="H992" s="274"/>
      <c r="I992" s="274"/>
      <c r="J992" s="274"/>
    </row>
    <row r="993" spans="1:10">
      <c r="A993" s="103" t="s">
        <v>2245</v>
      </c>
      <c r="B993" s="124" t="s">
        <v>1770</v>
      </c>
      <c r="C993" s="110">
        <v>4940</v>
      </c>
      <c r="D993" s="109" t="s">
        <v>120</v>
      </c>
      <c r="E993" s="109">
        <v>49</v>
      </c>
      <c r="F993" s="110">
        <v>57170</v>
      </c>
      <c r="G993" s="109" t="s">
        <v>120</v>
      </c>
      <c r="H993" s="109">
        <v>1157</v>
      </c>
      <c r="I993" s="109">
        <v>2025</v>
      </c>
      <c r="J993" s="110">
        <v>77</v>
      </c>
    </row>
    <row r="994" spans="1:10">
      <c r="A994" s="103" t="s">
        <v>2246</v>
      </c>
      <c r="B994" s="124" t="s">
        <v>1841</v>
      </c>
      <c r="C994" s="110">
        <v>3528</v>
      </c>
      <c r="D994" s="109" t="s">
        <v>120</v>
      </c>
      <c r="E994" s="109">
        <v>35</v>
      </c>
      <c r="F994" s="110">
        <v>61932</v>
      </c>
      <c r="G994" s="109" t="s">
        <v>120</v>
      </c>
      <c r="H994" s="109">
        <v>1755</v>
      </c>
      <c r="I994" s="109">
        <v>2125</v>
      </c>
      <c r="J994" s="110">
        <v>69</v>
      </c>
    </row>
    <row r="995" spans="1:10">
      <c r="A995" s="103" t="s">
        <v>2247</v>
      </c>
      <c r="B995" s="124" t="s">
        <v>2248</v>
      </c>
      <c r="C995" s="110">
        <v>14747</v>
      </c>
      <c r="D995" s="109" t="s">
        <v>120</v>
      </c>
      <c r="E995" s="109">
        <v>148</v>
      </c>
      <c r="F995" s="110">
        <v>339784</v>
      </c>
      <c r="G995" s="105" t="s">
        <v>927</v>
      </c>
      <c r="H995" s="109">
        <v>2304</v>
      </c>
      <c r="I995" s="109">
        <v>701</v>
      </c>
      <c r="J995" s="110">
        <v>9</v>
      </c>
    </row>
    <row r="996" spans="1:10">
      <c r="A996" s="103" t="s">
        <v>2249</v>
      </c>
      <c r="B996" s="124" t="s">
        <v>2232</v>
      </c>
      <c r="C996" s="110">
        <v>3034</v>
      </c>
      <c r="D996" s="109" t="s">
        <v>120</v>
      </c>
      <c r="E996" s="109">
        <v>30</v>
      </c>
      <c r="F996" s="110">
        <v>63437</v>
      </c>
      <c r="G996" s="109" t="s">
        <v>120</v>
      </c>
      <c r="H996" s="109">
        <v>2091</v>
      </c>
      <c r="I996" s="109">
        <v>2166</v>
      </c>
      <c r="J996" s="110">
        <v>63</v>
      </c>
    </row>
    <row r="997" spans="1:10" s="119" customFormat="1">
      <c r="A997" s="123" t="s">
        <v>120</v>
      </c>
      <c r="B997" s="273" t="s">
        <v>17</v>
      </c>
      <c r="C997" s="274"/>
      <c r="D997" s="274"/>
      <c r="E997" s="274"/>
      <c r="F997" s="274"/>
      <c r="G997" s="274"/>
      <c r="H997" s="274"/>
      <c r="I997" s="274"/>
      <c r="J997" s="274"/>
    </row>
    <row r="998" spans="1:10" s="119" customFormat="1">
      <c r="A998" s="123" t="s">
        <v>120</v>
      </c>
      <c r="B998" s="273" t="s">
        <v>2250</v>
      </c>
      <c r="C998" s="274"/>
      <c r="D998" s="274"/>
      <c r="E998" s="274"/>
      <c r="F998" s="274"/>
      <c r="G998" s="274"/>
      <c r="H998" s="274"/>
      <c r="I998" s="274"/>
      <c r="J998" s="274"/>
    </row>
    <row r="999" spans="1:10" s="119" customFormat="1">
      <c r="A999" s="123" t="s">
        <v>120</v>
      </c>
      <c r="B999" s="275" t="s">
        <v>922</v>
      </c>
      <c r="C999" s="276"/>
      <c r="D999" s="276"/>
      <c r="E999" s="276"/>
      <c r="F999" s="276"/>
      <c r="G999" s="276"/>
      <c r="H999" s="276"/>
      <c r="I999" s="276"/>
      <c r="J999" s="276"/>
    </row>
    <row r="1000" spans="1:10">
      <c r="A1000" s="103" t="s">
        <v>2251</v>
      </c>
      <c r="B1000" s="124" t="s">
        <v>2252</v>
      </c>
      <c r="C1000" s="110">
        <v>4614</v>
      </c>
      <c r="D1000" s="109" t="s">
        <v>120</v>
      </c>
      <c r="E1000" s="109">
        <v>46</v>
      </c>
      <c r="F1000" s="110">
        <v>17730</v>
      </c>
      <c r="G1000" s="109" t="s">
        <v>120</v>
      </c>
      <c r="H1000" s="109">
        <v>384</v>
      </c>
      <c r="I1000" s="109">
        <v>2054</v>
      </c>
      <c r="J1000" s="110">
        <v>410</v>
      </c>
    </row>
    <row r="1001" spans="1:10" s="119" customFormat="1">
      <c r="A1001" s="123" t="s">
        <v>120</v>
      </c>
      <c r="B1001" s="275" t="s">
        <v>924</v>
      </c>
      <c r="C1001" s="276"/>
      <c r="D1001" s="276"/>
      <c r="E1001" s="276"/>
      <c r="F1001" s="276"/>
      <c r="G1001" s="276"/>
      <c r="H1001" s="276"/>
      <c r="I1001" s="276"/>
      <c r="J1001" s="276"/>
    </row>
    <row r="1002" spans="1:10">
      <c r="A1002" s="103" t="s">
        <v>2253</v>
      </c>
      <c r="B1002" s="124" t="s">
        <v>2254</v>
      </c>
      <c r="C1002" s="110">
        <v>11173</v>
      </c>
      <c r="D1002" s="109" t="s">
        <v>120</v>
      </c>
      <c r="E1002" s="109">
        <v>112</v>
      </c>
      <c r="F1002" s="110">
        <v>7104</v>
      </c>
      <c r="G1002" s="109" t="s">
        <v>120</v>
      </c>
      <c r="H1002" s="109">
        <v>64</v>
      </c>
      <c r="I1002" s="109">
        <v>1185</v>
      </c>
      <c r="J1002" s="110">
        <v>1277</v>
      </c>
    </row>
    <row r="1003" spans="1:10">
      <c r="A1003" s="103" t="s">
        <v>2255</v>
      </c>
      <c r="B1003" s="124" t="s">
        <v>2256</v>
      </c>
      <c r="C1003" s="110">
        <v>16831</v>
      </c>
      <c r="D1003" s="109" t="s">
        <v>120</v>
      </c>
      <c r="E1003" s="109">
        <v>168</v>
      </c>
      <c r="F1003" s="110">
        <v>9942</v>
      </c>
      <c r="G1003" s="109" t="s">
        <v>120</v>
      </c>
      <c r="H1003" s="109">
        <v>59</v>
      </c>
      <c r="I1003" s="109">
        <v>531</v>
      </c>
      <c r="J1003" s="110">
        <v>880</v>
      </c>
    </row>
    <row r="1004" spans="1:10">
      <c r="A1004" s="103" t="s">
        <v>2257</v>
      </c>
      <c r="B1004" s="124" t="s">
        <v>2258</v>
      </c>
      <c r="C1004" s="110">
        <v>23472</v>
      </c>
      <c r="D1004" s="109" t="s">
        <v>120</v>
      </c>
      <c r="E1004" s="109">
        <v>235</v>
      </c>
      <c r="F1004" s="110">
        <v>8677</v>
      </c>
      <c r="G1004" s="109" t="s">
        <v>120</v>
      </c>
      <c r="H1004" s="109">
        <v>37</v>
      </c>
      <c r="I1004" s="109">
        <v>219</v>
      </c>
      <c r="J1004" s="110">
        <v>1027</v>
      </c>
    </row>
    <row r="1005" spans="1:10">
      <c r="A1005" s="103" t="s">
        <v>2259</v>
      </c>
      <c r="B1005" s="124" t="s">
        <v>2260</v>
      </c>
      <c r="C1005" s="110">
        <v>20526</v>
      </c>
      <c r="D1005" s="109" t="s">
        <v>120</v>
      </c>
      <c r="E1005" s="109">
        <v>205</v>
      </c>
      <c r="F1005" s="110">
        <v>6878</v>
      </c>
      <c r="G1005" s="109" t="s">
        <v>120</v>
      </c>
      <c r="H1005" s="109">
        <v>34</v>
      </c>
      <c r="I1005" s="109">
        <v>316</v>
      </c>
      <c r="J1005" s="110">
        <v>1323</v>
      </c>
    </row>
    <row r="1006" spans="1:10">
      <c r="A1006" s="103" t="s">
        <v>2261</v>
      </c>
      <c r="B1006" s="124" t="s">
        <v>2262</v>
      </c>
      <c r="C1006" s="110">
        <v>16939</v>
      </c>
      <c r="D1006" s="109" t="s">
        <v>120</v>
      </c>
      <c r="E1006" s="109">
        <v>169</v>
      </c>
      <c r="F1006" s="110">
        <v>8636</v>
      </c>
      <c r="G1006" s="109" t="s">
        <v>120</v>
      </c>
      <c r="H1006" s="109">
        <v>51</v>
      </c>
      <c r="I1006" s="109">
        <v>528</v>
      </c>
      <c r="J1006" s="110">
        <v>1031</v>
      </c>
    </row>
    <row r="1007" spans="1:10" s="119" customFormat="1">
      <c r="A1007" s="123" t="s">
        <v>120</v>
      </c>
      <c r="B1007" s="275" t="s">
        <v>1026</v>
      </c>
      <c r="C1007" s="276"/>
      <c r="D1007" s="276"/>
      <c r="E1007" s="276"/>
      <c r="F1007" s="276"/>
      <c r="G1007" s="276"/>
      <c r="H1007" s="276"/>
      <c r="I1007" s="276"/>
      <c r="J1007" s="276"/>
    </row>
    <row r="1008" spans="1:10">
      <c r="A1008" s="103" t="s">
        <v>2263</v>
      </c>
      <c r="B1008" s="124" t="s">
        <v>2264</v>
      </c>
      <c r="C1008" s="110">
        <v>27868</v>
      </c>
      <c r="D1008" s="109" t="s">
        <v>120</v>
      </c>
      <c r="E1008" s="109">
        <v>279</v>
      </c>
      <c r="F1008" s="110">
        <v>12869</v>
      </c>
      <c r="G1008" s="109" t="s">
        <v>120</v>
      </c>
      <c r="H1008" s="109">
        <v>46</v>
      </c>
      <c r="I1008" s="109">
        <v>131</v>
      </c>
      <c r="J1008" s="110">
        <v>641</v>
      </c>
    </row>
    <row r="1009" spans="1:10">
      <c r="A1009" s="103" t="s">
        <v>2265</v>
      </c>
      <c r="B1009" s="124" t="s">
        <v>932</v>
      </c>
      <c r="C1009" s="110">
        <v>824</v>
      </c>
      <c r="D1009" s="109" t="s">
        <v>120</v>
      </c>
      <c r="E1009" s="109">
        <v>8</v>
      </c>
      <c r="F1009" s="110">
        <v>6731</v>
      </c>
      <c r="G1009" s="109" t="s">
        <v>120</v>
      </c>
      <c r="H1009" s="109">
        <v>817</v>
      </c>
      <c r="I1009" s="109" t="s">
        <v>122</v>
      </c>
      <c r="J1009" s="110" t="s">
        <v>122</v>
      </c>
    </row>
    <row r="1010" spans="1:10">
      <c r="A1010" s="103" t="s">
        <v>2266</v>
      </c>
      <c r="B1010" s="124" t="s">
        <v>934</v>
      </c>
      <c r="C1010" s="110">
        <v>27044</v>
      </c>
      <c r="D1010" s="109" t="s">
        <v>120</v>
      </c>
      <c r="E1010" s="109">
        <v>271</v>
      </c>
      <c r="F1010" s="110">
        <v>6138</v>
      </c>
      <c r="G1010" s="109" t="s">
        <v>120</v>
      </c>
      <c r="H1010" s="109">
        <v>23</v>
      </c>
      <c r="I1010" s="109" t="s">
        <v>122</v>
      </c>
      <c r="J1010" s="110" t="s">
        <v>122</v>
      </c>
    </row>
    <row r="1011" spans="1:10" s="119" customFormat="1">
      <c r="A1011" s="123" t="s">
        <v>120</v>
      </c>
      <c r="B1011" s="273" t="s">
        <v>2267</v>
      </c>
      <c r="C1011" s="274"/>
      <c r="D1011" s="274"/>
      <c r="E1011" s="274"/>
      <c r="F1011" s="274"/>
      <c r="G1011" s="274"/>
      <c r="H1011" s="274"/>
      <c r="I1011" s="274"/>
      <c r="J1011" s="274"/>
    </row>
    <row r="1012" spans="1:10" s="119" customFormat="1">
      <c r="A1012" s="123" t="s">
        <v>120</v>
      </c>
      <c r="B1012" s="275" t="s">
        <v>1019</v>
      </c>
      <c r="C1012" s="276"/>
      <c r="D1012" s="276"/>
      <c r="E1012" s="276"/>
      <c r="F1012" s="276"/>
      <c r="G1012" s="276"/>
      <c r="H1012" s="276"/>
      <c r="I1012" s="276"/>
      <c r="J1012" s="276"/>
    </row>
    <row r="1013" spans="1:10">
      <c r="A1013" s="103" t="s">
        <v>2268</v>
      </c>
      <c r="B1013" s="124" t="s">
        <v>2269</v>
      </c>
      <c r="C1013" s="110">
        <v>2068</v>
      </c>
      <c r="D1013" s="109" t="s">
        <v>120</v>
      </c>
      <c r="E1013" s="109">
        <v>21</v>
      </c>
      <c r="F1013" s="110">
        <v>16614</v>
      </c>
      <c r="G1013" s="109" t="s">
        <v>120</v>
      </c>
      <c r="H1013" s="109">
        <v>803</v>
      </c>
      <c r="I1013" s="109">
        <v>2231</v>
      </c>
      <c r="J1013" s="110">
        <v>448</v>
      </c>
    </row>
    <row r="1014" spans="1:10" s="119" customFormat="1">
      <c r="A1014" s="123" t="s">
        <v>120</v>
      </c>
      <c r="B1014" s="275" t="s">
        <v>924</v>
      </c>
      <c r="C1014" s="276"/>
      <c r="D1014" s="276"/>
      <c r="E1014" s="276"/>
      <c r="F1014" s="276"/>
      <c r="G1014" s="276"/>
      <c r="H1014" s="276"/>
      <c r="I1014" s="276"/>
      <c r="J1014" s="276"/>
    </row>
    <row r="1015" spans="1:10">
      <c r="A1015" s="103" t="s">
        <v>2270</v>
      </c>
      <c r="B1015" s="124" t="s">
        <v>2271</v>
      </c>
      <c r="C1015" s="110">
        <v>18493</v>
      </c>
      <c r="D1015" s="109" t="s">
        <v>120</v>
      </c>
      <c r="E1015" s="109">
        <v>185</v>
      </c>
      <c r="F1015" s="110">
        <v>3178</v>
      </c>
      <c r="G1015" s="109" t="s">
        <v>120</v>
      </c>
      <c r="H1015" s="109">
        <v>17</v>
      </c>
      <c r="I1015" s="109">
        <v>421</v>
      </c>
      <c r="J1015" s="110">
        <v>2167</v>
      </c>
    </row>
    <row r="1016" spans="1:10">
      <c r="A1016" s="103" t="s">
        <v>2272</v>
      </c>
      <c r="B1016" s="124" t="s">
        <v>2273</v>
      </c>
      <c r="C1016" s="110">
        <v>20873</v>
      </c>
      <c r="D1016" s="109" t="s">
        <v>120</v>
      </c>
      <c r="E1016" s="109">
        <v>209</v>
      </c>
      <c r="F1016" s="110">
        <v>2507</v>
      </c>
      <c r="G1016" s="109" t="s">
        <v>120</v>
      </c>
      <c r="H1016" s="109">
        <v>12</v>
      </c>
      <c r="I1016" s="109">
        <v>294</v>
      </c>
      <c r="J1016" s="110">
        <v>2258</v>
      </c>
    </row>
    <row r="1017" spans="1:10">
      <c r="A1017" s="103" t="s">
        <v>2274</v>
      </c>
      <c r="B1017" s="124" t="s">
        <v>2275</v>
      </c>
      <c r="C1017" s="110">
        <v>17091</v>
      </c>
      <c r="D1017" s="109" t="s">
        <v>120</v>
      </c>
      <c r="E1017" s="109">
        <v>171</v>
      </c>
      <c r="F1017" s="110">
        <v>4923</v>
      </c>
      <c r="G1017" s="109" t="s">
        <v>120</v>
      </c>
      <c r="H1017" s="109">
        <v>29</v>
      </c>
      <c r="I1017" s="109">
        <v>508</v>
      </c>
      <c r="J1017" s="110">
        <v>1756</v>
      </c>
    </row>
    <row r="1018" spans="1:10">
      <c r="A1018" s="103" t="s">
        <v>2276</v>
      </c>
      <c r="B1018" s="124" t="s">
        <v>2269</v>
      </c>
      <c r="C1018" s="110">
        <v>37960</v>
      </c>
      <c r="D1018" s="109" t="s">
        <v>120</v>
      </c>
      <c r="E1018" s="109">
        <v>379</v>
      </c>
      <c r="F1018" s="110">
        <v>7138</v>
      </c>
      <c r="G1018" s="109" t="s">
        <v>120</v>
      </c>
      <c r="H1018" s="109">
        <v>19</v>
      </c>
      <c r="I1018" s="109">
        <v>30</v>
      </c>
      <c r="J1018" s="110">
        <v>1270</v>
      </c>
    </row>
    <row r="1019" spans="1:10">
      <c r="A1019" s="103" t="s">
        <v>2277</v>
      </c>
      <c r="B1019" s="124" t="s">
        <v>2278</v>
      </c>
      <c r="C1019" s="110">
        <v>21400</v>
      </c>
      <c r="D1019" s="109" t="s">
        <v>120</v>
      </c>
      <c r="E1019" s="109">
        <v>214</v>
      </c>
      <c r="F1019" s="110">
        <v>2799</v>
      </c>
      <c r="G1019" s="109" t="s">
        <v>120</v>
      </c>
      <c r="H1019" s="109">
        <v>13</v>
      </c>
      <c r="I1019" s="109">
        <v>276</v>
      </c>
      <c r="J1019" s="110">
        <v>2223</v>
      </c>
    </row>
    <row r="1020" spans="1:10" s="119" customFormat="1">
      <c r="A1020" s="123" t="s">
        <v>120</v>
      </c>
      <c r="B1020" s="275" t="s">
        <v>1026</v>
      </c>
      <c r="C1020" s="276"/>
      <c r="D1020" s="276"/>
      <c r="E1020" s="276"/>
      <c r="F1020" s="276"/>
      <c r="G1020" s="276"/>
      <c r="H1020" s="276"/>
      <c r="I1020" s="276"/>
      <c r="J1020" s="276"/>
    </row>
    <row r="1021" spans="1:10">
      <c r="A1021" s="103" t="s">
        <v>2279</v>
      </c>
      <c r="B1021" s="124" t="s">
        <v>2280</v>
      </c>
      <c r="C1021" s="110">
        <v>21240</v>
      </c>
      <c r="D1021" s="109" t="s">
        <v>120</v>
      </c>
      <c r="E1021" s="109">
        <v>212</v>
      </c>
      <c r="F1021" s="110">
        <v>17670</v>
      </c>
      <c r="G1021" s="109" t="s">
        <v>120</v>
      </c>
      <c r="H1021" s="109">
        <v>83</v>
      </c>
      <c r="I1021" s="109">
        <v>285</v>
      </c>
      <c r="J1021" s="110">
        <v>413</v>
      </c>
    </row>
    <row r="1022" spans="1:10">
      <c r="A1022" s="103" t="s">
        <v>2281</v>
      </c>
      <c r="B1022" s="124" t="s">
        <v>932</v>
      </c>
      <c r="C1022" s="110">
        <v>815</v>
      </c>
      <c r="D1022" s="109" t="s">
        <v>120</v>
      </c>
      <c r="E1022" s="109">
        <v>8</v>
      </c>
      <c r="F1022" s="110">
        <v>11238</v>
      </c>
      <c r="G1022" s="109" t="s">
        <v>120</v>
      </c>
      <c r="H1022" s="109">
        <v>1379</v>
      </c>
      <c r="I1022" s="109" t="s">
        <v>122</v>
      </c>
      <c r="J1022" s="110" t="s">
        <v>122</v>
      </c>
    </row>
    <row r="1023" spans="1:10">
      <c r="A1023" s="103" t="s">
        <v>2282</v>
      </c>
      <c r="B1023" s="124" t="s">
        <v>934</v>
      </c>
      <c r="C1023" s="110">
        <v>20425</v>
      </c>
      <c r="D1023" s="109" t="s">
        <v>120</v>
      </c>
      <c r="E1023" s="109">
        <v>204</v>
      </c>
      <c r="F1023" s="110">
        <v>6432</v>
      </c>
      <c r="G1023" s="109" t="s">
        <v>120</v>
      </c>
      <c r="H1023" s="109">
        <v>31</v>
      </c>
      <c r="I1023" s="109" t="s">
        <v>122</v>
      </c>
      <c r="J1023" s="110" t="s">
        <v>122</v>
      </c>
    </row>
    <row r="1024" spans="1:10" s="119" customFormat="1">
      <c r="A1024" s="123" t="s">
        <v>120</v>
      </c>
      <c r="B1024" s="273" t="s">
        <v>2283</v>
      </c>
      <c r="C1024" s="274"/>
      <c r="D1024" s="274"/>
      <c r="E1024" s="274"/>
      <c r="F1024" s="274"/>
      <c r="G1024" s="274"/>
      <c r="H1024" s="274"/>
      <c r="I1024" s="274"/>
      <c r="J1024" s="274"/>
    </row>
    <row r="1025" spans="1:10" s="119" customFormat="1" ht="15" customHeight="1">
      <c r="A1025" s="123" t="s">
        <v>120</v>
      </c>
      <c r="B1025" s="275" t="s">
        <v>943</v>
      </c>
      <c r="C1025" s="276"/>
      <c r="D1025" s="276"/>
      <c r="E1025" s="276"/>
      <c r="F1025" s="276"/>
      <c r="G1025" s="276"/>
      <c r="H1025" s="276"/>
      <c r="I1025" s="276"/>
      <c r="J1025" s="276"/>
    </row>
    <row r="1026" spans="1:10" ht="15" customHeight="1">
      <c r="A1026" s="103" t="s">
        <v>2284</v>
      </c>
      <c r="B1026" s="124" t="s">
        <v>2285</v>
      </c>
      <c r="C1026" s="110">
        <v>24748</v>
      </c>
      <c r="D1026" s="109" t="s">
        <v>120</v>
      </c>
      <c r="E1026" s="109">
        <v>247</v>
      </c>
      <c r="F1026" s="110">
        <v>4344</v>
      </c>
      <c r="G1026" s="109" t="s">
        <v>120</v>
      </c>
      <c r="H1026" s="109">
        <v>18</v>
      </c>
      <c r="I1026" s="109">
        <v>186</v>
      </c>
      <c r="J1026" s="110">
        <v>1911</v>
      </c>
    </row>
    <row r="1027" spans="1:10" ht="15" customHeight="1">
      <c r="A1027" s="103" t="s">
        <v>2286</v>
      </c>
      <c r="B1027" s="124" t="s">
        <v>2287</v>
      </c>
      <c r="C1027" s="110">
        <v>18482</v>
      </c>
      <c r="D1027" s="109" t="s">
        <v>120</v>
      </c>
      <c r="E1027" s="109">
        <v>185</v>
      </c>
      <c r="F1027" s="110">
        <v>5627</v>
      </c>
      <c r="G1027" s="109" t="s">
        <v>120</v>
      </c>
      <c r="H1027" s="109">
        <v>30</v>
      </c>
      <c r="I1027" s="109">
        <v>424</v>
      </c>
      <c r="J1027" s="110">
        <v>1587</v>
      </c>
    </row>
    <row r="1028" spans="1:10" ht="15" customHeight="1">
      <c r="A1028" s="103" t="s">
        <v>2288</v>
      </c>
      <c r="B1028" s="124" t="s">
        <v>2289</v>
      </c>
      <c r="C1028" s="110">
        <v>17767</v>
      </c>
      <c r="D1028" s="109" t="s">
        <v>120</v>
      </c>
      <c r="E1028" s="109">
        <v>178</v>
      </c>
      <c r="F1028" s="110">
        <v>4269</v>
      </c>
      <c r="G1028" s="109" t="s">
        <v>120</v>
      </c>
      <c r="H1028" s="109">
        <v>24</v>
      </c>
      <c r="I1028" s="109">
        <v>469</v>
      </c>
      <c r="J1028" s="110">
        <v>1936</v>
      </c>
    </row>
    <row r="1029" spans="1:10" s="119" customFormat="1" ht="15" customHeight="1">
      <c r="A1029" s="123" t="s">
        <v>120</v>
      </c>
      <c r="B1029" s="275" t="s">
        <v>947</v>
      </c>
      <c r="C1029" s="276"/>
      <c r="D1029" s="276"/>
      <c r="E1029" s="276"/>
      <c r="F1029" s="276"/>
      <c r="G1029" s="276"/>
      <c r="H1029" s="276"/>
      <c r="I1029" s="276"/>
      <c r="J1029" s="276"/>
    </row>
    <row r="1030" spans="1:10" ht="15" customHeight="1">
      <c r="A1030" s="103" t="s">
        <v>2290</v>
      </c>
      <c r="B1030" s="124" t="s">
        <v>2291</v>
      </c>
      <c r="C1030" s="110">
        <v>31532</v>
      </c>
      <c r="D1030" s="109" t="s">
        <v>120</v>
      </c>
      <c r="E1030" s="109">
        <v>315</v>
      </c>
      <c r="F1030" s="110">
        <v>24815</v>
      </c>
      <c r="G1030" s="109" t="s">
        <v>120</v>
      </c>
      <c r="H1030" s="109">
        <v>79</v>
      </c>
      <c r="I1030" s="109">
        <v>83</v>
      </c>
      <c r="J1030" s="110">
        <v>248</v>
      </c>
    </row>
    <row r="1031" spans="1:10" ht="15" customHeight="1">
      <c r="A1031" s="103" t="s">
        <v>2292</v>
      </c>
      <c r="B1031" s="124" t="s">
        <v>932</v>
      </c>
      <c r="C1031" s="110">
        <v>1026</v>
      </c>
      <c r="D1031" s="109" t="s">
        <v>120</v>
      </c>
      <c r="E1031" s="109">
        <v>10</v>
      </c>
      <c r="F1031" s="110">
        <v>17839</v>
      </c>
      <c r="G1031" s="109" t="s">
        <v>120</v>
      </c>
      <c r="H1031" s="109">
        <v>1739</v>
      </c>
      <c r="I1031" s="109" t="s">
        <v>122</v>
      </c>
      <c r="J1031" s="110" t="s">
        <v>122</v>
      </c>
    </row>
    <row r="1032" spans="1:10" ht="15" customHeight="1">
      <c r="A1032" s="103" t="s">
        <v>2293</v>
      </c>
      <c r="B1032" s="124" t="s">
        <v>934</v>
      </c>
      <c r="C1032" s="110">
        <v>30506</v>
      </c>
      <c r="D1032" s="109" t="s">
        <v>120</v>
      </c>
      <c r="E1032" s="109">
        <v>305</v>
      </c>
      <c r="F1032" s="110">
        <v>6976</v>
      </c>
      <c r="G1032" s="109" t="s">
        <v>120</v>
      </c>
      <c r="H1032" s="109">
        <v>23</v>
      </c>
      <c r="I1032" s="109" t="s">
        <v>122</v>
      </c>
      <c r="J1032" s="110" t="s">
        <v>122</v>
      </c>
    </row>
    <row r="1033" spans="1:10" ht="15" customHeight="1">
      <c r="A1033" s="103" t="s">
        <v>2294</v>
      </c>
      <c r="B1033" s="124" t="s">
        <v>2295</v>
      </c>
      <c r="C1033" s="110">
        <v>28481</v>
      </c>
      <c r="D1033" s="109" t="s">
        <v>120</v>
      </c>
      <c r="E1033" s="109">
        <v>285</v>
      </c>
      <c r="F1033" s="110">
        <v>12103</v>
      </c>
      <c r="G1033" s="109" t="s">
        <v>120</v>
      </c>
      <c r="H1033" s="109">
        <v>42</v>
      </c>
      <c r="I1033" s="109">
        <v>122</v>
      </c>
      <c r="J1033" s="110">
        <v>691</v>
      </c>
    </row>
    <row r="1034" spans="1:10" ht="15" customHeight="1">
      <c r="A1034" s="103" t="s">
        <v>2296</v>
      </c>
      <c r="B1034" s="124" t="s">
        <v>932</v>
      </c>
      <c r="C1034" s="110">
        <v>3589</v>
      </c>
      <c r="D1034" s="109" t="s">
        <v>120</v>
      </c>
      <c r="E1034" s="109">
        <v>36</v>
      </c>
      <c r="F1034" s="110">
        <v>9593</v>
      </c>
      <c r="G1034" s="109" t="s">
        <v>120</v>
      </c>
      <c r="H1034" s="109">
        <v>267</v>
      </c>
      <c r="I1034" s="109" t="s">
        <v>122</v>
      </c>
      <c r="J1034" s="110" t="s">
        <v>122</v>
      </c>
    </row>
    <row r="1035" spans="1:10" ht="15" customHeight="1">
      <c r="A1035" s="103" t="s">
        <v>2297</v>
      </c>
      <c r="B1035" s="124" t="s">
        <v>934</v>
      </c>
      <c r="C1035" s="110">
        <v>24892</v>
      </c>
      <c r="D1035" s="109" t="s">
        <v>120</v>
      </c>
      <c r="E1035" s="109">
        <v>249</v>
      </c>
      <c r="F1035" s="110">
        <v>2510</v>
      </c>
      <c r="G1035" s="109" t="s">
        <v>120</v>
      </c>
      <c r="H1035" s="109">
        <v>10</v>
      </c>
      <c r="I1035" s="109" t="s">
        <v>122</v>
      </c>
      <c r="J1035" s="110" t="s">
        <v>122</v>
      </c>
    </row>
    <row r="1036" spans="1:10" ht="15" customHeight="1">
      <c r="A1036" s="103" t="s">
        <v>2298</v>
      </c>
      <c r="B1036" s="124" t="s">
        <v>2299</v>
      </c>
      <c r="C1036" s="110">
        <v>17751</v>
      </c>
      <c r="D1036" s="109" t="s">
        <v>120</v>
      </c>
      <c r="E1036" s="109">
        <v>178</v>
      </c>
      <c r="F1036" s="110">
        <v>6407</v>
      </c>
      <c r="G1036" s="109" t="s">
        <v>120</v>
      </c>
      <c r="H1036" s="109">
        <v>36</v>
      </c>
      <c r="I1036" s="109">
        <v>470</v>
      </c>
      <c r="J1036" s="110">
        <v>1420</v>
      </c>
    </row>
    <row r="1037" spans="1:10" ht="15" customHeight="1">
      <c r="A1037" s="103" t="s">
        <v>2300</v>
      </c>
      <c r="B1037" s="124" t="s">
        <v>932</v>
      </c>
      <c r="C1037" s="110">
        <v>304</v>
      </c>
      <c r="D1037" s="109" t="s">
        <v>120</v>
      </c>
      <c r="E1037" s="109">
        <v>3</v>
      </c>
      <c r="F1037" s="110">
        <v>2358</v>
      </c>
      <c r="G1037" s="109" t="s">
        <v>120</v>
      </c>
      <c r="H1037" s="109">
        <v>776</v>
      </c>
      <c r="I1037" s="109" t="s">
        <v>122</v>
      </c>
      <c r="J1037" s="110" t="s">
        <v>122</v>
      </c>
    </row>
    <row r="1038" spans="1:10" ht="15" customHeight="1">
      <c r="A1038" s="103" t="s">
        <v>2301</v>
      </c>
      <c r="B1038" s="124" t="s">
        <v>934</v>
      </c>
      <c r="C1038" s="110">
        <v>17447</v>
      </c>
      <c r="D1038" s="109" t="s">
        <v>120</v>
      </c>
      <c r="E1038" s="109">
        <v>175</v>
      </c>
      <c r="F1038" s="110">
        <v>4049</v>
      </c>
      <c r="G1038" s="109" t="s">
        <v>120</v>
      </c>
      <c r="H1038" s="109">
        <v>23</v>
      </c>
      <c r="I1038" s="109" t="s">
        <v>122</v>
      </c>
      <c r="J1038" s="110" t="s">
        <v>122</v>
      </c>
    </row>
    <row r="1039" spans="1:10" s="119" customFormat="1">
      <c r="A1039" s="123" t="s">
        <v>120</v>
      </c>
      <c r="B1039" s="273" t="s">
        <v>2302</v>
      </c>
      <c r="C1039" s="274"/>
      <c r="D1039" s="274"/>
      <c r="E1039" s="274"/>
      <c r="F1039" s="274"/>
      <c r="G1039" s="274"/>
      <c r="H1039" s="274"/>
      <c r="I1039" s="274"/>
      <c r="J1039" s="274"/>
    </row>
    <row r="1040" spans="1:10" s="119" customFormat="1">
      <c r="A1040" s="123" t="s">
        <v>120</v>
      </c>
      <c r="B1040" s="275" t="s">
        <v>1019</v>
      </c>
      <c r="C1040" s="276"/>
      <c r="D1040" s="276"/>
      <c r="E1040" s="276"/>
      <c r="F1040" s="276"/>
      <c r="G1040" s="276"/>
      <c r="H1040" s="276"/>
      <c r="I1040" s="276"/>
      <c r="J1040" s="276"/>
    </row>
    <row r="1041" spans="1:10">
      <c r="A1041" s="103" t="s">
        <v>2303</v>
      </c>
      <c r="B1041" s="124" t="s">
        <v>2304</v>
      </c>
      <c r="C1041" s="110">
        <v>2180</v>
      </c>
      <c r="D1041" s="109" t="s">
        <v>120</v>
      </c>
      <c r="E1041" s="109">
        <v>22</v>
      </c>
      <c r="F1041" s="110">
        <v>38645</v>
      </c>
      <c r="G1041" s="109" t="s">
        <v>120</v>
      </c>
      <c r="H1041" s="109">
        <v>1773</v>
      </c>
      <c r="I1041" s="109">
        <v>2218</v>
      </c>
      <c r="J1041" s="110">
        <v>133</v>
      </c>
    </row>
    <row r="1042" spans="1:10" s="119" customFormat="1">
      <c r="A1042" s="123" t="s">
        <v>120</v>
      </c>
      <c r="B1042" s="275" t="s">
        <v>924</v>
      </c>
      <c r="C1042" s="276"/>
      <c r="D1042" s="276"/>
      <c r="E1042" s="276"/>
      <c r="F1042" s="276"/>
      <c r="G1042" s="276"/>
      <c r="H1042" s="276"/>
      <c r="I1042" s="276"/>
      <c r="J1042" s="276"/>
    </row>
    <row r="1043" spans="1:10">
      <c r="A1043" s="103" t="s">
        <v>2305</v>
      </c>
      <c r="B1043" s="124" t="s">
        <v>2306</v>
      </c>
      <c r="C1043" s="110">
        <v>8070</v>
      </c>
      <c r="D1043" s="109" t="s">
        <v>120</v>
      </c>
      <c r="E1043" s="109">
        <v>81</v>
      </c>
      <c r="F1043" s="110">
        <v>3311</v>
      </c>
      <c r="G1043" s="109" t="s">
        <v>120</v>
      </c>
      <c r="H1043" s="109">
        <v>41</v>
      </c>
      <c r="I1043" s="109">
        <v>1693</v>
      </c>
      <c r="J1043" s="110">
        <v>2145</v>
      </c>
    </row>
    <row r="1044" spans="1:10">
      <c r="A1044" s="103" t="s">
        <v>2307</v>
      </c>
      <c r="B1044" s="124" t="s">
        <v>2304</v>
      </c>
      <c r="C1044" s="110">
        <v>17596</v>
      </c>
      <c r="D1044" s="109" t="s">
        <v>120</v>
      </c>
      <c r="E1044" s="109">
        <v>176</v>
      </c>
      <c r="F1044" s="110">
        <v>6943</v>
      </c>
      <c r="G1044" s="109" t="s">
        <v>120</v>
      </c>
      <c r="H1044" s="109">
        <v>39</v>
      </c>
      <c r="I1044" s="109">
        <v>480</v>
      </c>
      <c r="J1044" s="110">
        <v>1308</v>
      </c>
    </row>
    <row r="1045" spans="1:10">
      <c r="A1045" s="103" t="s">
        <v>2308</v>
      </c>
      <c r="B1045" s="124" t="s">
        <v>2309</v>
      </c>
      <c r="C1045" s="110">
        <v>9216</v>
      </c>
      <c r="D1045" s="109" t="s">
        <v>120</v>
      </c>
      <c r="E1045" s="109">
        <v>92</v>
      </c>
      <c r="F1045" s="110">
        <v>3580</v>
      </c>
      <c r="G1045" s="109" t="s">
        <v>120</v>
      </c>
      <c r="H1045" s="109">
        <v>39</v>
      </c>
      <c r="I1045" s="109">
        <v>1510</v>
      </c>
      <c r="J1045" s="110">
        <v>2096</v>
      </c>
    </row>
    <row r="1046" spans="1:10" s="119" customFormat="1">
      <c r="A1046" s="123" t="s">
        <v>120</v>
      </c>
      <c r="B1046" s="275" t="s">
        <v>947</v>
      </c>
      <c r="C1046" s="276"/>
      <c r="D1046" s="276"/>
      <c r="E1046" s="276"/>
      <c r="F1046" s="276"/>
      <c r="G1046" s="276"/>
      <c r="H1046" s="276"/>
      <c r="I1046" s="276"/>
      <c r="J1046" s="276"/>
    </row>
    <row r="1047" spans="1:10">
      <c r="A1047" s="103" t="s">
        <v>2310</v>
      </c>
      <c r="B1047" s="124" t="s">
        <v>2311</v>
      </c>
      <c r="C1047" s="110">
        <v>5238</v>
      </c>
      <c r="D1047" s="109" t="s">
        <v>120</v>
      </c>
      <c r="E1047" s="109">
        <v>52</v>
      </c>
      <c r="F1047" s="110">
        <v>5426</v>
      </c>
      <c r="G1047" s="109" t="s">
        <v>120</v>
      </c>
      <c r="H1047" s="109">
        <v>104</v>
      </c>
      <c r="I1047" s="109">
        <v>2002</v>
      </c>
      <c r="J1047" s="110">
        <v>1629</v>
      </c>
    </row>
    <row r="1048" spans="1:10">
      <c r="A1048" s="103" t="s">
        <v>2312</v>
      </c>
      <c r="B1048" s="124" t="s">
        <v>932</v>
      </c>
      <c r="C1048" s="110">
        <v>230</v>
      </c>
      <c r="D1048" s="109" t="s">
        <v>120</v>
      </c>
      <c r="E1048" s="109">
        <v>2</v>
      </c>
      <c r="F1048" s="110">
        <v>4308</v>
      </c>
      <c r="G1048" s="109" t="s">
        <v>120</v>
      </c>
      <c r="H1048" s="109">
        <v>1873</v>
      </c>
      <c r="I1048" s="109" t="s">
        <v>122</v>
      </c>
      <c r="J1048" s="110" t="s">
        <v>122</v>
      </c>
    </row>
    <row r="1049" spans="1:10">
      <c r="A1049" s="103" t="s">
        <v>2313</v>
      </c>
      <c r="B1049" s="124" t="s">
        <v>934</v>
      </c>
      <c r="C1049" s="110">
        <v>5008</v>
      </c>
      <c r="D1049" s="109" t="s">
        <v>120</v>
      </c>
      <c r="E1049" s="109">
        <v>50</v>
      </c>
      <c r="F1049" s="110">
        <v>1118</v>
      </c>
      <c r="G1049" s="109" t="s">
        <v>120</v>
      </c>
      <c r="H1049" s="109">
        <v>22</v>
      </c>
      <c r="I1049" s="109" t="s">
        <v>122</v>
      </c>
      <c r="J1049" s="110" t="s">
        <v>122</v>
      </c>
    </row>
    <row r="1050" spans="1:10">
      <c r="A1050" s="103" t="s">
        <v>2314</v>
      </c>
      <c r="B1050" s="124" t="s">
        <v>2315</v>
      </c>
      <c r="C1050" s="110">
        <v>17918</v>
      </c>
      <c r="D1050" s="109" t="s">
        <v>120</v>
      </c>
      <c r="E1050" s="109">
        <v>179</v>
      </c>
      <c r="F1050" s="110">
        <v>15881</v>
      </c>
      <c r="G1050" s="109" t="s">
        <v>120</v>
      </c>
      <c r="H1050" s="109">
        <v>89</v>
      </c>
      <c r="I1050" s="109">
        <v>457</v>
      </c>
      <c r="J1050" s="110">
        <v>479</v>
      </c>
    </row>
    <row r="1051" spans="1:10">
      <c r="A1051" s="103" t="s">
        <v>2316</v>
      </c>
      <c r="B1051" s="124" t="s">
        <v>932</v>
      </c>
      <c r="C1051" s="110">
        <v>594</v>
      </c>
      <c r="D1051" s="109" t="s">
        <v>120</v>
      </c>
      <c r="E1051" s="109">
        <v>6</v>
      </c>
      <c r="F1051" s="110">
        <v>9356</v>
      </c>
      <c r="G1051" s="109" t="s">
        <v>120</v>
      </c>
      <c r="H1051" s="109">
        <v>1575</v>
      </c>
      <c r="I1051" s="109" t="s">
        <v>122</v>
      </c>
      <c r="J1051" s="110" t="s">
        <v>122</v>
      </c>
    </row>
    <row r="1052" spans="1:10">
      <c r="A1052" s="103" t="s">
        <v>2317</v>
      </c>
      <c r="B1052" s="124" t="s">
        <v>934</v>
      </c>
      <c r="C1052" s="110">
        <v>17324</v>
      </c>
      <c r="D1052" s="109" t="s">
        <v>120</v>
      </c>
      <c r="E1052" s="109">
        <v>173</v>
      </c>
      <c r="F1052" s="110">
        <v>6525</v>
      </c>
      <c r="G1052" s="109" t="s">
        <v>120</v>
      </c>
      <c r="H1052" s="109">
        <v>38</v>
      </c>
      <c r="I1052" s="109" t="s">
        <v>122</v>
      </c>
      <c r="J1052" s="110" t="s">
        <v>122</v>
      </c>
    </row>
    <row r="1053" spans="1:10">
      <c r="A1053" s="103" t="s">
        <v>2318</v>
      </c>
      <c r="B1053" s="124" t="s">
        <v>2319</v>
      </c>
      <c r="C1053" s="110">
        <v>7686</v>
      </c>
      <c r="D1053" s="109" t="s">
        <v>120</v>
      </c>
      <c r="E1053" s="109">
        <v>77</v>
      </c>
      <c r="F1053" s="110">
        <v>5358</v>
      </c>
      <c r="G1053" s="109" t="s">
        <v>120</v>
      </c>
      <c r="H1053" s="109">
        <v>70</v>
      </c>
      <c r="I1053" s="109">
        <v>1746</v>
      </c>
      <c r="J1053" s="110">
        <v>1647</v>
      </c>
    </row>
    <row r="1054" spans="1:10">
      <c r="A1054" s="103" t="s">
        <v>2320</v>
      </c>
      <c r="B1054" s="124" t="s">
        <v>932</v>
      </c>
      <c r="C1054" s="110">
        <v>329</v>
      </c>
      <c r="D1054" s="109" t="s">
        <v>120</v>
      </c>
      <c r="E1054" s="109">
        <v>3</v>
      </c>
      <c r="F1054" s="110">
        <v>2757</v>
      </c>
      <c r="G1054" s="109" t="s">
        <v>120</v>
      </c>
      <c r="H1054" s="109">
        <v>838</v>
      </c>
      <c r="I1054" s="109" t="s">
        <v>122</v>
      </c>
      <c r="J1054" s="110" t="s">
        <v>122</v>
      </c>
    </row>
    <row r="1055" spans="1:10">
      <c r="A1055" s="103" t="s">
        <v>2321</v>
      </c>
      <c r="B1055" s="124" t="s">
        <v>934</v>
      </c>
      <c r="C1055" s="110">
        <v>7357</v>
      </c>
      <c r="D1055" s="109" t="s">
        <v>120</v>
      </c>
      <c r="E1055" s="109">
        <v>74</v>
      </c>
      <c r="F1055" s="110">
        <v>2601</v>
      </c>
      <c r="G1055" s="109" t="s">
        <v>120</v>
      </c>
      <c r="H1055" s="109">
        <v>35</v>
      </c>
      <c r="I1055" s="109" t="s">
        <v>122</v>
      </c>
      <c r="J1055" s="110" t="s">
        <v>122</v>
      </c>
    </row>
    <row r="1056" spans="1:10">
      <c r="A1056" s="103" t="s">
        <v>2322</v>
      </c>
      <c r="B1056" s="124" t="s">
        <v>2323</v>
      </c>
      <c r="C1056" s="110">
        <v>9169</v>
      </c>
      <c r="D1056" s="109" t="s">
        <v>120</v>
      </c>
      <c r="E1056" s="109">
        <v>92</v>
      </c>
      <c r="F1056" s="110">
        <v>7012</v>
      </c>
      <c r="G1056" s="109" t="s">
        <v>120</v>
      </c>
      <c r="H1056" s="109">
        <v>76</v>
      </c>
      <c r="I1056" s="109">
        <v>1513</v>
      </c>
      <c r="J1056" s="110">
        <v>1294</v>
      </c>
    </row>
    <row r="1057" spans="1:10">
      <c r="A1057" s="103" t="s">
        <v>2324</v>
      </c>
      <c r="B1057" s="124" t="s">
        <v>932</v>
      </c>
      <c r="C1057" s="110">
        <v>786</v>
      </c>
      <c r="D1057" s="109" t="s">
        <v>120</v>
      </c>
      <c r="E1057" s="109">
        <v>8</v>
      </c>
      <c r="F1057" s="110">
        <v>1637</v>
      </c>
      <c r="G1057" s="109" t="s">
        <v>120</v>
      </c>
      <c r="H1057" s="109">
        <v>208</v>
      </c>
      <c r="I1057" s="109" t="s">
        <v>122</v>
      </c>
      <c r="J1057" s="110" t="s">
        <v>122</v>
      </c>
    </row>
    <row r="1058" spans="1:10">
      <c r="A1058" s="103" t="s">
        <v>2325</v>
      </c>
      <c r="B1058" s="124" t="s">
        <v>934</v>
      </c>
      <c r="C1058" s="110">
        <v>8383</v>
      </c>
      <c r="D1058" s="109" t="s">
        <v>120</v>
      </c>
      <c r="E1058" s="109">
        <v>84</v>
      </c>
      <c r="F1058" s="110">
        <v>5375</v>
      </c>
      <c r="G1058" s="109" t="s">
        <v>120</v>
      </c>
      <c r="H1058" s="109">
        <v>64</v>
      </c>
      <c r="I1058" s="109" t="s">
        <v>122</v>
      </c>
      <c r="J1058" s="110" t="s">
        <v>122</v>
      </c>
    </row>
    <row r="1059" spans="1:10" s="119" customFormat="1">
      <c r="A1059" s="123" t="s">
        <v>120</v>
      </c>
      <c r="B1059" s="273" t="s">
        <v>2326</v>
      </c>
      <c r="C1059" s="274"/>
      <c r="D1059" s="274"/>
      <c r="E1059" s="274"/>
      <c r="F1059" s="274"/>
      <c r="G1059" s="274"/>
      <c r="H1059" s="274"/>
      <c r="I1059" s="274"/>
      <c r="J1059" s="274"/>
    </row>
    <row r="1060" spans="1:10" s="119" customFormat="1">
      <c r="A1060" s="123" t="s">
        <v>120</v>
      </c>
      <c r="B1060" s="275" t="s">
        <v>1568</v>
      </c>
      <c r="C1060" s="276"/>
      <c r="D1060" s="276"/>
      <c r="E1060" s="276"/>
      <c r="F1060" s="276"/>
      <c r="G1060" s="276"/>
      <c r="H1060" s="276"/>
      <c r="I1060" s="276"/>
      <c r="J1060" s="276"/>
    </row>
    <row r="1061" spans="1:10">
      <c r="A1061" s="103" t="s">
        <v>2327</v>
      </c>
      <c r="B1061" s="124" t="s">
        <v>2328</v>
      </c>
      <c r="C1061" s="110">
        <v>14542</v>
      </c>
      <c r="D1061" s="109" t="s">
        <v>120</v>
      </c>
      <c r="E1061" s="109">
        <v>144</v>
      </c>
      <c r="F1061" s="110">
        <v>4299</v>
      </c>
      <c r="G1061" s="109" t="s">
        <v>120</v>
      </c>
      <c r="H1061" s="109">
        <v>30</v>
      </c>
      <c r="I1061" s="109">
        <v>726</v>
      </c>
      <c r="J1061" s="110">
        <v>1923</v>
      </c>
    </row>
    <row r="1062" spans="1:10" s="119" customFormat="1">
      <c r="A1062" s="123" t="s">
        <v>120</v>
      </c>
      <c r="B1062" s="275" t="s">
        <v>947</v>
      </c>
      <c r="C1062" s="276"/>
      <c r="D1062" s="276"/>
      <c r="E1062" s="276"/>
      <c r="F1062" s="276"/>
      <c r="G1062" s="276"/>
      <c r="H1062" s="276"/>
      <c r="I1062" s="276"/>
      <c r="J1062" s="276"/>
    </row>
    <row r="1063" spans="1:10">
      <c r="A1063" s="103" t="s">
        <v>2329</v>
      </c>
      <c r="B1063" s="124" t="s">
        <v>2330</v>
      </c>
      <c r="C1063" s="110">
        <v>27967</v>
      </c>
      <c r="D1063" s="109" t="s">
        <v>120</v>
      </c>
      <c r="E1063" s="109">
        <v>280</v>
      </c>
      <c r="F1063" s="110">
        <v>6469</v>
      </c>
      <c r="G1063" s="109" t="s">
        <v>120</v>
      </c>
      <c r="H1063" s="109">
        <v>23</v>
      </c>
      <c r="I1063" s="109">
        <v>129</v>
      </c>
      <c r="J1063" s="110">
        <v>1408</v>
      </c>
    </row>
    <row r="1064" spans="1:10">
      <c r="A1064" s="103" t="s">
        <v>2331</v>
      </c>
      <c r="B1064" s="124" t="s">
        <v>932</v>
      </c>
      <c r="C1064" s="110">
        <v>529</v>
      </c>
      <c r="D1064" s="109" t="s">
        <v>120</v>
      </c>
      <c r="E1064" s="109">
        <v>6</v>
      </c>
      <c r="F1064" s="110">
        <v>2751</v>
      </c>
      <c r="G1064" s="109" t="s">
        <v>120</v>
      </c>
      <c r="H1064" s="109">
        <v>520</v>
      </c>
      <c r="I1064" s="109" t="s">
        <v>122</v>
      </c>
      <c r="J1064" s="110" t="s">
        <v>122</v>
      </c>
    </row>
    <row r="1065" spans="1:10">
      <c r="A1065" s="103" t="s">
        <v>2332</v>
      </c>
      <c r="B1065" s="124" t="s">
        <v>934</v>
      </c>
      <c r="C1065" s="110">
        <v>27438</v>
      </c>
      <c r="D1065" s="109" t="s">
        <v>120</v>
      </c>
      <c r="E1065" s="109">
        <v>274</v>
      </c>
      <c r="F1065" s="110">
        <v>3718</v>
      </c>
      <c r="G1065" s="109" t="s">
        <v>120</v>
      </c>
      <c r="H1065" s="109">
        <v>14</v>
      </c>
      <c r="I1065" s="109" t="s">
        <v>122</v>
      </c>
      <c r="J1065" s="110" t="s">
        <v>122</v>
      </c>
    </row>
    <row r="1066" spans="1:10">
      <c r="A1066" s="103" t="s">
        <v>2333</v>
      </c>
      <c r="B1066" s="124" t="s">
        <v>2334</v>
      </c>
      <c r="C1066" s="110">
        <v>19764</v>
      </c>
      <c r="D1066" s="109" t="s">
        <v>120</v>
      </c>
      <c r="E1066" s="109">
        <v>198</v>
      </c>
      <c r="F1066" s="110">
        <v>6376</v>
      </c>
      <c r="G1066" s="109" t="s">
        <v>120</v>
      </c>
      <c r="H1066" s="109">
        <v>32</v>
      </c>
      <c r="I1066" s="109">
        <v>358</v>
      </c>
      <c r="J1066" s="110">
        <v>1427</v>
      </c>
    </row>
    <row r="1067" spans="1:10">
      <c r="A1067" s="103" t="s">
        <v>2335</v>
      </c>
      <c r="B1067" s="124" t="s">
        <v>932</v>
      </c>
      <c r="C1067" s="110">
        <v>801</v>
      </c>
      <c r="D1067" s="109" t="s">
        <v>120</v>
      </c>
      <c r="E1067" s="109">
        <v>8</v>
      </c>
      <c r="F1067" s="110">
        <v>3915</v>
      </c>
      <c r="G1067" s="109" t="s">
        <v>120</v>
      </c>
      <c r="H1067" s="109">
        <v>489</v>
      </c>
      <c r="I1067" s="109" t="s">
        <v>122</v>
      </c>
      <c r="J1067" s="110" t="s">
        <v>122</v>
      </c>
    </row>
    <row r="1068" spans="1:10">
      <c r="A1068" s="103" t="s">
        <v>2336</v>
      </c>
      <c r="B1068" s="124" t="s">
        <v>934</v>
      </c>
      <c r="C1068" s="110">
        <v>18963</v>
      </c>
      <c r="D1068" s="109" t="s">
        <v>120</v>
      </c>
      <c r="E1068" s="109">
        <v>190</v>
      </c>
      <c r="F1068" s="110">
        <v>2461</v>
      </c>
      <c r="G1068" s="109" t="s">
        <v>120</v>
      </c>
      <c r="H1068" s="109">
        <v>13</v>
      </c>
      <c r="I1068" s="109" t="s">
        <v>122</v>
      </c>
      <c r="J1068" s="110" t="s">
        <v>122</v>
      </c>
    </row>
    <row r="1069" spans="1:10">
      <c r="A1069" s="103" t="s">
        <v>2337</v>
      </c>
      <c r="B1069" s="124" t="s">
        <v>2338</v>
      </c>
      <c r="C1069" s="110">
        <v>19099</v>
      </c>
      <c r="D1069" s="109" t="s">
        <v>120</v>
      </c>
      <c r="E1069" s="109">
        <v>191</v>
      </c>
      <c r="F1069" s="110">
        <v>9714</v>
      </c>
      <c r="G1069" s="109" t="s">
        <v>120</v>
      </c>
      <c r="H1069" s="109">
        <v>51</v>
      </c>
      <c r="I1069" s="109">
        <v>387</v>
      </c>
      <c r="J1069" s="110">
        <v>901</v>
      </c>
    </row>
    <row r="1070" spans="1:10">
      <c r="A1070" s="103" t="s">
        <v>2339</v>
      </c>
      <c r="B1070" s="124" t="s">
        <v>932</v>
      </c>
      <c r="C1070" s="110">
        <v>1142</v>
      </c>
      <c r="D1070" s="109" t="s">
        <v>120</v>
      </c>
      <c r="E1070" s="109">
        <v>11</v>
      </c>
      <c r="F1070" s="110">
        <v>6505</v>
      </c>
      <c r="G1070" s="109" t="s">
        <v>120</v>
      </c>
      <c r="H1070" s="109">
        <v>570</v>
      </c>
      <c r="I1070" s="109" t="s">
        <v>122</v>
      </c>
      <c r="J1070" s="110" t="s">
        <v>122</v>
      </c>
    </row>
    <row r="1071" spans="1:10">
      <c r="A1071" s="103" t="s">
        <v>2340</v>
      </c>
      <c r="B1071" s="124" t="s">
        <v>934</v>
      </c>
      <c r="C1071" s="110">
        <v>17957</v>
      </c>
      <c r="D1071" s="109" t="s">
        <v>120</v>
      </c>
      <c r="E1071" s="109">
        <v>180</v>
      </c>
      <c r="F1071" s="110">
        <v>3209</v>
      </c>
      <c r="G1071" s="109" t="s">
        <v>120</v>
      </c>
      <c r="H1071" s="109">
        <v>18</v>
      </c>
      <c r="I1071" s="109" t="s">
        <v>122</v>
      </c>
      <c r="J1071" s="110" t="s">
        <v>122</v>
      </c>
    </row>
    <row r="1072" spans="1:10">
      <c r="A1072" s="103" t="s">
        <v>2341</v>
      </c>
      <c r="B1072" s="124" t="s">
        <v>2342</v>
      </c>
      <c r="C1072" s="110">
        <v>18557</v>
      </c>
      <c r="D1072" s="109" t="s">
        <v>120</v>
      </c>
      <c r="E1072" s="109">
        <v>186</v>
      </c>
      <c r="F1072" s="110">
        <v>20071</v>
      </c>
      <c r="G1072" s="109" t="s">
        <v>120</v>
      </c>
      <c r="H1072" s="109">
        <v>108</v>
      </c>
      <c r="I1072" s="109">
        <v>420</v>
      </c>
      <c r="J1072" s="110">
        <v>340</v>
      </c>
    </row>
    <row r="1073" spans="1:10">
      <c r="A1073" s="103" t="s">
        <v>2343</v>
      </c>
      <c r="B1073" s="124" t="s">
        <v>932</v>
      </c>
      <c r="C1073" s="110">
        <v>1921</v>
      </c>
      <c r="D1073" s="109" t="s">
        <v>120</v>
      </c>
      <c r="E1073" s="109">
        <v>19</v>
      </c>
      <c r="F1073" s="110">
        <v>16644</v>
      </c>
      <c r="G1073" s="109" t="s">
        <v>120</v>
      </c>
      <c r="H1073" s="109">
        <v>866</v>
      </c>
      <c r="I1073" s="109" t="s">
        <v>122</v>
      </c>
      <c r="J1073" s="110" t="s">
        <v>122</v>
      </c>
    </row>
    <row r="1074" spans="1:10">
      <c r="A1074" s="103" t="s">
        <v>2344</v>
      </c>
      <c r="B1074" s="124" t="s">
        <v>934</v>
      </c>
      <c r="C1074" s="110">
        <v>16636</v>
      </c>
      <c r="D1074" s="109" t="s">
        <v>120</v>
      </c>
      <c r="E1074" s="109">
        <v>167</v>
      </c>
      <c r="F1074" s="110">
        <v>3427</v>
      </c>
      <c r="G1074" s="109" t="s">
        <v>120</v>
      </c>
      <c r="H1074" s="109">
        <v>21</v>
      </c>
      <c r="I1074" s="109" t="s">
        <v>122</v>
      </c>
      <c r="J1074" s="110" t="s">
        <v>122</v>
      </c>
    </row>
    <row r="1075" spans="1:10" s="119" customFormat="1">
      <c r="A1075" s="123" t="s">
        <v>120</v>
      </c>
      <c r="B1075" s="273" t="s">
        <v>2345</v>
      </c>
      <c r="C1075" s="274"/>
      <c r="D1075" s="274"/>
      <c r="E1075" s="274"/>
      <c r="F1075" s="274"/>
      <c r="G1075" s="274"/>
      <c r="H1075" s="274"/>
      <c r="I1075" s="274"/>
      <c r="J1075" s="274"/>
    </row>
    <row r="1076" spans="1:10" s="119" customFormat="1">
      <c r="A1076" s="123" t="s">
        <v>120</v>
      </c>
      <c r="B1076" s="275" t="s">
        <v>924</v>
      </c>
      <c r="C1076" s="276"/>
      <c r="D1076" s="276"/>
      <c r="E1076" s="276"/>
      <c r="F1076" s="276"/>
      <c r="G1076" s="276"/>
      <c r="H1076" s="276"/>
      <c r="I1076" s="276"/>
      <c r="J1076" s="276"/>
    </row>
    <row r="1077" spans="1:10">
      <c r="A1077" s="103" t="s">
        <v>2346</v>
      </c>
      <c r="B1077" s="124" t="s">
        <v>2347</v>
      </c>
      <c r="C1077" s="110">
        <v>7757</v>
      </c>
      <c r="D1077" s="109" t="s">
        <v>120</v>
      </c>
      <c r="E1077" s="109">
        <v>78</v>
      </c>
      <c r="F1077" s="110">
        <v>4062</v>
      </c>
      <c r="G1077" s="109" t="s">
        <v>120</v>
      </c>
      <c r="H1077" s="109">
        <v>52</v>
      </c>
      <c r="I1077" s="109">
        <v>1740</v>
      </c>
      <c r="J1077" s="110">
        <v>1979</v>
      </c>
    </row>
    <row r="1078" spans="1:10">
      <c r="A1078" s="103" t="s">
        <v>2348</v>
      </c>
      <c r="B1078" s="124" t="s">
        <v>2349</v>
      </c>
      <c r="C1078" s="110">
        <v>10013</v>
      </c>
      <c r="D1078" s="109" t="s">
        <v>120</v>
      </c>
      <c r="E1078" s="109">
        <v>100</v>
      </c>
      <c r="F1078" s="110">
        <v>4318</v>
      </c>
      <c r="G1078" s="109" t="s">
        <v>120</v>
      </c>
      <c r="H1078" s="109">
        <v>43</v>
      </c>
      <c r="I1078" s="109">
        <v>1387</v>
      </c>
      <c r="J1078" s="110">
        <v>1918</v>
      </c>
    </row>
    <row r="1079" spans="1:10" s="119" customFormat="1">
      <c r="A1079" s="123" t="s">
        <v>120</v>
      </c>
      <c r="B1079" s="275" t="s">
        <v>1101</v>
      </c>
      <c r="C1079" s="276"/>
      <c r="D1079" s="276"/>
      <c r="E1079" s="276"/>
      <c r="F1079" s="276"/>
      <c r="G1079" s="276"/>
      <c r="H1079" s="276"/>
      <c r="I1079" s="276"/>
      <c r="J1079" s="276"/>
    </row>
    <row r="1080" spans="1:10">
      <c r="A1080" s="103" t="s">
        <v>2350</v>
      </c>
      <c r="B1080" s="124" t="s">
        <v>2351</v>
      </c>
      <c r="C1080" s="110">
        <v>35127</v>
      </c>
      <c r="D1080" s="109" t="s">
        <v>120</v>
      </c>
      <c r="E1080" s="109">
        <v>351</v>
      </c>
      <c r="F1080" s="110">
        <v>6536</v>
      </c>
      <c r="G1080" s="109" t="s">
        <v>120</v>
      </c>
      <c r="H1080" s="109">
        <v>19</v>
      </c>
      <c r="I1080" s="109">
        <v>48</v>
      </c>
      <c r="J1080" s="110">
        <v>1391</v>
      </c>
    </row>
    <row r="1081" spans="1:10">
      <c r="A1081" s="103" t="s">
        <v>2352</v>
      </c>
      <c r="B1081" s="124" t="s">
        <v>932</v>
      </c>
      <c r="C1081" s="110">
        <v>569</v>
      </c>
      <c r="D1081" s="109" t="s">
        <v>120</v>
      </c>
      <c r="E1081" s="109">
        <v>6</v>
      </c>
      <c r="F1081" s="110">
        <v>3071</v>
      </c>
      <c r="G1081" s="109" t="s">
        <v>120</v>
      </c>
      <c r="H1081" s="109">
        <v>540</v>
      </c>
      <c r="I1081" s="109" t="s">
        <v>122</v>
      </c>
      <c r="J1081" s="110" t="s">
        <v>122</v>
      </c>
    </row>
    <row r="1082" spans="1:10">
      <c r="A1082" s="103" t="s">
        <v>2353</v>
      </c>
      <c r="B1082" s="124" t="s">
        <v>934</v>
      </c>
      <c r="C1082" s="110">
        <v>34558</v>
      </c>
      <c r="D1082" s="109" t="s">
        <v>120</v>
      </c>
      <c r="E1082" s="109">
        <v>345</v>
      </c>
      <c r="F1082" s="110">
        <v>3465</v>
      </c>
      <c r="G1082" s="109" t="s">
        <v>120</v>
      </c>
      <c r="H1082" s="109">
        <v>10</v>
      </c>
      <c r="I1082" s="109" t="s">
        <v>122</v>
      </c>
      <c r="J1082" s="110" t="s">
        <v>122</v>
      </c>
    </row>
    <row r="1083" spans="1:10">
      <c r="A1083" s="103" t="s">
        <v>2354</v>
      </c>
      <c r="B1083" s="124" t="s">
        <v>2355</v>
      </c>
      <c r="C1083" s="110">
        <v>39991</v>
      </c>
      <c r="D1083" s="105" t="s">
        <v>927</v>
      </c>
      <c r="E1083" s="109">
        <v>400</v>
      </c>
      <c r="F1083" s="110">
        <v>17100</v>
      </c>
      <c r="G1083" s="109" t="s">
        <v>120</v>
      </c>
      <c r="H1083" s="109">
        <v>43</v>
      </c>
      <c r="I1083" s="109">
        <v>26</v>
      </c>
      <c r="J1083" s="110">
        <v>430</v>
      </c>
    </row>
    <row r="1084" spans="1:10">
      <c r="A1084" s="103" t="s">
        <v>2356</v>
      </c>
      <c r="B1084" s="124" t="s">
        <v>932</v>
      </c>
      <c r="C1084" s="110">
        <v>1072</v>
      </c>
      <c r="D1084" s="109" t="s">
        <v>120</v>
      </c>
      <c r="E1084" s="109">
        <v>11</v>
      </c>
      <c r="F1084" s="110">
        <v>10074</v>
      </c>
      <c r="G1084" s="109" t="s">
        <v>120</v>
      </c>
      <c r="H1084" s="109">
        <v>940</v>
      </c>
      <c r="I1084" s="109" t="s">
        <v>122</v>
      </c>
      <c r="J1084" s="110" t="s">
        <v>122</v>
      </c>
    </row>
    <row r="1085" spans="1:10">
      <c r="A1085" s="103" t="s">
        <v>2357</v>
      </c>
      <c r="B1085" s="124" t="s">
        <v>934</v>
      </c>
      <c r="C1085" s="110">
        <v>38919</v>
      </c>
      <c r="D1085" s="109" t="s">
        <v>120</v>
      </c>
      <c r="E1085" s="109">
        <v>389</v>
      </c>
      <c r="F1085" s="110">
        <v>7026</v>
      </c>
      <c r="G1085" s="109" t="s">
        <v>120</v>
      </c>
      <c r="H1085" s="109">
        <v>18</v>
      </c>
      <c r="I1085" s="109" t="s">
        <v>122</v>
      </c>
      <c r="J1085" s="110" t="s">
        <v>122</v>
      </c>
    </row>
    <row r="1086" spans="1:10">
      <c r="A1086" s="103" t="s">
        <v>2358</v>
      </c>
      <c r="B1086" s="124" t="s">
        <v>2359</v>
      </c>
      <c r="C1086" s="110">
        <v>31898</v>
      </c>
      <c r="D1086" s="109" t="s">
        <v>120</v>
      </c>
      <c r="E1086" s="109">
        <v>319</v>
      </c>
      <c r="F1086" s="110">
        <v>16993</v>
      </c>
      <c r="G1086" s="109" t="s">
        <v>120</v>
      </c>
      <c r="H1086" s="109">
        <v>53</v>
      </c>
      <c r="I1086" s="109">
        <v>79</v>
      </c>
      <c r="J1086" s="110">
        <v>433</v>
      </c>
    </row>
    <row r="1087" spans="1:10">
      <c r="A1087" s="103" t="s">
        <v>2360</v>
      </c>
      <c r="B1087" s="124" t="s">
        <v>932</v>
      </c>
      <c r="C1087" s="110">
        <v>554</v>
      </c>
      <c r="D1087" s="109" t="s">
        <v>120</v>
      </c>
      <c r="E1087" s="109">
        <v>6</v>
      </c>
      <c r="F1087" s="110">
        <v>9916</v>
      </c>
      <c r="G1087" s="109" t="s">
        <v>120</v>
      </c>
      <c r="H1087" s="109">
        <v>1790</v>
      </c>
      <c r="I1087" s="109" t="s">
        <v>122</v>
      </c>
      <c r="J1087" s="110" t="s">
        <v>122</v>
      </c>
    </row>
    <row r="1088" spans="1:10">
      <c r="A1088" s="103" t="s">
        <v>2361</v>
      </c>
      <c r="B1088" s="124" t="s">
        <v>934</v>
      </c>
      <c r="C1088" s="110">
        <v>31344</v>
      </c>
      <c r="D1088" s="109" t="s">
        <v>120</v>
      </c>
      <c r="E1088" s="109">
        <v>313</v>
      </c>
      <c r="F1088" s="110">
        <v>7077</v>
      </c>
      <c r="G1088" s="109" t="s">
        <v>120</v>
      </c>
      <c r="H1088" s="109">
        <v>23</v>
      </c>
      <c r="I1088" s="109" t="s">
        <v>122</v>
      </c>
      <c r="J1088" s="110" t="s">
        <v>122</v>
      </c>
    </row>
    <row r="1089" spans="1:10" s="119" customFormat="1">
      <c r="A1089" s="123" t="s">
        <v>120</v>
      </c>
      <c r="B1089" s="273" t="s">
        <v>2362</v>
      </c>
      <c r="C1089" s="274"/>
      <c r="D1089" s="274"/>
      <c r="E1089" s="274"/>
      <c r="F1089" s="274"/>
      <c r="G1089" s="274"/>
      <c r="H1089" s="274"/>
      <c r="I1089" s="274"/>
      <c r="J1089" s="274"/>
    </row>
    <row r="1090" spans="1:10" s="119" customFormat="1">
      <c r="A1090" s="123" t="s">
        <v>120</v>
      </c>
      <c r="B1090" s="275" t="s">
        <v>1022</v>
      </c>
      <c r="C1090" s="276"/>
      <c r="D1090" s="276"/>
      <c r="E1090" s="276"/>
      <c r="F1090" s="276"/>
      <c r="G1090" s="276"/>
      <c r="H1090" s="276"/>
      <c r="I1090" s="276"/>
      <c r="J1090" s="276"/>
    </row>
    <row r="1091" spans="1:10">
      <c r="A1091" s="103" t="s">
        <v>2363</v>
      </c>
      <c r="B1091" s="124" t="s">
        <v>2364</v>
      </c>
      <c r="C1091" s="110">
        <v>19419</v>
      </c>
      <c r="D1091" s="109" t="s">
        <v>120</v>
      </c>
      <c r="E1091" s="109">
        <v>194</v>
      </c>
      <c r="F1091" s="110">
        <v>4729</v>
      </c>
      <c r="G1091" s="109" t="s">
        <v>120</v>
      </c>
      <c r="H1091" s="109">
        <v>24</v>
      </c>
      <c r="I1091" s="109">
        <v>376</v>
      </c>
      <c r="J1091" s="110">
        <v>1812</v>
      </c>
    </row>
    <row r="1092" spans="1:10">
      <c r="A1092" s="103" t="s">
        <v>2365</v>
      </c>
      <c r="B1092" s="124" t="s">
        <v>2366</v>
      </c>
      <c r="C1092" s="110">
        <v>15864</v>
      </c>
      <c r="D1092" s="109" t="s">
        <v>120</v>
      </c>
      <c r="E1092" s="109">
        <v>159</v>
      </c>
      <c r="F1092" s="110">
        <v>4733</v>
      </c>
      <c r="G1092" s="109" t="s">
        <v>120</v>
      </c>
      <c r="H1092" s="109">
        <v>30</v>
      </c>
      <c r="I1092" s="109">
        <v>610</v>
      </c>
      <c r="J1092" s="110">
        <v>1811</v>
      </c>
    </row>
    <row r="1093" spans="1:10" s="119" customFormat="1">
      <c r="A1093" s="123" t="s">
        <v>120</v>
      </c>
      <c r="B1093" s="275" t="s">
        <v>2367</v>
      </c>
      <c r="C1093" s="276"/>
      <c r="D1093" s="276"/>
      <c r="E1093" s="276"/>
      <c r="F1093" s="276"/>
      <c r="G1093" s="276"/>
      <c r="H1093" s="276"/>
      <c r="I1093" s="276"/>
      <c r="J1093" s="276"/>
    </row>
    <row r="1094" spans="1:10">
      <c r="A1094" s="103" t="s">
        <v>2368</v>
      </c>
      <c r="B1094" s="124" t="s">
        <v>2369</v>
      </c>
      <c r="C1094" s="110">
        <v>12969</v>
      </c>
      <c r="D1094" s="109" t="s">
        <v>120</v>
      </c>
      <c r="E1094" s="109">
        <v>130</v>
      </c>
      <c r="F1094" s="110">
        <v>3158</v>
      </c>
      <c r="G1094" s="109" t="s">
        <v>120</v>
      </c>
      <c r="H1094" s="109">
        <v>24</v>
      </c>
      <c r="I1094" s="109">
        <v>913</v>
      </c>
      <c r="J1094" s="110">
        <v>2173</v>
      </c>
    </row>
    <row r="1095" spans="1:10">
      <c r="A1095" s="103" t="s">
        <v>2370</v>
      </c>
      <c r="B1095" s="124" t="s">
        <v>932</v>
      </c>
      <c r="C1095" s="110">
        <v>1211</v>
      </c>
      <c r="D1095" s="109" t="s">
        <v>120</v>
      </c>
      <c r="E1095" s="109">
        <v>12</v>
      </c>
      <c r="F1095" s="110">
        <v>2082</v>
      </c>
      <c r="G1095" s="109" t="s">
        <v>120</v>
      </c>
      <c r="H1095" s="109">
        <v>172</v>
      </c>
      <c r="I1095" s="109" t="s">
        <v>122</v>
      </c>
      <c r="J1095" s="110" t="s">
        <v>122</v>
      </c>
    </row>
    <row r="1096" spans="1:10">
      <c r="A1096" s="103" t="s">
        <v>2371</v>
      </c>
      <c r="B1096" s="124" t="s">
        <v>934</v>
      </c>
      <c r="C1096" s="110">
        <v>11758</v>
      </c>
      <c r="D1096" s="109" t="s">
        <v>120</v>
      </c>
      <c r="E1096" s="109">
        <v>118</v>
      </c>
      <c r="F1096" s="110">
        <v>1076</v>
      </c>
      <c r="G1096" s="109" t="s">
        <v>120</v>
      </c>
      <c r="H1096" s="109">
        <v>9</v>
      </c>
      <c r="I1096" s="109" t="s">
        <v>122</v>
      </c>
      <c r="J1096" s="110" t="s">
        <v>122</v>
      </c>
    </row>
    <row r="1097" spans="1:10">
      <c r="A1097" s="103" t="s">
        <v>2372</v>
      </c>
      <c r="B1097" s="124" t="s">
        <v>2373</v>
      </c>
      <c r="C1097" s="110">
        <v>32008</v>
      </c>
      <c r="D1097" s="109" t="s">
        <v>120</v>
      </c>
      <c r="E1097" s="109">
        <v>320</v>
      </c>
      <c r="F1097" s="110">
        <v>15745</v>
      </c>
      <c r="G1097" s="109" t="s">
        <v>120</v>
      </c>
      <c r="H1097" s="109">
        <v>49</v>
      </c>
      <c r="I1097" s="109">
        <v>77</v>
      </c>
      <c r="J1097" s="110">
        <v>485</v>
      </c>
    </row>
    <row r="1098" spans="1:10">
      <c r="A1098" s="103" t="s">
        <v>2374</v>
      </c>
      <c r="B1098" s="124" t="s">
        <v>932</v>
      </c>
      <c r="C1098" s="110">
        <v>856</v>
      </c>
      <c r="D1098" s="109" t="s">
        <v>120</v>
      </c>
      <c r="E1098" s="109">
        <v>9</v>
      </c>
      <c r="F1098" s="110">
        <v>10096</v>
      </c>
      <c r="G1098" s="109" t="s">
        <v>120</v>
      </c>
      <c r="H1098" s="109">
        <v>1179</v>
      </c>
      <c r="I1098" s="109" t="s">
        <v>122</v>
      </c>
      <c r="J1098" s="110" t="s">
        <v>122</v>
      </c>
    </row>
    <row r="1099" spans="1:10">
      <c r="A1099" s="103" t="s">
        <v>2375</v>
      </c>
      <c r="B1099" s="124" t="s">
        <v>934</v>
      </c>
      <c r="C1099" s="110">
        <v>31152</v>
      </c>
      <c r="D1099" s="109" t="s">
        <v>120</v>
      </c>
      <c r="E1099" s="109">
        <v>311</v>
      </c>
      <c r="F1099" s="110">
        <v>5649</v>
      </c>
      <c r="G1099" s="109" t="s">
        <v>120</v>
      </c>
      <c r="H1099" s="109">
        <v>18</v>
      </c>
      <c r="I1099" s="109" t="s">
        <v>122</v>
      </c>
      <c r="J1099" s="110" t="s">
        <v>122</v>
      </c>
    </row>
    <row r="1100" spans="1:10">
      <c r="A1100" s="103" t="s">
        <v>2376</v>
      </c>
      <c r="B1100" s="124" t="s">
        <v>2377</v>
      </c>
      <c r="C1100" s="110">
        <v>37520</v>
      </c>
      <c r="D1100" s="109" t="s">
        <v>120</v>
      </c>
      <c r="E1100" s="109">
        <v>375</v>
      </c>
      <c r="F1100" s="110">
        <v>6828</v>
      </c>
      <c r="G1100" s="109" t="s">
        <v>120</v>
      </c>
      <c r="H1100" s="109">
        <v>18</v>
      </c>
      <c r="I1100" s="109">
        <v>34</v>
      </c>
      <c r="J1100" s="110">
        <v>1334</v>
      </c>
    </row>
    <row r="1101" spans="1:10">
      <c r="A1101" s="103" t="s">
        <v>2378</v>
      </c>
      <c r="B1101" s="124" t="s">
        <v>932</v>
      </c>
      <c r="C1101" s="110">
        <v>911</v>
      </c>
      <c r="D1101" s="109" t="s">
        <v>120</v>
      </c>
      <c r="E1101" s="109">
        <v>9</v>
      </c>
      <c r="F1101" s="110">
        <v>2541</v>
      </c>
      <c r="G1101" s="109" t="s">
        <v>120</v>
      </c>
      <c r="H1101" s="109">
        <v>279</v>
      </c>
      <c r="I1101" s="109" t="s">
        <v>122</v>
      </c>
      <c r="J1101" s="110" t="s">
        <v>122</v>
      </c>
    </row>
    <row r="1102" spans="1:10">
      <c r="A1102" s="103" t="s">
        <v>2379</v>
      </c>
      <c r="B1102" s="124" t="s">
        <v>934</v>
      </c>
      <c r="C1102" s="110">
        <v>36609</v>
      </c>
      <c r="D1102" s="109" t="s">
        <v>120</v>
      </c>
      <c r="E1102" s="109">
        <v>366</v>
      </c>
      <c r="F1102" s="110">
        <v>4287</v>
      </c>
      <c r="G1102" s="109" t="s">
        <v>120</v>
      </c>
      <c r="H1102" s="109">
        <v>12</v>
      </c>
      <c r="I1102" s="109" t="s">
        <v>122</v>
      </c>
      <c r="J1102" s="110" t="s">
        <v>122</v>
      </c>
    </row>
    <row r="1103" spans="1:10" s="119" customFormat="1">
      <c r="A1103" s="123" t="s">
        <v>120</v>
      </c>
      <c r="B1103" s="273" t="s">
        <v>2380</v>
      </c>
      <c r="C1103" s="274"/>
      <c r="D1103" s="274"/>
      <c r="E1103" s="274"/>
      <c r="F1103" s="274"/>
      <c r="G1103" s="274"/>
      <c r="H1103" s="274"/>
      <c r="I1103" s="274"/>
      <c r="J1103" s="274"/>
    </row>
    <row r="1104" spans="1:10" s="119" customFormat="1">
      <c r="A1104" s="123" t="s">
        <v>120</v>
      </c>
      <c r="B1104" s="275" t="s">
        <v>924</v>
      </c>
      <c r="C1104" s="276"/>
      <c r="D1104" s="276"/>
      <c r="E1104" s="276"/>
      <c r="F1104" s="276"/>
      <c r="G1104" s="276"/>
      <c r="H1104" s="276"/>
      <c r="I1104" s="276"/>
      <c r="J1104" s="276"/>
    </row>
    <row r="1105" spans="1:10">
      <c r="A1105" s="103" t="s">
        <v>2381</v>
      </c>
      <c r="B1105" s="124" t="s">
        <v>2382</v>
      </c>
      <c r="C1105" s="110">
        <v>12225</v>
      </c>
      <c r="D1105" s="109" t="s">
        <v>120</v>
      </c>
      <c r="E1105" s="109">
        <v>122</v>
      </c>
      <c r="F1105" s="110">
        <v>3567</v>
      </c>
      <c r="G1105" s="109" t="s">
        <v>120</v>
      </c>
      <c r="H1105" s="109">
        <v>29</v>
      </c>
      <c r="I1105" s="109">
        <v>1021</v>
      </c>
      <c r="J1105" s="110">
        <v>2099</v>
      </c>
    </row>
    <row r="1106" spans="1:10">
      <c r="A1106" s="103" t="s">
        <v>2383</v>
      </c>
      <c r="B1106" s="124" t="s">
        <v>2384</v>
      </c>
      <c r="C1106" s="110">
        <v>19914</v>
      </c>
      <c r="D1106" s="109" t="s">
        <v>120</v>
      </c>
      <c r="E1106" s="109">
        <v>200</v>
      </c>
      <c r="F1106" s="110">
        <v>4947</v>
      </c>
      <c r="G1106" s="109" t="s">
        <v>120</v>
      </c>
      <c r="H1106" s="109">
        <v>25</v>
      </c>
      <c r="I1106" s="109">
        <v>349</v>
      </c>
      <c r="J1106" s="110">
        <v>1749</v>
      </c>
    </row>
    <row r="1107" spans="1:10">
      <c r="A1107" s="103" t="s">
        <v>2385</v>
      </c>
      <c r="B1107" s="124" t="s">
        <v>2386</v>
      </c>
      <c r="C1107" s="110">
        <v>18136</v>
      </c>
      <c r="D1107" s="109" t="s">
        <v>120</v>
      </c>
      <c r="E1107" s="109">
        <v>182</v>
      </c>
      <c r="F1107" s="110">
        <v>5103</v>
      </c>
      <c r="G1107" s="109" t="s">
        <v>120</v>
      </c>
      <c r="H1107" s="109">
        <v>28</v>
      </c>
      <c r="I1107" s="109">
        <v>441</v>
      </c>
      <c r="J1107" s="110">
        <v>1716</v>
      </c>
    </row>
    <row r="1108" spans="1:10">
      <c r="A1108" s="103" t="s">
        <v>2387</v>
      </c>
      <c r="B1108" s="124" t="s">
        <v>2388</v>
      </c>
      <c r="C1108" s="110">
        <v>11333</v>
      </c>
      <c r="D1108" s="109" t="s">
        <v>120</v>
      </c>
      <c r="E1108" s="109">
        <v>113</v>
      </c>
      <c r="F1108" s="110">
        <v>3836</v>
      </c>
      <c r="G1108" s="109" t="s">
        <v>120</v>
      </c>
      <c r="H1108" s="109">
        <v>34</v>
      </c>
      <c r="I1108" s="109">
        <v>1155</v>
      </c>
      <c r="J1108" s="110">
        <v>2035</v>
      </c>
    </row>
    <row r="1109" spans="1:10" s="119" customFormat="1">
      <c r="A1109" s="123" t="s">
        <v>120</v>
      </c>
      <c r="B1109" s="275" t="s">
        <v>947</v>
      </c>
      <c r="C1109" s="276"/>
      <c r="D1109" s="276"/>
      <c r="E1109" s="276"/>
      <c r="F1109" s="276"/>
      <c r="G1109" s="276"/>
      <c r="H1109" s="276"/>
      <c r="I1109" s="276"/>
      <c r="J1109" s="276"/>
    </row>
    <row r="1110" spans="1:10">
      <c r="A1110" s="103" t="s">
        <v>2389</v>
      </c>
      <c r="B1110" s="124" t="s">
        <v>2390</v>
      </c>
      <c r="C1110" s="110">
        <v>22641</v>
      </c>
      <c r="D1110" s="109" t="s">
        <v>120</v>
      </c>
      <c r="E1110" s="109">
        <v>226</v>
      </c>
      <c r="F1110" s="110">
        <v>29984</v>
      </c>
      <c r="G1110" s="109" t="s">
        <v>120</v>
      </c>
      <c r="H1110" s="109">
        <v>132</v>
      </c>
      <c r="I1110" s="109">
        <v>245</v>
      </c>
      <c r="J1110" s="110">
        <v>190</v>
      </c>
    </row>
    <row r="1111" spans="1:10">
      <c r="A1111" s="103" t="s">
        <v>2391</v>
      </c>
      <c r="B1111" s="124" t="s">
        <v>932</v>
      </c>
      <c r="C1111" s="110">
        <v>1693</v>
      </c>
      <c r="D1111" s="109" t="s">
        <v>120</v>
      </c>
      <c r="E1111" s="109">
        <v>17</v>
      </c>
      <c r="F1111" s="110">
        <v>21685</v>
      </c>
      <c r="G1111" s="109" t="s">
        <v>120</v>
      </c>
      <c r="H1111" s="109">
        <v>1281</v>
      </c>
      <c r="I1111" s="109" t="s">
        <v>122</v>
      </c>
      <c r="J1111" s="110" t="s">
        <v>122</v>
      </c>
    </row>
    <row r="1112" spans="1:10">
      <c r="A1112" s="103" t="s">
        <v>2392</v>
      </c>
      <c r="B1112" s="124" t="s">
        <v>934</v>
      </c>
      <c r="C1112" s="110">
        <v>20948</v>
      </c>
      <c r="D1112" s="109" t="s">
        <v>120</v>
      </c>
      <c r="E1112" s="109">
        <v>209</v>
      </c>
      <c r="F1112" s="110">
        <v>8299</v>
      </c>
      <c r="G1112" s="109" t="s">
        <v>120</v>
      </c>
      <c r="H1112" s="109">
        <v>40</v>
      </c>
      <c r="I1112" s="109" t="s">
        <v>122</v>
      </c>
      <c r="J1112" s="110" t="s">
        <v>122</v>
      </c>
    </row>
    <row r="1113" spans="1:10">
      <c r="A1113" s="103" t="s">
        <v>2393</v>
      </c>
      <c r="B1113" s="124" t="s">
        <v>2394</v>
      </c>
      <c r="C1113" s="110">
        <v>9408</v>
      </c>
      <c r="D1113" s="109" t="s">
        <v>120</v>
      </c>
      <c r="E1113" s="109">
        <v>94</v>
      </c>
      <c r="F1113" s="110">
        <v>8353</v>
      </c>
      <c r="G1113" s="109" t="s">
        <v>120</v>
      </c>
      <c r="H1113" s="109">
        <v>89</v>
      </c>
      <c r="I1113" s="109">
        <v>1486</v>
      </c>
      <c r="J1113" s="110">
        <v>1068</v>
      </c>
    </row>
    <row r="1114" spans="1:10">
      <c r="A1114" s="103" t="s">
        <v>2395</v>
      </c>
      <c r="B1114" s="124" t="s">
        <v>932</v>
      </c>
      <c r="C1114" s="110">
        <v>358</v>
      </c>
      <c r="D1114" s="109" t="s">
        <v>120</v>
      </c>
      <c r="E1114" s="109">
        <v>4</v>
      </c>
      <c r="F1114" s="110">
        <v>5032</v>
      </c>
      <c r="G1114" s="109" t="s">
        <v>120</v>
      </c>
      <c r="H1114" s="109">
        <v>1406</v>
      </c>
      <c r="I1114" s="109" t="s">
        <v>122</v>
      </c>
      <c r="J1114" s="110" t="s">
        <v>122</v>
      </c>
    </row>
    <row r="1115" spans="1:10">
      <c r="A1115" s="103" t="s">
        <v>2396</v>
      </c>
      <c r="B1115" s="124" t="s">
        <v>934</v>
      </c>
      <c r="C1115" s="110">
        <v>9050</v>
      </c>
      <c r="D1115" s="109" t="s">
        <v>120</v>
      </c>
      <c r="E1115" s="109">
        <v>90</v>
      </c>
      <c r="F1115" s="110">
        <v>3321</v>
      </c>
      <c r="G1115" s="109" t="s">
        <v>120</v>
      </c>
      <c r="H1115" s="109">
        <v>37</v>
      </c>
      <c r="I1115" s="109" t="s">
        <v>122</v>
      </c>
      <c r="J1115" s="110" t="s">
        <v>122</v>
      </c>
    </row>
    <row r="1116" spans="1:10" s="119" customFormat="1">
      <c r="A1116" s="123" t="s">
        <v>120</v>
      </c>
      <c r="B1116" s="273" t="s">
        <v>2397</v>
      </c>
      <c r="C1116" s="274"/>
      <c r="D1116" s="274"/>
      <c r="E1116" s="274"/>
      <c r="F1116" s="274"/>
      <c r="G1116" s="274"/>
      <c r="H1116" s="274"/>
      <c r="I1116" s="274"/>
      <c r="J1116" s="274"/>
    </row>
    <row r="1117" spans="1:10" s="119" customFormat="1">
      <c r="A1117" s="123" t="s">
        <v>120</v>
      </c>
      <c r="B1117" s="275" t="s">
        <v>947</v>
      </c>
      <c r="C1117" s="276"/>
      <c r="D1117" s="276"/>
      <c r="E1117" s="276"/>
      <c r="F1117" s="276"/>
      <c r="G1117" s="276"/>
      <c r="H1117" s="276"/>
      <c r="I1117" s="276"/>
      <c r="J1117" s="276"/>
    </row>
    <row r="1118" spans="1:10">
      <c r="A1118" s="103" t="s">
        <v>2398</v>
      </c>
      <c r="B1118" s="124" t="s">
        <v>2399</v>
      </c>
      <c r="C1118" s="110">
        <v>32700</v>
      </c>
      <c r="D1118" s="109" t="s">
        <v>120</v>
      </c>
      <c r="E1118" s="109">
        <v>327</v>
      </c>
      <c r="F1118" s="110">
        <v>12682</v>
      </c>
      <c r="G1118" s="109" t="s">
        <v>120</v>
      </c>
      <c r="H1118" s="109">
        <v>39</v>
      </c>
      <c r="I1118" s="109">
        <v>70</v>
      </c>
      <c r="J1118" s="110">
        <v>652</v>
      </c>
    </row>
    <row r="1119" spans="1:10">
      <c r="A1119" s="103" t="s">
        <v>2400</v>
      </c>
      <c r="B1119" s="124" t="s">
        <v>932</v>
      </c>
      <c r="C1119" s="110">
        <v>1490</v>
      </c>
      <c r="D1119" s="109" t="s">
        <v>120</v>
      </c>
      <c r="E1119" s="109">
        <v>14</v>
      </c>
      <c r="F1119" s="110">
        <v>4290</v>
      </c>
      <c r="G1119" s="109" t="s">
        <v>120</v>
      </c>
      <c r="H1119" s="109">
        <v>288</v>
      </c>
      <c r="I1119" s="109" t="s">
        <v>122</v>
      </c>
      <c r="J1119" s="110" t="s">
        <v>122</v>
      </c>
    </row>
    <row r="1120" spans="1:10">
      <c r="A1120" s="103" t="s">
        <v>2401</v>
      </c>
      <c r="B1120" s="124" t="s">
        <v>934</v>
      </c>
      <c r="C1120" s="110">
        <v>31210</v>
      </c>
      <c r="D1120" s="109" t="s">
        <v>120</v>
      </c>
      <c r="E1120" s="109">
        <v>313</v>
      </c>
      <c r="F1120" s="110">
        <v>8392</v>
      </c>
      <c r="G1120" s="109" t="s">
        <v>120</v>
      </c>
      <c r="H1120" s="109">
        <v>27</v>
      </c>
      <c r="I1120" s="109" t="s">
        <v>122</v>
      </c>
      <c r="J1120" s="110" t="s">
        <v>122</v>
      </c>
    </row>
    <row r="1121" spans="1:10">
      <c r="A1121" s="103" t="s">
        <v>2402</v>
      </c>
      <c r="B1121" s="124" t="s">
        <v>2403</v>
      </c>
      <c r="C1121" s="110">
        <v>9974</v>
      </c>
      <c r="D1121" s="109" t="s">
        <v>120</v>
      </c>
      <c r="E1121" s="109">
        <v>100</v>
      </c>
      <c r="F1121" s="110">
        <v>5015</v>
      </c>
      <c r="G1121" s="109" t="s">
        <v>120</v>
      </c>
      <c r="H1121" s="109">
        <v>50</v>
      </c>
      <c r="I1121" s="109">
        <v>1396</v>
      </c>
      <c r="J1121" s="110">
        <v>1738</v>
      </c>
    </row>
    <row r="1122" spans="1:10">
      <c r="A1122" s="103" t="s">
        <v>2404</v>
      </c>
      <c r="B1122" s="124" t="s">
        <v>932</v>
      </c>
      <c r="C1122" s="110">
        <v>155</v>
      </c>
      <c r="D1122" s="109" t="s">
        <v>120</v>
      </c>
      <c r="E1122" s="109">
        <v>2</v>
      </c>
      <c r="F1122" s="110">
        <v>1274</v>
      </c>
      <c r="G1122" s="109" t="s">
        <v>120</v>
      </c>
      <c r="H1122" s="109">
        <v>822</v>
      </c>
      <c r="I1122" s="109" t="s">
        <v>122</v>
      </c>
      <c r="J1122" s="110" t="s">
        <v>122</v>
      </c>
    </row>
    <row r="1123" spans="1:10">
      <c r="A1123" s="103" t="s">
        <v>2405</v>
      </c>
      <c r="B1123" s="124" t="s">
        <v>934</v>
      </c>
      <c r="C1123" s="110">
        <v>9819</v>
      </c>
      <c r="D1123" s="109" t="s">
        <v>120</v>
      </c>
      <c r="E1123" s="109">
        <v>98</v>
      </c>
      <c r="F1123" s="110">
        <v>3741</v>
      </c>
      <c r="G1123" s="109" t="s">
        <v>120</v>
      </c>
      <c r="H1123" s="109">
        <v>38</v>
      </c>
      <c r="I1123" s="109" t="s">
        <v>122</v>
      </c>
      <c r="J1123" s="110" t="s">
        <v>122</v>
      </c>
    </row>
    <row r="1124" spans="1:10">
      <c r="A1124" s="103" t="s">
        <v>2406</v>
      </c>
      <c r="B1124" s="124" t="s">
        <v>2407</v>
      </c>
      <c r="C1124" s="110">
        <v>19746</v>
      </c>
      <c r="D1124" s="109" t="s">
        <v>120</v>
      </c>
      <c r="E1124" s="109">
        <v>197</v>
      </c>
      <c r="F1124" s="110">
        <v>21134</v>
      </c>
      <c r="G1124" s="109" t="s">
        <v>120</v>
      </c>
      <c r="H1124" s="109">
        <v>107</v>
      </c>
      <c r="I1124" s="109">
        <v>362</v>
      </c>
      <c r="J1124" s="110">
        <v>322</v>
      </c>
    </row>
    <row r="1125" spans="1:10">
      <c r="A1125" s="103" t="s">
        <v>2408</v>
      </c>
      <c r="B1125" s="124" t="s">
        <v>932</v>
      </c>
      <c r="C1125" s="110">
        <v>925</v>
      </c>
      <c r="D1125" s="109" t="s">
        <v>120</v>
      </c>
      <c r="E1125" s="109">
        <v>9</v>
      </c>
      <c r="F1125" s="110">
        <v>13851</v>
      </c>
      <c r="G1125" s="109" t="s">
        <v>120</v>
      </c>
      <c r="H1125" s="109">
        <v>1497</v>
      </c>
      <c r="I1125" s="109" t="s">
        <v>122</v>
      </c>
      <c r="J1125" s="110" t="s">
        <v>122</v>
      </c>
    </row>
    <row r="1126" spans="1:10">
      <c r="A1126" s="103" t="s">
        <v>2409</v>
      </c>
      <c r="B1126" s="124" t="s">
        <v>934</v>
      </c>
      <c r="C1126" s="110">
        <v>18821</v>
      </c>
      <c r="D1126" s="109" t="s">
        <v>120</v>
      </c>
      <c r="E1126" s="109">
        <v>188</v>
      </c>
      <c r="F1126" s="110">
        <v>7283</v>
      </c>
      <c r="G1126" s="109" t="s">
        <v>120</v>
      </c>
      <c r="H1126" s="109">
        <v>39</v>
      </c>
      <c r="I1126" s="109" t="s">
        <v>122</v>
      </c>
      <c r="J1126" s="110" t="s">
        <v>122</v>
      </c>
    </row>
    <row r="1127" spans="1:10" s="119" customFormat="1">
      <c r="A1127" s="123" t="s">
        <v>120</v>
      </c>
      <c r="B1127" s="273" t="s">
        <v>2410</v>
      </c>
      <c r="C1127" s="274"/>
      <c r="D1127" s="274"/>
      <c r="E1127" s="274"/>
      <c r="F1127" s="274"/>
      <c r="G1127" s="274"/>
      <c r="H1127" s="274"/>
      <c r="I1127" s="274"/>
      <c r="J1127" s="274"/>
    </row>
    <row r="1128" spans="1:10" s="119" customFormat="1">
      <c r="A1128" s="123" t="s">
        <v>120</v>
      </c>
      <c r="B1128" s="275" t="s">
        <v>943</v>
      </c>
      <c r="C1128" s="276"/>
      <c r="D1128" s="276"/>
      <c r="E1128" s="276"/>
      <c r="F1128" s="276"/>
      <c r="G1128" s="276"/>
      <c r="H1128" s="276"/>
      <c r="I1128" s="276"/>
      <c r="J1128" s="276"/>
    </row>
    <row r="1129" spans="1:10">
      <c r="A1129" s="103" t="s">
        <v>2411</v>
      </c>
      <c r="B1129" s="124" t="s">
        <v>2412</v>
      </c>
      <c r="C1129" s="110">
        <v>10227</v>
      </c>
      <c r="D1129" s="109" t="s">
        <v>120</v>
      </c>
      <c r="E1129" s="109">
        <v>102</v>
      </c>
      <c r="F1129" s="110">
        <v>3277</v>
      </c>
      <c r="G1129" s="109" t="s">
        <v>120</v>
      </c>
      <c r="H1129" s="109">
        <v>32</v>
      </c>
      <c r="I1129" s="109">
        <v>1351</v>
      </c>
      <c r="J1129" s="110">
        <v>2152</v>
      </c>
    </row>
    <row r="1130" spans="1:10">
      <c r="A1130" s="103" t="s">
        <v>2413</v>
      </c>
      <c r="B1130" s="124" t="s">
        <v>1233</v>
      </c>
      <c r="C1130" s="110">
        <v>16090</v>
      </c>
      <c r="D1130" s="109" t="s">
        <v>120</v>
      </c>
      <c r="E1130" s="109">
        <v>160</v>
      </c>
      <c r="F1130" s="110">
        <v>6602</v>
      </c>
      <c r="G1130" s="109" t="s">
        <v>120</v>
      </c>
      <c r="H1130" s="109">
        <v>41</v>
      </c>
      <c r="I1130" s="109">
        <v>589</v>
      </c>
      <c r="J1130" s="110">
        <v>1380</v>
      </c>
    </row>
    <row r="1131" spans="1:10">
      <c r="A1131" s="103" t="s">
        <v>2414</v>
      </c>
      <c r="B1131" s="124" t="s">
        <v>2415</v>
      </c>
      <c r="C1131" s="110">
        <v>8096</v>
      </c>
      <c r="D1131" s="109" t="s">
        <v>120</v>
      </c>
      <c r="E1131" s="109">
        <v>81</v>
      </c>
      <c r="F1131" s="110">
        <v>3371</v>
      </c>
      <c r="G1131" s="109" t="s">
        <v>120</v>
      </c>
      <c r="H1131" s="109">
        <v>42</v>
      </c>
      <c r="I1131" s="109">
        <v>1687</v>
      </c>
      <c r="J1131" s="110">
        <v>2130</v>
      </c>
    </row>
    <row r="1132" spans="1:10">
      <c r="A1132" s="103" t="s">
        <v>2416</v>
      </c>
      <c r="B1132" s="124" t="s">
        <v>2417</v>
      </c>
      <c r="C1132" s="110">
        <v>9338</v>
      </c>
      <c r="D1132" s="109" t="s">
        <v>120</v>
      </c>
      <c r="E1132" s="109">
        <v>93</v>
      </c>
      <c r="F1132" s="110">
        <v>4321</v>
      </c>
      <c r="G1132" s="109" t="s">
        <v>120</v>
      </c>
      <c r="H1132" s="109">
        <v>46</v>
      </c>
      <c r="I1132" s="109">
        <v>1495</v>
      </c>
      <c r="J1132" s="110">
        <v>1917</v>
      </c>
    </row>
    <row r="1133" spans="1:10" s="119" customFormat="1">
      <c r="A1133" s="123" t="s">
        <v>120</v>
      </c>
      <c r="B1133" s="275" t="s">
        <v>947</v>
      </c>
      <c r="C1133" s="276"/>
      <c r="D1133" s="276"/>
      <c r="E1133" s="276"/>
      <c r="F1133" s="276"/>
      <c r="G1133" s="276"/>
      <c r="H1133" s="276"/>
      <c r="I1133" s="276"/>
      <c r="J1133" s="276"/>
    </row>
    <row r="1134" spans="1:10">
      <c r="A1134" s="103" t="s">
        <v>2418</v>
      </c>
      <c r="B1134" s="124" t="s">
        <v>2419</v>
      </c>
      <c r="C1134" s="110">
        <v>9277</v>
      </c>
      <c r="D1134" s="109" t="s">
        <v>120</v>
      </c>
      <c r="E1134" s="109">
        <v>93</v>
      </c>
      <c r="F1134" s="110">
        <v>6226</v>
      </c>
      <c r="G1134" s="109" t="s">
        <v>120</v>
      </c>
      <c r="H1134" s="109">
        <v>67</v>
      </c>
      <c r="I1134" s="109">
        <v>1502</v>
      </c>
      <c r="J1134" s="110">
        <v>1456</v>
      </c>
    </row>
    <row r="1135" spans="1:10">
      <c r="A1135" s="103" t="s">
        <v>2420</v>
      </c>
      <c r="B1135" s="124" t="s">
        <v>932</v>
      </c>
      <c r="C1135" s="110">
        <v>365</v>
      </c>
      <c r="D1135" s="109" t="s">
        <v>120</v>
      </c>
      <c r="E1135" s="109">
        <v>4</v>
      </c>
      <c r="F1135" s="110">
        <v>3923</v>
      </c>
      <c r="G1135" s="109" t="s">
        <v>120</v>
      </c>
      <c r="H1135" s="109">
        <v>1075</v>
      </c>
      <c r="I1135" s="109" t="s">
        <v>122</v>
      </c>
      <c r="J1135" s="110" t="s">
        <v>122</v>
      </c>
    </row>
    <row r="1136" spans="1:10">
      <c r="A1136" s="103" t="s">
        <v>2421</v>
      </c>
      <c r="B1136" s="124" t="s">
        <v>934</v>
      </c>
      <c r="C1136" s="110">
        <v>8912</v>
      </c>
      <c r="D1136" s="109" t="s">
        <v>120</v>
      </c>
      <c r="E1136" s="109">
        <v>89</v>
      </c>
      <c r="F1136" s="110">
        <v>2303</v>
      </c>
      <c r="G1136" s="109" t="s">
        <v>120</v>
      </c>
      <c r="H1136" s="109">
        <v>26</v>
      </c>
      <c r="I1136" s="109" t="s">
        <v>122</v>
      </c>
      <c r="J1136" s="110" t="s">
        <v>122</v>
      </c>
    </row>
    <row r="1137" spans="1:10">
      <c r="A1137" s="103" t="s">
        <v>2422</v>
      </c>
      <c r="B1137" s="124" t="s">
        <v>2423</v>
      </c>
      <c r="C1137" s="110">
        <v>19459</v>
      </c>
      <c r="D1137" s="109" t="s">
        <v>120</v>
      </c>
      <c r="E1137" s="109">
        <v>195</v>
      </c>
      <c r="F1137" s="110">
        <v>9979</v>
      </c>
      <c r="G1137" s="109" t="s">
        <v>120</v>
      </c>
      <c r="H1137" s="109">
        <v>51</v>
      </c>
      <c r="I1137" s="109">
        <v>374</v>
      </c>
      <c r="J1137" s="110">
        <v>874</v>
      </c>
    </row>
    <row r="1138" spans="1:10">
      <c r="A1138" s="103" t="s">
        <v>2424</v>
      </c>
      <c r="B1138" s="124" t="s">
        <v>932</v>
      </c>
      <c r="C1138" s="110">
        <v>936</v>
      </c>
      <c r="D1138" s="109" t="s">
        <v>120</v>
      </c>
      <c r="E1138" s="109">
        <v>9</v>
      </c>
      <c r="F1138" s="110">
        <v>3988</v>
      </c>
      <c r="G1138" s="109" t="s">
        <v>120</v>
      </c>
      <c r="H1138" s="109">
        <v>426</v>
      </c>
      <c r="I1138" s="109" t="s">
        <v>122</v>
      </c>
      <c r="J1138" s="110" t="s">
        <v>122</v>
      </c>
    </row>
    <row r="1139" spans="1:10">
      <c r="A1139" s="103" t="s">
        <v>2425</v>
      </c>
      <c r="B1139" s="124" t="s">
        <v>934</v>
      </c>
      <c r="C1139" s="110">
        <v>18523</v>
      </c>
      <c r="D1139" s="109" t="s">
        <v>120</v>
      </c>
      <c r="E1139" s="109">
        <v>186</v>
      </c>
      <c r="F1139" s="110">
        <v>5991</v>
      </c>
      <c r="G1139" s="109" t="s">
        <v>120</v>
      </c>
      <c r="H1139" s="109">
        <v>32</v>
      </c>
      <c r="I1139" s="109" t="s">
        <v>122</v>
      </c>
      <c r="J1139" s="110" t="s">
        <v>122</v>
      </c>
    </row>
    <row r="1140" spans="1:10">
      <c r="A1140" s="103" t="s">
        <v>2426</v>
      </c>
      <c r="B1140" s="124" t="s">
        <v>2427</v>
      </c>
      <c r="C1140" s="110">
        <v>12853</v>
      </c>
      <c r="D1140" s="109" t="s">
        <v>120</v>
      </c>
      <c r="E1140" s="109">
        <v>129</v>
      </c>
      <c r="F1140" s="110">
        <v>5821</v>
      </c>
      <c r="G1140" s="109" t="s">
        <v>120</v>
      </c>
      <c r="H1140" s="109">
        <v>45</v>
      </c>
      <c r="I1140" s="109">
        <v>934</v>
      </c>
      <c r="J1140" s="110">
        <v>1551</v>
      </c>
    </row>
    <row r="1141" spans="1:10">
      <c r="A1141" s="103" t="s">
        <v>2428</v>
      </c>
      <c r="B1141" s="124" t="s">
        <v>932</v>
      </c>
      <c r="C1141" s="110">
        <v>455</v>
      </c>
      <c r="D1141" s="109" t="s">
        <v>120</v>
      </c>
      <c r="E1141" s="109">
        <v>5</v>
      </c>
      <c r="F1141" s="110">
        <v>3768</v>
      </c>
      <c r="G1141" s="109" t="s">
        <v>120</v>
      </c>
      <c r="H1141" s="109">
        <v>828</v>
      </c>
      <c r="I1141" s="109" t="s">
        <v>122</v>
      </c>
      <c r="J1141" s="110" t="s">
        <v>122</v>
      </c>
    </row>
    <row r="1142" spans="1:10">
      <c r="A1142" s="103" t="s">
        <v>2429</v>
      </c>
      <c r="B1142" s="124" t="s">
        <v>934</v>
      </c>
      <c r="C1142" s="110">
        <v>12398</v>
      </c>
      <c r="D1142" s="109" t="s">
        <v>120</v>
      </c>
      <c r="E1142" s="109">
        <v>124</v>
      </c>
      <c r="F1142" s="110">
        <v>2053</v>
      </c>
      <c r="G1142" s="109" t="s">
        <v>120</v>
      </c>
      <c r="H1142" s="109">
        <v>17</v>
      </c>
      <c r="I1142" s="109" t="s">
        <v>122</v>
      </c>
      <c r="J1142" s="110" t="s">
        <v>122</v>
      </c>
    </row>
    <row r="1143" spans="1:10">
      <c r="A1143" s="103" t="s">
        <v>2430</v>
      </c>
      <c r="B1143" s="124" t="s">
        <v>2431</v>
      </c>
      <c r="C1143" s="110">
        <v>25969</v>
      </c>
      <c r="D1143" s="109" t="s">
        <v>120</v>
      </c>
      <c r="E1143" s="109">
        <v>260</v>
      </c>
      <c r="F1143" s="110">
        <v>9441</v>
      </c>
      <c r="G1143" s="109" t="s">
        <v>120</v>
      </c>
      <c r="H1143" s="109">
        <v>36</v>
      </c>
      <c r="I1143" s="109">
        <v>156</v>
      </c>
      <c r="J1143" s="110">
        <v>927</v>
      </c>
    </row>
    <row r="1144" spans="1:10">
      <c r="A1144" s="103" t="s">
        <v>2432</v>
      </c>
      <c r="B1144" s="124" t="s">
        <v>932</v>
      </c>
      <c r="C1144" s="110">
        <v>1463</v>
      </c>
      <c r="D1144" s="109" t="s">
        <v>120</v>
      </c>
      <c r="E1144" s="109">
        <v>15</v>
      </c>
      <c r="F1144" s="110">
        <v>5134</v>
      </c>
      <c r="G1144" s="109" t="s">
        <v>120</v>
      </c>
      <c r="H1144" s="109">
        <v>351</v>
      </c>
      <c r="I1144" s="109" t="s">
        <v>122</v>
      </c>
      <c r="J1144" s="110" t="s">
        <v>122</v>
      </c>
    </row>
    <row r="1145" spans="1:10">
      <c r="A1145" s="103" t="s">
        <v>2433</v>
      </c>
      <c r="B1145" s="124" t="s">
        <v>934</v>
      </c>
      <c r="C1145" s="110">
        <v>24506</v>
      </c>
      <c r="D1145" s="109" t="s">
        <v>120</v>
      </c>
      <c r="E1145" s="109">
        <v>245</v>
      </c>
      <c r="F1145" s="110">
        <v>4307</v>
      </c>
      <c r="G1145" s="109" t="s">
        <v>120</v>
      </c>
      <c r="H1145" s="109">
        <v>18</v>
      </c>
      <c r="I1145" s="109" t="s">
        <v>122</v>
      </c>
      <c r="J1145" s="110" t="s">
        <v>122</v>
      </c>
    </row>
    <row r="1146" spans="1:10">
      <c r="A1146" s="103" t="s">
        <v>2434</v>
      </c>
      <c r="B1146" s="124" t="s">
        <v>2435</v>
      </c>
      <c r="C1146" s="110">
        <v>23666</v>
      </c>
      <c r="D1146" s="109" t="s">
        <v>120</v>
      </c>
      <c r="E1146" s="109">
        <v>237</v>
      </c>
      <c r="F1146" s="110">
        <v>26521</v>
      </c>
      <c r="G1146" s="109" t="s">
        <v>120</v>
      </c>
      <c r="H1146" s="109">
        <v>112</v>
      </c>
      <c r="I1146" s="109">
        <v>212</v>
      </c>
      <c r="J1146" s="110">
        <v>229</v>
      </c>
    </row>
    <row r="1147" spans="1:10">
      <c r="A1147" s="103" t="s">
        <v>2436</v>
      </c>
      <c r="B1147" s="124" t="s">
        <v>932</v>
      </c>
      <c r="C1147" s="110">
        <v>688</v>
      </c>
      <c r="D1147" s="109" t="s">
        <v>120</v>
      </c>
      <c r="E1147" s="109">
        <v>7</v>
      </c>
      <c r="F1147" s="110">
        <v>16750</v>
      </c>
      <c r="G1147" s="109" t="s">
        <v>120</v>
      </c>
      <c r="H1147" s="109">
        <v>2435</v>
      </c>
      <c r="I1147" s="109" t="s">
        <v>122</v>
      </c>
      <c r="J1147" s="110" t="s">
        <v>122</v>
      </c>
    </row>
    <row r="1148" spans="1:10">
      <c r="A1148" s="103" t="s">
        <v>2437</v>
      </c>
      <c r="B1148" s="124" t="s">
        <v>934</v>
      </c>
      <c r="C1148" s="110">
        <v>22978</v>
      </c>
      <c r="D1148" s="109" t="s">
        <v>120</v>
      </c>
      <c r="E1148" s="109">
        <v>230</v>
      </c>
      <c r="F1148" s="110">
        <v>9771</v>
      </c>
      <c r="G1148" s="109" t="s">
        <v>120</v>
      </c>
      <c r="H1148" s="109">
        <v>43</v>
      </c>
      <c r="I1148" s="109" t="s">
        <v>122</v>
      </c>
      <c r="J1148" s="110" t="s">
        <v>122</v>
      </c>
    </row>
    <row r="1149" spans="1:10" s="119" customFormat="1">
      <c r="A1149" s="123" t="s">
        <v>120</v>
      </c>
      <c r="B1149" s="273" t="s">
        <v>2438</v>
      </c>
      <c r="C1149" s="274"/>
      <c r="D1149" s="274"/>
      <c r="E1149" s="274"/>
      <c r="F1149" s="274"/>
      <c r="G1149" s="274"/>
      <c r="H1149" s="274"/>
      <c r="I1149" s="274"/>
      <c r="J1149" s="274"/>
    </row>
    <row r="1150" spans="1:10" s="119" customFormat="1">
      <c r="A1150" s="123" t="s">
        <v>120</v>
      </c>
      <c r="B1150" s="275" t="s">
        <v>936</v>
      </c>
      <c r="C1150" s="276"/>
      <c r="D1150" s="276"/>
      <c r="E1150" s="276"/>
      <c r="F1150" s="276"/>
      <c r="G1150" s="276"/>
      <c r="H1150" s="276"/>
      <c r="I1150" s="276"/>
      <c r="J1150" s="276"/>
    </row>
    <row r="1151" spans="1:10">
      <c r="A1151" s="103" t="s">
        <v>2439</v>
      </c>
      <c r="B1151" s="124" t="s">
        <v>2440</v>
      </c>
      <c r="C1151" s="110">
        <v>2392</v>
      </c>
      <c r="D1151" s="109" t="s">
        <v>120</v>
      </c>
      <c r="E1151" s="109">
        <v>24</v>
      </c>
      <c r="F1151" s="110">
        <v>3000</v>
      </c>
      <c r="G1151" s="109" t="s">
        <v>120</v>
      </c>
      <c r="H1151" s="109">
        <v>125</v>
      </c>
      <c r="I1151" s="109">
        <v>2203</v>
      </c>
      <c r="J1151" s="110">
        <v>2198</v>
      </c>
    </row>
    <row r="1152" spans="1:10">
      <c r="A1152" s="103" t="s">
        <v>2441</v>
      </c>
      <c r="B1152" s="124" t="s">
        <v>2442</v>
      </c>
      <c r="C1152" s="110">
        <v>4038</v>
      </c>
      <c r="D1152" s="109" t="s">
        <v>120</v>
      </c>
      <c r="E1152" s="109">
        <v>40</v>
      </c>
      <c r="F1152" s="110">
        <v>25668</v>
      </c>
      <c r="G1152" s="109" t="s">
        <v>120</v>
      </c>
      <c r="H1152" s="109">
        <v>636</v>
      </c>
      <c r="I1152" s="109">
        <v>2093</v>
      </c>
      <c r="J1152" s="110">
        <v>238</v>
      </c>
    </row>
    <row r="1153" spans="1:10" s="119" customFormat="1">
      <c r="A1153" s="123" t="s">
        <v>120</v>
      </c>
      <c r="B1153" s="275" t="s">
        <v>924</v>
      </c>
      <c r="C1153" s="276"/>
      <c r="D1153" s="276"/>
      <c r="E1153" s="276"/>
      <c r="F1153" s="276"/>
      <c r="G1153" s="276"/>
      <c r="H1153" s="276"/>
      <c r="I1153" s="276"/>
      <c r="J1153" s="276"/>
    </row>
    <row r="1154" spans="1:10">
      <c r="A1154" s="103" t="s">
        <v>2443</v>
      </c>
      <c r="B1154" s="124" t="s">
        <v>2444</v>
      </c>
      <c r="C1154" s="110">
        <v>12218</v>
      </c>
      <c r="D1154" s="109" t="s">
        <v>120</v>
      </c>
      <c r="E1154" s="109">
        <v>122</v>
      </c>
      <c r="F1154" s="110">
        <v>3733</v>
      </c>
      <c r="G1154" s="109" t="s">
        <v>120</v>
      </c>
      <c r="H1154" s="109">
        <v>31</v>
      </c>
      <c r="I1154" s="109">
        <v>1023</v>
      </c>
      <c r="J1154" s="110">
        <v>2061</v>
      </c>
    </row>
    <row r="1155" spans="1:10">
      <c r="A1155" s="103" t="s">
        <v>2445</v>
      </c>
      <c r="B1155" s="124" t="s">
        <v>2446</v>
      </c>
      <c r="C1155" s="110">
        <v>13641</v>
      </c>
      <c r="D1155" s="109" t="s">
        <v>120</v>
      </c>
      <c r="E1155" s="109">
        <v>136</v>
      </c>
      <c r="F1155" s="110">
        <v>4357</v>
      </c>
      <c r="G1155" s="109" t="s">
        <v>120</v>
      </c>
      <c r="H1155" s="109">
        <v>32</v>
      </c>
      <c r="I1155" s="109">
        <v>818</v>
      </c>
      <c r="J1155" s="110">
        <v>1903</v>
      </c>
    </row>
    <row r="1156" spans="1:10">
      <c r="A1156" s="103" t="s">
        <v>2447</v>
      </c>
      <c r="B1156" s="124" t="s">
        <v>2448</v>
      </c>
      <c r="C1156" s="110">
        <v>6309</v>
      </c>
      <c r="D1156" s="109" t="s">
        <v>120</v>
      </c>
      <c r="E1156" s="109">
        <v>63</v>
      </c>
      <c r="F1156" s="110">
        <v>2263</v>
      </c>
      <c r="G1156" s="105" t="s">
        <v>1075</v>
      </c>
      <c r="H1156" s="109">
        <v>36</v>
      </c>
      <c r="I1156" s="109">
        <v>1922</v>
      </c>
      <c r="J1156" s="110">
        <v>2282</v>
      </c>
    </row>
    <row r="1157" spans="1:10">
      <c r="A1157" s="103" t="s">
        <v>2449</v>
      </c>
      <c r="B1157" s="124" t="s">
        <v>2442</v>
      </c>
      <c r="C1157" s="110">
        <v>28069</v>
      </c>
      <c r="D1157" s="109" t="s">
        <v>120</v>
      </c>
      <c r="E1157" s="109">
        <v>281</v>
      </c>
      <c r="F1157" s="110">
        <v>7306</v>
      </c>
      <c r="G1157" s="109" t="s">
        <v>120</v>
      </c>
      <c r="H1157" s="109">
        <v>26</v>
      </c>
      <c r="I1157" s="109">
        <v>127</v>
      </c>
      <c r="J1157" s="110">
        <v>1244</v>
      </c>
    </row>
    <row r="1158" spans="1:10" s="119" customFormat="1">
      <c r="A1158" s="123" t="s">
        <v>120</v>
      </c>
      <c r="B1158" s="275" t="s">
        <v>947</v>
      </c>
      <c r="C1158" s="276"/>
      <c r="D1158" s="276"/>
      <c r="E1158" s="276"/>
      <c r="F1158" s="276"/>
      <c r="G1158" s="276"/>
      <c r="H1158" s="276"/>
      <c r="I1158" s="276"/>
      <c r="J1158" s="276"/>
    </row>
    <row r="1159" spans="1:10">
      <c r="A1159" s="103" t="s">
        <v>2450</v>
      </c>
      <c r="B1159" s="124" t="s">
        <v>2451</v>
      </c>
      <c r="C1159" s="110">
        <v>15303</v>
      </c>
      <c r="D1159" s="109" t="s">
        <v>120</v>
      </c>
      <c r="E1159" s="109">
        <v>153</v>
      </c>
      <c r="F1159" s="110">
        <v>6842</v>
      </c>
      <c r="G1159" s="109" t="s">
        <v>120</v>
      </c>
      <c r="H1159" s="109">
        <v>45</v>
      </c>
      <c r="I1159" s="109">
        <v>648</v>
      </c>
      <c r="J1159" s="110">
        <v>1332</v>
      </c>
    </row>
    <row r="1160" spans="1:10">
      <c r="A1160" s="103" t="s">
        <v>2452</v>
      </c>
      <c r="B1160" s="124" t="s">
        <v>932</v>
      </c>
      <c r="C1160" s="110">
        <v>918</v>
      </c>
      <c r="D1160" s="109" t="s">
        <v>120</v>
      </c>
      <c r="E1160" s="109">
        <v>10</v>
      </c>
      <c r="F1160" s="110">
        <v>3874</v>
      </c>
      <c r="G1160" s="109" t="s">
        <v>120</v>
      </c>
      <c r="H1160" s="109">
        <v>422</v>
      </c>
      <c r="I1160" s="109" t="s">
        <v>122</v>
      </c>
      <c r="J1160" s="110" t="s">
        <v>122</v>
      </c>
    </row>
    <row r="1161" spans="1:10">
      <c r="A1161" s="103" t="s">
        <v>2453</v>
      </c>
      <c r="B1161" s="124" t="s">
        <v>934</v>
      </c>
      <c r="C1161" s="110">
        <v>14385</v>
      </c>
      <c r="D1161" s="109" t="s">
        <v>120</v>
      </c>
      <c r="E1161" s="109">
        <v>143</v>
      </c>
      <c r="F1161" s="110">
        <v>2968</v>
      </c>
      <c r="G1161" s="109" t="s">
        <v>120</v>
      </c>
      <c r="H1161" s="109">
        <v>21</v>
      </c>
      <c r="I1161" s="109" t="s">
        <v>122</v>
      </c>
      <c r="J1161" s="110" t="s">
        <v>122</v>
      </c>
    </row>
    <row r="1162" spans="1:10">
      <c r="A1162" s="103" t="s">
        <v>2454</v>
      </c>
      <c r="B1162" s="124" t="s">
        <v>2455</v>
      </c>
      <c r="C1162" s="110">
        <v>7959</v>
      </c>
      <c r="D1162" s="109" t="s">
        <v>120</v>
      </c>
      <c r="E1162" s="109">
        <v>80</v>
      </c>
      <c r="F1162" s="110">
        <v>5174</v>
      </c>
      <c r="G1162" s="109" t="s">
        <v>120</v>
      </c>
      <c r="H1162" s="109">
        <v>65</v>
      </c>
      <c r="I1162" s="109">
        <v>1706</v>
      </c>
      <c r="J1162" s="110">
        <v>1697</v>
      </c>
    </row>
    <row r="1163" spans="1:10">
      <c r="A1163" s="103" t="s">
        <v>2456</v>
      </c>
      <c r="B1163" s="124" t="s">
        <v>932</v>
      </c>
      <c r="C1163" s="110">
        <v>675</v>
      </c>
      <c r="D1163" s="109" t="s">
        <v>120</v>
      </c>
      <c r="E1163" s="109">
        <v>7</v>
      </c>
      <c r="F1163" s="110">
        <v>3480</v>
      </c>
      <c r="G1163" s="109" t="s">
        <v>120</v>
      </c>
      <c r="H1163" s="109">
        <v>516</v>
      </c>
      <c r="I1163" s="109" t="s">
        <v>122</v>
      </c>
      <c r="J1163" s="110" t="s">
        <v>122</v>
      </c>
    </row>
    <row r="1164" spans="1:10">
      <c r="A1164" s="103" t="s">
        <v>2457</v>
      </c>
      <c r="B1164" s="124" t="s">
        <v>934</v>
      </c>
      <c r="C1164" s="110">
        <v>7284</v>
      </c>
      <c r="D1164" s="109" t="s">
        <v>120</v>
      </c>
      <c r="E1164" s="109">
        <v>72</v>
      </c>
      <c r="F1164" s="110">
        <v>1694</v>
      </c>
      <c r="G1164" s="109" t="s">
        <v>120</v>
      </c>
      <c r="H1164" s="109">
        <v>23</v>
      </c>
      <c r="I1164" s="109" t="s">
        <v>122</v>
      </c>
      <c r="J1164" s="110" t="s">
        <v>122</v>
      </c>
    </row>
    <row r="1165" spans="1:10">
      <c r="A1165" s="103" t="s">
        <v>2458</v>
      </c>
      <c r="B1165" s="124" t="s">
        <v>2459</v>
      </c>
      <c r="C1165" s="110">
        <v>23253</v>
      </c>
      <c r="D1165" s="109" t="s">
        <v>120</v>
      </c>
      <c r="E1165" s="109">
        <v>233</v>
      </c>
      <c r="F1165" s="110">
        <v>20610</v>
      </c>
      <c r="G1165" s="109" t="s">
        <v>120</v>
      </c>
      <c r="H1165" s="109">
        <v>89</v>
      </c>
      <c r="I1165" s="109">
        <v>223</v>
      </c>
      <c r="J1165" s="110">
        <v>329</v>
      </c>
    </row>
    <row r="1166" spans="1:10">
      <c r="A1166" s="103" t="s">
        <v>2460</v>
      </c>
      <c r="B1166" s="124" t="s">
        <v>932</v>
      </c>
      <c r="C1166" s="110">
        <v>1095</v>
      </c>
      <c r="D1166" s="109" t="s">
        <v>120</v>
      </c>
      <c r="E1166" s="109">
        <v>11</v>
      </c>
      <c r="F1166" s="110">
        <v>11711</v>
      </c>
      <c r="G1166" s="109" t="s">
        <v>120</v>
      </c>
      <c r="H1166" s="109">
        <v>1069</v>
      </c>
      <c r="I1166" s="109" t="s">
        <v>122</v>
      </c>
      <c r="J1166" s="110" t="s">
        <v>122</v>
      </c>
    </row>
    <row r="1167" spans="1:10">
      <c r="A1167" s="103" t="s">
        <v>2461</v>
      </c>
      <c r="B1167" s="124" t="s">
        <v>934</v>
      </c>
      <c r="C1167" s="110">
        <v>22158</v>
      </c>
      <c r="D1167" s="109" t="s">
        <v>120</v>
      </c>
      <c r="E1167" s="109">
        <v>222</v>
      </c>
      <c r="F1167" s="110">
        <v>8899</v>
      </c>
      <c r="G1167" s="109" t="s">
        <v>120</v>
      </c>
      <c r="H1167" s="109">
        <v>40</v>
      </c>
      <c r="I1167" s="109" t="s">
        <v>122</v>
      </c>
      <c r="J1167" s="110" t="s">
        <v>122</v>
      </c>
    </row>
    <row r="1168" spans="1:10" s="119" customFormat="1">
      <c r="A1168" s="123" t="s">
        <v>120</v>
      </c>
      <c r="B1168" s="273" t="s">
        <v>2462</v>
      </c>
      <c r="C1168" s="274"/>
      <c r="D1168" s="274"/>
      <c r="E1168" s="274"/>
      <c r="F1168" s="274"/>
      <c r="G1168" s="274"/>
      <c r="H1168" s="274"/>
      <c r="I1168" s="274"/>
      <c r="J1168" s="274"/>
    </row>
    <row r="1169" spans="1:10" s="119" customFormat="1">
      <c r="A1169" s="123" t="s">
        <v>120</v>
      </c>
      <c r="B1169" s="275" t="s">
        <v>1032</v>
      </c>
      <c r="C1169" s="276"/>
      <c r="D1169" s="276"/>
      <c r="E1169" s="276"/>
      <c r="F1169" s="276"/>
      <c r="G1169" s="276"/>
      <c r="H1169" s="276"/>
      <c r="I1169" s="276"/>
      <c r="J1169" s="276"/>
    </row>
    <row r="1170" spans="1:10">
      <c r="A1170" s="103" t="s">
        <v>2463</v>
      </c>
      <c r="B1170" s="124" t="s">
        <v>2464</v>
      </c>
      <c r="C1170" s="110">
        <v>1643</v>
      </c>
      <c r="D1170" s="105" t="s">
        <v>1075</v>
      </c>
      <c r="E1170" s="109">
        <v>16</v>
      </c>
      <c r="F1170" s="110">
        <v>2459</v>
      </c>
      <c r="G1170" s="109" t="s">
        <v>120</v>
      </c>
      <c r="H1170" s="109">
        <v>150</v>
      </c>
      <c r="I1170" s="109">
        <v>2266</v>
      </c>
      <c r="J1170" s="110">
        <v>2266</v>
      </c>
    </row>
    <row r="1171" spans="1:10">
      <c r="A1171" s="103" t="s">
        <v>2465</v>
      </c>
      <c r="B1171" s="124" t="s">
        <v>2466</v>
      </c>
      <c r="C1171" s="110">
        <v>3349</v>
      </c>
      <c r="D1171" s="109" t="s">
        <v>120</v>
      </c>
      <c r="E1171" s="109">
        <v>33</v>
      </c>
      <c r="F1171" s="110">
        <v>37304</v>
      </c>
      <c r="G1171" s="109" t="s">
        <v>120</v>
      </c>
      <c r="H1171" s="109">
        <v>1114</v>
      </c>
      <c r="I1171" s="109">
        <v>2143</v>
      </c>
      <c r="J1171" s="110">
        <v>142</v>
      </c>
    </row>
    <row r="1172" spans="1:10" s="119" customFormat="1">
      <c r="A1172" s="123" t="s">
        <v>120</v>
      </c>
      <c r="B1172" s="275" t="s">
        <v>943</v>
      </c>
      <c r="C1172" s="276"/>
      <c r="D1172" s="276"/>
      <c r="E1172" s="276"/>
      <c r="F1172" s="276"/>
      <c r="G1172" s="276"/>
      <c r="H1172" s="276"/>
      <c r="I1172" s="276"/>
      <c r="J1172" s="276"/>
    </row>
    <row r="1173" spans="1:10" ht="15" customHeight="1">
      <c r="A1173" s="103" t="s">
        <v>2467</v>
      </c>
      <c r="B1173" s="124" t="s">
        <v>2468</v>
      </c>
      <c r="C1173" s="110">
        <v>24067</v>
      </c>
      <c r="D1173" s="109" t="s">
        <v>120</v>
      </c>
      <c r="E1173" s="109">
        <v>241</v>
      </c>
      <c r="F1173" s="110">
        <v>3404</v>
      </c>
      <c r="G1173" s="109" t="s">
        <v>120</v>
      </c>
      <c r="H1173" s="109">
        <v>14</v>
      </c>
      <c r="I1173" s="109">
        <v>203</v>
      </c>
      <c r="J1173" s="110">
        <v>2126</v>
      </c>
    </row>
    <row r="1174" spans="1:10" ht="15" customHeight="1">
      <c r="A1174" s="103" t="s">
        <v>2469</v>
      </c>
      <c r="B1174" s="124" t="s">
        <v>2470</v>
      </c>
      <c r="C1174" s="110">
        <v>8869</v>
      </c>
      <c r="D1174" s="109" t="s">
        <v>120</v>
      </c>
      <c r="E1174" s="109">
        <v>89</v>
      </c>
      <c r="F1174" s="110">
        <v>3375</v>
      </c>
      <c r="G1174" s="109" t="s">
        <v>120</v>
      </c>
      <c r="H1174" s="109">
        <v>38</v>
      </c>
      <c r="I1174" s="109">
        <v>1550</v>
      </c>
      <c r="J1174" s="110">
        <v>2129</v>
      </c>
    </row>
    <row r="1175" spans="1:10" ht="15" customHeight="1">
      <c r="A1175" s="103" t="s">
        <v>2471</v>
      </c>
      <c r="B1175" s="124" t="s">
        <v>2472</v>
      </c>
      <c r="C1175" s="110">
        <v>17832</v>
      </c>
      <c r="D1175" s="109" t="s">
        <v>120</v>
      </c>
      <c r="E1175" s="109">
        <v>178</v>
      </c>
      <c r="F1175" s="110">
        <v>3132</v>
      </c>
      <c r="G1175" s="109" t="s">
        <v>120</v>
      </c>
      <c r="H1175" s="109">
        <v>18</v>
      </c>
      <c r="I1175" s="109">
        <v>464</v>
      </c>
      <c r="J1175" s="110">
        <v>2179</v>
      </c>
    </row>
    <row r="1176" spans="1:10" ht="15" customHeight="1">
      <c r="A1176" s="103" t="s">
        <v>2473</v>
      </c>
      <c r="B1176" s="124" t="s">
        <v>2474</v>
      </c>
      <c r="C1176" s="110">
        <v>16635</v>
      </c>
      <c r="D1176" s="109" t="s">
        <v>120</v>
      </c>
      <c r="E1176" s="109">
        <v>166</v>
      </c>
      <c r="F1176" s="110">
        <v>5668</v>
      </c>
      <c r="G1176" s="109" t="s">
        <v>120</v>
      </c>
      <c r="H1176" s="109">
        <v>34</v>
      </c>
      <c r="I1176" s="109">
        <v>548</v>
      </c>
      <c r="J1176" s="110">
        <v>1580</v>
      </c>
    </row>
    <row r="1177" spans="1:10" ht="15" customHeight="1">
      <c r="A1177" s="103" t="s">
        <v>2475</v>
      </c>
      <c r="B1177" s="124" t="s">
        <v>2476</v>
      </c>
      <c r="C1177" s="110">
        <v>6575</v>
      </c>
      <c r="D1177" s="109" t="s">
        <v>120</v>
      </c>
      <c r="E1177" s="109">
        <v>66</v>
      </c>
      <c r="F1177" s="110">
        <v>3042</v>
      </c>
      <c r="G1177" s="109" t="s">
        <v>120</v>
      </c>
      <c r="H1177" s="109">
        <v>46</v>
      </c>
      <c r="I1177" s="109">
        <v>1896</v>
      </c>
      <c r="J1177" s="110">
        <v>2191</v>
      </c>
    </row>
    <row r="1178" spans="1:10" ht="15" customHeight="1">
      <c r="A1178" s="103" t="s">
        <v>2477</v>
      </c>
      <c r="B1178" s="124" t="s">
        <v>2466</v>
      </c>
      <c r="C1178" s="110">
        <v>29362</v>
      </c>
      <c r="D1178" s="109" t="s">
        <v>120</v>
      </c>
      <c r="E1178" s="109">
        <v>294</v>
      </c>
      <c r="F1178" s="110">
        <v>12332</v>
      </c>
      <c r="G1178" s="109" t="s">
        <v>120</v>
      </c>
      <c r="H1178" s="109">
        <v>42</v>
      </c>
      <c r="I1178" s="109">
        <v>105</v>
      </c>
      <c r="J1178" s="110">
        <v>676</v>
      </c>
    </row>
    <row r="1179" spans="1:10" s="119" customFormat="1">
      <c r="A1179" s="123" t="s">
        <v>120</v>
      </c>
      <c r="B1179" s="275" t="s">
        <v>1047</v>
      </c>
      <c r="C1179" s="276"/>
      <c r="D1179" s="276"/>
      <c r="E1179" s="276"/>
      <c r="F1179" s="276"/>
      <c r="G1179" s="276"/>
      <c r="H1179" s="276"/>
      <c r="I1179" s="276"/>
      <c r="J1179" s="276"/>
    </row>
    <row r="1180" spans="1:10">
      <c r="A1180" s="103" t="s">
        <v>2478</v>
      </c>
      <c r="B1180" s="124" t="s">
        <v>2479</v>
      </c>
      <c r="C1180" s="110">
        <v>12679</v>
      </c>
      <c r="D1180" s="109" t="s">
        <v>120</v>
      </c>
      <c r="E1180" s="109">
        <v>127</v>
      </c>
      <c r="F1180" s="110">
        <v>6991</v>
      </c>
      <c r="G1180" s="109" t="s">
        <v>120</v>
      </c>
      <c r="H1180" s="109">
        <v>55</v>
      </c>
      <c r="I1180" s="109">
        <v>961</v>
      </c>
      <c r="J1180" s="110">
        <v>1299</v>
      </c>
    </row>
    <row r="1181" spans="1:10">
      <c r="A1181" s="103" t="s">
        <v>2480</v>
      </c>
      <c r="B1181" s="124" t="s">
        <v>932</v>
      </c>
      <c r="C1181" s="110">
        <v>479</v>
      </c>
      <c r="D1181" s="109" t="s">
        <v>120</v>
      </c>
      <c r="E1181" s="109">
        <v>5</v>
      </c>
      <c r="F1181" s="110">
        <v>4262</v>
      </c>
      <c r="G1181" s="109" t="s">
        <v>120</v>
      </c>
      <c r="H1181" s="109">
        <v>890</v>
      </c>
      <c r="I1181" s="109" t="s">
        <v>122</v>
      </c>
      <c r="J1181" s="110" t="s">
        <v>122</v>
      </c>
    </row>
    <row r="1182" spans="1:10">
      <c r="A1182" s="103" t="s">
        <v>2481</v>
      </c>
      <c r="B1182" s="124" t="s">
        <v>934</v>
      </c>
      <c r="C1182" s="110">
        <v>12200</v>
      </c>
      <c r="D1182" s="109" t="s">
        <v>120</v>
      </c>
      <c r="E1182" s="109">
        <v>122</v>
      </c>
      <c r="F1182" s="110">
        <v>2729</v>
      </c>
      <c r="G1182" s="109" t="s">
        <v>120</v>
      </c>
      <c r="H1182" s="109">
        <v>22</v>
      </c>
      <c r="I1182" s="109" t="s">
        <v>122</v>
      </c>
      <c r="J1182" s="110" t="s">
        <v>122</v>
      </c>
    </row>
    <row r="1183" spans="1:10">
      <c r="A1183" s="103" t="s">
        <v>2482</v>
      </c>
      <c r="B1183" s="124" t="s">
        <v>2483</v>
      </c>
      <c r="C1183" s="110">
        <v>18267</v>
      </c>
      <c r="D1183" s="109" t="s">
        <v>120</v>
      </c>
      <c r="E1183" s="109">
        <v>183</v>
      </c>
      <c r="F1183" s="110">
        <v>18404</v>
      </c>
      <c r="G1183" s="109" t="s">
        <v>120</v>
      </c>
      <c r="H1183" s="109">
        <v>101</v>
      </c>
      <c r="I1183" s="109">
        <v>436</v>
      </c>
      <c r="J1183" s="110">
        <v>386</v>
      </c>
    </row>
    <row r="1184" spans="1:10">
      <c r="A1184" s="103" t="s">
        <v>2484</v>
      </c>
      <c r="B1184" s="124" t="s">
        <v>932</v>
      </c>
      <c r="C1184" s="110">
        <v>1251</v>
      </c>
      <c r="D1184" s="109" t="s">
        <v>120</v>
      </c>
      <c r="E1184" s="109">
        <v>13</v>
      </c>
      <c r="F1184" s="110">
        <v>13876</v>
      </c>
      <c r="G1184" s="109" t="s">
        <v>120</v>
      </c>
      <c r="H1184" s="109">
        <v>1109</v>
      </c>
      <c r="I1184" s="109" t="s">
        <v>122</v>
      </c>
      <c r="J1184" s="110" t="s">
        <v>122</v>
      </c>
    </row>
    <row r="1185" spans="1:10">
      <c r="A1185" s="103" t="s">
        <v>2485</v>
      </c>
      <c r="B1185" s="124" t="s">
        <v>934</v>
      </c>
      <c r="C1185" s="110">
        <v>17016</v>
      </c>
      <c r="D1185" s="109" t="s">
        <v>120</v>
      </c>
      <c r="E1185" s="109">
        <v>170</v>
      </c>
      <c r="F1185" s="110">
        <v>4528</v>
      </c>
      <c r="G1185" s="109" t="s">
        <v>120</v>
      </c>
      <c r="H1185" s="109">
        <v>27</v>
      </c>
      <c r="I1185" s="109" t="s">
        <v>122</v>
      </c>
      <c r="J1185" s="110" t="s">
        <v>122</v>
      </c>
    </row>
    <row r="1186" spans="1:10" s="119" customFormat="1">
      <c r="A1186" s="123" t="s">
        <v>120</v>
      </c>
      <c r="B1186" s="273" t="s">
        <v>2486</v>
      </c>
      <c r="C1186" s="274"/>
      <c r="D1186" s="274"/>
      <c r="E1186" s="274"/>
      <c r="F1186" s="274"/>
      <c r="G1186" s="274"/>
      <c r="H1186" s="274"/>
      <c r="I1186" s="274"/>
      <c r="J1186" s="274"/>
    </row>
    <row r="1187" spans="1:10">
      <c r="A1187" s="103" t="s">
        <v>2487</v>
      </c>
      <c r="B1187" s="124" t="s">
        <v>2488</v>
      </c>
      <c r="C1187" s="110">
        <v>8572</v>
      </c>
      <c r="D1187" s="109" t="s">
        <v>120</v>
      </c>
      <c r="E1187" s="109">
        <v>86</v>
      </c>
      <c r="F1187" s="110">
        <v>123609</v>
      </c>
      <c r="G1187" s="109" t="s">
        <v>120</v>
      </c>
      <c r="H1187" s="109">
        <v>1442</v>
      </c>
      <c r="I1187" s="109">
        <v>1604</v>
      </c>
      <c r="J1187" s="110">
        <v>29</v>
      </c>
    </row>
    <row r="1188" spans="1:10">
      <c r="A1188" s="103" t="s">
        <v>2489</v>
      </c>
      <c r="B1188" s="124" t="s">
        <v>2490</v>
      </c>
      <c r="C1188" s="110">
        <v>27832</v>
      </c>
      <c r="D1188" s="109" t="s">
        <v>120</v>
      </c>
      <c r="E1188" s="109">
        <v>277</v>
      </c>
      <c r="F1188" s="110">
        <v>141222</v>
      </c>
      <c r="G1188" s="105" t="s">
        <v>927</v>
      </c>
      <c r="H1188" s="109">
        <v>507</v>
      </c>
      <c r="I1188" s="109">
        <v>132</v>
      </c>
      <c r="J1188" s="110">
        <v>24</v>
      </c>
    </row>
    <row r="1189" spans="1:10" s="119" customFormat="1">
      <c r="A1189" s="123" t="s">
        <v>120</v>
      </c>
      <c r="B1189" s="273" t="s">
        <v>8</v>
      </c>
      <c r="C1189" s="274"/>
      <c r="D1189" s="274"/>
      <c r="E1189" s="274"/>
      <c r="F1189" s="274"/>
      <c r="G1189" s="274"/>
      <c r="H1189" s="274"/>
      <c r="I1189" s="274"/>
      <c r="J1189" s="274"/>
    </row>
    <row r="1190" spans="1:10" s="119" customFormat="1">
      <c r="A1190" s="123" t="s">
        <v>120</v>
      </c>
      <c r="B1190" s="273" t="s">
        <v>2491</v>
      </c>
      <c r="C1190" s="274"/>
      <c r="D1190" s="274"/>
      <c r="E1190" s="274"/>
      <c r="F1190" s="274"/>
      <c r="G1190" s="274"/>
      <c r="H1190" s="274"/>
      <c r="I1190" s="274"/>
      <c r="J1190" s="274"/>
    </row>
    <row r="1191" spans="1:10" s="119" customFormat="1">
      <c r="A1191" s="123" t="s">
        <v>120</v>
      </c>
      <c r="B1191" s="275" t="s">
        <v>922</v>
      </c>
      <c r="C1191" s="276"/>
      <c r="D1191" s="276"/>
      <c r="E1191" s="276"/>
      <c r="F1191" s="276"/>
      <c r="G1191" s="276"/>
      <c r="H1191" s="276"/>
      <c r="I1191" s="276"/>
      <c r="J1191" s="276"/>
    </row>
    <row r="1192" spans="1:10">
      <c r="A1192" s="103" t="s">
        <v>2492</v>
      </c>
      <c r="B1192" s="124" t="s">
        <v>2493</v>
      </c>
      <c r="C1192" s="110">
        <v>3464</v>
      </c>
      <c r="D1192" s="109" t="s">
        <v>120</v>
      </c>
      <c r="E1192" s="109">
        <v>35</v>
      </c>
      <c r="F1192" s="110">
        <v>56973</v>
      </c>
      <c r="G1192" s="109" t="s">
        <v>120</v>
      </c>
      <c r="H1192" s="109">
        <v>1645</v>
      </c>
      <c r="I1192" s="109">
        <v>2132</v>
      </c>
      <c r="J1192" s="110">
        <v>78</v>
      </c>
    </row>
    <row r="1193" spans="1:10" s="119" customFormat="1">
      <c r="A1193" s="123" t="s">
        <v>120</v>
      </c>
      <c r="B1193" s="275" t="s">
        <v>943</v>
      </c>
      <c r="C1193" s="276"/>
      <c r="D1193" s="276"/>
      <c r="E1193" s="276"/>
      <c r="F1193" s="276"/>
      <c r="G1193" s="276"/>
      <c r="H1193" s="276"/>
      <c r="I1193" s="276"/>
      <c r="J1193" s="276"/>
    </row>
    <row r="1194" spans="1:10">
      <c r="A1194" s="103" t="s">
        <v>2494</v>
      </c>
      <c r="B1194" s="124" t="s">
        <v>2493</v>
      </c>
      <c r="C1194" s="110">
        <v>18036</v>
      </c>
      <c r="D1194" s="109" t="s">
        <v>120</v>
      </c>
      <c r="E1194" s="109">
        <v>180</v>
      </c>
      <c r="F1194" s="110">
        <v>11572</v>
      </c>
      <c r="G1194" s="109" t="s">
        <v>120</v>
      </c>
      <c r="H1194" s="109">
        <v>64</v>
      </c>
      <c r="I1194" s="109">
        <v>446</v>
      </c>
      <c r="J1194" s="110">
        <v>733</v>
      </c>
    </row>
    <row r="1195" spans="1:10">
      <c r="A1195" s="103" t="s">
        <v>2495</v>
      </c>
      <c r="B1195" s="124" t="s">
        <v>2496</v>
      </c>
      <c r="C1195" s="110">
        <v>11335</v>
      </c>
      <c r="D1195" s="109" t="s">
        <v>120</v>
      </c>
      <c r="E1195" s="109">
        <v>113</v>
      </c>
      <c r="F1195" s="110">
        <v>5237</v>
      </c>
      <c r="G1195" s="109" t="s">
        <v>120</v>
      </c>
      <c r="H1195" s="109">
        <v>46</v>
      </c>
      <c r="I1195" s="109">
        <v>1154</v>
      </c>
      <c r="J1195" s="110">
        <v>1681</v>
      </c>
    </row>
    <row r="1196" spans="1:10">
      <c r="A1196" s="103" t="s">
        <v>2497</v>
      </c>
      <c r="B1196" s="124" t="s">
        <v>2498</v>
      </c>
      <c r="C1196" s="110">
        <v>12476</v>
      </c>
      <c r="D1196" s="109" t="s">
        <v>120</v>
      </c>
      <c r="E1196" s="109">
        <v>125</v>
      </c>
      <c r="F1196" s="110">
        <v>6335</v>
      </c>
      <c r="G1196" s="109" t="s">
        <v>120</v>
      </c>
      <c r="H1196" s="109">
        <v>51</v>
      </c>
      <c r="I1196" s="109">
        <v>982</v>
      </c>
      <c r="J1196" s="110">
        <v>1436</v>
      </c>
    </row>
    <row r="1197" spans="1:10">
      <c r="A1197" s="103" t="s">
        <v>2499</v>
      </c>
      <c r="B1197" s="124" t="s">
        <v>2500</v>
      </c>
      <c r="C1197" s="110">
        <v>11854</v>
      </c>
      <c r="D1197" s="109" t="s">
        <v>120</v>
      </c>
      <c r="E1197" s="109">
        <v>119</v>
      </c>
      <c r="F1197" s="110">
        <v>4372</v>
      </c>
      <c r="G1197" s="109" t="s">
        <v>120</v>
      </c>
      <c r="H1197" s="109">
        <v>37</v>
      </c>
      <c r="I1197" s="109">
        <v>1074</v>
      </c>
      <c r="J1197" s="110">
        <v>1899</v>
      </c>
    </row>
    <row r="1198" spans="1:10">
      <c r="A1198" s="103" t="s">
        <v>2501</v>
      </c>
      <c r="B1198" s="124" t="s">
        <v>2502</v>
      </c>
      <c r="C1198" s="110">
        <v>9991</v>
      </c>
      <c r="D1198" s="109" t="s">
        <v>120</v>
      </c>
      <c r="E1198" s="109">
        <v>100</v>
      </c>
      <c r="F1198" s="110">
        <v>5080</v>
      </c>
      <c r="G1198" s="109" t="s">
        <v>120</v>
      </c>
      <c r="H1198" s="109">
        <v>51</v>
      </c>
      <c r="I1198" s="109">
        <v>1390</v>
      </c>
      <c r="J1198" s="110">
        <v>1725</v>
      </c>
    </row>
    <row r="1199" spans="1:10">
      <c r="A1199" s="103" t="s">
        <v>2503</v>
      </c>
      <c r="B1199" s="124" t="s">
        <v>2504</v>
      </c>
      <c r="C1199" s="110">
        <v>12895</v>
      </c>
      <c r="D1199" s="109" t="s">
        <v>120</v>
      </c>
      <c r="E1199" s="109">
        <v>129</v>
      </c>
      <c r="F1199" s="110">
        <v>8255</v>
      </c>
      <c r="G1199" s="109" t="s">
        <v>120</v>
      </c>
      <c r="H1199" s="109">
        <v>64</v>
      </c>
      <c r="I1199" s="109">
        <v>927</v>
      </c>
      <c r="J1199" s="110">
        <v>1084</v>
      </c>
    </row>
    <row r="1200" spans="1:10" s="119" customFormat="1">
      <c r="A1200" s="123" t="s">
        <v>120</v>
      </c>
      <c r="B1200" s="275" t="s">
        <v>1026</v>
      </c>
      <c r="C1200" s="276"/>
      <c r="D1200" s="276"/>
      <c r="E1200" s="276"/>
      <c r="F1200" s="276"/>
      <c r="G1200" s="276"/>
      <c r="H1200" s="276"/>
      <c r="I1200" s="276"/>
      <c r="J1200" s="276"/>
    </row>
    <row r="1201" spans="1:10">
      <c r="A1201" s="103" t="s">
        <v>2505</v>
      </c>
      <c r="B1201" s="124" t="s">
        <v>2506</v>
      </c>
      <c r="C1201" s="110">
        <v>16709</v>
      </c>
      <c r="D1201" s="109" t="s">
        <v>120</v>
      </c>
      <c r="E1201" s="109">
        <v>167</v>
      </c>
      <c r="F1201" s="110">
        <v>14955</v>
      </c>
      <c r="G1201" s="109" t="s">
        <v>120</v>
      </c>
      <c r="H1201" s="109">
        <v>90</v>
      </c>
      <c r="I1201" s="109">
        <v>542</v>
      </c>
      <c r="J1201" s="110">
        <v>521</v>
      </c>
    </row>
    <row r="1202" spans="1:10">
      <c r="A1202" s="103" t="s">
        <v>2507</v>
      </c>
      <c r="B1202" s="124" t="s">
        <v>932</v>
      </c>
      <c r="C1202" s="110">
        <v>1075</v>
      </c>
      <c r="D1202" s="109" t="s">
        <v>120</v>
      </c>
      <c r="E1202" s="109">
        <v>11</v>
      </c>
      <c r="F1202" s="110">
        <v>7541</v>
      </c>
      <c r="G1202" s="109" t="s">
        <v>120</v>
      </c>
      <c r="H1202" s="109">
        <v>701</v>
      </c>
      <c r="I1202" s="109" t="s">
        <v>122</v>
      </c>
      <c r="J1202" s="110" t="s">
        <v>122</v>
      </c>
    </row>
    <row r="1203" spans="1:10">
      <c r="A1203" s="103" t="s">
        <v>2508</v>
      </c>
      <c r="B1203" s="124" t="s">
        <v>934</v>
      </c>
      <c r="C1203" s="110">
        <v>15634</v>
      </c>
      <c r="D1203" s="109" t="s">
        <v>120</v>
      </c>
      <c r="E1203" s="109">
        <v>156</v>
      </c>
      <c r="F1203" s="110">
        <v>7414</v>
      </c>
      <c r="G1203" s="109" t="s">
        <v>120</v>
      </c>
      <c r="H1203" s="109">
        <v>47</v>
      </c>
      <c r="I1203" s="109" t="s">
        <v>122</v>
      </c>
      <c r="J1203" s="110" t="s">
        <v>122</v>
      </c>
    </row>
    <row r="1204" spans="1:10" s="119" customFormat="1">
      <c r="A1204" s="123" t="s">
        <v>120</v>
      </c>
      <c r="B1204" s="273" t="s">
        <v>2509</v>
      </c>
      <c r="C1204" s="274"/>
      <c r="D1204" s="274"/>
      <c r="E1204" s="274"/>
      <c r="F1204" s="274"/>
      <c r="G1204" s="274"/>
      <c r="H1204" s="274"/>
      <c r="I1204" s="274"/>
      <c r="J1204" s="274"/>
    </row>
    <row r="1205" spans="1:10" s="119" customFormat="1">
      <c r="A1205" s="123" t="s">
        <v>120</v>
      </c>
      <c r="B1205" s="275" t="s">
        <v>922</v>
      </c>
      <c r="C1205" s="276"/>
      <c r="D1205" s="276"/>
      <c r="E1205" s="276"/>
      <c r="F1205" s="276"/>
      <c r="G1205" s="276"/>
      <c r="H1205" s="276"/>
      <c r="I1205" s="276"/>
      <c r="J1205" s="276"/>
    </row>
    <row r="1206" spans="1:10">
      <c r="A1206" s="103" t="s">
        <v>2510</v>
      </c>
      <c r="B1206" s="124" t="s">
        <v>2511</v>
      </c>
      <c r="C1206" s="110">
        <v>2158</v>
      </c>
      <c r="D1206" s="109" t="s">
        <v>120</v>
      </c>
      <c r="E1206" s="109">
        <v>22</v>
      </c>
      <c r="F1206" s="110">
        <v>12501</v>
      </c>
      <c r="G1206" s="109" t="s">
        <v>120</v>
      </c>
      <c r="H1206" s="109">
        <v>579</v>
      </c>
      <c r="I1206" s="109">
        <v>2220</v>
      </c>
      <c r="J1206" s="110">
        <v>662</v>
      </c>
    </row>
    <row r="1207" spans="1:10" s="119" customFormat="1">
      <c r="A1207" s="123" t="s">
        <v>120</v>
      </c>
      <c r="B1207" s="275" t="s">
        <v>943</v>
      </c>
      <c r="C1207" s="276"/>
      <c r="D1207" s="276"/>
      <c r="E1207" s="276"/>
      <c r="F1207" s="276"/>
      <c r="G1207" s="276"/>
      <c r="H1207" s="276"/>
      <c r="I1207" s="276"/>
      <c r="J1207" s="276"/>
    </row>
    <row r="1208" spans="1:10">
      <c r="A1208" s="103" t="s">
        <v>2512</v>
      </c>
      <c r="B1208" s="124" t="s">
        <v>2511</v>
      </c>
      <c r="C1208" s="110">
        <v>10664</v>
      </c>
      <c r="D1208" s="109" t="s">
        <v>120</v>
      </c>
      <c r="E1208" s="109">
        <v>107</v>
      </c>
      <c r="F1208" s="110">
        <v>5783</v>
      </c>
      <c r="G1208" s="109" t="s">
        <v>120</v>
      </c>
      <c r="H1208" s="109">
        <v>54</v>
      </c>
      <c r="I1208" s="109">
        <v>1277</v>
      </c>
      <c r="J1208" s="110">
        <v>1560</v>
      </c>
    </row>
    <row r="1209" spans="1:10">
      <c r="A1209" s="103" t="s">
        <v>2513</v>
      </c>
      <c r="B1209" s="124" t="s">
        <v>2514</v>
      </c>
      <c r="C1209" s="110">
        <v>10019</v>
      </c>
      <c r="D1209" s="109" t="s">
        <v>120</v>
      </c>
      <c r="E1209" s="109">
        <v>100</v>
      </c>
      <c r="F1209" s="110">
        <v>4463</v>
      </c>
      <c r="G1209" s="109" t="s">
        <v>120</v>
      </c>
      <c r="H1209" s="109">
        <v>45</v>
      </c>
      <c r="I1209" s="109">
        <v>1385</v>
      </c>
      <c r="J1209" s="110">
        <v>1877</v>
      </c>
    </row>
    <row r="1210" spans="1:10">
      <c r="A1210" s="103" t="s">
        <v>2515</v>
      </c>
      <c r="B1210" s="124" t="s">
        <v>2516</v>
      </c>
      <c r="C1210" s="110">
        <v>6409</v>
      </c>
      <c r="D1210" s="109" t="s">
        <v>120</v>
      </c>
      <c r="E1210" s="109">
        <v>64</v>
      </c>
      <c r="F1210" s="110">
        <v>3375</v>
      </c>
      <c r="G1210" s="109" t="s">
        <v>120</v>
      </c>
      <c r="H1210" s="109">
        <v>53</v>
      </c>
      <c r="I1210" s="109">
        <v>1915</v>
      </c>
      <c r="J1210" s="110">
        <v>2129</v>
      </c>
    </row>
    <row r="1211" spans="1:10">
      <c r="A1211" s="103" t="s">
        <v>2517</v>
      </c>
      <c r="B1211" s="124" t="s">
        <v>2518</v>
      </c>
      <c r="C1211" s="110">
        <v>6606</v>
      </c>
      <c r="D1211" s="109" t="s">
        <v>120</v>
      </c>
      <c r="E1211" s="109">
        <v>66</v>
      </c>
      <c r="F1211" s="110">
        <v>4711</v>
      </c>
      <c r="G1211" s="109" t="s">
        <v>120</v>
      </c>
      <c r="H1211" s="109">
        <v>71</v>
      </c>
      <c r="I1211" s="109">
        <v>1894</v>
      </c>
      <c r="J1211" s="110">
        <v>1816</v>
      </c>
    </row>
    <row r="1212" spans="1:10" s="119" customFormat="1">
      <c r="A1212" s="123" t="s">
        <v>120</v>
      </c>
      <c r="B1212" s="273" t="s">
        <v>2519</v>
      </c>
      <c r="C1212" s="274"/>
      <c r="D1212" s="274"/>
      <c r="E1212" s="274"/>
      <c r="F1212" s="274"/>
      <c r="G1212" s="274"/>
      <c r="H1212" s="274"/>
      <c r="I1212" s="274"/>
      <c r="J1212" s="274"/>
    </row>
    <row r="1213" spans="1:10" s="119" customFormat="1">
      <c r="A1213" s="123" t="s">
        <v>120</v>
      </c>
      <c r="B1213" s="275" t="s">
        <v>922</v>
      </c>
      <c r="C1213" s="276"/>
      <c r="D1213" s="276"/>
      <c r="E1213" s="276"/>
      <c r="F1213" s="276"/>
      <c r="G1213" s="276"/>
      <c r="H1213" s="276"/>
      <c r="I1213" s="276"/>
      <c r="J1213" s="276"/>
    </row>
    <row r="1214" spans="1:10">
      <c r="A1214" s="103" t="s">
        <v>2520</v>
      </c>
      <c r="B1214" s="124" t="s">
        <v>2521</v>
      </c>
      <c r="C1214" s="110">
        <v>3359</v>
      </c>
      <c r="D1214" s="109" t="s">
        <v>120</v>
      </c>
      <c r="E1214" s="109">
        <v>34</v>
      </c>
      <c r="F1214" s="110">
        <v>43911</v>
      </c>
      <c r="G1214" s="109" t="s">
        <v>120</v>
      </c>
      <c r="H1214" s="109">
        <v>1307</v>
      </c>
      <c r="I1214" s="109">
        <v>2141</v>
      </c>
      <c r="J1214" s="110">
        <v>114</v>
      </c>
    </row>
    <row r="1215" spans="1:10" s="119" customFormat="1">
      <c r="A1215" s="123" t="s">
        <v>120</v>
      </c>
      <c r="B1215" s="275" t="s">
        <v>943</v>
      </c>
      <c r="C1215" s="276"/>
      <c r="D1215" s="276"/>
      <c r="E1215" s="276"/>
      <c r="F1215" s="276"/>
      <c r="G1215" s="276"/>
      <c r="H1215" s="276"/>
      <c r="I1215" s="276"/>
      <c r="J1215" s="276"/>
    </row>
    <row r="1216" spans="1:10">
      <c r="A1216" s="103" t="s">
        <v>2522</v>
      </c>
      <c r="B1216" s="124" t="s">
        <v>2523</v>
      </c>
      <c r="C1216" s="110">
        <v>12602</v>
      </c>
      <c r="D1216" s="109" t="s">
        <v>120</v>
      </c>
      <c r="E1216" s="109">
        <v>125</v>
      </c>
      <c r="F1216" s="110">
        <v>5349</v>
      </c>
      <c r="G1216" s="109" t="s">
        <v>120</v>
      </c>
      <c r="H1216" s="109">
        <v>42</v>
      </c>
      <c r="I1216" s="109">
        <v>968</v>
      </c>
      <c r="J1216" s="110">
        <v>1652</v>
      </c>
    </row>
    <row r="1217" spans="1:10">
      <c r="A1217" s="103" t="s">
        <v>2524</v>
      </c>
      <c r="B1217" s="124" t="s">
        <v>2525</v>
      </c>
      <c r="C1217" s="110">
        <v>4615</v>
      </c>
      <c r="D1217" s="109" t="s">
        <v>120</v>
      </c>
      <c r="E1217" s="109">
        <v>46</v>
      </c>
      <c r="F1217" s="110">
        <v>1902</v>
      </c>
      <c r="G1217" s="109" t="s">
        <v>120</v>
      </c>
      <c r="H1217" s="109">
        <v>41</v>
      </c>
      <c r="I1217" s="109">
        <v>2053</v>
      </c>
      <c r="J1217" s="110">
        <v>2296</v>
      </c>
    </row>
    <row r="1218" spans="1:10">
      <c r="A1218" s="103" t="s">
        <v>2526</v>
      </c>
      <c r="B1218" s="124" t="s">
        <v>2527</v>
      </c>
      <c r="C1218" s="110">
        <v>10306</v>
      </c>
      <c r="D1218" s="109" t="s">
        <v>120</v>
      </c>
      <c r="E1218" s="109">
        <v>103</v>
      </c>
      <c r="F1218" s="110">
        <v>4231</v>
      </c>
      <c r="G1218" s="109" t="s">
        <v>120</v>
      </c>
      <c r="H1218" s="109">
        <v>41</v>
      </c>
      <c r="I1218" s="109">
        <v>1336</v>
      </c>
      <c r="J1218" s="110">
        <v>1945</v>
      </c>
    </row>
    <row r="1219" spans="1:10">
      <c r="A1219" s="103" t="s">
        <v>2528</v>
      </c>
      <c r="B1219" s="124" t="s">
        <v>2521</v>
      </c>
      <c r="C1219" s="110">
        <v>12231</v>
      </c>
      <c r="D1219" s="109" t="s">
        <v>120</v>
      </c>
      <c r="E1219" s="109">
        <v>122</v>
      </c>
      <c r="F1219" s="110">
        <v>8716</v>
      </c>
      <c r="G1219" s="109" t="s">
        <v>120</v>
      </c>
      <c r="H1219" s="109">
        <v>71</v>
      </c>
      <c r="I1219" s="109">
        <v>1019</v>
      </c>
      <c r="J1219" s="110">
        <v>1019</v>
      </c>
    </row>
    <row r="1220" spans="1:10">
      <c r="A1220" s="103" t="s">
        <v>2529</v>
      </c>
      <c r="B1220" s="124" t="s">
        <v>2530</v>
      </c>
      <c r="C1220" s="110">
        <v>5489</v>
      </c>
      <c r="D1220" s="109" t="s">
        <v>120</v>
      </c>
      <c r="E1220" s="109">
        <v>55</v>
      </c>
      <c r="F1220" s="110">
        <v>2430</v>
      </c>
      <c r="G1220" s="109" t="s">
        <v>120</v>
      </c>
      <c r="H1220" s="109">
        <v>44</v>
      </c>
      <c r="I1220" s="109">
        <v>1988</v>
      </c>
      <c r="J1220" s="110">
        <v>2267</v>
      </c>
    </row>
    <row r="1221" spans="1:10">
      <c r="A1221" s="103" t="s">
        <v>2531</v>
      </c>
      <c r="B1221" s="124" t="s">
        <v>2532</v>
      </c>
      <c r="C1221" s="110">
        <v>7155</v>
      </c>
      <c r="D1221" s="109" t="s">
        <v>120</v>
      </c>
      <c r="E1221" s="109">
        <v>72</v>
      </c>
      <c r="F1221" s="110">
        <v>3443</v>
      </c>
      <c r="G1221" s="109" t="s">
        <v>120</v>
      </c>
      <c r="H1221" s="109">
        <v>48</v>
      </c>
      <c r="I1221" s="109">
        <v>1829</v>
      </c>
      <c r="J1221" s="110">
        <v>2118</v>
      </c>
    </row>
    <row r="1222" spans="1:10">
      <c r="A1222" s="103" t="s">
        <v>2533</v>
      </c>
      <c r="B1222" s="124" t="s">
        <v>2534</v>
      </c>
      <c r="C1222" s="110">
        <v>6785</v>
      </c>
      <c r="D1222" s="109" t="s">
        <v>120</v>
      </c>
      <c r="E1222" s="109">
        <v>68</v>
      </c>
      <c r="F1222" s="110">
        <v>2495</v>
      </c>
      <c r="G1222" s="109" t="s">
        <v>120</v>
      </c>
      <c r="H1222" s="109">
        <v>37</v>
      </c>
      <c r="I1222" s="109">
        <v>1874</v>
      </c>
      <c r="J1222" s="110">
        <v>2261</v>
      </c>
    </row>
    <row r="1223" spans="1:10">
      <c r="A1223" s="103" t="s">
        <v>2535</v>
      </c>
      <c r="B1223" s="124" t="s">
        <v>2536</v>
      </c>
      <c r="C1223" s="110">
        <v>9009</v>
      </c>
      <c r="D1223" s="109" t="s">
        <v>120</v>
      </c>
      <c r="E1223" s="109">
        <v>90</v>
      </c>
      <c r="F1223" s="110">
        <v>3913</v>
      </c>
      <c r="G1223" s="109" t="s">
        <v>120</v>
      </c>
      <c r="H1223" s="109">
        <v>43</v>
      </c>
      <c r="I1223" s="109">
        <v>1531</v>
      </c>
      <c r="J1223" s="110">
        <v>2010</v>
      </c>
    </row>
    <row r="1224" spans="1:10" s="119" customFormat="1">
      <c r="A1224" s="123" t="s">
        <v>120</v>
      </c>
      <c r="B1224" s="275" t="s">
        <v>947</v>
      </c>
      <c r="C1224" s="276"/>
      <c r="D1224" s="276"/>
      <c r="E1224" s="276"/>
      <c r="F1224" s="276"/>
      <c r="G1224" s="276"/>
      <c r="H1224" s="276"/>
      <c r="I1224" s="276"/>
      <c r="J1224" s="276"/>
    </row>
    <row r="1225" spans="1:10">
      <c r="A1225" s="103" t="s">
        <v>2537</v>
      </c>
      <c r="B1225" s="124" t="s">
        <v>2538</v>
      </c>
      <c r="C1225" s="110">
        <v>9471</v>
      </c>
      <c r="D1225" s="109" t="s">
        <v>120</v>
      </c>
      <c r="E1225" s="109">
        <v>95</v>
      </c>
      <c r="F1225" s="110">
        <v>8343</v>
      </c>
      <c r="G1225" s="109" t="s">
        <v>120</v>
      </c>
      <c r="H1225" s="109">
        <v>88</v>
      </c>
      <c r="I1225" s="109">
        <v>1475</v>
      </c>
      <c r="J1225" s="110">
        <v>1069</v>
      </c>
    </row>
    <row r="1226" spans="1:10">
      <c r="A1226" s="103" t="s">
        <v>2539</v>
      </c>
      <c r="B1226" s="124" t="s">
        <v>932</v>
      </c>
      <c r="C1226" s="110">
        <v>418</v>
      </c>
      <c r="D1226" s="109" t="s">
        <v>120</v>
      </c>
      <c r="E1226" s="109">
        <v>4</v>
      </c>
      <c r="F1226" s="110">
        <v>4322</v>
      </c>
      <c r="G1226" s="109" t="s">
        <v>120</v>
      </c>
      <c r="H1226" s="109">
        <v>1034</v>
      </c>
      <c r="I1226" s="109" t="s">
        <v>122</v>
      </c>
      <c r="J1226" s="110" t="s">
        <v>122</v>
      </c>
    </row>
    <row r="1227" spans="1:10">
      <c r="A1227" s="103" t="s">
        <v>2540</v>
      </c>
      <c r="B1227" s="124" t="s">
        <v>934</v>
      </c>
      <c r="C1227" s="110">
        <v>9053</v>
      </c>
      <c r="D1227" s="109" t="s">
        <v>120</v>
      </c>
      <c r="E1227" s="109">
        <v>91</v>
      </c>
      <c r="F1227" s="110">
        <v>4021</v>
      </c>
      <c r="G1227" s="109" t="s">
        <v>120</v>
      </c>
      <c r="H1227" s="109">
        <v>44</v>
      </c>
      <c r="I1227" s="109" t="s">
        <v>122</v>
      </c>
      <c r="J1227" s="110" t="s">
        <v>122</v>
      </c>
    </row>
    <row r="1228" spans="1:10">
      <c r="A1228" s="103" t="s">
        <v>2541</v>
      </c>
      <c r="B1228" s="124" t="s">
        <v>2542</v>
      </c>
      <c r="C1228" s="110">
        <v>7664</v>
      </c>
      <c r="D1228" s="109" t="s">
        <v>120</v>
      </c>
      <c r="E1228" s="109">
        <v>77</v>
      </c>
      <c r="F1228" s="110">
        <v>11836</v>
      </c>
      <c r="G1228" s="109" t="s">
        <v>120</v>
      </c>
      <c r="H1228" s="109">
        <v>154</v>
      </c>
      <c r="I1228" s="109">
        <v>1750</v>
      </c>
      <c r="J1228" s="110">
        <v>711</v>
      </c>
    </row>
    <row r="1229" spans="1:10">
      <c r="A1229" s="103" t="s">
        <v>2543</v>
      </c>
      <c r="B1229" s="124" t="s">
        <v>932</v>
      </c>
      <c r="C1229" s="110">
        <v>868</v>
      </c>
      <c r="D1229" s="109" t="s">
        <v>120</v>
      </c>
      <c r="E1229" s="109">
        <v>9</v>
      </c>
      <c r="F1229" s="110">
        <v>8109</v>
      </c>
      <c r="G1229" s="109" t="s">
        <v>120</v>
      </c>
      <c r="H1229" s="109">
        <v>934</v>
      </c>
      <c r="I1229" s="109" t="s">
        <v>122</v>
      </c>
      <c r="J1229" s="110" t="s">
        <v>122</v>
      </c>
    </row>
    <row r="1230" spans="1:10">
      <c r="A1230" s="103" t="s">
        <v>2544</v>
      </c>
      <c r="B1230" s="124" t="s">
        <v>934</v>
      </c>
      <c r="C1230" s="110">
        <v>6796</v>
      </c>
      <c r="D1230" s="109" t="s">
        <v>120</v>
      </c>
      <c r="E1230" s="109">
        <v>68</v>
      </c>
      <c r="F1230" s="110">
        <v>3727</v>
      </c>
      <c r="G1230" s="109" t="s">
        <v>120</v>
      </c>
      <c r="H1230" s="109">
        <v>55</v>
      </c>
      <c r="I1230" s="109" t="s">
        <v>122</v>
      </c>
      <c r="J1230" s="110" t="s">
        <v>122</v>
      </c>
    </row>
    <row r="1231" spans="1:10" s="119" customFormat="1">
      <c r="A1231" s="123" t="s">
        <v>120</v>
      </c>
      <c r="B1231" s="273" t="s">
        <v>2545</v>
      </c>
      <c r="C1231" s="274"/>
      <c r="D1231" s="274"/>
      <c r="E1231" s="274"/>
      <c r="F1231" s="274"/>
      <c r="G1231" s="274"/>
      <c r="H1231" s="274"/>
      <c r="I1231" s="274"/>
      <c r="J1231" s="274"/>
    </row>
    <row r="1232" spans="1:10" s="119" customFormat="1">
      <c r="A1232" s="123" t="s">
        <v>120</v>
      </c>
      <c r="B1232" s="275" t="s">
        <v>943</v>
      </c>
      <c r="C1232" s="276"/>
      <c r="D1232" s="276"/>
      <c r="E1232" s="276"/>
      <c r="F1232" s="276"/>
      <c r="G1232" s="276"/>
      <c r="H1232" s="276"/>
      <c r="I1232" s="276"/>
      <c r="J1232" s="276"/>
    </row>
    <row r="1233" spans="1:10">
      <c r="A1233" s="103" t="s">
        <v>2546</v>
      </c>
      <c r="B1233" s="124" t="s">
        <v>2547</v>
      </c>
      <c r="C1233" s="110">
        <v>9221</v>
      </c>
      <c r="D1233" s="109" t="s">
        <v>120</v>
      </c>
      <c r="E1233" s="109">
        <v>92</v>
      </c>
      <c r="F1233" s="110">
        <v>5093</v>
      </c>
      <c r="G1233" s="109" t="s">
        <v>120</v>
      </c>
      <c r="H1233" s="109">
        <v>55</v>
      </c>
      <c r="I1233" s="109">
        <v>1509</v>
      </c>
      <c r="J1233" s="110">
        <v>1721</v>
      </c>
    </row>
    <row r="1234" spans="1:10">
      <c r="A1234" s="103" t="s">
        <v>2548</v>
      </c>
      <c r="B1234" s="124" t="s">
        <v>2549</v>
      </c>
      <c r="C1234" s="110">
        <v>12004</v>
      </c>
      <c r="D1234" s="109" t="s">
        <v>120</v>
      </c>
      <c r="E1234" s="109">
        <v>120</v>
      </c>
      <c r="F1234" s="110">
        <v>6370</v>
      </c>
      <c r="G1234" s="109" t="s">
        <v>120</v>
      </c>
      <c r="H1234" s="109">
        <v>53</v>
      </c>
      <c r="I1234" s="109">
        <v>1054</v>
      </c>
      <c r="J1234" s="110">
        <v>1431</v>
      </c>
    </row>
    <row r="1235" spans="1:10">
      <c r="A1235" s="103" t="s">
        <v>2550</v>
      </c>
      <c r="B1235" s="124" t="s">
        <v>2551</v>
      </c>
      <c r="C1235" s="110">
        <v>17831</v>
      </c>
      <c r="D1235" s="109" t="s">
        <v>120</v>
      </c>
      <c r="E1235" s="109">
        <v>179</v>
      </c>
      <c r="F1235" s="110">
        <v>7315</v>
      </c>
      <c r="G1235" s="109" t="s">
        <v>120</v>
      </c>
      <c r="H1235" s="109">
        <v>41</v>
      </c>
      <c r="I1235" s="109">
        <v>465</v>
      </c>
      <c r="J1235" s="110">
        <v>1239</v>
      </c>
    </row>
    <row r="1236" spans="1:10">
      <c r="A1236" s="103" t="s">
        <v>2552</v>
      </c>
      <c r="B1236" s="124" t="s">
        <v>2553</v>
      </c>
      <c r="C1236" s="110">
        <v>8230</v>
      </c>
      <c r="D1236" s="109" t="s">
        <v>120</v>
      </c>
      <c r="E1236" s="109">
        <v>82</v>
      </c>
      <c r="F1236" s="110">
        <v>3486</v>
      </c>
      <c r="G1236" s="109" t="s">
        <v>120</v>
      </c>
      <c r="H1236" s="109">
        <v>42</v>
      </c>
      <c r="I1236" s="109">
        <v>1668</v>
      </c>
      <c r="J1236" s="110">
        <v>2110</v>
      </c>
    </row>
    <row r="1237" spans="1:10" s="119" customFormat="1">
      <c r="A1237" s="123" t="s">
        <v>120</v>
      </c>
      <c r="B1237" s="275" t="s">
        <v>1026</v>
      </c>
      <c r="C1237" s="276"/>
      <c r="D1237" s="276"/>
      <c r="E1237" s="276"/>
      <c r="F1237" s="276"/>
      <c r="G1237" s="276"/>
      <c r="H1237" s="276"/>
      <c r="I1237" s="276"/>
      <c r="J1237" s="276"/>
    </row>
    <row r="1238" spans="1:10">
      <c r="A1238" s="103" t="s">
        <v>2554</v>
      </c>
      <c r="B1238" s="124" t="s">
        <v>2555</v>
      </c>
      <c r="C1238" s="110">
        <v>14537</v>
      </c>
      <c r="D1238" s="109" t="s">
        <v>120</v>
      </c>
      <c r="E1238" s="109">
        <v>145</v>
      </c>
      <c r="F1238" s="110">
        <v>27654</v>
      </c>
      <c r="G1238" s="109" t="s">
        <v>120</v>
      </c>
      <c r="H1238" s="109">
        <v>190</v>
      </c>
      <c r="I1238" s="109">
        <v>727</v>
      </c>
      <c r="J1238" s="110">
        <v>210</v>
      </c>
    </row>
    <row r="1239" spans="1:10">
      <c r="A1239" s="103" t="s">
        <v>2556</v>
      </c>
      <c r="B1239" s="124" t="s">
        <v>932</v>
      </c>
      <c r="C1239" s="110">
        <v>1567</v>
      </c>
      <c r="D1239" s="109" t="s">
        <v>120</v>
      </c>
      <c r="E1239" s="109">
        <v>15</v>
      </c>
      <c r="F1239" s="110">
        <v>17143</v>
      </c>
      <c r="G1239" s="109" t="s">
        <v>120</v>
      </c>
      <c r="H1239" s="109">
        <v>1094</v>
      </c>
      <c r="I1239" s="109" t="s">
        <v>122</v>
      </c>
      <c r="J1239" s="110" t="s">
        <v>122</v>
      </c>
    </row>
    <row r="1240" spans="1:10">
      <c r="A1240" s="103" t="s">
        <v>2557</v>
      </c>
      <c r="B1240" s="124" t="s">
        <v>934</v>
      </c>
      <c r="C1240" s="110">
        <v>12970</v>
      </c>
      <c r="D1240" s="109" t="s">
        <v>120</v>
      </c>
      <c r="E1240" s="109">
        <v>130</v>
      </c>
      <c r="F1240" s="110">
        <v>10511</v>
      </c>
      <c r="G1240" s="109" t="s">
        <v>120</v>
      </c>
      <c r="H1240" s="109">
        <v>81</v>
      </c>
      <c r="I1240" s="109" t="s">
        <v>122</v>
      </c>
      <c r="J1240" s="110" t="s">
        <v>122</v>
      </c>
    </row>
    <row r="1241" spans="1:10" s="119" customFormat="1">
      <c r="A1241" s="123" t="s">
        <v>120</v>
      </c>
      <c r="B1241" s="273" t="s">
        <v>2558</v>
      </c>
      <c r="C1241" s="274"/>
      <c r="D1241" s="274"/>
      <c r="E1241" s="274"/>
      <c r="F1241" s="274"/>
      <c r="G1241" s="274"/>
      <c r="H1241" s="274"/>
      <c r="I1241" s="274"/>
      <c r="J1241" s="274"/>
    </row>
    <row r="1242" spans="1:10" s="119" customFormat="1">
      <c r="A1242" s="123" t="s">
        <v>120</v>
      </c>
      <c r="B1242" s="275" t="s">
        <v>922</v>
      </c>
      <c r="C1242" s="276"/>
      <c r="D1242" s="276"/>
      <c r="E1242" s="276"/>
      <c r="F1242" s="276"/>
      <c r="G1242" s="276"/>
      <c r="H1242" s="276"/>
      <c r="I1242" s="276"/>
      <c r="J1242" s="276"/>
    </row>
    <row r="1243" spans="1:10">
      <c r="A1243" s="103" t="s">
        <v>2559</v>
      </c>
      <c r="B1243" s="124" t="s">
        <v>2560</v>
      </c>
      <c r="C1243" s="110">
        <v>895</v>
      </c>
      <c r="D1243" s="105" t="s">
        <v>1075</v>
      </c>
      <c r="E1243" s="109">
        <v>9</v>
      </c>
      <c r="F1243" s="110">
        <v>13971</v>
      </c>
      <c r="G1243" s="109" t="s">
        <v>120</v>
      </c>
      <c r="H1243" s="109">
        <v>1561</v>
      </c>
      <c r="I1243" s="109">
        <v>2328</v>
      </c>
      <c r="J1243" s="110">
        <v>570</v>
      </c>
    </row>
    <row r="1244" spans="1:10" s="119" customFormat="1">
      <c r="A1244" s="123" t="s">
        <v>120</v>
      </c>
      <c r="B1244" s="275" t="s">
        <v>1022</v>
      </c>
      <c r="C1244" s="276"/>
      <c r="D1244" s="276"/>
      <c r="E1244" s="276"/>
      <c r="F1244" s="276"/>
      <c r="G1244" s="276"/>
      <c r="H1244" s="276"/>
      <c r="I1244" s="276"/>
      <c r="J1244" s="276"/>
    </row>
    <row r="1245" spans="1:10">
      <c r="A1245" s="103" t="s">
        <v>2561</v>
      </c>
      <c r="B1245" s="124" t="s">
        <v>2562</v>
      </c>
      <c r="C1245" s="110">
        <v>8091</v>
      </c>
      <c r="D1245" s="109" t="s">
        <v>120</v>
      </c>
      <c r="E1245" s="109">
        <v>81</v>
      </c>
      <c r="F1245" s="110">
        <v>3878</v>
      </c>
      <c r="G1245" s="109" t="s">
        <v>120</v>
      </c>
      <c r="H1245" s="109">
        <v>48</v>
      </c>
      <c r="I1245" s="109">
        <v>1688</v>
      </c>
      <c r="J1245" s="110">
        <v>2024</v>
      </c>
    </row>
    <row r="1246" spans="1:10">
      <c r="A1246" s="103" t="s">
        <v>2563</v>
      </c>
      <c r="B1246" s="124" t="s">
        <v>2564</v>
      </c>
      <c r="C1246" s="110">
        <v>9026</v>
      </c>
      <c r="D1246" s="109" t="s">
        <v>120</v>
      </c>
      <c r="E1246" s="109">
        <v>90</v>
      </c>
      <c r="F1246" s="110">
        <v>4345</v>
      </c>
      <c r="G1246" s="109" t="s">
        <v>120</v>
      </c>
      <c r="H1246" s="109">
        <v>48</v>
      </c>
      <c r="I1246" s="109">
        <v>1529</v>
      </c>
      <c r="J1246" s="110">
        <v>1910</v>
      </c>
    </row>
    <row r="1247" spans="1:10">
      <c r="A1247" s="103" t="s">
        <v>2565</v>
      </c>
      <c r="B1247" s="124" t="s">
        <v>2566</v>
      </c>
      <c r="C1247" s="110">
        <v>15496</v>
      </c>
      <c r="D1247" s="109" t="s">
        <v>120</v>
      </c>
      <c r="E1247" s="109">
        <v>156</v>
      </c>
      <c r="F1247" s="110">
        <v>5892</v>
      </c>
      <c r="G1247" s="109" t="s">
        <v>120</v>
      </c>
      <c r="H1247" s="109">
        <v>38</v>
      </c>
      <c r="I1247" s="109">
        <v>630</v>
      </c>
      <c r="J1247" s="110">
        <v>1533</v>
      </c>
    </row>
    <row r="1248" spans="1:10">
      <c r="A1248" s="103" t="s">
        <v>2567</v>
      </c>
      <c r="B1248" s="124" t="s">
        <v>2560</v>
      </c>
      <c r="C1248" s="110">
        <v>15057</v>
      </c>
      <c r="D1248" s="109" t="s">
        <v>120</v>
      </c>
      <c r="E1248" s="109">
        <v>151</v>
      </c>
      <c r="F1248" s="110">
        <v>8554</v>
      </c>
      <c r="G1248" s="109" t="s">
        <v>120</v>
      </c>
      <c r="H1248" s="109">
        <v>57</v>
      </c>
      <c r="I1248" s="109">
        <v>674</v>
      </c>
      <c r="J1248" s="110">
        <v>1042</v>
      </c>
    </row>
    <row r="1249" spans="1:10">
      <c r="A1249" s="103" t="s">
        <v>2568</v>
      </c>
      <c r="B1249" s="124" t="s">
        <v>2569</v>
      </c>
      <c r="C1249" s="110">
        <v>9347</v>
      </c>
      <c r="D1249" s="109" t="s">
        <v>120</v>
      </c>
      <c r="E1249" s="109">
        <v>93</v>
      </c>
      <c r="F1249" s="110">
        <v>3888</v>
      </c>
      <c r="G1249" s="109" t="s">
        <v>120</v>
      </c>
      <c r="H1249" s="109">
        <v>42</v>
      </c>
      <c r="I1249" s="109">
        <v>1494</v>
      </c>
      <c r="J1249" s="110">
        <v>2019</v>
      </c>
    </row>
    <row r="1250" spans="1:10">
      <c r="A1250" s="103" t="s">
        <v>2570</v>
      </c>
      <c r="B1250" s="124" t="s">
        <v>2571</v>
      </c>
      <c r="C1250" s="110">
        <v>6045</v>
      </c>
      <c r="D1250" s="109" t="s">
        <v>120</v>
      </c>
      <c r="E1250" s="109">
        <v>60</v>
      </c>
      <c r="F1250" s="110">
        <v>3237</v>
      </c>
      <c r="G1250" s="109" t="s">
        <v>120</v>
      </c>
      <c r="H1250" s="109">
        <v>54</v>
      </c>
      <c r="I1250" s="109">
        <v>1945</v>
      </c>
      <c r="J1250" s="110">
        <v>2159</v>
      </c>
    </row>
    <row r="1251" spans="1:10" s="119" customFormat="1">
      <c r="A1251" s="123" t="s">
        <v>120</v>
      </c>
      <c r="B1251" s="275" t="s">
        <v>2572</v>
      </c>
      <c r="C1251" s="276"/>
      <c r="D1251" s="276"/>
      <c r="E1251" s="276"/>
      <c r="F1251" s="276"/>
      <c r="G1251" s="276"/>
      <c r="H1251" s="276"/>
      <c r="I1251" s="276"/>
      <c r="J1251" s="276"/>
    </row>
    <row r="1252" spans="1:10">
      <c r="A1252" s="103" t="s">
        <v>2573</v>
      </c>
      <c r="B1252" s="124" t="s">
        <v>2574</v>
      </c>
      <c r="C1252" s="110">
        <v>13318</v>
      </c>
      <c r="D1252" s="109" t="s">
        <v>120</v>
      </c>
      <c r="E1252" s="109">
        <v>133</v>
      </c>
      <c r="F1252" s="110">
        <v>5982</v>
      </c>
      <c r="G1252" s="109" t="s">
        <v>120</v>
      </c>
      <c r="H1252" s="109">
        <v>45</v>
      </c>
      <c r="I1252" s="109">
        <v>866</v>
      </c>
      <c r="J1252" s="110">
        <v>1511</v>
      </c>
    </row>
    <row r="1253" spans="1:10">
      <c r="A1253" s="103" t="s">
        <v>2575</v>
      </c>
      <c r="B1253" s="124" t="s">
        <v>932</v>
      </c>
      <c r="C1253" s="110">
        <v>524</v>
      </c>
      <c r="D1253" s="109" t="s">
        <v>120</v>
      </c>
      <c r="E1253" s="109">
        <v>5</v>
      </c>
      <c r="F1253" s="110">
        <v>1721</v>
      </c>
      <c r="G1253" s="109" t="s">
        <v>120</v>
      </c>
      <c r="H1253" s="109">
        <v>328</v>
      </c>
      <c r="I1253" s="109" t="s">
        <v>122</v>
      </c>
      <c r="J1253" s="110" t="s">
        <v>122</v>
      </c>
    </row>
    <row r="1254" spans="1:10">
      <c r="A1254" s="103" t="s">
        <v>2576</v>
      </c>
      <c r="B1254" s="124" t="s">
        <v>934</v>
      </c>
      <c r="C1254" s="110">
        <v>12794</v>
      </c>
      <c r="D1254" s="109" t="s">
        <v>120</v>
      </c>
      <c r="E1254" s="109">
        <v>128</v>
      </c>
      <c r="F1254" s="110">
        <v>4261</v>
      </c>
      <c r="G1254" s="109" t="s">
        <v>120</v>
      </c>
      <c r="H1254" s="109">
        <v>33</v>
      </c>
      <c r="I1254" s="109" t="s">
        <v>122</v>
      </c>
      <c r="J1254" s="110" t="s">
        <v>122</v>
      </c>
    </row>
    <row r="1255" spans="1:10" s="119" customFormat="1">
      <c r="A1255" s="123" t="s">
        <v>120</v>
      </c>
      <c r="B1255" s="273" t="s">
        <v>2577</v>
      </c>
      <c r="C1255" s="274"/>
      <c r="D1255" s="274"/>
      <c r="E1255" s="274"/>
      <c r="F1255" s="274"/>
      <c r="G1255" s="274"/>
      <c r="H1255" s="274"/>
      <c r="I1255" s="274"/>
      <c r="J1255" s="274"/>
    </row>
    <row r="1256" spans="1:10" s="119" customFormat="1">
      <c r="A1256" s="123" t="s">
        <v>120</v>
      </c>
      <c r="B1256" s="275" t="s">
        <v>922</v>
      </c>
      <c r="C1256" s="276"/>
      <c r="D1256" s="276"/>
      <c r="E1256" s="276"/>
      <c r="F1256" s="276"/>
      <c r="G1256" s="276"/>
      <c r="H1256" s="276"/>
      <c r="I1256" s="276"/>
      <c r="J1256" s="276"/>
    </row>
    <row r="1257" spans="1:10">
      <c r="A1257" s="103" t="s">
        <v>2578</v>
      </c>
      <c r="B1257" s="124" t="s">
        <v>2579</v>
      </c>
      <c r="C1257" s="110">
        <v>2342</v>
      </c>
      <c r="D1257" s="109" t="s">
        <v>120</v>
      </c>
      <c r="E1257" s="109">
        <v>23</v>
      </c>
      <c r="F1257" s="110">
        <v>28224</v>
      </c>
      <c r="G1257" s="109" t="s">
        <v>120</v>
      </c>
      <c r="H1257" s="109">
        <v>1205</v>
      </c>
      <c r="I1257" s="109">
        <v>2208</v>
      </c>
      <c r="J1257" s="110">
        <v>203</v>
      </c>
    </row>
    <row r="1258" spans="1:10" s="119" customFormat="1">
      <c r="A1258" s="123" t="s">
        <v>120</v>
      </c>
      <c r="B1258" s="275" t="s">
        <v>943</v>
      </c>
      <c r="C1258" s="276"/>
      <c r="D1258" s="276"/>
      <c r="E1258" s="276"/>
      <c r="F1258" s="276"/>
      <c r="G1258" s="276"/>
      <c r="H1258" s="276"/>
      <c r="I1258" s="276"/>
      <c r="J1258" s="276"/>
    </row>
    <row r="1259" spans="1:10">
      <c r="A1259" s="103" t="s">
        <v>2580</v>
      </c>
      <c r="B1259" s="124" t="s">
        <v>2581</v>
      </c>
      <c r="C1259" s="110">
        <v>16390</v>
      </c>
      <c r="D1259" s="109" t="s">
        <v>120</v>
      </c>
      <c r="E1259" s="109">
        <v>164</v>
      </c>
      <c r="F1259" s="110">
        <v>5325</v>
      </c>
      <c r="G1259" s="109" t="s">
        <v>120</v>
      </c>
      <c r="H1259" s="109">
        <v>32</v>
      </c>
      <c r="I1259" s="109">
        <v>561</v>
      </c>
      <c r="J1259" s="110">
        <v>1658</v>
      </c>
    </row>
    <row r="1260" spans="1:10">
      <c r="A1260" s="103" t="s">
        <v>2582</v>
      </c>
      <c r="B1260" s="124" t="s">
        <v>2583</v>
      </c>
      <c r="C1260" s="110">
        <v>7183</v>
      </c>
      <c r="D1260" s="109" t="s">
        <v>120</v>
      </c>
      <c r="E1260" s="109">
        <v>72</v>
      </c>
      <c r="F1260" s="110">
        <v>2907</v>
      </c>
      <c r="G1260" s="109" t="s">
        <v>120</v>
      </c>
      <c r="H1260" s="109">
        <v>40</v>
      </c>
      <c r="I1260" s="109">
        <v>1823</v>
      </c>
      <c r="J1260" s="110">
        <v>2211</v>
      </c>
    </row>
    <row r="1261" spans="1:10">
      <c r="A1261" s="103" t="s">
        <v>2584</v>
      </c>
      <c r="B1261" s="124" t="s">
        <v>2585</v>
      </c>
      <c r="C1261" s="110">
        <v>8617</v>
      </c>
      <c r="D1261" s="109" t="s">
        <v>120</v>
      </c>
      <c r="E1261" s="109">
        <v>86</v>
      </c>
      <c r="F1261" s="110">
        <v>4650</v>
      </c>
      <c r="G1261" s="109" t="s">
        <v>120</v>
      </c>
      <c r="H1261" s="109">
        <v>54</v>
      </c>
      <c r="I1261" s="109">
        <v>1590</v>
      </c>
      <c r="J1261" s="110">
        <v>1829</v>
      </c>
    </row>
    <row r="1262" spans="1:10">
      <c r="A1262" s="103" t="s">
        <v>2586</v>
      </c>
      <c r="B1262" s="124" t="s">
        <v>2587</v>
      </c>
      <c r="C1262" s="110">
        <v>7623</v>
      </c>
      <c r="D1262" s="109" t="s">
        <v>120</v>
      </c>
      <c r="E1262" s="109">
        <v>76</v>
      </c>
      <c r="F1262" s="110">
        <v>3366</v>
      </c>
      <c r="G1262" s="109" t="s">
        <v>120</v>
      </c>
      <c r="H1262" s="109">
        <v>44</v>
      </c>
      <c r="I1262" s="109">
        <v>1756</v>
      </c>
      <c r="J1262" s="110">
        <v>2132</v>
      </c>
    </row>
    <row r="1263" spans="1:10">
      <c r="A1263" s="103" t="s">
        <v>2588</v>
      </c>
      <c r="B1263" s="124" t="s">
        <v>2589</v>
      </c>
      <c r="C1263" s="110">
        <v>9370</v>
      </c>
      <c r="D1263" s="109" t="s">
        <v>120</v>
      </c>
      <c r="E1263" s="109">
        <v>94</v>
      </c>
      <c r="F1263" s="110">
        <v>4204</v>
      </c>
      <c r="G1263" s="109" t="s">
        <v>120</v>
      </c>
      <c r="H1263" s="109">
        <v>45</v>
      </c>
      <c r="I1263" s="109">
        <v>1489</v>
      </c>
      <c r="J1263" s="110">
        <v>1951</v>
      </c>
    </row>
    <row r="1264" spans="1:10">
      <c r="A1264" s="103" t="s">
        <v>2590</v>
      </c>
      <c r="B1264" s="124" t="s">
        <v>2579</v>
      </c>
      <c r="C1264" s="110">
        <v>13315</v>
      </c>
      <c r="D1264" s="109" t="s">
        <v>120</v>
      </c>
      <c r="E1264" s="109">
        <v>133</v>
      </c>
      <c r="F1264" s="110">
        <v>7710</v>
      </c>
      <c r="G1264" s="109" t="s">
        <v>120</v>
      </c>
      <c r="H1264" s="109">
        <v>58</v>
      </c>
      <c r="I1264" s="109">
        <v>867</v>
      </c>
      <c r="J1264" s="110">
        <v>1167</v>
      </c>
    </row>
    <row r="1265" spans="1:10">
      <c r="A1265" s="103" t="s">
        <v>2591</v>
      </c>
      <c r="B1265" s="124" t="s">
        <v>2592</v>
      </c>
      <c r="C1265" s="110">
        <v>10730</v>
      </c>
      <c r="D1265" s="109" t="s">
        <v>120</v>
      </c>
      <c r="E1265" s="109">
        <v>107</v>
      </c>
      <c r="F1265" s="110">
        <v>6693</v>
      </c>
      <c r="G1265" s="109" t="s">
        <v>120</v>
      </c>
      <c r="H1265" s="109">
        <v>62</v>
      </c>
      <c r="I1265" s="109">
        <v>1269</v>
      </c>
      <c r="J1265" s="110">
        <v>1362</v>
      </c>
    </row>
    <row r="1266" spans="1:10">
      <c r="A1266" s="103" t="s">
        <v>2593</v>
      </c>
      <c r="B1266" s="124" t="s">
        <v>2594</v>
      </c>
      <c r="C1266" s="110">
        <v>10390</v>
      </c>
      <c r="D1266" s="109" t="s">
        <v>120</v>
      </c>
      <c r="E1266" s="109">
        <v>104</v>
      </c>
      <c r="F1266" s="110">
        <v>9321</v>
      </c>
      <c r="G1266" s="109" t="s">
        <v>120</v>
      </c>
      <c r="H1266" s="109">
        <v>90</v>
      </c>
      <c r="I1266" s="109">
        <v>1319</v>
      </c>
      <c r="J1266" s="110">
        <v>939</v>
      </c>
    </row>
    <row r="1267" spans="1:10">
      <c r="A1267" s="103" t="s">
        <v>2595</v>
      </c>
      <c r="B1267" s="124" t="s">
        <v>2596</v>
      </c>
      <c r="C1267" s="110">
        <v>12857</v>
      </c>
      <c r="D1267" s="109" t="s">
        <v>120</v>
      </c>
      <c r="E1267" s="109">
        <v>129</v>
      </c>
      <c r="F1267" s="110">
        <v>5699</v>
      </c>
      <c r="G1267" s="109" t="s">
        <v>120</v>
      </c>
      <c r="H1267" s="109">
        <v>44</v>
      </c>
      <c r="I1267" s="109">
        <v>933</v>
      </c>
      <c r="J1267" s="110">
        <v>1577</v>
      </c>
    </row>
    <row r="1268" spans="1:10" s="119" customFormat="1">
      <c r="A1268" s="123" t="s">
        <v>120</v>
      </c>
      <c r="B1268" s="273" t="s">
        <v>2597</v>
      </c>
      <c r="C1268" s="274"/>
      <c r="D1268" s="274"/>
      <c r="E1268" s="274"/>
      <c r="F1268" s="274"/>
      <c r="G1268" s="274"/>
      <c r="H1268" s="274"/>
      <c r="I1268" s="274"/>
      <c r="J1268" s="274"/>
    </row>
    <row r="1269" spans="1:10" s="119" customFormat="1">
      <c r="A1269" s="123" t="s">
        <v>120</v>
      </c>
      <c r="B1269" s="275" t="s">
        <v>924</v>
      </c>
      <c r="C1269" s="276"/>
      <c r="D1269" s="276"/>
      <c r="E1269" s="276"/>
      <c r="F1269" s="276"/>
      <c r="G1269" s="276"/>
      <c r="H1269" s="276"/>
      <c r="I1269" s="276"/>
      <c r="J1269" s="276"/>
    </row>
    <row r="1270" spans="1:10">
      <c r="A1270" s="103" t="s">
        <v>2598</v>
      </c>
      <c r="B1270" s="124" t="s">
        <v>2599</v>
      </c>
      <c r="C1270" s="110">
        <v>2574</v>
      </c>
      <c r="D1270" s="109" t="s">
        <v>120</v>
      </c>
      <c r="E1270" s="109">
        <v>25</v>
      </c>
      <c r="F1270" s="110">
        <v>14205</v>
      </c>
      <c r="G1270" s="109" t="s">
        <v>120</v>
      </c>
      <c r="H1270" s="109">
        <v>552</v>
      </c>
      <c r="I1270" s="109">
        <v>2192</v>
      </c>
      <c r="J1270" s="110">
        <v>559</v>
      </c>
    </row>
    <row r="1271" spans="1:10">
      <c r="A1271" s="103" t="s">
        <v>2600</v>
      </c>
      <c r="B1271" s="124" t="s">
        <v>2601</v>
      </c>
      <c r="C1271" s="110">
        <v>6902</v>
      </c>
      <c r="D1271" s="109" t="s">
        <v>120</v>
      </c>
      <c r="E1271" s="109">
        <v>70</v>
      </c>
      <c r="F1271" s="110">
        <v>6672</v>
      </c>
      <c r="G1271" s="109" t="s">
        <v>120</v>
      </c>
      <c r="H1271" s="109">
        <v>97</v>
      </c>
      <c r="I1271" s="109">
        <v>1863</v>
      </c>
      <c r="J1271" s="110">
        <v>1368</v>
      </c>
    </row>
    <row r="1272" spans="1:10">
      <c r="A1272" s="103" t="s">
        <v>2602</v>
      </c>
      <c r="B1272" s="124" t="s">
        <v>2603</v>
      </c>
      <c r="C1272" s="110">
        <v>5398</v>
      </c>
      <c r="D1272" s="109" t="s">
        <v>120</v>
      </c>
      <c r="E1272" s="109">
        <v>54</v>
      </c>
      <c r="F1272" s="110">
        <v>5084</v>
      </c>
      <c r="G1272" s="109" t="s">
        <v>120</v>
      </c>
      <c r="H1272" s="109">
        <v>94</v>
      </c>
      <c r="I1272" s="109">
        <v>1995</v>
      </c>
      <c r="J1272" s="110">
        <v>1724</v>
      </c>
    </row>
    <row r="1273" spans="1:10" s="119" customFormat="1">
      <c r="A1273" s="123" t="s">
        <v>120</v>
      </c>
      <c r="B1273" s="275" t="s">
        <v>1101</v>
      </c>
      <c r="C1273" s="276"/>
      <c r="D1273" s="276"/>
      <c r="E1273" s="276"/>
      <c r="F1273" s="276"/>
      <c r="G1273" s="276"/>
      <c r="H1273" s="276"/>
      <c r="I1273" s="276"/>
      <c r="J1273" s="276"/>
    </row>
    <row r="1274" spans="1:10">
      <c r="A1274" s="103" t="s">
        <v>2604</v>
      </c>
      <c r="B1274" s="124" t="s">
        <v>2605</v>
      </c>
      <c r="C1274" s="110">
        <v>15480</v>
      </c>
      <c r="D1274" s="109" t="s">
        <v>120</v>
      </c>
      <c r="E1274" s="109">
        <v>155</v>
      </c>
      <c r="F1274" s="110">
        <v>23368</v>
      </c>
      <c r="G1274" s="109" t="s">
        <v>120</v>
      </c>
      <c r="H1274" s="109">
        <v>151</v>
      </c>
      <c r="I1274" s="109">
        <v>632</v>
      </c>
      <c r="J1274" s="110">
        <v>274</v>
      </c>
    </row>
    <row r="1275" spans="1:10">
      <c r="A1275" s="103" t="s">
        <v>2606</v>
      </c>
      <c r="B1275" s="124" t="s">
        <v>932</v>
      </c>
      <c r="C1275" s="110">
        <v>990</v>
      </c>
      <c r="D1275" s="109" t="s">
        <v>120</v>
      </c>
      <c r="E1275" s="109">
        <v>11</v>
      </c>
      <c r="F1275" s="110">
        <v>12928</v>
      </c>
      <c r="G1275" s="109" t="s">
        <v>120</v>
      </c>
      <c r="H1275" s="109">
        <v>1306</v>
      </c>
      <c r="I1275" s="109" t="s">
        <v>122</v>
      </c>
      <c r="J1275" s="110" t="s">
        <v>122</v>
      </c>
    </row>
    <row r="1276" spans="1:10">
      <c r="A1276" s="103" t="s">
        <v>2607</v>
      </c>
      <c r="B1276" s="124" t="s">
        <v>934</v>
      </c>
      <c r="C1276" s="110">
        <v>14490</v>
      </c>
      <c r="D1276" s="109" t="s">
        <v>120</v>
      </c>
      <c r="E1276" s="109">
        <v>144</v>
      </c>
      <c r="F1276" s="110">
        <v>10440</v>
      </c>
      <c r="G1276" s="109" t="s">
        <v>120</v>
      </c>
      <c r="H1276" s="109">
        <v>72</v>
      </c>
      <c r="I1276" s="109" t="s">
        <v>122</v>
      </c>
      <c r="J1276" s="110" t="s">
        <v>122</v>
      </c>
    </row>
    <row r="1277" spans="1:10">
      <c r="A1277" s="103" t="s">
        <v>2608</v>
      </c>
      <c r="B1277" s="124" t="s">
        <v>2609</v>
      </c>
      <c r="C1277" s="110">
        <v>6632</v>
      </c>
      <c r="D1277" s="109" t="s">
        <v>120</v>
      </c>
      <c r="E1277" s="109">
        <v>66</v>
      </c>
      <c r="F1277" s="110">
        <v>10459</v>
      </c>
      <c r="G1277" s="109" t="s">
        <v>120</v>
      </c>
      <c r="H1277" s="109">
        <v>158</v>
      </c>
      <c r="I1277" s="109">
        <v>1893</v>
      </c>
      <c r="J1277" s="110">
        <v>834</v>
      </c>
    </row>
    <row r="1278" spans="1:10">
      <c r="A1278" s="103" t="s">
        <v>2610</v>
      </c>
      <c r="B1278" s="124" t="s">
        <v>932</v>
      </c>
      <c r="C1278" s="110">
        <v>1677</v>
      </c>
      <c r="D1278" s="109" t="s">
        <v>120</v>
      </c>
      <c r="E1278" s="109">
        <v>17</v>
      </c>
      <c r="F1278" s="110">
        <v>3371</v>
      </c>
      <c r="G1278" s="109" t="s">
        <v>120</v>
      </c>
      <c r="H1278" s="109">
        <v>201</v>
      </c>
      <c r="I1278" s="109" t="s">
        <v>122</v>
      </c>
      <c r="J1278" s="110" t="s">
        <v>122</v>
      </c>
    </row>
    <row r="1279" spans="1:10">
      <c r="A1279" s="103" t="s">
        <v>2611</v>
      </c>
      <c r="B1279" s="124" t="s">
        <v>934</v>
      </c>
      <c r="C1279" s="110">
        <v>4955</v>
      </c>
      <c r="D1279" s="109" t="s">
        <v>120</v>
      </c>
      <c r="E1279" s="109">
        <v>49</v>
      </c>
      <c r="F1279" s="110">
        <v>7088</v>
      </c>
      <c r="G1279" s="109" t="s">
        <v>120</v>
      </c>
      <c r="H1279" s="109">
        <v>143</v>
      </c>
      <c r="I1279" s="109" t="s">
        <v>122</v>
      </c>
      <c r="J1279" s="110" t="s">
        <v>122</v>
      </c>
    </row>
    <row r="1280" spans="1:10">
      <c r="A1280" s="103" t="s">
        <v>2612</v>
      </c>
      <c r="B1280" s="124" t="s">
        <v>2613</v>
      </c>
      <c r="C1280" s="110">
        <v>12990</v>
      </c>
      <c r="D1280" s="109" t="s">
        <v>120</v>
      </c>
      <c r="E1280" s="109">
        <v>130</v>
      </c>
      <c r="F1280" s="110">
        <v>12391</v>
      </c>
      <c r="G1280" s="109" t="s">
        <v>120</v>
      </c>
      <c r="H1280" s="109">
        <v>95</v>
      </c>
      <c r="I1280" s="109">
        <v>911</v>
      </c>
      <c r="J1280" s="110">
        <v>674</v>
      </c>
    </row>
    <row r="1281" spans="1:10">
      <c r="A1281" s="103" t="s">
        <v>2614</v>
      </c>
      <c r="B1281" s="124" t="s">
        <v>932</v>
      </c>
      <c r="C1281" s="110">
        <v>2325</v>
      </c>
      <c r="D1281" s="109" t="s">
        <v>120</v>
      </c>
      <c r="E1281" s="109">
        <v>23</v>
      </c>
      <c r="F1281" s="110">
        <v>7255</v>
      </c>
      <c r="G1281" s="109" t="s">
        <v>120</v>
      </c>
      <c r="H1281" s="109">
        <v>312</v>
      </c>
      <c r="I1281" s="109" t="s">
        <v>122</v>
      </c>
      <c r="J1281" s="110" t="s">
        <v>122</v>
      </c>
    </row>
    <row r="1282" spans="1:10">
      <c r="A1282" s="103" t="s">
        <v>2615</v>
      </c>
      <c r="B1282" s="124" t="s">
        <v>934</v>
      </c>
      <c r="C1282" s="110">
        <v>10665</v>
      </c>
      <c r="D1282" s="109" t="s">
        <v>120</v>
      </c>
      <c r="E1282" s="109">
        <v>107</v>
      </c>
      <c r="F1282" s="110">
        <v>5136</v>
      </c>
      <c r="G1282" s="109" t="s">
        <v>120</v>
      </c>
      <c r="H1282" s="109">
        <v>48</v>
      </c>
      <c r="I1282" s="109" t="s">
        <v>122</v>
      </c>
      <c r="J1282" s="110" t="s">
        <v>122</v>
      </c>
    </row>
    <row r="1283" spans="1:10" s="119" customFormat="1">
      <c r="A1283" s="123" t="s">
        <v>120</v>
      </c>
      <c r="B1283" s="273" t="s">
        <v>2616</v>
      </c>
      <c r="C1283" s="274"/>
      <c r="D1283" s="274"/>
      <c r="E1283" s="274"/>
      <c r="F1283" s="274"/>
      <c r="G1283" s="274"/>
      <c r="H1283" s="274"/>
      <c r="I1283" s="274"/>
      <c r="J1283" s="274"/>
    </row>
    <row r="1284" spans="1:10" s="119" customFormat="1">
      <c r="A1284" s="123" t="s">
        <v>120</v>
      </c>
      <c r="B1284" s="275" t="s">
        <v>943</v>
      </c>
      <c r="C1284" s="276"/>
      <c r="D1284" s="276"/>
      <c r="E1284" s="276"/>
      <c r="F1284" s="276"/>
      <c r="G1284" s="276"/>
      <c r="H1284" s="276"/>
      <c r="I1284" s="276"/>
      <c r="J1284" s="276"/>
    </row>
    <row r="1285" spans="1:10">
      <c r="A1285" s="103" t="s">
        <v>2617</v>
      </c>
      <c r="B1285" s="124" t="s">
        <v>2618</v>
      </c>
      <c r="C1285" s="110">
        <v>11463</v>
      </c>
      <c r="D1285" s="109" t="s">
        <v>120</v>
      </c>
      <c r="E1285" s="109">
        <v>115</v>
      </c>
      <c r="F1285" s="110">
        <v>5767</v>
      </c>
      <c r="G1285" s="109" t="s">
        <v>120</v>
      </c>
      <c r="H1285" s="109">
        <v>50</v>
      </c>
      <c r="I1285" s="109">
        <v>1131</v>
      </c>
      <c r="J1285" s="110">
        <v>1564</v>
      </c>
    </row>
    <row r="1286" spans="1:10">
      <c r="A1286" s="103" t="s">
        <v>2619</v>
      </c>
      <c r="B1286" s="124" t="s">
        <v>2620</v>
      </c>
      <c r="C1286" s="110">
        <v>12416</v>
      </c>
      <c r="D1286" s="109" t="s">
        <v>120</v>
      </c>
      <c r="E1286" s="109">
        <v>124</v>
      </c>
      <c r="F1286" s="110">
        <v>4770</v>
      </c>
      <c r="G1286" s="109" t="s">
        <v>120</v>
      </c>
      <c r="H1286" s="109">
        <v>38</v>
      </c>
      <c r="I1286" s="109">
        <v>991</v>
      </c>
      <c r="J1286" s="110">
        <v>1800</v>
      </c>
    </row>
    <row r="1287" spans="1:10">
      <c r="A1287" s="103" t="s">
        <v>2621</v>
      </c>
      <c r="B1287" s="124" t="s">
        <v>2622</v>
      </c>
      <c r="C1287" s="110">
        <v>8139</v>
      </c>
      <c r="D1287" s="109" t="s">
        <v>120</v>
      </c>
      <c r="E1287" s="109">
        <v>81</v>
      </c>
      <c r="F1287" s="110">
        <v>4354</v>
      </c>
      <c r="G1287" s="109" t="s">
        <v>120</v>
      </c>
      <c r="H1287" s="109">
        <v>53</v>
      </c>
      <c r="I1287" s="109">
        <v>1685</v>
      </c>
      <c r="J1287" s="110">
        <v>1904</v>
      </c>
    </row>
    <row r="1288" spans="1:10">
      <c r="A1288" s="103" t="s">
        <v>2623</v>
      </c>
      <c r="B1288" s="124" t="s">
        <v>2624</v>
      </c>
      <c r="C1288" s="110">
        <v>14081</v>
      </c>
      <c r="D1288" s="109" t="s">
        <v>120</v>
      </c>
      <c r="E1288" s="109">
        <v>141</v>
      </c>
      <c r="F1288" s="110">
        <v>3148</v>
      </c>
      <c r="G1288" s="109" t="s">
        <v>120</v>
      </c>
      <c r="H1288" s="109">
        <v>22</v>
      </c>
      <c r="I1288" s="109">
        <v>776</v>
      </c>
      <c r="J1288" s="110">
        <v>2175</v>
      </c>
    </row>
    <row r="1289" spans="1:10">
      <c r="A1289" s="103" t="s">
        <v>2625</v>
      </c>
      <c r="B1289" s="124" t="s">
        <v>2626</v>
      </c>
      <c r="C1289" s="110">
        <v>12931</v>
      </c>
      <c r="D1289" s="109" t="s">
        <v>120</v>
      </c>
      <c r="E1289" s="109">
        <v>129</v>
      </c>
      <c r="F1289" s="110">
        <v>7627</v>
      </c>
      <c r="G1289" s="109" t="s">
        <v>120</v>
      </c>
      <c r="H1289" s="109">
        <v>59</v>
      </c>
      <c r="I1289" s="109">
        <v>919</v>
      </c>
      <c r="J1289" s="110">
        <v>1183</v>
      </c>
    </row>
    <row r="1290" spans="1:10">
      <c r="A1290" s="103" t="s">
        <v>2627</v>
      </c>
      <c r="B1290" s="124" t="s">
        <v>2628</v>
      </c>
      <c r="C1290" s="110">
        <v>14106</v>
      </c>
      <c r="D1290" s="109" t="s">
        <v>120</v>
      </c>
      <c r="E1290" s="109">
        <v>141</v>
      </c>
      <c r="F1290" s="110">
        <v>5908</v>
      </c>
      <c r="G1290" s="109" t="s">
        <v>120</v>
      </c>
      <c r="H1290" s="109">
        <v>42</v>
      </c>
      <c r="I1290" s="109">
        <v>770</v>
      </c>
      <c r="J1290" s="110">
        <v>1530</v>
      </c>
    </row>
    <row r="1291" spans="1:10" s="119" customFormat="1">
      <c r="A1291" s="123" t="s">
        <v>120</v>
      </c>
      <c r="B1291" s="275" t="s">
        <v>947</v>
      </c>
      <c r="C1291" s="276"/>
      <c r="D1291" s="276"/>
      <c r="E1291" s="276"/>
      <c r="F1291" s="276"/>
      <c r="G1291" s="276"/>
      <c r="H1291" s="276"/>
      <c r="I1291" s="276"/>
      <c r="J1291" s="276"/>
    </row>
    <row r="1292" spans="1:10">
      <c r="A1292" s="103" t="s">
        <v>2629</v>
      </c>
      <c r="B1292" s="124" t="s">
        <v>2630</v>
      </c>
      <c r="C1292" s="110">
        <v>11819</v>
      </c>
      <c r="D1292" s="109" t="s">
        <v>120</v>
      </c>
      <c r="E1292" s="109">
        <v>118</v>
      </c>
      <c r="F1292" s="110">
        <v>10424</v>
      </c>
      <c r="G1292" s="109" t="s">
        <v>120</v>
      </c>
      <c r="H1292" s="109">
        <v>88</v>
      </c>
      <c r="I1292" s="109">
        <v>1077</v>
      </c>
      <c r="J1292" s="110">
        <v>840</v>
      </c>
    </row>
    <row r="1293" spans="1:10">
      <c r="A1293" s="103" t="s">
        <v>2631</v>
      </c>
      <c r="B1293" s="124" t="s">
        <v>932</v>
      </c>
      <c r="C1293" s="110">
        <v>481</v>
      </c>
      <c r="D1293" s="109" t="s">
        <v>120</v>
      </c>
      <c r="E1293" s="109">
        <v>5</v>
      </c>
      <c r="F1293" s="110">
        <v>3826</v>
      </c>
      <c r="G1293" s="109" t="s">
        <v>120</v>
      </c>
      <c r="H1293" s="109">
        <v>795</v>
      </c>
      <c r="I1293" s="109" t="s">
        <v>122</v>
      </c>
      <c r="J1293" s="110" t="s">
        <v>122</v>
      </c>
    </row>
    <row r="1294" spans="1:10">
      <c r="A1294" s="103" t="s">
        <v>2632</v>
      </c>
      <c r="B1294" s="124" t="s">
        <v>934</v>
      </c>
      <c r="C1294" s="110">
        <v>11338</v>
      </c>
      <c r="D1294" s="109" t="s">
        <v>120</v>
      </c>
      <c r="E1294" s="109">
        <v>113</v>
      </c>
      <c r="F1294" s="110">
        <v>6598</v>
      </c>
      <c r="G1294" s="109" t="s">
        <v>120</v>
      </c>
      <c r="H1294" s="109">
        <v>58</v>
      </c>
      <c r="I1294" s="109" t="s">
        <v>122</v>
      </c>
      <c r="J1294" s="110" t="s">
        <v>122</v>
      </c>
    </row>
    <row r="1295" spans="1:10">
      <c r="A1295" s="103" t="s">
        <v>2633</v>
      </c>
      <c r="B1295" s="124" t="s">
        <v>2634</v>
      </c>
      <c r="C1295" s="110">
        <v>19064</v>
      </c>
      <c r="D1295" s="109" t="s">
        <v>120</v>
      </c>
      <c r="E1295" s="109">
        <v>191</v>
      </c>
      <c r="F1295" s="110">
        <v>34108</v>
      </c>
      <c r="G1295" s="109" t="s">
        <v>120</v>
      </c>
      <c r="H1295" s="109">
        <v>179</v>
      </c>
      <c r="I1295" s="109">
        <v>390</v>
      </c>
      <c r="J1295" s="110">
        <v>158</v>
      </c>
    </row>
    <row r="1296" spans="1:10">
      <c r="A1296" s="103" t="s">
        <v>2635</v>
      </c>
      <c r="B1296" s="124" t="s">
        <v>932</v>
      </c>
      <c r="C1296" s="110">
        <v>2699</v>
      </c>
      <c r="D1296" s="109" t="s">
        <v>120</v>
      </c>
      <c r="E1296" s="109">
        <v>27</v>
      </c>
      <c r="F1296" s="110">
        <v>21060</v>
      </c>
      <c r="G1296" s="109" t="s">
        <v>120</v>
      </c>
      <c r="H1296" s="109">
        <v>780</v>
      </c>
      <c r="I1296" s="109" t="s">
        <v>122</v>
      </c>
      <c r="J1296" s="110" t="s">
        <v>122</v>
      </c>
    </row>
    <row r="1297" spans="1:10">
      <c r="A1297" s="103" t="s">
        <v>2636</v>
      </c>
      <c r="B1297" s="124" t="s">
        <v>934</v>
      </c>
      <c r="C1297" s="110">
        <v>16365</v>
      </c>
      <c r="D1297" s="109" t="s">
        <v>120</v>
      </c>
      <c r="E1297" s="109">
        <v>164</v>
      </c>
      <c r="F1297" s="110">
        <v>13048</v>
      </c>
      <c r="G1297" s="109" t="s">
        <v>120</v>
      </c>
      <c r="H1297" s="109">
        <v>80</v>
      </c>
      <c r="I1297" s="109" t="s">
        <v>122</v>
      </c>
      <c r="J1297" s="110" t="s">
        <v>122</v>
      </c>
    </row>
    <row r="1298" spans="1:10" s="119" customFormat="1">
      <c r="A1298" s="123" t="s">
        <v>120</v>
      </c>
      <c r="B1298" s="273" t="s">
        <v>2637</v>
      </c>
      <c r="C1298" s="274"/>
      <c r="D1298" s="274"/>
      <c r="E1298" s="274"/>
      <c r="F1298" s="274"/>
      <c r="G1298" s="274"/>
      <c r="H1298" s="274"/>
      <c r="I1298" s="274"/>
      <c r="J1298" s="274"/>
    </row>
    <row r="1299" spans="1:10" s="119" customFormat="1">
      <c r="A1299" s="123" t="s">
        <v>120</v>
      </c>
      <c r="B1299" s="275" t="s">
        <v>936</v>
      </c>
      <c r="C1299" s="276"/>
      <c r="D1299" s="276"/>
      <c r="E1299" s="276"/>
      <c r="F1299" s="276"/>
      <c r="G1299" s="276"/>
      <c r="H1299" s="276"/>
      <c r="I1299" s="276"/>
      <c r="J1299" s="276"/>
    </row>
    <row r="1300" spans="1:10">
      <c r="A1300" s="103" t="s">
        <v>2638</v>
      </c>
      <c r="B1300" s="124" t="s">
        <v>2639</v>
      </c>
      <c r="C1300" s="110">
        <v>2725</v>
      </c>
      <c r="D1300" s="109" t="s">
        <v>120</v>
      </c>
      <c r="E1300" s="109">
        <v>27</v>
      </c>
      <c r="F1300" s="110">
        <v>18206</v>
      </c>
      <c r="G1300" s="109" t="s">
        <v>120</v>
      </c>
      <c r="H1300" s="109">
        <v>668</v>
      </c>
      <c r="I1300" s="109">
        <v>2182</v>
      </c>
      <c r="J1300" s="110">
        <v>395</v>
      </c>
    </row>
    <row r="1301" spans="1:10">
      <c r="A1301" s="103" t="s">
        <v>2640</v>
      </c>
      <c r="B1301" s="124" t="s">
        <v>2641</v>
      </c>
      <c r="C1301" s="110">
        <v>3299</v>
      </c>
      <c r="D1301" s="109" t="s">
        <v>120</v>
      </c>
      <c r="E1301" s="109">
        <v>33</v>
      </c>
      <c r="F1301" s="110">
        <v>64757</v>
      </c>
      <c r="G1301" s="109" t="s">
        <v>120</v>
      </c>
      <c r="H1301" s="109">
        <v>1963</v>
      </c>
      <c r="I1301" s="109">
        <v>2147</v>
      </c>
      <c r="J1301" s="110">
        <v>61</v>
      </c>
    </row>
    <row r="1302" spans="1:10" s="119" customFormat="1">
      <c r="A1302" s="123" t="s">
        <v>120</v>
      </c>
      <c r="B1302" s="275" t="s">
        <v>943</v>
      </c>
      <c r="C1302" s="276"/>
      <c r="D1302" s="276"/>
      <c r="E1302" s="276"/>
      <c r="F1302" s="276"/>
      <c r="G1302" s="276"/>
      <c r="H1302" s="276"/>
      <c r="I1302" s="276"/>
      <c r="J1302" s="276"/>
    </row>
    <row r="1303" spans="1:10">
      <c r="A1303" s="103" t="s">
        <v>2642</v>
      </c>
      <c r="B1303" s="124" t="s">
        <v>2643</v>
      </c>
      <c r="C1303" s="110">
        <v>10123</v>
      </c>
      <c r="D1303" s="109" t="s">
        <v>120</v>
      </c>
      <c r="E1303" s="109">
        <v>101</v>
      </c>
      <c r="F1303" s="110">
        <v>4657</v>
      </c>
      <c r="G1303" s="109" t="s">
        <v>120</v>
      </c>
      <c r="H1303" s="109">
        <v>46</v>
      </c>
      <c r="I1303" s="109">
        <v>1365</v>
      </c>
      <c r="J1303" s="110">
        <v>1826</v>
      </c>
    </row>
    <row r="1304" spans="1:10">
      <c r="A1304" s="103" t="s">
        <v>2644</v>
      </c>
      <c r="B1304" s="124" t="s">
        <v>2645</v>
      </c>
      <c r="C1304" s="110">
        <v>9546</v>
      </c>
      <c r="D1304" s="109" t="s">
        <v>120</v>
      </c>
      <c r="E1304" s="109">
        <v>95</v>
      </c>
      <c r="F1304" s="110">
        <v>7728</v>
      </c>
      <c r="G1304" s="109" t="s">
        <v>120</v>
      </c>
      <c r="H1304" s="109">
        <v>81</v>
      </c>
      <c r="I1304" s="109">
        <v>1462</v>
      </c>
      <c r="J1304" s="110">
        <v>1165</v>
      </c>
    </row>
    <row r="1305" spans="1:10">
      <c r="A1305" s="103" t="s">
        <v>2646</v>
      </c>
      <c r="B1305" s="124" t="s">
        <v>2647</v>
      </c>
      <c r="C1305" s="110">
        <v>1364</v>
      </c>
      <c r="D1305" s="109" t="s">
        <v>120</v>
      </c>
      <c r="E1305" s="109">
        <v>14</v>
      </c>
      <c r="F1305" s="110">
        <v>7668</v>
      </c>
      <c r="G1305" s="109" t="s">
        <v>120</v>
      </c>
      <c r="H1305" s="109">
        <v>562</v>
      </c>
      <c r="I1305" s="109">
        <v>2292</v>
      </c>
      <c r="J1305" s="110">
        <v>1174</v>
      </c>
    </row>
    <row r="1306" spans="1:10">
      <c r="A1306" s="103" t="s">
        <v>2648</v>
      </c>
      <c r="B1306" s="124" t="s">
        <v>2649</v>
      </c>
      <c r="C1306" s="110">
        <v>13392</v>
      </c>
      <c r="D1306" s="109" t="s">
        <v>120</v>
      </c>
      <c r="E1306" s="109">
        <v>134</v>
      </c>
      <c r="F1306" s="110">
        <v>8639</v>
      </c>
      <c r="G1306" s="109" t="s">
        <v>120</v>
      </c>
      <c r="H1306" s="109">
        <v>65</v>
      </c>
      <c r="I1306" s="109">
        <v>858</v>
      </c>
      <c r="J1306" s="110">
        <v>1030</v>
      </c>
    </row>
    <row r="1307" spans="1:10">
      <c r="A1307" s="103" t="s">
        <v>2650</v>
      </c>
      <c r="B1307" s="124" t="s">
        <v>2641</v>
      </c>
      <c r="C1307" s="110">
        <v>8769</v>
      </c>
      <c r="D1307" s="109" t="s">
        <v>120</v>
      </c>
      <c r="E1307" s="109">
        <v>88</v>
      </c>
      <c r="F1307" s="110">
        <v>7636</v>
      </c>
      <c r="G1307" s="109" t="s">
        <v>120</v>
      </c>
      <c r="H1307" s="109">
        <v>87</v>
      </c>
      <c r="I1307" s="109">
        <v>1567</v>
      </c>
      <c r="J1307" s="110">
        <v>1181</v>
      </c>
    </row>
    <row r="1308" spans="1:10" s="119" customFormat="1">
      <c r="A1308" s="123" t="s">
        <v>120</v>
      </c>
      <c r="B1308" s="273" t="s">
        <v>2651</v>
      </c>
      <c r="C1308" s="274"/>
      <c r="D1308" s="274"/>
      <c r="E1308" s="274"/>
      <c r="F1308" s="274"/>
      <c r="G1308" s="274"/>
      <c r="H1308" s="274"/>
      <c r="I1308" s="274"/>
      <c r="J1308" s="274"/>
    </row>
    <row r="1309" spans="1:10" s="119" customFormat="1">
      <c r="A1309" s="123" t="s">
        <v>120</v>
      </c>
      <c r="B1309" s="275" t="s">
        <v>924</v>
      </c>
      <c r="C1309" s="276"/>
      <c r="D1309" s="276"/>
      <c r="E1309" s="276"/>
      <c r="F1309" s="276"/>
      <c r="G1309" s="276"/>
      <c r="H1309" s="276"/>
      <c r="I1309" s="276"/>
      <c r="J1309" s="276"/>
    </row>
    <row r="1310" spans="1:10">
      <c r="A1310" s="103" t="s">
        <v>2652</v>
      </c>
      <c r="B1310" s="124" t="s">
        <v>2653</v>
      </c>
      <c r="C1310" s="110">
        <v>8720</v>
      </c>
      <c r="D1310" s="109" t="s">
        <v>120</v>
      </c>
      <c r="E1310" s="109">
        <v>87</v>
      </c>
      <c r="F1310" s="110">
        <v>3981</v>
      </c>
      <c r="G1310" s="109" t="s">
        <v>120</v>
      </c>
      <c r="H1310" s="109">
        <v>46</v>
      </c>
      <c r="I1310" s="109">
        <v>1574</v>
      </c>
      <c r="J1310" s="110">
        <v>1996</v>
      </c>
    </row>
    <row r="1311" spans="1:10">
      <c r="A1311" s="103" t="s">
        <v>2654</v>
      </c>
      <c r="B1311" s="124" t="s">
        <v>2655</v>
      </c>
      <c r="C1311" s="110">
        <v>13521</v>
      </c>
      <c r="D1311" s="109" t="s">
        <v>120</v>
      </c>
      <c r="E1311" s="109">
        <v>135</v>
      </c>
      <c r="F1311" s="110">
        <v>4558</v>
      </c>
      <c r="G1311" s="109" t="s">
        <v>120</v>
      </c>
      <c r="H1311" s="109">
        <v>34</v>
      </c>
      <c r="I1311" s="109">
        <v>834</v>
      </c>
      <c r="J1311" s="110">
        <v>1856</v>
      </c>
    </row>
    <row r="1312" spans="1:10">
      <c r="A1312" s="103" t="s">
        <v>2656</v>
      </c>
      <c r="B1312" s="124" t="s">
        <v>2657</v>
      </c>
      <c r="C1312" s="110">
        <v>8614</v>
      </c>
      <c r="D1312" s="109" t="s">
        <v>120</v>
      </c>
      <c r="E1312" s="109">
        <v>86</v>
      </c>
      <c r="F1312" s="110">
        <v>4939</v>
      </c>
      <c r="G1312" s="109" t="s">
        <v>120</v>
      </c>
      <c r="H1312" s="109">
        <v>57</v>
      </c>
      <c r="I1312" s="109">
        <v>1591</v>
      </c>
      <c r="J1312" s="110">
        <v>1751</v>
      </c>
    </row>
    <row r="1313" spans="1:10">
      <c r="A1313" s="103" t="s">
        <v>2658</v>
      </c>
      <c r="B1313" s="124" t="s">
        <v>2659</v>
      </c>
      <c r="C1313" s="110">
        <v>9998</v>
      </c>
      <c r="D1313" s="109" t="s">
        <v>120</v>
      </c>
      <c r="E1313" s="109">
        <v>100</v>
      </c>
      <c r="F1313" s="110">
        <v>4773</v>
      </c>
      <c r="G1313" s="109" t="s">
        <v>120</v>
      </c>
      <c r="H1313" s="109">
        <v>48</v>
      </c>
      <c r="I1313" s="109">
        <v>1389</v>
      </c>
      <c r="J1313" s="110">
        <v>1799</v>
      </c>
    </row>
    <row r="1314" spans="1:10">
      <c r="A1314" s="103" t="s">
        <v>2660</v>
      </c>
      <c r="B1314" s="124" t="s">
        <v>2661</v>
      </c>
      <c r="C1314" s="110">
        <v>7800</v>
      </c>
      <c r="D1314" s="109" t="s">
        <v>120</v>
      </c>
      <c r="E1314" s="109">
        <v>78</v>
      </c>
      <c r="F1314" s="110">
        <v>4571</v>
      </c>
      <c r="G1314" s="109" t="s">
        <v>120</v>
      </c>
      <c r="H1314" s="109">
        <v>59</v>
      </c>
      <c r="I1314" s="109">
        <v>1728</v>
      </c>
      <c r="J1314" s="110">
        <v>1851</v>
      </c>
    </row>
    <row r="1315" spans="1:10">
      <c r="A1315" s="103" t="s">
        <v>2662</v>
      </c>
      <c r="B1315" s="124" t="s">
        <v>2663</v>
      </c>
      <c r="C1315" s="110">
        <v>8274</v>
      </c>
      <c r="D1315" s="109" t="s">
        <v>120</v>
      </c>
      <c r="E1315" s="109">
        <v>83</v>
      </c>
      <c r="F1315" s="110">
        <v>4444</v>
      </c>
      <c r="G1315" s="109" t="s">
        <v>120</v>
      </c>
      <c r="H1315" s="109">
        <v>54</v>
      </c>
      <c r="I1315" s="109">
        <v>1660</v>
      </c>
      <c r="J1315" s="110">
        <v>1881</v>
      </c>
    </row>
    <row r="1316" spans="1:10" s="119" customFormat="1">
      <c r="A1316" s="123" t="s">
        <v>120</v>
      </c>
      <c r="B1316" s="275" t="s">
        <v>947</v>
      </c>
      <c r="C1316" s="276"/>
      <c r="D1316" s="276"/>
      <c r="E1316" s="276"/>
      <c r="F1316" s="276"/>
      <c r="G1316" s="276"/>
      <c r="H1316" s="276"/>
      <c r="I1316" s="276"/>
      <c r="J1316" s="276"/>
    </row>
    <row r="1317" spans="1:10">
      <c r="A1317" s="103" t="s">
        <v>2664</v>
      </c>
      <c r="B1317" s="124" t="s">
        <v>2665</v>
      </c>
      <c r="C1317" s="110">
        <v>12092</v>
      </c>
      <c r="D1317" s="109" t="s">
        <v>120</v>
      </c>
      <c r="E1317" s="109">
        <v>121</v>
      </c>
      <c r="F1317" s="110">
        <v>12444</v>
      </c>
      <c r="G1317" s="109" t="s">
        <v>120</v>
      </c>
      <c r="H1317" s="109">
        <v>103</v>
      </c>
      <c r="I1317" s="109">
        <v>1041</v>
      </c>
      <c r="J1317" s="110">
        <v>668</v>
      </c>
    </row>
    <row r="1318" spans="1:10">
      <c r="A1318" s="103" t="s">
        <v>2666</v>
      </c>
      <c r="B1318" s="124" t="s">
        <v>932</v>
      </c>
      <c r="C1318" s="110">
        <v>494</v>
      </c>
      <c r="D1318" s="109" t="s">
        <v>120</v>
      </c>
      <c r="E1318" s="109">
        <v>5</v>
      </c>
      <c r="F1318" s="110">
        <v>5810</v>
      </c>
      <c r="G1318" s="109" t="s">
        <v>120</v>
      </c>
      <c r="H1318" s="109">
        <v>1176</v>
      </c>
      <c r="I1318" s="109" t="s">
        <v>122</v>
      </c>
      <c r="J1318" s="110" t="s">
        <v>122</v>
      </c>
    </row>
    <row r="1319" spans="1:10">
      <c r="A1319" s="103" t="s">
        <v>2667</v>
      </c>
      <c r="B1319" s="124" t="s">
        <v>934</v>
      </c>
      <c r="C1319" s="110">
        <v>11598</v>
      </c>
      <c r="D1319" s="109" t="s">
        <v>120</v>
      </c>
      <c r="E1319" s="109">
        <v>116</v>
      </c>
      <c r="F1319" s="110">
        <v>6634</v>
      </c>
      <c r="G1319" s="109" t="s">
        <v>120</v>
      </c>
      <c r="H1319" s="109">
        <v>57</v>
      </c>
      <c r="I1319" s="109" t="s">
        <v>122</v>
      </c>
      <c r="J1319" s="110" t="s">
        <v>122</v>
      </c>
    </row>
    <row r="1320" spans="1:10">
      <c r="A1320" s="103" t="s">
        <v>2668</v>
      </c>
      <c r="B1320" s="124" t="s">
        <v>2669</v>
      </c>
      <c r="C1320" s="110">
        <v>11363</v>
      </c>
      <c r="D1320" s="109" t="s">
        <v>120</v>
      </c>
      <c r="E1320" s="109">
        <v>114</v>
      </c>
      <c r="F1320" s="110">
        <v>11510</v>
      </c>
      <c r="G1320" s="109" t="s">
        <v>120</v>
      </c>
      <c r="H1320" s="109">
        <v>101</v>
      </c>
      <c r="I1320" s="109">
        <v>1147</v>
      </c>
      <c r="J1320" s="110">
        <v>743</v>
      </c>
    </row>
    <row r="1321" spans="1:10">
      <c r="A1321" s="103" t="s">
        <v>2670</v>
      </c>
      <c r="B1321" s="124" t="s">
        <v>932</v>
      </c>
      <c r="C1321" s="110">
        <v>2023</v>
      </c>
      <c r="D1321" s="109" t="s">
        <v>120</v>
      </c>
      <c r="E1321" s="109">
        <v>20</v>
      </c>
      <c r="F1321" s="110">
        <v>6662</v>
      </c>
      <c r="G1321" s="109" t="s">
        <v>120</v>
      </c>
      <c r="H1321" s="109">
        <v>329</v>
      </c>
      <c r="I1321" s="109" t="s">
        <v>122</v>
      </c>
      <c r="J1321" s="110" t="s">
        <v>122</v>
      </c>
    </row>
    <row r="1322" spans="1:10">
      <c r="A1322" s="103" t="s">
        <v>2671</v>
      </c>
      <c r="B1322" s="124" t="s">
        <v>934</v>
      </c>
      <c r="C1322" s="110">
        <v>9340</v>
      </c>
      <c r="D1322" s="109" t="s">
        <v>120</v>
      </c>
      <c r="E1322" s="109">
        <v>94</v>
      </c>
      <c r="F1322" s="110">
        <v>4848</v>
      </c>
      <c r="G1322" s="109" t="s">
        <v>120</v>
      </c>
      <c r="H1322" s="109">
        <v>52</v>
      </c>
      <c r="I1322" s="109" t="s">
        <v>122</v>
      </c>
      <c r="J1322" s="110" t="s">
        <v>122</v>
      </c>
    </row>
    <row r="1323" spans="1:10" s="119" customFormat="1">
      <c r="A1323" s="123" t="s">
        <v>120</v>
      </c>
      <c r="B1323" s="273" t="s">
        <v>2672</v>
      </c>
      <c r="C1323" s="274"/>
      <c r="D1323" s="274"/>
      <c r="E1323" s="274"/>
      <c r="F1323" s="274"/>
      <c r="G1323" s="274"/>
      <c r="H1323" s="274"/>
      <c r="I1323" s="274"/>
      <c r="J1323" s="274"/>
    </row>
    <row r="1324" spans="1:10" s="119" customFormat="1">
      <c r="A1324" s="123" t="s">
        <v>120</v>
      </c>
      <c r="B1324" s="275" t="s">
        <v>943</v>
      </c>
      <c r="C1324" s="276"/>
      <c r="D1324" s="276"/>
      <c r="E1324" s="276"/>
      <c r="F1324" s="276"/>
      <c r="G1324" s="276"/>
      <c r="H1324" s="276"/>
      <c r="I1324" s="276"/>
      <c r="J1324" s="276"/>
    </row>
    <row r="1325" spans="1:10">
      <c r="A1325" s="103" t="s">
        <v>2673</v>
      </c>
      <c r="B1325" s="124" t="s">
        <v>1805</v>
      </c>
      <c r="C1325" s="110">
        <v>14409</v>
      </c>
      <c r="D1325" s="109" t="s">
        <v>120</v>
      </c>
      <c r="E1325" s="109">
        <v>144</v>
      </c>
      <c r="F1325" s="110">
        <v>4326</v>
      </c>
      <c r="G1325" s="109" t="s">
        <v>120</v>
      </c>
      <c r="H1325" s="109">
        <v>30</v>
      </c>
      <c r="I1325" s="109">
        <v>741</v>
      </c>
      <c r="J1325" s="110">
        <v>1915</v>
      </c>
    </row>
    <row r="1326" spans="1:10">
      <c r="A1326" s="103" t="s">
        <v>2674</v>
      </c>
      <c r="B1326" s="124" t="s">
        <v>2675</v>
      </c>
      <c r="C1326" s="110">
        <v>7179</v>
      </c>
      <c r="D1326" s="109" t="s">
        <v>120</v>
      </c>
      <c r="E1326" s="109">
        <v>72</v>
      </c>
      <c r="F1326" s="110">
        <v>4131</v>
      </c>
      <c r="G1326" s="109" t="s">
        <v>120</v>
      </c>
      <c r="H1326" s="109">
        <v>58</v>
      </c>
      <c r="I1326" s="109">
        <v>1824</v>
      </c>
      <c r="J1326" s="110">
        <v>1965</v>
      </c>
    </row>
    <row r="1327" spans="1:10">
      <c r="A1327" s="103" t="s">
        <v>2676</v>
      </c>
      <c r="B1327" s="124" t="s">
        <v>2677</v>
      </c>
      <c r="C1327" s="110">
        <v>10217</v>
      </c>
      <c r="D1327" s="109" t="s">
        <v>120</v>
      </c>
      <c r="E1327" s="109">
        <v>102</v>
      </c>
      <c r="F1327" s="110">
        <v>8506</v>
      </c>
      <c r="G1327" s="109" t="s">
        <v>120</v>
      </c>
      <c r="H1327" s="109">
        <v>83</v>
      </c>
      <c r="I1327" s="109">
        <v>1352</v>
      </c>
      <c r="J1327" s="110">
        <v>1051</v>
      </c>
    </row>
    <row r="1328" spans="1:10">
      <c r="A1328" s="103" t="s">
        <v>2678</v>
      </c>
      <c r="B1328" s="124" t="s">
        <v>2679</v>
      </c>
      <c r="C1328" s="110">
        <v>12762</v>
      </c>
      <c r="D1328" s="109" t="s">
        <v>120</v>
      </c>
      <c r="E1328" s="109">
        <v>128</v>
      </c>
      <c r="F1328" s="110">
        <v>6053</v>
      </c>
      <c r="G1328" s="109" t="s">
        <v>120</v>
      </c>
      <c r="H1328" s="109">
        <v>47</v>
      </c>
      <c r="I1328" s="109">
        <v>949</v>
      </c>
      <c r="J1328" s="110">
        <v>1490</v>
      </c>
    </row>
    <row r="1329" spans="1:10">
      <c r="A1329" s="103" t="s">
        <v>2680</v>
      </c>
      <c r="B1329" s="124" t="s">
        <v>2681</v>
      </c>
      <c r="C1329" s="110">
        <v>10896</v>
      </c>
      <c r="D1329" s="109" t="s">
        <v>120</v>
      </c>
      <c r="E1329" s="109">
        <v>109</v>
      </c>
      <c r="F1329" s="110">
        <v>3452</v>
      </c>
      <c r="G1329" s="109" t="s">
        <v>120</v>
      </c>
      <c r="H1329" s="109">
        <v>32</v>
      </c>
      <c r="I1329" s="109">
        <v>1239</v>
      </c>
      <c r="J1329" s="110">
        <v>2116</v>
      </c>
    </row>
    <row r="1330" spans="1:10">
      <c r="A1330" s="103" t="s">
        <v>2682</v>
      </c>
      <c r="B1330" s="124" t="s">
        <v>2683</v>
      </c>
      <c r="C1330" s="110">
        <v>11149</v>
      </c>
      <c r="D1330" s="109" t="s">
        <v>120</v>
      </c>
      <c r="E1330" s="109">
        <v>111</v>
      </c>
      <c r="F1330" s="110">
        <v>12930</v>
      </c>
      <c r="G1330" s="109" t="s">
        <v>120</v>
      </c>
      <c r="H1330" s="109">
        <v>116</v>
      </c>
      <c r="I1330" s="109">
        <v>1191</v>
      </c>
      <c r="J1330" s="110">
        <v>638</v>
      </c>
    </row>
    <row r="1331" spans="1:10">
      <c r="A1331" s="103" t="s">
        <v>2684</v>
      </c>
      <c r="B1331" s="124" t="s">
        <v>2685</v>
      </c>
      <c r="C1331" s="110">
        <v>8890</v>
      </c>
      <c r="D1331" s="109" t="s">
        <v>120</v>
      </c>
      <c r="E1331" s="109">
        <v>89</v>
      </c>
      <c r="F1331" s="110">
        <v>3523</v>
      </c>
      <c r="G1331" s="109" t="s">
        <v>120</v>
      </c>
      <c r="H1331" s="109">
        <v>40</v>
      </c>
      <c r="I1331" s="109">
        <v>1546</v>
      </c>
      <c r="J1331" s="110">
        <v>2105</v>
      </c>
    </row>
    <row r="1332" spans="1:10">
      <c r="A1332" s="103" t="s">
        <v>2686</v>
      </c>
      <c r="B1332" s="124" t="s">
        <v>2687</v>
      </c>
      <c r="C1332" s="110">
        <v>16308</v>
      </c>
      <c r="D1332" s="109" t="s">
        <v>120</v>
      </c>
      <c r="E1332" s="109">
        <v>163</v>
      </c>
      <c r="F1332" s="110">
        <v>12297</v>
      </c>
      <c r="G1332" s="109" t="s">
        <v>120</v>
      </c>
      <c r="H1332" s="109">
        <v>75</v>
      </c>
      <c r="I1332" s="109">
        <v>568</v>
      </c>
      <c r="J1332" s="110">
        <v>680</v>
      </c>
    </row>
    <row r="1333" spans="1:10">
      <c r="A1333" s="103" t="s">
        <v>2688</v>
      </c>
      <c r="B1333" s="124" t="s">
        <v>2689</v>
      </c>
      <c r="C1333" s="110">
        <v>17075</v>
      </c>
      <c r="D1333" s="109" t="s">
        <v>120</v>
      </c>
      <c r="E1333" s="109">
        <v>171</v>
      </c>
      <c r="F1333" s="110">
        <v>11965</v>
      </c>
      <c r="G1333" s="109" t="s">
        <v>120</v>
      </c>
      <c r="H1333" s="109">
        <v>70</v>
      </c>
      <c r="I1333" s="109">
        <v>511</v>
      </c>
      <c r="J1333" s="110">
        <v>701</v>
      </c>
    </row>
    <row r="1334" spans="1:10" s="119" customFormat="1">
      <c r="A1334" s="123" t="s">
        <v>120</v>
      </c>
      <c r="B1334" s="275" t="s">
        <v>947</v>
      </c>
      <c r="C1334" s="276"/>
      <c r="D1334" s="276"/>
      <c r="E1334" s="276"/>
      <c r="F1334" s="276"/>
      <c r="G1334" s="276"/>
      <c r="H1334" s="276"/>
      <c r="I1334" s="276"/>
      <c r="J1334" s="276"/>
    </row>
    <row r="1335" spans="1:10">
      <c r="A1335" s="103" t="s">
        <v>2690</v>
      </c>
      <c r="B1335" s="124" t="s">
        <v>2691</v>
      </c>
      <c r="C1335" s="110">
        <v>18823</v>
      </c>
      <c r="D1335" s="109" t="s">
        <v>120</v>
      </c>
      <c r="E1335" s="109">
        <v>188</v>
      </c>
      <c r="F1335" s="110">
        <v>16329</v>
      </c>
      <c r="G1335" s="109" t="s">
        <v>120</v>
      </c>
      <c r="H1335" s="109">
        <v>87</v>
      </c>
      <c r="I1335" s="109">
        <v>403</v>
      </c>
      <c r="J1335" s="110">
        <v>460</v>
      </c>
    </row>
    <row r="1336" spans="1:10">
      <c r="A1336" s="103" t="s">
        <v>2692</v>
      </c>
      <c r="B1336" s="124" t="s">
        <v>932</v>
      </c>
      <c r="C1336" s="110">
        <v>2626</v>
      </c>
      <c r="D1336" s="109" t="s">
        <v>120</v>
      </c>
      <c r="E1336" s="109">
        <v>26</v>
      </c>
      <c r="F1336" s="110">
        <v>6177</v>
      </c>
      <c r="G1336" s="109" t="s">
        <v>120</v>
      </c>
      <c r="H1336" s="109">
        <v>235</v>
      </c>
      <c r="I1336" s="109" t="s">
        <v>122</v>
      </c>
      <c r="J1336" s="110" t="s">
        <v>122</v>
      </c>
    </row>
    <row r="1337" spans="1:10">
      <c r="A1337" s="103" t="s">
        <v>2693</v>
      </c>
      <c r="B1337" s="124" t="s">
        <v>934</v>
      </c>
      <c r="C1337" s="110">
        <v>16197</v>
      </c>
      <c r="D1337" s="109" t="s">
        <v>120</v>
      </c>
      <c r="E1337" s="109">
        <v>162</v>
      </c>
      <c r="F1337" s="110">
        <v>10152</v>
      </c>
      <c r="G1337" s="109" t="s">
        <v>120</v>
      </c>
      <c r="H1337" s="109">
        <v>63</v>
      </c>
      <c r="I1337" s="109" t="s">
        <v>122</v>
      </c>
      <c r="J1337" s="110" t="s">
        <v>122</v>
      </c>
    </row>
    <row r="1338" spans="1:10">
      <c r="A1338" s="103" t="s">
        <v>2694</v>
      </c>
      <c r="B1338" s="124" t="s">
        <v>2695</v>
      </c>
      <c r="C1338" s="110">
        <v>15166</v>
      </c>
      <c r="D1338" s="109" t="s">
        <v>120</v>
      </c>
      <c r="E1338" s="109">
        <v>152</v>
      </c>
      <c r="F1338" s="110">
        <v>7841</v>
      </c>
      <c r="G1338" s="109" t="s">
        <v>120</v>
      </c>
      <c r="H1338" s="109">
        <v>52</v>
      </c>
      <c r="I1338" s="109">
        <v>658</v>
      </c>
      <c r="J1338" s="110">
        <v>1146</v>
      </c>
    </row>
    <row r="1339" spans="1:10">
      <c r="A1339" s="103" t="s">
        <v>2696</v>
      </c>
      <c r="B1339" s="124" t="s">
        <v>932</v>
      </c>
      <c r="C1339" s="110">
        <v>1518</v>
      </c>
      <c r="D1339" s="109" t="s">
        <v>120</v>
      </c>
      <c r="E1339" s="109">
        <v>15</v>
      </c>
      <c r="F1339" s="110">
        <v>2328</v>
      </c>
      <c r="G1339" s="109" t="s">
        <v>120</v>
      </c>
      <c r="H1339" s="109">
        <v>153</v>
      </c>
      <c r="I1339" s="109" t="s">
        <v>122</v>
      </c>
      <c r="J1339" s="110" t="s">
        <v>122</v>
      </c>
    </row>
    <row r="1340" spans="1:10">
      <c r="A1340" s="103" t="s">
        <v>2697</v>
      </c>
      <c r="B1340" s="124" t="s">
        <v>934</v>
      </c>
      <c r="C1340" s="110">
        <v>13648</v>
      </c>
      <c r="D1340" s="109" t="s">
        <v>120</v>
      </c>
      <c r="E1340" s="109">
        <v>137</v>
      </c>
      <c r="F1340" s="110">
        <v>5513</v>
      </c>
      <c r="G1340" s="109" t="s">
        <v>120</v>
      </c>
      <c r="H1340" s="109">
        <v>40</v>
      </c>
      <c r="I1340" s="109" t="s">
        <v>122</v>
      </c>
      <c r="J1340" s="110" t="s">
        <v>122</v>
      </c>
    </row>
    <row r="1341" spans="1:10" s="119" customFormat="1">
      <c r="A1341" s="123" t="s">
        <v>120</v>
      </c>
      <c r="B1341" s="273" t="s">
        <v>2698</v>
      </c>
      <c r="C1341" s="274"/>
      <c r="D1341" s="274"/>
      <c r="E1341" s="274"/>
      <c r="F1341" s="274"/>
      <c r="G1341" s="274"/>
      <c r="H1341" s="274"/>
      <c r="I1341" s="274"/>
      <c r="J1341" s="274"/>
    </row>
    <row r="1342" spans="1:10" s="119" customFormat="1">
      <c r="A1342" s="123" t="s">
        <v>120</v>
      </c>
      <c r="B1342" s="275" t="s">
        <v>924</v>
      </c>
      <c r="C1342" s="276"/>
      <c r="D1342" s="276"/>
      <c r="E1342" s="276"/>
      <c r="F1342" s="276"/>
      <c r="G1342" s="276"/>
      <c r="H1342" s="276"/>
      <c r="I1342" s="276"/>
      <c r="J1342" s="276"/>
    </row>
    <row r="1343" spans="1:10">
      <c r="A1343" s="103" t="s">
        <v>2699</v>
      </c>
      <c r="B1343" s="124" t="s">
        <v>2700</v>
      </c>
      <c r="C1343" s="110">
        <v>11462</v>
      </c>
      <c r="D1343" s="109" t="s">
        <v>120</v>
      </c>
      <c r="E1343" s="109">
        <v>115</v>
      </c>
      <c r="F1343" s="110">
        <v>3920</v>
      </c>
      <c r="G1343" s="109" t="s">
        <v>120</v>
      </c>
      <c r="H1343" s="109">
        <v>34</v>
      </c>
      <c r="I1343" s="109">
        <v>1132</v>
      </c>
      <c r="J1343" s="110">
        <v>2008</v>
      </c>
    </row>
    <row r="1344" spans="1:10">
      <c r="A1344" s="103" t="s">
        <v>2701</v>
      </c>
      <c r="B1344" s="124" t="s">
        <v>2702</v>
      </c>
      <c r="C1344" s="110">
        <v>12779</v>
      </c>
      <c r="D1344" s="109" t="s">
        <v>120</v>
      </c>
      <c r="E1344" s="109">
        <v>128</v>
      </c>
      <c r="F1344" s="110">
        <v>3478</v>
      </c>
      <c r="G1344" s="109" t="s">
        <v>120</v>
      </c>
      <c r="H1344" s="109">
        <v>27</v>
      </c>
      <c r="I1344" s="109">
        <v>945</v>
      </c>
      <c r="J1344" s="110">
        <v>2111</v>
      </c>
    </row>
    <row r="1345" spans="1:10">
      <c r="A1345" s="103" t="s">
        <v>2703</v>
      </c>
      <c r="B1345" s="124" t="s">
        <v>2704</v>
      </c>
      <c r="C1345" s="110">
        <v>14012</v>
      </c>
      <c r="D1345" s="109" t="s">
        <v>120</v>
      </c>
      <c r="E1345" s="109">
        <v>140</v>
      </c>
      <c r="F1345" s="110">
        <v>6228</v>
      </c>
      <c r="G1345" s="109" t="s">
        <v>120</v>
      </c>
      <c r="H1345" s="109">
        <v>44</v>
      </c>
      <c r="I1345" s="109">
        <v>783</v>
      </c>
      <c r="J1345" s="110">
        <v>1455</v>
      </c>
    </row>
    <row r="1346" spans="1:10">
      <c r="A1346" s="103" t="s">
        <v>2705</v>
      </c>
      <c r="B1346" s="124" t="s">
        <v>2706</v>
      </c>
      <c r="C1346" s="110">
        <v>14513</v>
      </c>
      <c r="D1346" s="109" t="s">
        <v>120</v>
      </c>
      <c r="E1346" s="109">
        <v>144</v>
      </c>
      <c r="F1346" s="110">
        <v>4967</v>
      </c>
      <c r="G1346" s="109" t="s">
        <v>120</v>
      </c>
      <c r="H1346" s="109">
        <v>34</v>
      </c>
      <c r="I1346" s="109">
        <v>729</v>
      </c>
      <c r="J1346" s="110">
        <v>1747</v>
      </c>
    </row>
    <row r="1347" spans="1:10" s="119" customFormat="1">
      <c r="A1347" s="123" t="s">
        <v>120</v>
      </c>
      <c r="B1347" s="275" t="s">
        <v>1101</v>
      </c>
      <c r="C1347" s="276"/>
      <c r="D1347" s="276"/>
      <c r="E1347" s="276"/>
      <c r="F1347" s="276"/>
      <c r="G1347" s="276"/>
      <c r="H1347" s="276"/>
      <c r="I1347" s="276"/>
      <c r="J1347" s="276"/>
    </row>
    <row r="1348" spans="1:10">
      <c r="A1348" s="103" t="s">
        <v>2707</v>
      </c>
      <c r="B1348" s="124" t="s">
        <v>2708</v>
      </c>
      <c r="C1348" s="110">
        <v>22454</v>
      </c>
      <c r="D1348" s="109" t="s">
        <v>120</v>
      </c>
      <c r="E1348" s="109">
        <v>225</v>
      </c>
      <c r="F1348" s="110">
        <v>15505</v>
      </c>
      <c r="G1348" s="109" t="s">
        <v>120</v>
      </c>
      <c r="H1348" s="109">
        <v>69</v>
      </c>
      <c r="I1348" s="109">
        <v>248</v>
      </c>
      <c r="J1348" s="110">
        <v>494</v>
      </c>
    </row>
    <row r="1349" spans="1:10">
      <c r="A1349" s="103" t="s">
        <v>2709</v>
      </c>
      <c r="B1349" s="124" t="s">
        <v>932</v>
      </c>
      <c r="C1349" s="110">
        <v>587</v>
      </c>
      <c r="D1349" s="109" t="s">
        <v>120</v>
      </c>
      <c r="E1349" s="109">
        <v>6</v>
      </c>
      <c r="F1349" s="110">
        <v>7374</v>
      </c>
      <c r="G1349" s="109" t="s">
        <v>120</v>
      </c>
      <c r="H1349" s="109">
        <v>1256</v>
      </c>
      <c r="I1349" s="109" t="s">
        <v>122</v>
      </c>
      <c r="J1349" s="110" t="s">
        <v>122</v>
      </c>
    </row>
    <row r="1350" spans="1:10">
      <c r="A1350" s="103" t="s">
        <v>2710</v>
      </c>
      <c r="B1350" s="124" t="s">
        <v>934</v>
      </c>
      <c r="C1350" s="110">
        <v>21867</v>
      </c>
      <c r="D1350" s="109" t="s">
        <v>120</v>
      </c>
      <c r="E1350" s="109">
        <v>219</v>
      </c>
      <c r="F1350" s="110">
        <v>8131</v>
      </c>
      <c r="G1350" s="109" t="s">
        <v>120</v>
      </c>
      <c r="H1350" s="109">
        <v>37</v>
      </c>
      <c r="I1350" s="109" t="s">
        <v>122</v>
      </c>
      <c r="J1350" s="110" t="s">
        <v>122</v>
      </c>
    </row>
    <row r="1351" spans="1:10">
      <c r="A1351" s="103" t="s">
        <v>2711</v>
      </c>
      <c r="B1351" s="124" t="s">
        <v>2712</v>
      </c>
      <c r="C1351" s="110">
        <v>12901</v>
      </c>
      <c r="D1351" s="109" t="s">
        <v>120</v>
      </c>
      <c r="E1351" s="109">
        <v>129</v>
      </c>
      <c r="F1351" s="110">
        <v>7010</v>
      </c>
      <c r="G1351" s="109" t="s">
        <v>120</v>
      </c>
      <c r="H1351" s="109">
        <v>54</v>
      </c>
      <c r="I1351" s="109">
        <v>926</v>
      </c>
      <c r="J1351" s="110">
        <v>1295</v>
      </c>
    </row>
    <row r="1352" spans="1:10">
      <c r="A1352" s="103" t="s">
        <v>2713</v>
      </c>
      <c r="B1352" s="124" t="s">
        <v>932</v>
      </c>
      <c r="C1352" s="110">
        <v>1223</v>
      </c>
      <c r="D1352" s="109" t="s">
        <v>120</v>
      </c>
      <c r="E1352" s="109">
        <v>12</v>
      </c>
      <c r="F1352" s="110">
        <v>3000</v>
      </c>
      <c r="G1352" s="109" t="s">
        <v>120</v>
      </c>
      <c r="H1352" s="109">
        <v>245</v>
      </c>
      <c r="I1352" s="109" t="s">
        <v>122</v>
      </c>
      <c r="J1352" s="110" t="s">
        <v>122</v>
      </c>
    </row>
    <row r="1353" spans="1:10">
      <c r="A1353" s="103" t="s">
        <v>2714</v>
      </c>
      <c r="B1353" s="124" t="s">
        <v>934</v>
      </c>
      <c r="C1353" s="110">
        <v>11678</v>
      </c>
      <c r="D1353" s="109" t="s">
        <v>120</v>
      </c>
      <c r="E1353" s="109">
        <v>117</v>
      </c>
      <c r="F1353" s="110">
        <v>4010</v>
      </c>
      <c r="G1353" s="109" t="s">
        <v>120</v>
      </c>
      <c r="H1353" s="109">
        <v>34</v>
      </c>
      <c r="I1353" s="109" t="s">
        <v>122</v>
      </c>
      <c r="J1353" s="110" t="s">
        <v>122</v>
      </c>
    </row>
    <row r="1354" spans="1:10" s="119" customFormat="1">
      <c r="A1354" s="123" t="s">
        <v>120</v>
      </c>
      <c r="B1354" s="273" t="s">
        <v>2715</v>
      </c>
      <c r="C1354" s="274"/>
      <c r="D1354" s="274"/>
      <c r="E1354" s="274"/>
      <c r="F1354" s="274"/>
      <c r="G1354" s="274"/>
      <c r="H1354" s="274"/>
      <c r="I1354" s="274"/>
      <c r="J1354" s="274"/>
    </row>
    <row r="1355" spans="1:10" s="119" customFormat="1">
      <c r="A1355" s="123" t="s">
        <v>120</v>
      </c>
      <c r="B1355" s="275" t="s">
        <v>1019</v>
      </c>
      <c r="C1355" s="276"/>
      <c r="D1355" s="276"/>
      <c r="E1355" s="276"/>
      <c r="F1355" s="276"/>
      <c r="G1355" s="276"/>
      <c r="H1355" s="276"/>
      <c r="I1355" s="276"/>
      <c r="J1355" s="276"/>
    </row>
    <row r="1356" spans="1:10">
      <c r="A1356" s="103" t="s">
        <v>2716</v>
      </c>
      <c r="B1356" s="124" t="s">
        <v>2717</v>
      </c>
      <c r="C1356" s="110">
        <v>5143</v>
      </c>
      <c r="D1356" s="109" t="s">
        <v>120</v>
      </c>
      <c r="E1356" s="109">
        <v>51</v>
      </c>
      <c r="F1356" s="110">
        <v>45843</v>
      </c>
      <c r="G1356" s="109" t="s">
        <v>120</v>
      </c>
      <c r="H1356" s="109">
        <v>891</v>
      </c>
      <c r="I1356" s="109">
        <v>2006</v>
      </c>
      <c r="J1356" s="110">
        <v>106</v>
      </c>
    </row>
    <row r="1357" spans="1:10" s="119" customFormat="1">
      <c r="A1357" s="123" t="s">
        <v>120</v>
      </c>
      <c r="B1357" s="275" t="s">
        <v>943</v>
      </c>
      <c r="C1357" s="276"/>
      <c r="D1357" s="276"/>
      <c r="E1357" s="276"/>
      <c r="F1357" s="276"/>
      <c r="G1357" s="276"/>
      <c r="H1357" s="276"/>
      <c r="I1357" s="276"/>
      <c r="J1357" s="276"/>
    </row>
    <row r="1358" spans="1:10">
      <c r="A1358" s="103" t="s">
        <v>2718</v>
      </c>
      <c r="B1358" s="124" t="s">
        <v>2719</v>
      </c>
      <c r="C1358" s="110">
        <v>5082</v>
      </c>
      <c r="D1358" s="109" t="s">
        <v>120</v>
      </c>
      <c r="E1358" s="109">
        <v>51</v>
      </c>
      <c r="F1358" s="110">
        <v>4502</v>
      </c>
      <c r="G1358" s="109" t="s">
        <v>120</v>
      </c>
      <c r="H1358" s="109">
        <v>89</v>
      </c>
      <c r="I1358" s="109">
        <v>2013</v>
      </c>
      <c r="J1358" s="110">
        <v>1871</v>
      </c>
    </row>
    <row r="1359" spans="1:10">
      <c r="A1359" s="103" t="s">
        <v>2720</v>
      </c>
      <c r="B1359" s="124" t="s">
        <v>2721</v>
      </c>
      <c r="C1359" s="110">
        <v>11598</v>
      </c>
      <c r="D1359" s="109" t="s">
        <v>120</v>
      </c>
      <c r="E1359" s="109">
        <v>116</v>
      </c>
      <c r="F1359" s="110">
        <v>6062</v>
      </c>
      <c r="G1359" s="109" t="s">
        <v>120</v>
      </c>
      <c r="H1359" s="109">
        <v>52</v>
      </c>
      <c r="I1359" s="109">
        <v>1116</v>
      </c>
      <c r="J1359" s="110">
        <v>1488</v>
      </c>
    </row>
    <row r="1360" spans="1:10">
      <c r="A1360" s="103" t="s">
        <v>2722</v>
      </c>
      <c r="B1360" s="124" t="s">
        <v>2723</v>
      </c>
      <c r="C1360" s="110">
        <v>6245</v>
      </c>
      <c r="D1360" s="109" t="s">
        <v>120</v>
      </c>
      <c r="E1360" s="109">
        <v>62</v>
      </c>
      <c r="F1360" s="110">
        <v>5860</v>
      </c>
      <c r="G1360" s="109" t="s">
        <v>120</v>
      </c>
      <c r="H1360" s="109">
        <v>94</v>
      </c>
      <c r="I1360" s="109">
        <v>1931</v>
      </c>
      <c r="J1360" s="110">
        <v>1540</v>
      </c>
    </row>
    <row r="1361" spans="1:10">
      <c r="A1361" s="103" t="s">
        <v>2724</v>
      </c>
      <c r="B1361" s="124" t="s">
        <v>2725</v>
      </c>
      <c r="C1361" s="110">
        <v>10172</v>
      </c>
      <c r="D1361" s="109" t="s">
        <v>120</v>
      </c>
      <c r="E1361" s="109">
        <v>102</v>
      </c>
      <c r="F1361" s="110">
        <v>4444</v>
      </c>
      <c r="G1361" s="109" t="s">
        <v>120</v>
      </c>
      <c r="H1361" s="109">
        <v>44</v>
      </c>
      <c r="I1361" s="109">
        <v>1358</v>
      </c>
      <c r="J1361" s="110">
        <v>1881</v>
      </c>
    </row>
    <row r="1362" spans="1:10">
      <c r="A1362" s="103" t="s">
        <v>2726</v>
      </c>
      <c r="B1362" s="124" t="s">
        <v>2727</v>
      </c>
      <c r="C1362" s="110">
        <v>10583</v>
      </c>
      <c r="D1362" s="109" t="s">
        <v>120</v>
      </c>
      <c r="E1362" s="109">
        <v>106</v>
      </c>
      <c r="F1362" s="110">
        <v>4514</v>
      </c>
      <c r="G1362" s="109" t="s">
        <v>120</v>
      </c>
      <c r="H1362" s="109">
        <v>43</v>
      </c>
      <c r="I1362" s="109">
        <v>1289</v>
      </c>
      <c r="J1362" s="110">
        <v>1867</v>
      </c>
    </row>
    <row r="1363" spans="1:10">
      <c r="A1363" s="103" t="s">
        <v>2728</v>
      </c>
      <c r="B1363" s="124" t="s">
        <v>2729</v>
      </c>
      <c r="C1363" s="110">
        <v>6307</v>
      </c>
      <c r="D1363" s="109" t="s">
        <v>120</v>
      </c>
      <c r="E1363" s="109">
        <v>63</v>
      </c>
      <c r="F1363" s="110">
        <v>4278</v>
      </c>
      <c r="G1363" s="109" t="s">
        <v>120</v>
      </c>
      <c r="H1363" s="109">
        <v>68</v>
      </c>
      <c r="I1363" s="109">
        <v>1923</v>
      </c>
      <c r="J1363" s="110">
        <v>1932</v>
      </c>
    </row>
    <row r="1364" spans="1:10">
      <c r="A1364" s="103" t="s">
        <v>2730</v>
      </c>
      <c r="B1364" s="124" t="s">
        <v>2731</v>
      </c>
      <c r="C1364" s="110">
        <v>8277</v>
      </c>
      <c r="D1364" s="109" t="s">
        <v>120</v>
      </c>
      <c r="E1364" s="109">
        <v>83</v>
      </c>
      <c r="F1364" s="110">
        <v>4757</v>
      </c>
      <c r="G1364" s="109" t="s">
        <v>120</v>
      </c>
      <c r="H1364" s="109">
        <v>57</v>
      </c>
      <c r="I1364" s="109">
        <v>1658</v>
      </c>
      <c r="J1364" s="110">
        <v>1802</v>
      </c>
    </row>
    <row r="1365" spans="1:10">
      <c r="A1365" s="103" t="s">
        <v>2732</v>
      </c>
      <c r="B1365" s="124" t="s">
        <v>2733</v>
      </c>
      <c r="C1365" s="110">
        <v>11597</v>
      </c>
      <c r="D1365" s="109" t="s">
        <v>120</v>
      </c>
      <c r="E1365" s="109">
        <v>116</v>
      </c>
      <c r="F1365" s="110">
        <v>4161</v>
      </c>
      <c r="G1365" s="109" t="s">
        <v>120</v>
      </c>
      <c r="H1365" s="109">
        <v>36</v>
      </c>
      <c r="I1365" s="109">
        <v>1117</v>
      </c>
      <c r="J1365" s="110">
        <v>1959</v>
      </c>
    </row>
    <row r="1366" spans="1:10">
      <c r="A1366" s="103" t="s">
        <v>2734</v>
      </c>
      <c r="B1366" s="124" t="s">
        <v>2717</v>
      </c>
      <c r="C1366" s="110">
        <v>8563</v>
      </c>
      <c r="D1366" s="109" t="s">
        <v>120</v>
      </c>
      <c r="E1366" s="109">
        <v>86</v>
      </c>
      <c r="F1366" s="110">
        <v>5582</v>
      </c>
      <c r="G1366" s="109" t="s">
        <v>120</v>
      </c>
      <c r="H1366" s="109">
        <v>65</v>
      </c>
      <c r="I1366" s="109">
        <v>1606</v>
      </c>
      <c r="J1366" s="110">
        <v>1597</v>
      </c>
    </row>
    <row r="1367" spans="1:10">
      <c r="A1367" s="103" t="s">
        <v>2735</v>
      </c>
      <c r="B1367" s="124" t="s">
        <v>2736</v>
      </c>
      <c r="C1367" s="110">
        <v>12315</v>
      </c>
      <c r="D1367" s="109" t="s">
        <v>120</v>
      </c>
      <c r="E1367" s="109">
        <v>123</v>
      </c>
      <c r="F1367" s="110">
        <v>4546</v>
      </c>
      <c r="G1367" s="109" t="s">
        <v>120</v>
      </c>
      <c r="H1367" s="109">
        <v>37</v>
      </c>
      <c r="I1367" s="109">
        <v>1006</v>
      </c>
      <c r="J1367" s="110">
        <v>1859</v>
      </c>
    </row>
    <row r="1368" spans="1:10">
      <c r="A1368" s="103" t="s">
        <v>2737</v>
      </c>
      <c r="B1368" s="124" t="s">
        <v>2738</v>
      </c>
      <c r="C1368" s="110">
        <v>19761</v>
      </c>
      <c r="D1368" s="109" t="s">
        <v>120</v>
      </c>
      <c r="E1368" s="109">
        <v>198</v>
      </c>
      <c r="F1368" s="110">
        <v>5096</v>
      </c>
      <c r="G1368" s="109" t="s">
        <v>120</v>
      </c>
      <c r="H1368" s="109">
        <v>26</v>
      </c>
      <c r="I1368" s="109">
        <v>359</v>
      </c>
      <c r="J1368" s="110">
        <v>1720</v>
      </c>
    </row>
    <row r="1369" spans="1:10" s="119" customFormat="1">
      <c r="A1369" s="123" t="s">
        <v>120</v>
      </c>
      <c r="B1369" s="275" t="s">
        <v>1101</v>
      </c>
      <c r="C1369" s="276"/>
      <c r="D1369" s="276"/>
      <c r="E1369" s="276"/>
      <c r="F1369" s="276"/>
      <c r="G1369" s="276"/>
      <c r="H1369" s="276"/>
      <c r="I1369" s="276"/>
      <c r="J1369" s="276"/>
    </row>
    <row r="1370" spans="1:10">
      <c r="A1370" s="103" t="s">
        <v>2739</v>
      </c>
      <c r="B1370" s="124" t="s">
        <v>2740</v>
      </c>
      <c r="C1370" s="110">
        <v>9644</v>
      </c>
      <c r="D1370" s="109" t="s">
        <v>120</v>
      </c>
      <c r="E1370" s="109">
        <v>96</v>
      </c>
      <c r="F1370" s="110">
        <v>5877</v>
      </c>
      <c r="G1370" s="109" t="s">
        <v>120</v>
      </c>
      <c r="H1370" s="109">
        <v>61</v>
      </c>
      <c r="I1370" s="109">
        <v>1441</v>
      </c>
      <c r="J1370" s="110">
        <v>1536</v>
      </c>
    </row>
    <row r="1371" spans="1:10">
      <c r="A1371" s="103" t="s">
        <v>2741</v>
      </c>
      <c r="B1371" s="124" t="s">
        <v>932</v>
      </c>
      <c r="C1371" s="110">
        <v>1199</v>
      </c>
      <c r="D1371" s="109" t="s">
        <v>120</v>
      </c>
      <c r="E1371" s="109">
        <v>12</v>
      </c>
      <c r="F1371" s="110">
        <v>2753</v>
      </c>
      <c r="G1371" s="109" t="s">
        <v>120</v>
      </c>
      <c r="H1371" s="109">
        <v>230</v>
      </c>
      <c r="I1371" s="109" t="s">
        <v>122</v>
      </c>
      <c r="J1371" s="110" t="s">
        <v>122</v>
      </c>
    </row>
    <row r="1372" spans="1:10">
      <c r="A1372" s="103" t="s">
        <v>2742</v>
      </c>
      <c r="B1372" s="124" t="s">
        <v>934</v>
      </c>
      <c r="C1372" s="110">
        <v>8445</v>
      </c>
      <c r="D1372" s="109" t="s">
        <v>120</v>
      </c>
      <c r="E1372" s="109">
        <v>84</v>
      </c>
      <c r="F1372" s="110">
        <v>3124</v>
      </c>
      <c r="G1372" s="109" t="s">
        <v>120</v>
      </c>
      <c r="H1372" s="109">
        <v>37</v>
      </c>
      <c r="I1372" s="109" t="s">
        <v>122</v>
      </c>
      <c r="J1372" s="110" t="s">
        <v>122</v>
      </c>
    </row>
    <row r="1373" spans="1:10">
      <c r="A1373" s="103" t="s">
        <v>2743</v>
      </c>
      <c r="B1373" s="124" t="s">
        <v>2744</v>
      </c>
      <c r="C1373" s="110">
        <v>18970</v>
      </c>
      <c r="D1373" s="109" t="s">
        <v>120</v>
      </c>
      <c r="E1373" s="109">
        <v>190</v>
      </c>
      <c r="F1373" s="110">
        <v>7122</v>
      </c>
      <c r="G1373" s="109" t="s">
        <v>120</v>
      </c>
      <c r="H1373" s="109">
        <v>38</v>
      </c>
      <c r="I1373" s="109">
        <v>394</v>
      </c>
      <c r="J1373" s="110">
        <v>1274</v>
      </c>
    </row>
    <row r="1374" spans="1:10">
      <c r="A1374" s="103" t="s">
        <v>2745</v>
      </c>
      <c r="B1374" s="124" t="s">
        <v>932</v>
      </c>
      <c r="C1374" s="110">
        <v>608</v>
      </c>
      <c r="D1374" s="109" t="s">
        <v>120</v>
      </c>
      <c r="E1374" s="109">
        <v>6</v>
      </c>
      <c r="F1374" s="110">
        <v>3513</v>
      </c>
      <c r="G1374" s="109" t="s">
        <v>120</v>
      </c>
      <c r="H1374" s="109">
        <v>578</v>
      </c>
      <c r="I1374" s="109" t="s">
        <v>122</v>
      </c>
      <c r="J1374" s="110" t="s">
        <v>122</v>
      </c>
    </row>
    <row r="1375" spans="1:10">
      <c r="A1375" s="103" t="s">
        <v>2746</v>
      </c>
      <c r="B1375" s="124" t="s">
        <v>934</v>
      </c>
      <c r="C1375" s="110">
        <v>18362</v>
      </c>
      <c r="D1375" s="109" t="s">
        <v>120</v>
      </c>
      <c r="E1375" s="109">
        <v>184</v>
      </c>
      <c r="F1375" s="110">
        <v>3609</v>
      </c>
      <c r="G1375" s="109" t="s">
        <v>120</v>
      </c>
      <c r="H1375" s="109">
        <v>20</v>
      </c>
      <c r="I1375" s="109" t="s">
        <v>122</v>
      </c>
      <c r="J1375" s="110" t="s">
        <v>122</v>
      </c>
    </row>
    <row r="1376" spans="1:10" s="119" customFormat="1">
      <c r="A1376" s="123" t="s">
        <v>120</v>
      </c>
      <c r="B1376" s="273" t="s">
        <v>2747</v>
      </c>
      <c r="C1376" s="274"/>
      <c r="D1376" s="274"/>
      <c r="E1376" s="274"/>
      <c r="F1376" s="274"/>
      <c r="G1376" s="274"/>
      <c r="H1376" s="274"/>
      <c r="I1376" s="274"/>
      <c r="J1376" s="274"/>
    </row>
    <row r="1377" spans="1:10" s="119" customFormat="1">
      <c r="A1377" s="123" t="s">
        <v>120</v>
      </c>
      <c r="B1377" s="275" t="s">
        <v>922</v>
      </c>
      <c r="C1377" s="276"/>
      <c r="D1377" s="276"/>
      <c r="E1377" s="276"/>
      <c r="F1377" s="276"/>
      <c r="G1377" s="276"/>
      <c r="H1377" s="276"/>
      <c r="I1377" s="276"/>
      <c r="J1377" s="276"/>
    </row>
    <row r="1378" spans="1:10">
      <c r="A1378" s="103" t="s">
        <v>2748</v>
      </c>
      <c r="B1378" s="124" t="s">
        <v>2749</v>
      </c>
      <c r="C1378" s="110">
        <v>1430</v>
      </c>
      <c r="D1378" s="109" t="s">
        <v>120</v>
      </c>
      <c r="E1378" s="109">
        <v>14</v>
      </c>
      <c r="F1378" s="110">
        <v>17324</v>
      </c>
      <c r="G1378" s="109" t="s">
        <v>120</v>
      </c>
      <c r="H1378" s="109">
        <v>1211</v>
      </c>
      <c r="I1378" s="109">
        <v>2285</v>
      </c>
      <c r="J1378" s="110">
        <v>420</v>
      </c>
    </row>
    <row r="1379" spans="1:10" s="119" customFormat="1">
      <c r="A1379" s="123" t="s">
        <v>120</v>
      </c>
      <c r="B1379" s="275" t="s">
        <v>924</v>
      </c>
      <c r="C1379" s="276"/>
      <c r="D1379" s="276"/>
      <c r="E1379" s="276"/>
      <c r="F1379" s="276"/>
      <c r="G1379" s="276"/>
      <c r="H1379" s="276"/>
      <c r="I1379" s="276"/>
      <c r="J1379" s="276"/>
    </row>
    <row r="1380" spans="1:10">
      <c r="A1380" s="103" t="s">
        <v>2750</v>
      </c>
      <c r="B1380" s="124" t="s">
        <v>2751</v>
      </c>
      <c r="C1380" s="110">
        <v>9293</v>
      </c>
      <c r="D1380" s="109" t="s">
        <v>120</v>
      </c>
      <c r="E1380" s="109">
        <v>93</v>
      </c>
      <c r="F1380" s="110">
        <v>3965</v>
      </c>
      <c r="G1380" s="109" t="s">
        <v>120</v>
      </c>
      <c r="H1380" s="109">
        <v>43</v>
      </c>
      <c r="I1380" s="109">
        <v>1501</v>
      </c>
      <c r="J1380" s="110">
        <v>2001</v>
      </c>
    </row>
    <row r="1381" spans="1:10">
      <c r="A1381" s="103" t="s">
        <v>2752</v>
      </c>
      <c r="B1381" s="124" t="s">
        <v>2749</v>
      </c>
      <c r="C1381" s="110">
        <v>16323</v>
      </c>
      <c r="D1381" s="109" t="s">
        <v>120</v>
      </c>
      <c r="E1381" s="109">
        <v>164</v>
      </c>
      <c r="F1381" s="110">
        <v>8788</v>
      </c>
      <c r="G1381" s="109" t="s">
        <v>120</v>
      </c>
      <c r="H1381" s="109">
        <v>54</v>
      </c>
      <c r="I1381" s="109">
        <v>566</v>
      </c>
      <c r="J1381" s="110">
        <v>1011</v>
      </c>
    </row>
    <row r="1382" spans="1:10">
      <c r="A1382" s="103" t="s">
        <v>2753</v>
      </c>
      <c r="B1382" s="124" t="s">
        <v>2754</v>
      </c>
      <c r="C1382" s="110">
        <v>4635</v>
      </c>
      <c r="D1382" s="109" t="s">
        <v>120</v>
      </c>
      <c r="E1382" s="109">
        <v>46</v>
      </c>
      <c r="F1382" s="110">
        <v>1818</v>
      </c>
      <c r="G1382" s="105" t="s">
        <v>1075</v>
      </c>
      <c r="H1382" s="109">
        <v>39</v>
      </c>
      <c r="I1382" s="109">
        <v>2050</v>
      </c>
      <c r="J1382" s="110">
        <v>2300</v>
      </c>
    </row>
    <row r="1383" spans="1:10">
      <c r="A1383" s="103" t="s">
        <v>2755</v>
      </c>
      <c r="B1383" s="124" t="s">
        <v>2756</v>
      </c>
      <c r="C1383" s="110">
        <v>12108</v>
      </c>
      <c r="D1383" s="109" t="s">
        <v>120</v>
      </c>
      <c r="E1383" s="109">
        <v>121</v>
      </c>
      <c r="F1383" s="110">
        <v>5412</v>
      </c>
      <c r="G1383" s="109" t="s">
        <v>120</v>
      </c>
      <c r="H1383" s="109">
        <v>45</v>
      </c>
      <c r="I1383" s="109">
        <v>1039</v>
      </c>
      <c r="J1383" s="110">
        <v>1630</v>
      </c>
    </row>
    <row r="1384" spans="1:10" s="119" customFormat="1">
      <c r="A1384" s="123" t="s">
        <v>120</v>
      </c>
      <c r="B1384" s="275" t="s">
        <v>929</v>
      </c>
      <c r="C1384" s="276"/>
      <c r="D1384" s="276"/>
      <c r="E1384" s="276"/>
      <c r="F1384" s="276"/>
      <c r="G1384" s="276"/>
      <c r="H1384" s="276"/>
      <c r="I1384" s="276"/>
      <c r="J1384" s="276"/>
    </row>
    <row r="1385" spans="1:10">
      <c r="A1385" s="103" t="s">
        <v>2757</v>
      </c>
      <c r="B1385" s="124" t="s">
        <v>2758</v>
      </c>
      <c r="C1385" s="110">
        <v>20831</v>
      </c>
      <c r="D1385" s="109" t="s">
        <v>120</v>
      </c>
      <c r="E1385" s="109">
        <v>208</v>
      </c>
      <c r="F1385" s="110">
        <v>11285</v>
      </c>
      <c r="G1385" s="109" t="s">
        <v>120</v>
      </c>
      <c r="H1385" s="109">
        <v>54</v>
      </c>
      <c r="I1385" s="109">
        <v>296</v>
      </c>
      <c r="J1385" s="110">
        <v>759</v>
      </c>
    </row>
    <row r="1386" spans="1:10">
      <c r="A1386" s="103" t="s">
        <v>2759</v>
      </c>
      <c r="B1386" s="124" t="s">
        <v>932</v>
      </c>
      <c r="C1386" s="110">
        <v>953</v>
      </c>
      <c r="D1386" s="109" t="s">
        <v>120</v>
      </c>
      <c r="E1386" s="109">
        <v>9</v>
      </c>
      <c r="F1386" s="110">
        <v>3151</v>
      </c>
      <c r="G1386" s="109" t="s">
        <v>120</v>
      </c>
      <c r="H1386" s="109">
        <v>331</v>
      </c>
      <c r="I1386" s="109" t="s">
        <v>122</v>
      </c>
      <c r="J1386" s="110" t="s">
        <v>122</v>
      </c>
    </row>
    <row r="1387" spans="1:10">
      <c r="A1387" s="103" t="s">
        <v>2760</v>
      </c>
      <c r="B1387" s="124" t="s">
        <v>934</v>
      </c>
      <c r="C1387" s="110">
        <v>19878</v>
      </c>
      <c r="D1387" s="109" t="s">
        <v>120</v>
      </c>
      <c r="E1387" s="109">
        <v>199</v>
      </c>
      <c r="F1387" s="110">
        <v>8134</v>
      </c>
      <c r="G1387" s="109" t="s">
        <v>120</v>
      </c>
      <c r="H1387" s="109">
        <v>41</v>
      </c>
      <c r="I1387" s="109" t="s">
        <v>122</v>
      </c>
      <c r="J1387" s="110" t="s">
        <v>122</v>
      </c>
    </row>
    <row r="1388" spans="1:10" s="119" customFormat="1">
      <c r="A1388" s="123" t="s">
        <v>120</v>
      </c>
      <c r="B1388" s="273" t="s">
        <v>2761</v>
      </c>
      <c r="C1388" s="274"/>
      <c r="D1388" s="274"/>
      <c r="E1388" s="274"/>
      <c r="F1388" s="274"/>
      <c r="G1388" s="274"/>
      <c r="H1388" s="274"/>
      <c r="I1388" s="274"/>
      <c r="J1388" s="274"/>
    </row>
    <row r="1389" spans="1:10" s="119" customFormat="1">
      <c r="A1389" s="123" t="s">
        <v>120</v>
      </c>
      <c r="B1389" s="275" t="s">
        <v>922</v>
      </c>
      <c r="C1389" s="276"/>
      <c r="D1389" s="276"/>
      <c r="E1389" s="276"/>
      <c r="F1389" s="276"/>
      <c r="G1389" s="276"/>
      <c r="H1389" s="276"/>
      <c r="I1389" s="276"/>
      <c r="J1389" s="276"/>
    </row>
    <row r="1390" spans="1:10">
      <c r="A1390" s="103" t="s">
        <v>2762</v>
      </c>
      <c r="B1390" s="124" t="s">
        <v>2763</v>
      </c>
      <c r="C1390" s="110">
        <v>5122</v>
      </c>
      <c r="D1390" s="109" t="s">
        <v>120</v>
      </c>
      <c r="E1390" s="109">
        <v>51</v>
      </c>
      <c r="F1390" s="110">
        <v>41953</v>
      </c>
      <c r="G1390" s="109" t="s">
        <v>120</v>
      </c>
      <c r="H1390" s="109">
        <v>819</v>
      </c>
      <c r="I1390" s="109">
        <v>2010</v>
      </c>
      <c r="J1390" s="110">
        <v>119</v>
      </c>
    </row>
    <row r="1391" spans="1:10" s="119" customFormat="1">
      <c r="A1391" s="123" t="s">
        <v>120</v>
      </c>
      <c r="B1391" s="275" t="s">
        <v>924</v>
      </c>
      <c r="C1391" s="276"/>
      <c r="D1391" s="276"/>
      <c r="E1391" s="276"/>
      <c r="F1391" s="276"/>
      <c r="G1391" s="276"/>
      <c r="H1391" s="276"/>
      <c r="I1391" s="276"/>
      <c r="J1391" s="276"/>
    </row>
    <row r="1392" spans="1:10">
      <c r="A1392" s="103" t="s">
        <v>2764</v>
      </c>
      <c r="B1392" s="124" t="s">
        <v>2765</v>
      </c>
      <c r="C1392" s="110">
        <v>10663</v>
      </c>
      <c r="D1392" s="109" t="s">
        <v>120</v>
      </c>
      <c r="E1392" s="109">
        <v>107</v>
      </c>
      <c r="F1392" s="110">
        <v>4471</v>
      </c>
      <c r="G1392" s="109" t="s">
        <v>120</v>
      </c>
      <c r="H1392" s="109">
        <v>42</v>
      </c>
      <c r="I1392" s="109">
        <v>1278</v>
      </c>
      <c r="J1392" s="110">
        <v>1875</v>
      </c>
    </row>
    <row r="1393" spans="1:10">
      <c r="A1393" s="103" t="s">
        <v>2766</v>
      </c>
      <c r="B1393" s="124" t="s">
        <v>2767</v>
      </c>
      <c r="C1393" s="110">
        <v>12863</v>
      </c>
      <c r="D1393" s="109" t="s">
        <v>120</v>
      </c>
      <c r="E1393" s="109">
        <v>129</v>
      </c>
      <c r="F1393" s="110">
        <v>6384</v>
      </c>
      <c r="G1393" s="109" t="s">
        <v>120</v>
      </c>
      <c r="H1393" s="109">
        <v>50</v>
      </c>
      <c r="I1393" s="109">
        <v>931</v>
      </c>
      <c r="J1393" s="110">
        <v>1426</v>
      </c>
    </row>
    <row r="1394" spans="1:10">
      <c r="A1394" s="103" t="s">
        <v>2768</v>
      </c>
      <c r="B1394" s="124" t="s">
        <v>2769</v>
      </c>
      <c r="C1394" s="110">
        <v>12035</v>
      </c>
      <c r="D1394" s="109" t="s">
        <v>120</v>
      </c>
      <c r="E1394" s="109">
        <v>120</v>
      </c>
      <c r="F1394" s="110">
        <v>5512</v>
      </c>
      <c r="G1394" s="109" t="s">
        <v>120</v>
      </c>
      <c r="H1394" s="109">
        <v>46</v>
      </c>
      <c r="I1394" s="109">
        <v>1047</v>
      </c>
      <c r="J1394" s="110">
        <v>1612</v>
      </c>
    </row>
    <row r="1395" spans="1:10">
      <c r="A1395" s="103" t="s">
        <v>2770</v>
      </c>
      <c r="B1395" s="124" t="s">
        <v>2771</v>
      </c>
      <c r="C1395" s="110">
        <v>12154</v>
      </c>
      <c r="D1395" s="109" t="s">
        <v>120</v>
      </c>
      <c r="E1395" s="109">
        <v>122</v>
      </c>
      <c r="F1395" s="110">
        <v>5466</v>
      </c>
      <c r="G1395" s="109" t="s">
        <v>120</v>
      </c>
      <c r="H1395" s="109">
        <v>45</v>
      </c>
      <c r="I1395" s="109">
        <v>1034</v>
      </c>
      <c r="J1395" s="110">
        <v>1623</v>
      </c>
    </row>
    <row r="1396" spans="1:10">
      <c r="A1396" s="103" t="s">
        <v>2772</v>
      </c>
      <c r="B1396" s="124" t="s">
        <v>2773</v>
      </c>
      <c r="C1396" s="110">
        <v>9498</v>
      </c>
      <c r="D1396" s="109" t="s">
        <v>120</v>
      </c>
      <c r="E1396" s="109">
        <v>95</v>
      </c>
      <c r="F1396" s="110">
        <v>2870</v>
      </c>
      <c r="G1396" s="109" t="s">
        <v>120</v>
      </c>
      <c r="H1396" s="109">
        <v>30</v>
      </c>
      <c r="I1396" s="109">
        <v>1467</v>
      </c>
      <c r="J1396" s="110">
        <v>2215</v>
      </c>
    </row>
    <row r="1397" spans="1:10">
      <c r="A1397" s="103" t="s">
        <v>2774</v>
      </c>
      <c r="B1397" s="124" t="s">
        <v>2763</v>
      </c>
      <c r="C1397" s="110">
        <v>18160</v>
      </c>
      <c r="D1397" s="109" t="s">
        <v>120</v>
      </c>
      <c r="E1397" s="109">
        <v>182</v>
      </c>
      <c r="F1397" s="110">
        <v>10706</v>
      </c>
      <c r="G1397" s="109" t="s">
        <v>120</v>
      </c>
      <c r="H1397" s="109">
        <v>59</v>
      </c>
      <c r="I1397" s="109">
        <v>440</v>
      </c>
      <c r="J1397" s="110">
        <v>812</v>
      </c>
    </row>
    <row r="1398" spans="1:10">
      <c r="A1398" s="103" t="s">
        <v>2775</v>
      </c>
      <c r="B1398" s="124" t="s">
        <v>2776</v>
      </c>
      <c r="C1398" s="110">
        <v>11290</v>
      </c>
      <c r="D1398" s="109" t="s">
        <v>120</v>
      </c>
      <c r="E1398" s="109">
        <v>113</v>
      </c>
      <c r="F1398" s="110">
        <v>6054</v>
      </c>
      <c r="G1398" s="109" t="s">
        <v>120</v>
      </c>
      <c r="H1398" s="109">
        <v>54</v>
      </c>
      <c r="I1398" s="109">
        <v>1161</v>
      </c>
      <c r="J1398" s="110">
        <v>1489</v>
      </c>
    </row>
    <row r="1399" spans="1:10" s="119" customFormat="1">
      <c r="A1399" s="123" t="s">
        <v>120</v>
      </c>
      <c r="B1399" s="275" t="s">
        <v>947</v>
      </c>
      <c r="C1399" s="276"/>
      <c r="D1399" s="276"/>
      <c r="E1399" s="276"/>
      <c r="F1399" s="276"/>
      <c r="G1399" s="276"/>
      <c r="H1399" s="276"/>
      <c r="I1399" s="276"/>
      <c r="J1399" s="276"/>
    </row>
    <row r="1400" spans="1:10">
      <c r="A1400" s="103" t="s">
        <v>2777</v>
      </c>
      <c r="B1400" s="124" t="s">
        <v>2778</v>
      </c>
      <c r="C1400" s="110">
        <v>20138</v>
      </c>
      <c r="D1400" s="109" t="s">
        <v>120</v>
      </c>
      <c r="E1400" s="109">
        <v>201</v>
      </c>
      <c r="F1400" s="110">
        <v>14458</v>
      </c>
      <c r="G1400" s="109" t="s">
        <v>120</v>
      </c>
      <c r="H1400" s="109">
        <v>72</v>
      </c>
      <c r="I1400" s="109">
        <v>338</v>
      </c>
      <c r="J1400" s="110">
        <v>543</v>
      </c>
    </row>
    <row r="1401" spans="1:10">
      <c r="A1401" s="103" t="s">
        <v>2779</v>
      </c>
      <c r="B1401" s="124" t="s">
        <v>932</v>
      </c>
      <c r="C1401" s="110">
        <v>162</v>
      </c>
      <c r="D1401" s="109" t="s">
        <v>120</v>
      </c>
      <c r="E1401" s="109">
        <v>2</v>
      </c>
      <c r="F1401" s="110">
        <v>2085</v>
      </c>
      <c r="G1401" s="109" t="s">
        <v>120</v>
      </c>
      <c r="H1401" s="109">
        <v>1287</v>
      </c>
      <c r="I1401" s="109" t="s">
        <v>122</v>
      </c>
      <c r="J1401" s="110" t="s">
        <v>122</v>
      </c>
    </row>
    <row r="1402" spans="1:10">
      <c r="A1402" s="103" t="s">
        <v>2780</v>
      </c>
      <c r="B1402" s="124" t="s">
        <v>934</v>
      </c>
      <c r="C1402" s="110">
        <v>19976</v>
      </c>
      <c r="D1402" s="109" t="s">
        <v>120</v>
      </c>
      <c r="E1402" s="109">
        <v>199</v>
      </c>
      <c r="F1402" s="110">
        <v>12373</v>
      </c>
      <c r="G1402" s="109" t="s">
        <v>120</v>
      </c>
      <c r="H1402" s="109">
        <v>62</v>
      </c>
      <c r="I1402" s="109" t="s">
        <v>122</v>
      </c>
      <c r="J1402" s="110" t="s">
        <v>122</v>
      </c>
    </row>
    <row r="1403" spans="1:10">
      <c r="A1403" s="103" t="s">
        <v>2781</v>
      </c>
      <c r="B1403" s="124" t="s">
        <v>2782</v>
      </c>
      <c r="C1403" s="110">
        <v>25434</v>
      </c>
      <c r="D1403" s="109" t="s">
        <v>120</v>
      </c>
      <c r="E1403" s="109">
        <v>254</v>
      </c>
      <c r="F1403" s="110">
        <v>12636</v>
      </c>
      <c r="G1403" s="109" t="s">
        <v>120</v>
      </c>
      <c r="H1403" s="109">
        <v>50</v>
      </c>
      <c r="I1403" s="109">
        <v>171</v>
      </c>
      <c r="J1403" s="110">
        <v>655</v>
      </c>
    </row>
    <row r="1404" spans="1:10">
      <c r="A1404" s="103" t="s">
        <v>2783</v>
      </c>
      <c r="B1404" s="124" t="s">
        <v>932</v>
      </c>
      <c r="C1404" s="110">
        <v>1085</v>
      </c>
      <c r="D1404" s="109" t="s">
        <v>120</v>
      </c>
      <c r="E1404" s="109">
        <v>11</v>
      </c>
      <c r="F1404" s="110">
        <v>3242</v>
      </c>
      <c r="G1404" s="109" t="s">
        <v>120</v>
      </c>
      <c r="H1404" s="109">
        <v>299</v>
      </c>
      <c r="I1404" s="109" t="s">
        <v>122</v>
      </c>
      <c r="J1404" s="110" t="s">
        <v>122</v>
      </c>
    </row>
    <row r="1405" spans="1:10">
      <c r="A1405" s="103" t="s">
        <v>2784</v>
      </c>
      <c r="B1405" s="124" t="s">
        <v>934</v>
      </c>
      <c r="C1405" s="110">
        <v>24349</v>
      </c>
      <c r="D1405" s="109" t="s">
        <v>120</v>
      </c>
      <c r="E1405" s="109">
        <v>243</v>
      </c>
      <c r="F1405" s="110">
        <v>9394</v>
      </c>
      <c r="G1405" s="109" t="s">
        <v>120</v>
      </c>
      <c r="H1405" s="109">
        <v>39</v>
      </c>
      <c r="I1405" s="109" t="s">
        <v>122</v>
      </c>
      <c r="J1405" s="110" t="s">
        <v>122</v>
      </c>
    </row>
    <row r="1406" spans="1:10">
      <c r="A1406" s="103" t="s">
        <v>2785</v>
      </c>
      <c r="B1406" s="124" t="s">
        <v>2786</v>
      </c>
      <c r="C1406" s="110">
        <v>11726</v>
      </c>
      <c r="D1406" s="109" t="s">
        <v>120</v>
      </c>
      <c r="E1406" s="109">
        <v>117</v>
      </c>
      <c r="F1406" s="110">
        <v>7164</v>
      </c>
      <c r="G1406" s="109" t="s">
        <v>120</v>
      </c>
      <c r="H1406" s="109">
        <v>61</v>
      </c>
      <c r="I1406" s="109">
        <v>1094</v>
      </c>
      <c r="J1406" s="110">
        <v>1265</v>
      </c>
    </row>
    <row r="1407" spans="1:10">
      <c r="A1407" s="103" t="s">
        <v>2787</v>
      </c>
      <c r="B1407" s="124" t="s">
        <v>932</v>
      </c>
      <c r="C1407" s="110">
        <v>1379</v>
      </c>
      <c r="D1407" s="109" t="s">
        <v>120</v>
      </c>
      <c r="E1407" s="109">
        <v>14</v>
      </c>
      <c r="F1407" s="110">
        <v>3363</v>
      </c>
      <c r="G1407" s="109" t="s">
        <v>120</v>
      </c>
      <c r="H1407" s="109">
        <v>244</v>
      </c>
      <c r="I1407" s="109" t="s">
        <v>122</v>
      </c>
      <c r="J1407" s="110" t="s">
        <v>122</v>
      </c>
    </row>
    <row r="1408" spans="1:10">
      <c r="A1408" s="103" t="s">
        <v>2788</v>
      </c>
      <c r="B1408" s="124" t="s">
        <v>934</v>
      </c>
      <c r="C1408" s="110">
        <v>10347</v>
      </c>
      <c r="D1408" s="109" t="s">
        <v>120</v>
      </c>
      <c r="E1408" s="109">
        <v>103</v>
      </c>
      <c r="F1408" s="110">
        <v>3801</v>
      </c>
      <c r="G1408" s="109" t="s">
        <v>120</v>
      </c>
      <c r="H1408" s="109">
        <v>37</v>
      </c>
      <c r="I1408" s="109" t="s">
        <v>122</v>
      </c>
      <c r="J1408" s="110" t="s">
        <v>122</v>
      </c>
    </row>
    <row r="1409" spans="1:10" s="119" customFormat="1">
      <c r="A1409" s="123" t="s">
        <v>120</v>
      </c>
      <c r="B1409" s="273" t="s">
        <v>2789</v>
      </c>
      <c r="C1409" s="274"/>
      <c r="D1409" s="274"/>
      <c r="E1409" s="274"/>
      <c r="F1409" s="274"/>
      <c r="G1409" s="274"/>
      <c r="H1409" s="274"/>
      <c r="I1409" s="274"/>
      <c r="J1409" s="274"/>
    </row>
    <row r="1410" spans="1:10" s="119" customFormat="1">
      <c r="A1410" s="123" t="s">
        <v>120</v>
      </c>
      <c r="B1410" s="275" t="s">
        <v>924</v>
      </c>
      <c r="C1410" s="276"/>
      <c r="D1410" s="276"/>
      <c r="E1410" s="276"/>
      <c r="F1410" s="276"/>
      <c r="G1410" s="276"/>
      <c r="H1410" s="276"/>
      <c r="I1410" s="276"/>
      <c r="J1410" s="276"/>
    </row>
    <row r="1411" spans="1:10">
      <c r="A1411" s="103" t="s">
        <v>2790</v>
      </c>
      <c r="B1411" s="124" t="s">
        <v>2791</v>
      </c>
      <c r="C1411" s="110">
        <v>11171</v>
      </c>
      <c r="D1411" s="109" t="s">
        <v>120</v>
      </c>
      <c r="E1411" s="109">
        <v>112</v>
      </c>
      <c r="F1411" s="110">
        <v>4021</v>
      </c>
      <c r="G1411" s="109" t="s">
        <v>120</v>
      </c>
      <c r="H1411" s="109">
        <v>36</v>
      </c>
      <c r="I1411" s="109">
        <v>1186</v>
      </c>
      <c r="J1411" s="110">
        <v>1989</v>
      </c>
    </row>
    <row r="1412" spans="1:10">
      <c r="A1412" s="103" t="s">
        <v>2792</v>
      </c>
      <c r="B1412" s="124" t="s">
        <v>2793</v>
      </c>
      <c r="C1412" s="110">
        <v>11073</v>
      </c>
      <c r="D1412" s="109" t="s">
        <v>120</v>
      </c>
      <c r="E1412" s="109">
        <v>111</v>
      </c>
      <c r="F1412" s="110">
        <v>5724</v>
      </c>
      <c r="G1412" s="109" t="s">
        <v>120</v>
      </c>
      <c r="H1412" s="109">
        <v>52</v>
      </c>
      <c r="I1412" s="109">
        <v>1206</v>
      </c>
      <c r="J1412" s="110">
        <v>1573</v>
      </c>
    </row>
    <row r="1413" spans="1:10">
      <c r="A1413" s="103" t="s">
        <v>2794</v>
      </c>
      <c r="B1413" s="124" t="s">
        <v>2795</v>
      </c>
      <c r="C1413" s="110">
        <v>4406</v>
      </c>
      <c r="D1413" s="109" t="s">
        <v>120</v>
      </c>
      <c r="E1413" s="109">
        <v>44</v>
      </c>
      <c r="F1413" s="110">
        <v>2644</v>
      </c>
      <c r="G1413" s="109" t="s">
        <v>120</v>
      </c>
      <c r="H1413" s="109">
        <v>60</v>
      </c>
      <c r="I1413" s="109">
        <v>2065</v>
      </c>
      <c r="J1413" s="110">
        <v>2241</v>
      </c>
    </row>
    <row r="1414" spans="1:10">
      <c r="A1414" s="103" t="s">
        <v>2796</v>
      </c>
      <c r="B1414" s="124" t="s">
        <v>2797</v>
      </c>
      <c r="C1414" s="110">
        <v>8583</v>
      </c>
      <c r="D1414" s="109" t="s">
        <v>120</v>
      </c>
      <c r="E1414" s="109">
        <v>86</v>
      </c>
      <c r="F1414" s="110">
        <v>2909</v>
      </c>
      <c r="G1414" s="109" t="s">
        <v>120</v>
      </c>
      <c r="H1414" s="109">
        <v>34</v>
      </c>
      <c r="I1414" s="109">
        <v>1600</v>
      </c>
      <c r="J1414" s="110">
        <v>2210</v>
      </c>
    </row>
    <row r="1415" spans="1:10">
      <c r="A1415" s="103" t="s">
        <v>2798</v>
      </c>
      <c r="B1415" s="124" t="s">
        <v>2799</v>
      </c>
      <c r="C1415" s="110">
        <v>4291</v>
      </c>
      <c r="D1415" s="109" t="s">
        <v>120</v>
      </c>
      <c r="E1415" s="109">
        <v>43</v>
      </c>
      <c r="F1415" s="110">
        <v>3301</v>
      </c>
      <c r="G1415" s="109" t="s">
        <v>120</v>
      </c>
      <c r="H1415" s="109">
        <v>77</v>
      </c>
      <c r="I1415" s="109">
        <v>2071</v>
      </c>
      <c r="J1415" s="110">
        <v>2147</v>
      </c>
    </row>
    <row r="1416" spans="1:10">
      <c r="A1416" s="103" t="s">
        <v>2800</v>
      </c>
      <c r="B1416" s="124" t="s">
        <v>2801</v>
      </c>
      <c r="C1416" s="110">
        <v>8153</v>
      </c>
      <c r="D1416" s="109" t="s">
        <v>120</v>
      </c>
      <c r="E1416" s="109">
        <v>81</v>
      </c>
      <c r="F1416" s="110">
        <v>5983</v>
      </c>
      <c r="G1416" s="109" t="s">
        <v>120</v>
      </c>
      <c r="H1416" s="109">
        <v>73</v>
      </c>
      <c r="I1416" s="109">
        <v>1680</v>
      </c>
      <c r="J1416" s="110">
        <v>1510</v>
      </c>
    </row>
    <row r="1417" spans="1:10">
      <c r="A1417" s="103" t="s">
        <v>2802</v>
      </c>
      <c r="B1417" s="124" t="s">
        <v>2803</v>
      </c>
      <c r="C1417" s="110">
        <v>10422</v>
      </c>
      <c r="D1417" s="109" t="s">
        <v>120</v>
      </c>
      <c r="E1417" s="109">
        <v>104</v>
      </c>
      <c r="F1417" s="110">
        <v>3370</v>
      </c>
      <c r="G1417" s="109" t="s">
        <v>120</v>
      </c>
      <c r="H1417" s="109">
        <v>32</v>
      </c>
      <c r="I1417" s="109">
        <v>1315</v>
      </c>
      <c r="J1417" s="110">
        <v>2131</v>
      </c>
    </row>
    <row r="1418" spans="1:10">
      <c r="A1418" s="103" t="s">
        <v>2804</v>
      </c>
      <c r="B1418" s="124" t="s">
        <v>2805</v>
      </c>
      <c r="C1418" s="110">
        <v>13130</v>
      </c>
      <c r="D1418" s="109" t="s">
        <v>120</v>
      </c>
      <c r="E1418" s="109">
        <v>131</v>
      </c>
      <c r="F1418" s="110">
        <v>7609</v>
      </c>
      <c r="G1418" s="109" t="s">
        <v>120</v>
      </c>
      <c r="H1418" s="109">
        <v>58</v>
      </c>
      <c r="I1418" s="109">
        <v>894</v>
      </c>
      <c r="J1418" s="110">
        <v>1184</v>
      </c>
    </row>
    <row r="1419" spans="1:10">
      <c r="A1419" s="103" t="s">
        <v>2806</v>
      </c>
      <c r="B1419" s="124" t="s">
        <v>2807</v>
      </c>
      <c r="C1419" s="110">
        <v>4109</v>
      </c>
      <c r="D1419" s="109" t="s">
        <v>120</v>
      </c>
      <c r="E1419" s="109">
        <v>41</v>
      </c>
      <c r="F1419" s="110">
        <v>2613</v>
      </c>
      <c r="G1419" s="109" t="s">
        <v>120</v>
      </c>
      <c r="H1419" s="109">
        <v>64</v>
      </c>
      <c r="I1419" s="109">
        <v>2085</v>
      </c>
      <c r="J1419" s="110">
        <v>2245</v>
      </c>
    </row>
    <row r="1420" spans="1:10" s="119" customFormat="1">
      <c r="A1420" s="123" t="s">
        <v>120</v>
      </c>
      <c r="B1420" s="273" t="s">
        <v>2808</v>
      </c>
      <c r="C1420" s="274"/>
      <c r="D1420" s="274"/>
      <c r="E1420" s="274"/>
      <c r="F1420" s="274"/>
      <c r="G1420" s="274"/>
      <c r="H1420" s="274"/>
      <c r="I1420" s="274"/>
      <c r="J1420" s="274"/>
    </row>
    <row r="1421" spans="1:10" s="119" customFormat="1">
      <c r="A1421" s="123" t="s">
        <v>120</v>
      </c>
      <c r="B1421" s="275" t="s">
        <v>922</v>
      </c>
      <c r="C1421" s="276"/>
      <c r="D1421" s="276"/>
      <c r="E1421" s="276"/>
      <c r="F1421" s="276"/>
      <c r="G1421" s="276"/>
      <c r="H1421" s="276"/>
      <c r="I1421" s="276"/>
      <c r="J1421" s="276"/>
    </row>
    <row r="1422" spans="1:10">
      <c r="A1422" s="103" t="s">
        <v>2809</v>
      </c>
      <c r="B1422" s="124" t="s">
        <v>2810</v>
      </c>
      <c r="C1422" s="110">
        <v>4130</v>
      </c>
      <c r="D1422" s="109" t="s">
        <v>120</v>
      </c>
      <c r="E1422" s="109">
        <v>42</v>
      </c>
      <c r="F1422" s="110">
        <v>61960</v>
      </c>
      <c r="G1422" s="109" t="s">
        <v>120</v>
      </c>
      <c r="H1422" s="109">
        <v>1500</v>
      </c>
      <c r="I1422" s="109">
        <v>2082</v>
      </c>
      <c r="J1422" s="110">
        <v>68</v>
      </c>
    </row>
    <row r="1423" spans="1:10" s="119" customFormat="1">
      <c r="A1423" s="123" t="s">
        <v>120</v>
      </c>
      <c r="B1423" s="275" t="s">
        <v>943</v>
      </c>
      <c r="C1423" s="276"/>
      <c r="D1423" s="276"/>
      <c r="E1423" s="276"/>
      <c r="F1423" s="276"/>
      <c r="G1423" s="276"/>
      <c r="H1423" s="276"/>
      <c r="I1423" s="276"/>
      <c r="J1423" s="276"/>
    </row>
    <row r="1424" spans="1:10">
      <c r="A1424" s="103" t="s">
        <v>2811</v>
      </c>
      <c r="B1424" s="124" t="s">
        <v>2812</v>
      </c>
      <c r="C1424" s="110">
        <v>5774</v>
      </c>
      <c r="D1424" s="109" t="s">
        <v>120</v>
      </c>
      <c r="E1424" s="109">
        <v>57</v>
      </c>
      <c r="F1424" s="110">
        <v>3274</v>
      </c>
      <c r="G1424" s="109" t="s">
        <v>120</v>
      </c>
      <c r="H1424" s="109">
        <v>57</v>
      </c>
      <c r="I1424" s="109">
        <v>1960</v>
      </c>
      <c r="J1424" s="110">
        <v>2153</v>
      </c>
    </row>
    <row r="1425" spans="1:10">
      <c r="A1425" s="103" t="s">
        <v>2813</v>
      </c>
      <c r="B1425" s="124" t="s">
        <v>2814</v>
      </c>
      <c r="C1425" s="110">
        <v>3017</v>
      </c>
      <c r="D1425" s="109" t="s">
        <v>120</v>
      </c>
      <c r="E1425" s="109">
        <v>30</v>
      </c>
      <c r="F1425" s="110">
        <v>2149</v>
      </c>
      <c r="G1425" s="109" t="s">
        <v>120</v>
      </c>
      <c r="H1425" s="109">
        <v>71</v>
      </c>
      <c r="I1425" s="109">
        <v>2167</v>
      </c>
      <c r="J1425" s="110">
        <v>2288</v>
      </c>
    </row>
    <row r="1426" spans="1:10">
      <c r="A1426" s="103" t="s">
        <v>2815</v>
      </c>
      <c r="B1426" s="124" t="s">
        <v>2816</v>
      </c>
      <c r="C1426" s="110">
        <v>12807</v>
      </c>
      <c r="D1426" s="109" t="s">
        <v>120</v>
      </c>
      <c r="E1426" s="109">
        <v>128</v>
      </c>
      <c r="F1426" s="110">
        <v>5048</v>
      </c>
      <c r="G1426" s="109" t="s">
        <v>120</v>
      </c>
      <c r="H1426" s="109">
        <v>39</v>
      </c>
      <c r="I1426" s="109">
        <v>942</v>
      </c>
      <c r="J1426" s="110">
        <v>1733</v>
      </c>
    </row>
    <row r="1427" spans="1:10">
      <c r="A1427" s="103" t="s">
        <v>2817</v>
      </c>
      <c r="B1427" s="124" t="s">
        <v>2818</v>
      </c>
      <c r="C1427" s="110">
        <v>9783</v>
      </c>
      <c r="D1427" s="109" t="s">
        <v>120</v>
      </c>
      <c r="E1427" s="109">
        <v>98</v>
      </c>
      <c r="F1427" s="110">
        <v>3825</v>
      </c>
      <c r="G1427" s="109" t="s">
        <v>120</v>
      </c>
      <c r="H1427" s="109">
        <v>39</v>
      </c>
      <c r="I1427" s="109">
        <v>1424</v>
      </c>
      <c r="J1427" s="110">
        <v>2038</v>
      </c>
    </row>
    <row r="1428" spans="1:10">
      <c r="A1428" s="103" t="s">
        <v>2819</v>
      </c>
      <c r="B1428" s="124" t="s">
        <v>2820</v>
      </c>
      <c r="C1428" s="110">
        <v>13137</v>
      </c>
      <c r="D1428" s="109" t="s">
        <v>120</v>
      </c>
      <c r="E1428" s="109">
        <v>131</v>
      </c>
      <c r="F1428" s="110">
        <v>7197</v>
      </c>
      <c r="G1428" s="109" t="s">
        <v>120</v>
      </c>
      <c r="H1428" s="109">
        <v>55</v>
      </c>
      <c r="I1428" s="109">
        <v>893</v>
      </c>
      <c r="J1428" s="110">
        <v>1258</v>
      </c>
    </row>
    <row r="1429" spans="1:10">
      <c r="A1429" s="103" t="s">
        <v>2821</v>
      </c>
      <c r="B1429" s="124" t="s">
        <v>2822</v>
      </c>
      <c r="C1429" s="110">
        <v>9058</v>
      </c>
      <c r="D1429" s="109" t="s">
        <v>120</v>
      </c>
      <c r="E1429" s="109">
        <v>91</v>
      </c>
      <c r="F1429" s="110">
        <v>6160</v>
      </c>
      <c r="G1429" s="109" t="s">
        <v>120</v>
      </c>
      <c r="H1429" s="109">
        <v>68</v>
      </c>
      <c r="I1429" s="109">
        <v>1526</v>
      </c>
      <c r="J1429" s="110">
        <v>1468</v>
      </c>
    </row>
    <row r="1430" spans="1:10">
      <c r="A1430" s="103" t="s">
        <v>2823</v>
      </c>
      <c r="B1430" s="124" t="s">
        <v>2824</v>
      </c>
      <c r="C1430" s="110">
        <v>10861</v>
      </c>
      <c r="D1430" s="109" t="s">
        <v>120</v>
      </c>
      <c r="E1430" s="109">
        <v>109</v>
      </c>
      <c r="F1430" s="110">
        <v>4643</v>
      </c>
      <c r="G1430" s="109" t="s">
        <v>120</v>
      </c>
      <c r="H1430" s="109">
        <v>43</v>
      </c>
      <c r="I1430" s="109">
        <v>1246</v>
      </c>
      <c r="J1430" s="110">
        <v>1834</v>
      </c>
    </row>
    <row r="1431" spans="1:10">
      <c r="A1431" s="103" t="s">
        <v>2825</v>
      </c>
      <c r="B1431" s="124" t="s">
        <v>2810</v>
      </c>
      <c r="C1431" s="110">
        <v>14982</v>
      </c>
      <c r="D1431" s="109" t="s">
        <v>120</v>
      </c>
      <c r="E1431" s="109">
        <v>150</v>
      </c>
      <c r="F1431" s="110">
        <v>11224</v>
      </c>
      <c r="G1431" s="109" t="s">
        <v>120</v>
      </c>
      <c r="H1431" s="109">
        <v>75</v>
      </c>
      <c r="I1431" s="109">
        <v>679</v>
      </c>
      <c r="J1431" s="110">
        <v>765</v>
      </c>
    </row>
    <row r="1432" spans="1:10">
      <c r="A1432" s="103" t="s">
        <v>2826</v>
      </c>
      <c r="B1432" s="124" t="s">
        <v>2827</v>
      </c>
      <c r="C1432" s="110">
        <v>9695</v>
      </c>
      <c r="D1432" s="109" t="s">
        <v>120</v>
      </c>
      <c r="E1432" s="109">
        <v>97</v>
      </c>
      <c r="F1432" s="110">
        <v>7723</v>
      </c>
      <c r="G1432" s="109" t="s">
        <v>120</v>
      </c>
      <c r="H1432" s="109">
        <v>80</v>
      </c>
      <c r="I1432" s="109">
        <v>1430</v>
      </c>
      <c r="J1432" s="110">
        <v>1166</v>
      </c>
    </row>
    <row r="1433" spans="1:10">
      <c r="A1433" s="103" t="s">
        <v>2828</v>
      </c>
      <c r="B1433" s="124" t="s">
        <v>2829</v>
      </c>
      <c r="C1433" s="110">
        <v>9235</v>
      </c>
      <c r="D1433" s="109" t="s">
        <v>120</v>
      </c>
      <c r="E1433" s="109">
        <v>92</v>
      </c>
      <c r="F1433" s="110">
        <v>3316</v>
      </c>
      <c r="G1433" s="109" t="s">
        <v>120</v>
      </c>
      <c r="H1433" s="109">
        <v>36</v>
      </c>
      <c r="I1433" s="109">
        <v>1508</v>
      </c>
      <c r="J1433" s="110">
        <v>2143</v>
      </c>
    </row>
    <row r="1434" spans="1:10" s="119" customFormat="1">
      <c r="A1434" s="123" t="s">
        <v>120</v>
      </c>
      <c r="B1434" s="273" t="s">
        <v>2830</v>
      </c>
      <c r="C1434" s="274"/>
      <c r="D1434" s="274"/>
      <c r="E1434" s="274"/>
      <c r="F1434" s="274"/>
      <c r="G1434" s="274"/>
      <c r="H1434" s="274"/>
      <c r="I1434" s="274"/>
      <c r="J1434" s="274"/>
    </row>
    <row r="1435" spans="1:10" s="119" customFormat="1">
      <c r="A1435" s="123" t="s">
        <v>120</v>
      </c>
      <c r="B1435" s="275" t="s">
        <v>943</v>
      </c>
      <c r="C1435" s="276"/>
      <c r="D1435" s="276"/>
      <c r="E1435" s="276"/>
      <c r="F1435" s="276"/>
      <c r="G1435" s="276"/>
      <c r="H1435" s="276"/>
      <c r="I1435" s="276"/>
      <c r="J1435" s="276"/>
    </row>
    <row r="1436" spans="1:10">
      <c r="A1436" s="103" t="s">
        <v>2831</v>
      </c>
      <c r="B1436" s="124" t="s">
        <v>2832</v>
      </c>
      <c r="C1436" s="110">
        <v>7409</v>
      </c>
      <c r="D1436" s="109" t="s">
        <v>120</v>
      </c>
      <c r="E1436" s="109">
        <v>74</v>
      </c>
      <c r="F1436" s="110">
        <v>5440</v>
      </c>
      <c r="G1436" s="109" t="s">
        <v>120</v>
      </c>
      <c r="H1436" s="109">
        <v>73</v>
      </c>
      <c r="I1436" s="109">
        <v>1790</v>
      </c>
      <c r="J1436" s="110">
        <v>1627</v>
      </c>
    </row>
    <row r="1437" spans="1:10">
      <c r="A1437" s="103" t="s">
        <v>2833</v>
      </c>
      <c r="B1437" s="124" t="s">
        <v>2834</v>
      </c>
      <c r="C1437" s="110">
        <v>6967</v>
      </c>
      <c r="D1437" s="109" t="s">
        <v>120</v>
      </c>
      <c r="E1437" s="109">
        <v>70</v>
      </c>
      <c r="F1437" s="110">
        <v>4523</v>
      </c>
      <c r="G1437" s="109" t="s">
        <v>120</v>
      </c>
      <c r="H1437" s="109">
        <v>65</v>
      </c>
      <c r="I1437" s="109">
        <v>1851</v>
      </c>
      <c r="J1437" s="110">
        <v>1864</v>
      </c>
    </row>
    <row r="1438" spans="1:10">
      <c r="A1438" s="103" t="s">
        <v>2835</v>
      </c>
      <c r="B1438" s="124" t="s">
        <v>1991</v>
      </c>
      <c r="C1438" s="110">
        <v>8317</v>
      </c>
      <c r="D1438" s="109" t="s">
        <v>120</v>
      </c>
      <c r="E1438" s="109">
        <v>83</v>
      </c>
      <c r="F1438" s="110">
        <v>3772</v>
      </c>
      <c r="G1438" s="109" t="s">
        <v>120</v>
      </c>
      <c r="H1438" s="109">
        <v>45</v>
      </c>
      <c r="I1438" s="109">
        <v>1651</v>
      </c>
      <c r="J1438" s="110">
        <v>2048</v>
      </c>
    </row>
    <row r="1439" spans="1:10">
      <c r="A1439" s="103" t="s">
        <v>2836</v>
      </c>
      <c r="B1439" s="124" t="s">
        <v>2837</v>
      </c>
      <c r="C1439" s="110">
        <v>7768</v>
      </c>
      <c r="D1439" s="109" t="s">
        <v>120</v>
      </c>
      <c r="E1439" s="109">
        <v>78</v>
      </c>
      <c r="F1439" s="110">
        <v>5401</v>
      </c>
      <c r="G1439" s="109" t="s">
        <v>120</v>
      </c>
      <c r="H1439" s="109">
        <v>70</v>
      </c>
      <c r="I1439" s="109">
        <v>1737</v>
      </c>
      <c r="J1439" s="110">
        <v>1637</v>
      </c>
    </row>
    <row r="1440" spans="1:10">
      <c r="A1440" s="103" t="s">
        <v>2838</v>
      </c>
      <c r="B1440" s="124" t="s">
        <v>2839</v>
      </c>
      <c r="C1440" s="110">
        <v>10109</v>
      </c>
      <c r="D1440" s="109" t="s">
        <v>120</v>
      </c>
      <c r="E1440" s="109">
        <v>101</v>
      </c>
      <c r="F1440" s="110">
        <v>4738</v>
      </c>
      <c r="G1440" s="109" t="s">
        <v>120</v>
      </c>
      <c r="H1440" s="109">
        <v>47</v>
      </c>
      <c r="I1440" s="109">
        <v>1367</v>
      </c>
      <c r="J1440" s="110">
        <v>1809</v>
      </c>
    </row>
    <row r="1441" spans="1:10">
      <c r="A1441" s="103" t="s">
        <v>2840</v>
      </c>
      <c r="B1441" s="124" t="s">
        <v>1966</v>
      </c>
      <c r="C1441" s="110">
        <v>10138</v>
      </c>
      <c r="D1441" s="109" t="s">
        <v>120</v>
      </c>
      <c r="E1441" s="109">
        <v>101</v>
      </c>
      <c r="F1441" s="110">
        <v>4481</v>
      </c>
      <c r="G1441" s="109" t="s">
        <v>120</v>
      </c>
      <c r="H1441" s="109">
        <v>44</v>
      </c>
      <c r="I1441" s="109">
        <v>1362</v>
      </c>
      <c r="J1441" s="110">
        <v>1873</v>
      </c>
    </row>
    <row r="1442" spans="1:10">
      <c r="A1442" s="103" t="s">
        <v>2841</v>
      </c>
      <c r="B1442" s="124" t="s">
        <v>2842</v>
      </c>
      <c r="C1442" s="110">
        <v>11474</v>
      </c>
      <c r="D1442" s="109" t="s">
        <v>120</v>
      </c>
      <c r="E1442" s="109">
        <v>115</v>
      </c>
      <c r="F1442" s="110">
        <v>6511</v>
      </c>
      <c r="G1442" s="109" t="s">
        <v>120</v>
      </c>
      <c r="H1442" s="109">
        <v>57</v>
      </c>
      <c r="I1442" s="109">
        <v>1129</v>
      </c>
      <c r="J1442" s="110">
        <v>1397</v>
      </c>
    </row>
    <row r="1443" spans="1:10">
      <c r="A1443" s="103" t="s">
        <v>2843</v>
      </c>
      <c r="B1443" s="124" t="s">
        <v>2844</v>
      </c>
      <c r="C1443" s="110">
        <v>5520</v>
      </c>
      <c r="D1443" s="109" t="s">
        <v>120</v>
      </c>
      <c r="E1443" s="109">
        <v>55</v>
      </c>
      <c r="F1443" s="110">
        <v>3319</v>
      </c>
      <c r="G1443" s="109" t="s">
        <v>120</v>
      </c>
      <c r="H1443" s="109">
        <v>60</v>
      </c>
      <c r="I1443" s="109">
        <v>1984</v>
      </c>
      <c r="J1443" s="110">
        <v>2142</v>
      </c>
    </row>
    <row r="1444" spans="1:10">
      <c r="A1444" s="103" t="s">
        <v>2845</v>
      </c>
      <c r="B1444" s="124" t="s">
        <v>2846</v>
      </c>
      <c r="C1444" s="110">
        <v>11882</v>
      </c>
      <c r="D1444" s="109" t="s">
        <v>120</v>
      </c>
      <c r="E1444" s="109">
        <v>118</v>
      </c>
      <c r="F1444" s="110">
        <v>6615</v>
      </c>
      <c r="G1444" s="109" t="s">
        <v>120</v>
      </c>
      <c r="H1444" s="109">
        <v>56</v>
      </c>
      <c r="I1444" s="109">
        <v>1071</v>
      </c>
      <c r="J1444" s="110">
        <v>1377</v>
      </c>
    </row>
    <row r="1445" spans="1:10" s="119" customFormat="1">
      <c r="A1445" s="123" t="s">
        <v>120</v>
      </c>
      <c r="B1445" s="275" t="s">
        <v>2572</v>
      </c>
      <c r="C1445" s="276"/>
      <c r="D1445" s="276"/>
      <c r="E1445" s="276"/>
      <c r="F1445" s="276"/>
      <c r="G1445" s="276"/>
      <c r="H1445" s="276"/>
      <c r="I1445" s="276"/>
      <c r="J1445" s="276"/>
    </row>
    <row r="1446" spans="1:10">
      <c r="A1446" s="103" t="s">
        <v>2847</v>
      </c>
      <c r="B1446" s="124" t="s">
        <v>2848</v>
      </c>
      <c r="C1446" s="110">
        <v>13064</v>
      </c>
      <c r="D1446" s="109" t="s">
        <v>120</v>
      </c>
      <c r="E1446" s="109">
        <v>131</v>
      </c>
      <c r="F1446" s="110">
        <v>31456</v>
      </c>
      <c r="G1446" s="109" t="s">
        <v>120</v>
      </c>
      <c r="H1446" s="109">
        <v>241</v>
      </c>
      <c r="I1446" s="109">
        <v>901</v>
      </c>
      <c r="J1446" s="110">
        <v>177</v>
      </c>
    </row>
    <row r="1447" spans="1:10">
      <c r="A1447" s="103" t="s">
        <v>2849</v>
      </c>
      <c r="B1447" s="124" t="s">
        <v>932</v>
      </c>
      <c r="C1447" s="110">
        <v>1687</v>
      </c>
      <c r="D1447" s="109" t="s">
        <v>120</v>
      </c>
      <c r="E1447" s="109">
        <v>17</v>
      </c>
      <c r="F1447" s="110">
        <v>22269</v>
      </c>
      <c r="G1447" s="109" t="s">
        <v>120</v>
      </c>
      <c r="H1447" s="109">
        <v>1320</v>
      </c>
      <c r="I1447" s="109" t="s">
        <v>122</v>
      </c>
      <c r="J1447" s="110" t="s">
        <v>122</v>
      </c>
    </row>
    <row r="1448" spans="1:10">
      <c r="A1448" s="103" t="s">
        <v>2850</v>
      </c>
      <c r="B1448" s="124" t="s">
        <v>934</v>
      </c>
      <c r="C1448" s="110">
        <v>11377</v>
      </c>
      <c r="D1448" s="109" t="s">
        <v>120</v>
      </c>
      <c r="E1448" s="109">
        <v>114</v>
      </c>
      <c r="F1448" s="110">
        <v>9187</v>
      </c>
      <c r="G1448" s="109" t="s">
        <v>120</v>
      </c>
      <c r="H1448" s="109">
        <v>81</v>
      </c>
      <c r="I1448" s="109" t="s">
        <v>122</v>
      </c>
      <c r="J1448" s="110" t="s">
        <v>122</v>
      </c>
    </row>
    <row r="1449" spans="1:10" s="119" customFormat="1">
      <c r="A1449" s="123" t="s">
        <v>120</v>
      </c>
      <c r="B1449" s="273" t="s">
        <v>2851</v>
      </c>
      <c r="C1449" s="274"/>
      <c r="D1449" s="274"/>
      <c r="E1449" s="274"/>
      <c r="F1449" s="274"/>
      <c r="G1449" s="274"/>
      <c r="H1449" s="274"/>
      <c r="I1449" s="274"/>
      <c r="J1449" s="274"/>
    </row>
    <row r="1450" spans="1:10" s="119" customFormat="1">
      <c r="A1450" s="123" t="s">
        <v>120</v>
      </c>
      <c r="B1450" s="275" t="s">
        <v>924</v>
      </c>
      <c r="C1450" s="276"/>
      <c r="D1450" s="276"/>
      <c r="E1450" s="276"/>
      <c r="F1450" s="276"/>
      <c r="G1450" s="276"/>
      <c r="H1450" s="276"/>
      <c r="I1450" s="276"/>
      <c r="J1450" s="276"/>
    </row>
    <row r="1451" spans="1:10">
      <c r="A1451" s="103" t="s">
        <v>2852</v>
      </c>
      <c r="B1451" s="124" t="s">
        <v>923</v>
      </c>
      <c r="C1451" s="110">
        <v>6447</v>
      </c>
      <c r="D1451" s="109" t="s">
        <v>120</v>
      </c>
      <c r="E1451" s="109">
        <v>64</v>
      </c>
      <c r="F1451" s="110">
        <v>4080</v>
      </c>
      <c r="G1451" s="109" t="s">
        <v>120</v>
      </c>
      <c r="H1451" s="109">
        <v>63</v>
      </c>
      <c r="I1451" s="109">
        <v>1909</v>
      </c>
      <c r="J1451" s="110">
        <v>1976</v>
      </c>
    </row>
    <row r="1452" spans="1:10">
      <c r="A1452" s="103" t="s">
        <v>2853</v>
      </c>
      <c r="B1452" s="124" t="s">
        <v>2854</v>
      </c>
      <c r="C1452" s="110">
        <v>6273</v>
      </c>
      <c r="D1452" s="109" t="s">
        <v>120</v>
      </c>
      <c r="E1452" s="109">
        <v>63</v>
      </c>
      <c r="F1452" s="110">
        <v>3975</v>
      </c>
      <c r="G1452" s="109" t="s">
        <v>120</v>
      </c>
      <c r="H1452" s="109">
        <v>63</v>
      </c>
      <c r="I1452" s="109">
        <v>1928</v>
      </c>
      <c r="J1452" s="110">
        <v>1998</v>
      </c>
    </row>
    <row r="1453" spans="1:10">
      <c r="A1453" s="103" t="s">
        <v>2855</v>
      </c>
      <c r="B1453" s="124" t="s">
        <v>2856</v>
      </c>
      <c r="C1453" s="110">
        <v>13577</v>
      </c>
      <c r="D1453" s="109" t="s">
        <v>120</v>
      </c>
      <c r="E1453" s="109">
        <v>136</v>
      </c>
      <c r="F1453" s="110">
        <v>6115</v>
      </c>
      <c r="G1453" s="109" t="s">
        <v>120</v>
      </c>
      <c r="H1453" s="109">
        <v>45</v>
      </c>
      <c r="I1453" s="109">
        <v>829</v>
      </c>
      <c r="J1453" s="110">
        <v>1477</v>
      </c>
    </row>
    <row r="1454" spans="1:10">
      <c r="A1454" s="103" t="s">
        <v>2857</v>
      </c>
      <c r="B1454" s="124" t="s">
        <v>2858</v>
      </c>
      <c r="C1454" s="110">
        <v>6083</v>
      </c>
      <c r="D1454" s="109" t="s">
        <v>120</v>
      </c>
      <c r="E1454" s="109">
        <v>61</v>
      </c>
      <c r="F1454" s="110">
        <v>4029</v>
      </c>
      <c r="G1454" s="109" t="s">
        <v>120</v>
      </c>
      <c r="H1454" s="109">
        <v>66</v>
      </c>
      <c r="I1454" s="109">
        <v>1942</v>
      </c>
      <c r="J1454" s="110">
        <v>1986</v>
      </c>
    </row>
    <row r="1455" spans="1:10">
      <c r="A1455" s="103" t="s">
        <v>2859</v>
      </c>
      <c r="B1455" s="124" t="s">
        <v>2860</v>
      </c>
      <c r="C1455" s="110">
        <v>8001</v>
      </c>
      <c r="D1455" s="109" t="s">
        <v>120</v>
      </c>
      <c r="E1455" s="109">
        <v>80</v>
      </c>
      <c r="F1455" s="110">
        <v>5035</v>
      </c>
      <c r="G1455" s="109" t="s">
        <v>120</v>
      </c>
      <c r="H1455" s="109">
        <v>63</v>
      </c>
      <c r="I1455" s="109">
        <v>1702</v>
      </c>
      <c r="J1455" s="110">
        <v>1736</v>
      </c>
    </row>
    <row r="1456" spans="1:10" s="119" customFormat="1">
      <c r="A1456" s="123" t="s">
        <v>120</v>
      </c>
      <c r="B1456" s="275" t="s">
        <v>947</v>
      </c>
      <c r="C1456" s="276"/>
      <c r="D1456" s="276"/>
      <c r="E1456" s="276"/>
      <c r="F1456" s="276"/>
      <c r="G1456" s="276"/>
      <c r="H1456" s="276"/>
      <c r="I1456" s="276"/>
      <c r="J1456" s="276"/>
    </row>
    <row r="1457" spans="1:10">
      <c r="A1457" s="103" t="s">
        <v>2861</v>
      </c>
      <c r="B1457" s="124" t="s">
        <v>2862</v>
      </c>
      <c r="C1457" s="110">
        <v>7612</v>
      </c>
      <c r="D1457" s="109" t="s">
        <v>120</v>
      </c>
      <c r="E1457" s="109">
        <v>76</v>
      </c>
      <c r="F1457" s="110">
        <v>4596</v>
      </c>
      <c r="G1457" s="109" t="s">
        <v>120</v>
      </c>
      <c r="H1457" s="109">
        <v>60</v>
      </c>
      <c r="I1457" s="109">
        <v>1757</v>
      </c>
      <c r="J1457" s="110">
        <v>1844</v>
      </c>
    </row>
    <row r="1458" spans="1:10">
      <c r="A1458" s="103" t="s">
        <v>2863</v>
      </c>
      <c r="B1458" s="124" t="s">
        <v>932</v>
      </c>
      <c r="C1458" s="110">
        <v>1895</v>
      </c>
      <c r="D1458" s="109" t="s">
        <v>120</v>
      </c>
      <c r="E1458" s="109">
        <v>19</v>
      </c>
      <c r="F1458" s="110">
        <v>2232</v>
      </c>
      <c r="G1458" s="109" t="s">
        <v>120</v>
      </c>
      <c r="H1458" s="109">
        <v>118</v>
      </c>
      <c r="I1458" s="109" t="s">
        <v>122</v>
      </c>
      <c r="J1458" s="110" t="s">
        <v>122</v>
      </c>
    </row>
    <row r="1459" spans="1:10">
      <c r="A1459" s="103" t="s">
        <v>2864</v>
      </c>
      <c r="B1459" s="124" t="s">
        <v>934</v>
      </c>
      <c r="C1459" s="110">
        <v>5717</v>
      </c>
      <c r="D1459" s="109" t="s">
        <v>120</v>
      </c>
      <c r="E1459" s="109">
        <v>57</v>
      </c>
      <c r="F1459" s="110">
        <v>2364</v>
      </c>
      <c r="G1459" s="109" t="s">
        <v>120</v>
      </c>
      <c r="H1459" s="109">
        <v>41</v>
      </c>
      <c r="I1459" s="109" t="s">
        <v>122</v>
      </c>
      <c r="J1459" s="110" t="s">
        <v>122</v>
      </c>
    </row>
    <row r="1460" spans="1:10">
      <c r="A1460" s="103" t="s">
        <v>2865</v>
      </c>
      <c r="B1460" s="124" t="s">
        <v>2866</v>
      </c>
      <c r="C1460" s="110">
        <v>9720</v>
      </c>
      <c r="D1460" s="109" t="s">
        <v>120</v>
      </c>
      <c r="E1460" s="109">
        <v>97</v>
      </c>
      <c r="F1460" s="110">
        <v>14275</v>
      </c>
      <c r="G1460" s="109" t="s">
        <v>120</v>
      </c>
      <c r="H1460" s="109">
        <v>147</v>
      </c>
      <c r="I1460" s="109">
        <v>1429</v>
      </c>
      <c r="J1460" s="110">
        <v>557</v>
      </c>
    </row>
    <row r="1461" spans="1:10">
      <c r="A1461" s="103" t="s">
        <v>2867</v>
      </c>
      <c r="B1461" s="124" t="s">
        <v>932</v>
      </c>
      <c r="C1461" s="110">
        <v>597</v>
      </c>
      <c r="D1461" s="109" t="s">
        <v>120</v>
      </c>
      <c r="E1461" s="109">
        <v>6</v>
      </c>
      <c r="F1461" s="110">
        <v>8517</v>
      </c>
      <c r="G1461" s="109" t="s">
        <v>120</v>
      </c>
      <c r="H1461" s="109">
        <v>1427</v>
      </c>
      <c r="I1461" s="109" t="s">
        <v>122</v>
      </c>
      <c r="J1461" s="110" t="s">
        <v>122</v>
      </c>
    </row>
    <row r="1462" spans="1:10">
      <c r="A1462" s="103" t="s">
        <v>2868</v>
      </c>
      <c r="B1462" s="124" t="s">
        <v>934</v>
      </c>
      <c r="C1462" s="110">
        <v>9123</v>
      </c>
      <c r="D1462" s="109" t="s">
        <v>120</v>
      </c>
      <c r="E1462" s="109">
        <v>91</v>
      </c>
      <c r="F1462" s="110">
        <v>5758</v>
      </c>
      <c r="G1462" s="109" t="s">
        <v>120</v>
      </c>
      <c r="H1462" s="109">
        <v>63</v>
      </c>
      <c r="I1462" s="109" t="s">
        <v>122</v>
      </c>
      <c r="J1462" s="110" t="s">
        <v>122</v>
      </c>
    </row>
    <row r="1463" spans="1:10" s="119" customFormat="1">
      <c r="A1463" s="123" t="s">
        <v>120</v>
      </c>
      <c r="B1463" s="273" t="s">
        <v>2869</v>
      </c>
      <c r="C1463" s="274"/>
      <c r="D1463" s="274"/>
      <c r="E1463" s="274"/>
      <c r="F1463" s="274"/>
      <c r="G1463" s="274"/>
      <c r="H1463" s="274"/>
      <c r="I1463" s="274"/>
      <c r="J1463" s="274"/>
    </row>
    <row r="1464" spans="1:10" s="119" customFormat="1">
      <c r="A1464" s="123" t="s">
        <v>120</v>
      </c>
      <c r="B1464" s="275" t="s">
        <v>1019</v>
      </c>
      <c r="C1464" s="276"/>
      <c r="D1464" s="276"/>
      <c r="E1464" s="276"/>
      <c r="F1464" s="276"/>
      <c r="G1464" s="276"/>
      <c r="H1464" s="276"/>
      <c r="I1464" s="276"/>
      <c r="J1464" s="276"/>
    </row>
    <row r="1465" spans="1:10">
      <c r="A1465" s="103" t="s">
        <v>2870</v>
      </c>
      <c r="B1465" s="124" t="s">
        <v>2871</v>
      </c>
      <c r="C1465" s="110">
        <v>2457</v>
      </c>
      <c r="D1465" s="109" t="s">
        <v>120</v>
      </c>
      <c r="E1465" s="109">
        <v>25</v>
      </c>
      <c r="F1465" s="110">
        <v>41686</v>
      </c>
      <c r="G1465" s="109" t="s">
        <v>120</v>
      </c>
      <c r="H1465" s="109">
        <v>1697</v>
      </c>
      <c r="I1465" s="109">
        <v>2200</v>
      </c>
      <c r="J1465" s="110">
        <v>120</v>
      </c>
    </row>
    <row r="1466" spans="1:10" s="119" customFormat="1">
      <c r="A1466" s="123" t="s">
        <v>120</v>
      </c>
      <c r="B1466" s="275" t="s">
        <v>1022</v>
      </c>
      <c r="C1466" s="276"/>
      <c r="D1466" s="276"/>
      <c r="E1466" s="276"/>
      <c r="F1466" s="276"/>
      <c r="G1466" s="276"/>
      <c r="H1466" s="276"/>
      <c r="I1466" s="276"/>
      <c r="J1466" s="276"/>
    </row>
    <row r="1467" spans="1:10">
      <c r="A1467" s="103" t="s">
        <v>2872</v>
      </c>
      <c r="B1467" s="124" t="s">
        <v>2873</v>
      </c>
      <c r="C1467" s="110">
        <v>8141</v>
      </c>
      <c r="D1467" s="109" t="s">
        <v>120</v>
      </c>
      <c r="E1467" s="109">
        <v>81</v>
      </c>
      <c r="F1467" s="110">
        <v>5184</v>
      </c>
      <c r="G1467" s="109" t="s">
        <v>120</v>
      </c>
      <c r="H1467" s="109">
        <v>64</v>
      </c>
      <c r="I1467" s="109">
        <v>1684</v>
      </c>
      <c r="J1467" s="110">
        <v>1694</v>
      </c>
    </row>
    <row r="1468" spans="1:10">
      <c r="A1468" s="103" t="s">
        <v>2874</v>
      </c>
      <c r="B1468" s="124" t="s">
        <v>2871</v>
      </c>
      <c r="C1468" s="110">
        <v>11161</v>
      </c>
      <c r="D1468" s="109" t="s">
        <v>120</v>
      </c>
      <c r="E1468" s="109">
        <v>111</v>
      </c>
      <c r="F1468" s="110">
        <v>12198</v>
      </c>
      <c r="G1468" s="109" t="s">
        <v>120</v>
      </c>
      <c r="H1468" s="109">
        <v>109</v>
      </c>
      <c r="I1468" s="109">
        <v>1189</v>
      </c>
      <c r="J1468" s="110">
        <v>684</v>
      </c>
    </row>
    <row r="1469" spans="1:10" s="119" customFormat="1">
      <c r="A1469" s="123" t="s">
        <v>120</v>
      </c>
      <c r="B1469" s="275" t="s">
        <v>1026</v>
      </c>
      <c r="C1469" s="276"/>
      <c r="D1469" s="276"/>
      <c r="E1469" s="276"/>
      <c r="F1469" s="276"/>
      <c r="G1469" s="276"/>
      <c r="H1469" s="276"/>
      <c r="I1469" s="276"/>
      <c r="J1469" s="276"/>
    </row>
    <row r="1470" spans="1:10">
      <c r="A1470" s="103" t="s">
        <v>2875</v>
      </c>
      <c r="B1470" s="124" t="s">
        <v>2876</v>
      </c>
      <c r="C1470" s="110">
        <v>15164</v>
      </c>
      <c r="D1470" s="109" t="s">
        <v>120</v>
      </c>
      <c r="E1470" s="109">
        <v>152</v>
      </c>
      <c r="F1470" s="110">
        <v>7312</v>
      </c>
      <c r="G1470" s="109" t="s">
        <v>120</v>
      </c>
      <c r="H1470" s="109">
        <v>48</v>
      </c>
      <c r="I1470" s="109">
        <v>659</v>
      </c>
      <c r="J1470" s="110">
        <v>1240</v>
      </c>
    </row>
    <row r="1471" spans="1:10">
      <c r="A1471" s="103" t="s">
        <v>2877</v>
      </c>
      <c r="B1471" s="124" t="s">
        <v>932</v>
      </c>
      <c r="C1471" s="110">
        <v>1793</v>
      </c>
      <c r="D1471" s="109" t="s">
        <v>120</v>
      </c>
      <c r="E1471" s="109">
        <v>17</v>
      </c>
      <c r="F1471" s="110">
        <v>1902</v>
      </c>
      <c r="G1471" s="109" t="s">
        <v>120</v>
      </c>
      <c r="H1471" s="109">
        <v>106</v>
      </c>
      <c r="I1471" s="109" t="s">
        <v>122</v>
      </c>
      <c r="J1471" s="110" t="s">
        <v>122</v>
      </c>
    </row>
    <row r="1472" spans="1:10">
      <c r="A1472" s="103" t="s">
        <v>2878</v>
      </c>
      <c r="B1472" s="124" t="s">
        <v>934</v>
      </c>
      <c r="C1472" s="110">
        <v>13371</v>
      </c>
      <c r="D1472" s="109" t="s">
        <v>120</v>
      </c>
      <c r="E1472" s="109">
        <v>135</v>
      </c>
      <c r="F1472" s="110">
        <v>5410</v>
      </c>
      <c r="G1472" s="109" t="s">
        <v>120</v>
      </c>
      <c r="H1472" s="109">
        <v>40</v>
      </c>
      <c r="I1472" s="109" t="s">
        <v>122</v>
      </c>
      <c r="J1472" s="110" t="s">
        <v>122</v>
      </c>
    </row>
    <row r="1473" spans="1:10" s="119" customFormat="1">
      <c r="A1473" s="123" t="s">
        <v>120</v>
      </c>
      <c r="B1473" s="273" t="s">
        <v>2879</v>
      </c>
      <c r="C1473" s="274"/>
      <c r="D1473" s="274"/>
      <c r="E1473" s="274"/>
      <c r="F1473" s="274"/>
      <c r="G1473" s="274"/>
      <c r="H1473" s="274"/>
      <c r="I1473" s="274"/>
      <c r="J1473" s="274"/>
    </row>
    <row r="1474" spans="1:10" s="119" customFormat="1">
      <c r="A1474" s="123" t="s">
        <v>120</v>
      </c>
      <c r="B1474" s="275" t="s">
        <v>2880</v>
      </c>
      <c r="C1474" s="276"/>
      <c r="D1474" s="276"/>
      <c r="E1474" s="276"/>
      <c r="F1474" s="276"/>
      <c r="G1474" s="276"/>
      <c r="H1474" s="276"/>
      <c r="I1474" s="276"/>
      <c r="J1474" s="276"/>
    </row>
    <row r="1475" spans="1:10">
      <c r="A1475" s="103" t="s">
        <v>2881</v>
      </c>
      <c r="B1475" s="124" t="s">
        <v>2882</v>
      </c>
      <c r="C1475" s="110">
        <v>1984</v>
      </c>
      <c r="D1475" s="109" t="s">
        <v>120</v>
      </c>
      <c r="E1475" s="109">
        <v>20</v>
      </c>
      <c r="F1475" s="110">
        <v>14119</v>
      </c>
      <c r="G1475" s="109" t="s">
        <v>120</v>
      </c>
      <c r="H1475" s="109">
        <v>712</v>
      </c>
      <c r="I1475" s="109">
        <v>2241</v>
      </c>
      <c r="J1475" s="110">
        <v>565</v>
      </c>
    </row>
    <row r="1476" spans="1:10">
      <c r="A1476" s="103" t="s">
        <v>2883</v>
      </c>
      <c r="B1476" s="124" t="s">
        <v>2884</v>
      </c>
      <c r="C1476" s="110">
        <v>1546</v>
      </c>
      <c r="D1476" s="109" t="s">
        <v>120</v>
      </c>
      <c r="E1476" s="109">
        <v>15</v>
      </c>
      <c r="F1476" s="110">
        <v>19311</v>
      </c>
      <c r="G1476" s="109" t="s">
        <v>120</v>
      </c>
      <c r="H1476" s="109">
        <v>1249</v>
      </c>
      <c r="I1476" s="109">
        <v>2275</v>
      </c>
      <c r="J1476" s="110">
        <v>360</v>
      </c>
    </row>
    <row r="1477" spans="1:10">
      <c r="A1477" s="103" t="s">
        <v>2885</v>
      </c>
      <c r="B1477" s="124" t="s">
        <v>2886</v>
      </c>
      <c r="C1477" s="110">
        <v>4233</v>
      </c>
      <c r="D1477" s="109" t="s">
        <v>120</v>
      </c>
      <c r="E1477" s="109">
        <v>42</v>
      </c>
      <c r="F1477" s="110">
        <v>56190</v>
      </c>
      <c r="G1477" s="109" t="s">
        <v>120</v>
      </c>
      <c r="H1477" s="109">
        <v>1327</v>
      </c>
      <c r="I1477" s="109">
        <v>2075</v>
      </c>
      <c r="J1477" s="110">
        <v>82</v>
      </c>
    </row>
    <row r="1478" spans="1:10" s="119" customFormat="1">
      <c r="A1478" s="123" t="s">
        <v>120</v>
      </c>
      <c r="B1478" s="275" t="s">
        <v>943</v>
      </c>
      <c r="C1478" s="276"/>
      <c r="D1478" s="276"/>
      <c r="E1478" s="276"/>
      <c r="F1478" s="276"/>
      <c r="G1478" s="276"/>
      <c r="H1478" s="276"/>
      <c r="I1478" s="276"/>
      <c r="J1478" s="276"/>
    </row>
    <row r="1479" spans="1:10">
      <c r="A1479" s="103" t="s">
        <v>2887</v>
      </c>
      <c r="B1479" s="124" t="s">
        <v>2882</v>
      </c>
      <c r="C1479" s="110">
        <v>10477</v>
      </c>
      <c r="D1479" s="109" t="s">
        <v>120</v>
      </c>
      <c r="E1479" s="109">
        <v>105</v>
      </c>
      <c r="F1479" s="110">
        <v>4808</v>
      </c>
      <c r="G1479" s="109" t="s">
        <v>120</v>
      </c>
      <c r="H1479" s="109">
        <v>46</v>
      </c>
      <c r="I1479" s="109">
        <v>1303</v>
      </c>
      <c r="J1479" s="110">
        <v>1791</v>
      </c>
    </row>
    <row r="1480" spans="1:10">
      <c r="A1480" s="103" t="s">
        <v>2888</v>
      </c>
      <c r="B1480" s="124" t="s">
        <v>2884</v>
      </c>
      <c r="C1480" s="110">
        <v>9551</v>
      </c>
      <c r="D1480" s="109" t="s">
        <v>120</v>
      </c>
      <c r="E1480" s="109">
        <v>96</v>
      </c>
      <c r="F1480" s="110">
        <v>7021</v>
      </c>
      <c r="G1480" s="109" t="s">
        <v>120</v>
      </c>
      <c r="H1480" s="109">
        <v>74</v>
      </c>
      <c r="I1480" s="109">
        <v>1461</v>
      </c>
      <c r="J1480" s="110">
        <v>1292</v>
      </c>
    </row>
    <row r="1481" spans="1:10">
      <c r="A1481" s="103" t="s">
        <v>2889</v>
      </c>
      <c r="B1481" s="124" t="s">
        <v>2890</v>
      </c>
      <c r="C1481" s="110">
        <v>10389</v>
      </c>
      <c r="D1481" s="109" t="s">
        <v>120</v>
      </c>
      <c r="E1481" s="109">
        <v>104</v>
      </c>
      <c r="F1481" s="110">
        <v>5112</v>
      </c>
      <c r="G1481" s="109" t="s">
        <v>120</v>
      </c>
      <c r="H1481" s="109">
        <v>49</v>
      </c>
      <c r="I1481" s="109">
        <v>1320</v>
      </c>
      <c r="J1481" s="110">
        <v>1713</v>
      </c>
    </row>
    <row r="1482" spans="1:10">
      <c r="A1482" s="103" t="s">
        <v>2891</v>
      </c>
      <c r="B1482" s="124" t="s">
        <v>2886</v>
      </c>
      <c r="C1482" s="110">
        <v>19905</v>
      </c>
      <c r="D1482" s="109" t="s">
        <v>120</v>
      </c>
      <c r="E1482" s="109">
        <v>199</v>
      </c>
      <c r="F1482" s="110">
        <v>14538</v>
      </c>
      <c r="G1482" s="109" t="s">
        <v>120</v>
      </c>
      <c r="H1482" s="109">
        <v>73</v>
      </c>
      <c r="I1482" s="109">
        <v>350</v>
      </c>
      <c r="J1482" s="110">
        <v>541</v>
      </c>
    </row>
    <row r="1483" spans="1:10" s="119" customFormat="1">
      <c r="A1483" s="123" t="s">
        <v>120</v>
      </c>
      <c r="B1483" s="275" t="s">
        <v>947</v>
      </c>
      <c r="C1483" s="276"/>
      <c r="D1483" s="276"/>
      <c r="E1483" s="276"/>
      <c r="F1483" s="276"/>
      <c r="G1483" s="276"/>
      <c r="H1483" s="276"/>
      <c r="I1483" s="276"/>
      <c r="J1483" s="276"/>
    </row>
    <row r="1484" spans="1:10">
      <c r="A1484" s="103" t="s">
        <v>2892</v>
      </c>
      <c r="B1484" s="124" t="s">
        <v>2893</v>
      </c>
      <c r="C1484" s="110">
        <v>11643</v>
      </c>
      <c r="D1484" s="109" t="s">
        <v>120</v>
      </c>
      <c r="E1484" s="109">
        <v>116</v>
      </c>
      <c r="F1484" s="110">
        <v>32303</v>
      </c>
      <c r="G1484" s="109" t="s">
        <v>120</v>
      </c>
      <c r="H1484" s="109">
        <v>277</v>
      </c>
      <c r="I1484" s="109">
        <v>1108</v>
      </c>
      <c r="J1484" s="110">
        <v>170</v>
      </c>
    </row>
    <row r="1485" spans="1:10">
      <c r="A1485" s="103" t="s">
        <v>2894</v>
      </c>
      <c r="B1485" s="124" t="s">
        <v>932</v>
      </c>
      <c r="C1485" s="110">
        <v>1382</v>
      </c>
      <c r="D1485" s="109" t="s">
        <v>120</v>
      </c>
      <c r="E1485" s="109">
        <v>14</v>
      </c>
      <c r="F1485" s="110">
        <v>21739</v>
      </c>
      <c r="G1485" s="109" t="s">
        <v>120</v>
      </c>
      <c r="H1485" s="109">
        <v>1573</v>
      </c>
      <c r="I1485" s="109" t="s">
        <v>122</v>
      </c>
      <c r="J1485" s="110" t="s">
        <v>122</v>
      </c>
    </row>
    <row r="1486" spans="1:10">
      <c r="A1486" s="103" t="s">
        <v>2895</v>
      </c>
      <c r="B1486" s="124" t="s">
        <v>934</v>
      </c>
      <c r="C1486" s="110">
        <v>10261</v>
      </c>
      <c r="D1486" s="109" t="s">
        <v>120</v>
      </c>
      <c r="E1486" s="109">
        <v>102</v>
      </c>
      <c r="F1486" s="110">
        <v>10564</v>
      </c>
      <c r="G1486" s="109" t="s">
        <v>120</v>
      </c>
      <c r="H1486" s="109">
        <v>103</v>
      </c>
      <c r="I1486" s="109" t="s">
        <v>122</v>
      </c>
      <c r="J1486" s="110" t="s">
        <v>122</v>
      </c>
    </row>
    <row r="1487" spans="1:10">
      <c r="A1487" s="103" t="s">
        <v>2896</v>
      </c>
      <c r="B1487" s="124" t="s">
        <v>2897</v>
      </c>
      <c r="C1487" s="110">
        <v>15790</v>
      </c>
      <c r="D1487" s="109" t="s">
        <v>120</v>
      </c>
      <c r="E1487" s="109">
        <v>158</v>
      </c>
      <c r="F1487" s="110">
        <v>12711</v>
      </c>
      <c r="G1487" s="109" t="s">
        <v>120</v>
      </c>
      <c r="H1487" s="109">
        <v>81</v>
      </c>
      <c r="I1487" s="109">
        <v>618</v>
      </c>
      <c r="J1487" s="110">
        <v>649</v>
      </c>
    </row>
    <row r="1488" spans="1:10">
      <c r="A1488" s="103" t="s">
        <v>2898</v>
      </c>
      <c r="B1488" s="124" t="s">
        <v>932</v>
      </c>
      <c r="C1488" s="110">
        <v>815</v>
      </c>
      <c r="D1488" s="109" t="s">
        <v>120</v>
      </c>
      <c r="E1488" s="109">
        <v>8</v>
      </c>
      <c r="F1488" s="110">
        <v>3478</v>
      </c>
      <c r="G1488" s="109" t="s">
        <v>120</v>
      </c>
      <c r="H1488" s="109">
        <v>427</v>
      </c>
      <c r="I1488" s="109" t="s">
        <v>122</v>
      </c>
      <c r="J1488" s="110" t="s">
        <v>122</v>
      </c>
    </row>
    <row r="1489" spans="1:10">
      <c r="A1489" s="103" t="s">
        <v>2899</v>
      </c>
      <c r="B1489" s="124" t="s">
        <v>934</v>
      </c>
      <c r="C1489" s="110">
        <v>14975</v>
      </c>
      <c r="D1489" s="109" t="s">
        <v>120</v>
      </c>
      <c r="E1489" s="109">
        <v>150</v>
      </c>
      <c r="F1489" s="110">
        <v>9233</v>
      </c>
      <c r="G1489" s="109" t="s">
        <v>120</v>
      </c>
      <c r="H1489" s="109">
        <v>62</v>
      </c>
      <c r="I1489" s="109" t="s">
        <v>122</v>
      </c>
      <c r="J1489" s="110" t="s">
        <v>122</v>
      </c>
    </row>
    <row r="1490" spans="1:10" s="119" customFormat="1">
      <c r="A1490" s="123" t="s">
        <v>120</v>
      </c>
      <c r="B1490" s="273" t="s">
        <v>2900</v>
      </c>
      <c r="C1490" s="274"/>
      <c r="D1490" s="274"/>
      <c r="E1490" s="274"/>
      <c r="F1490" s="274"/>
      <c r="G1490" s="274"/>
      <c r="H1490" s="274"/>
      <c r="I1490" s="274"/>
      <c r="J1490" s="274"/>
    </row>
    <row r="1491" spans="1:10">
      <c r="A1491" s="103" t="s">
        <v>2901</v>
      </c>
      <c r="B1491" s="124" t="s">
        <v>2902</v>
      </c>
      <c r="C1491" s="110">
        <v>29325</v>
      </c>
      <c r="D1491" s="105" t="s">
        <v>927</v>
      </c>
      <c r="E1491" s="109">
        <v>293</v>
      </c>
      <c r="F1491" s="110">
        <v>679941</v>
      </c>
      <c r="G1491" s="105" t="s">
        <v>927</v>
      </c>
      <c r="H1491" s="109">
        <v>2319</v>
      </c>
      <c r="I1491" s="109">
        <v>106</v>
      </c>
      <c r="J1491" s="110">
        <v>3</v>
      </c>
    </row>
    <row r="1492" spans="1:10">
      <c r="A1492" s="103" t="s">
        <v>2903</v>
      </c>
      <c r="B1492" s="124" t="s">
        <v>2904</v>
      </c>
      <c r="C1492" s="110">
        <v>6724</v>
      </c>
      <c r="D1492" s="109" t="s">
        <v>120</v>
      </c>
      <c r="E1492" s="109">
        <v>67</v>
      </c>
      <c r="F1492" s="110">
        <v>73090</v>
      </c>
      <c r="G1492" s="109" t="s">
        <v>120</v>
      </c>
      <c r="H1492" s="109">
        <v>1087</v>
      </c>
      <c r="I1492" s="109">
        <v>1881</v>
      </c>
      <c r="J1492" s="110">
        <v>51</v>
      </c>
    </row>
    <row r="1493" spans="1:10">
      <c r="A1493" s="103" t="s">
        <v>2905</v>
      </c>
      <c r="B1493" s="124" t="s">
        <v>2805</v>
      </c>
      <c r="C1493" s="110">
        <v>3460</v>
      </c>
      <c r="D1493" s="109" t="s">
        <v>120</v>
      </c>
      <c r="E1493" s="109">
        <v>35</v>
      </c>
      <c r="F1493" s="110">
        <v>48089</v>
      </c>
      <c r="G1493" s="109" t="s">
        <v>120</v>
      </c>
      <c r="H1493" s="109">
        <v>1390</v>
      </c>
      <c r="I1493" s="109">
        <v>2135</v>
      </c>
      <c r="J1493" s="110">
        <v>97</v>
      </c>
    </row>
    <row r="1494" spans="1:10" s="119" customFormat="1">
      <c r="A1494" s="123" t="s">
        <v>120</v>
      </c>
      <c r="B1494" s="273" t="s">
        <v>10</v>
      </c>
      <c r="C1494" s="274"/>
      <c r="D1494" s="274"/>
      <c r="E1494" s="274"/>
      <c r="F1494" s="274"/>
      <c r="G1494" s="274"/>
      <c r="H1494" s="274"/>
      <c r="I1494" s="274"/>
      <c r="J1494" s="274"/>
    </row>
    <row r="1495" spans="1:10" s="119" customFormat="1">
      <c r="A1495" s="123" t="s">
        <v>120</v>
      </c>
      <c r="B1495" s="273" t="s">
        <v>2906</v>
      </c>
      <c r="C1495" s="274"/>
      <c r="D1495" s="274"/>
      <c r="E1495" s="274"/>
      <c r="F1495" s="274"/>
      <c r="G1495" s="274"/>
      <c r="H1495" s="274"/>
      <c r="I1495" s="274"/>
      <c r="J1495" s="274"/>
    </row>
    <row r="1496" spans="1:10" s="119" customFormat="1">
      <c r="A1496" s="123" t="s">
        <v>120</v>
      </c>
      <c r="B1496" s="275" t="s">
        <v>922</v>
      </c>
      <c r="C1496" s="276"/>
      <c r="D1496" s="276"/>
      <c r="E1496" s="276"/>
      <c r="F1496" s="276"/>
      <c r="G1496" s="276"/>
      <c r="H1496" s="276"/>
      <c r="I1496" s="276"/>
      <c r="J1496" s="276"/>
    </row>
    <row r="1497" spans="1:10">
      <c r="A1497" s="103" t="s">
        <v>2907</v>
      </c>
      <c r="B1497" s="124" t="s">
        <v>2908</v>
      </c>
      <c r="C1497" s="110">
        <v>2987</v>
      </c>
      <c r="D1497" s="109" t="s">
        <v>120</v>
      </c>
      <c r="E1497" s="109">
        <v>30</v>
      </c>
      <c r="F1497" s="110">
        <v>29718</v>
      </c>
      <c r="G1497" s="109" t="s">
        <v>120</v>
      </c>
      <c r="H1497" s="109">
        <v>995</v>
      </c>
      <c r="I1497" s="109">
        <v>2170</v>
      </c>
      <c r="J1497" s="110">
        <v>195</v>
      </c>
    </row>
    <row r="1498" spans="1:10" s="119" customFormat="1">
      <c r="A1498" s="123" t="s">
        <v>120</v>
      </c>
      <c r="B1498" s="275" t="s">
        <v>943</v>
      </c>
      <c r="C1498" s="276"/>
      <c r="D1498" s="276"/>
      <c r="E1498" s="276"/>
      <c r="F1498" s="276"/>
      <c r="G1498" s="276"/>
      <c r="H1498" s="276"/>
      <c r="I1498" s="276"/>
      <c r="J1498" s="276"/>
    </row>
    <row r="1499" spans="1:10">
      <c r="A1499" s="103" t="s">
        <v>2909</v>
      </c>
      <c r="B1499" s="124" t="s">
        <v>2908</v>
      </c>
      <c r="C1499" s="110">
        <v>13087</v>
      </c>
      <c r="D1499" s="109" t="s">
        <v>120</v>
      </c>
      <c r="E1499" s="109">
        <v>132</v>
      </c>
      <c r="F1499" s="110">
        <v>20024</v>
      </c>
      <c r="G1499" s="109" t="s">
        <v>120</v>
      </c>
      <c r="H1499" s="109">
        <v>153</v>
      </c>
      <c r="I1499" s="109">
        <v>898</v>
      </c>
      <c r="J1499" s="110">
        <v>343</v>
      </c>
    </row>
    <row r="1500" spans="1:10">
      <c r="A1500" s="103" t="s">
        <v>2910</v>
      </c>
      <c r="B1500" s="124" t="s">
        <v>2911</v>
      </c>
      <c r="C1500" s="110">
        <v>10833</v>
      </c>
      <c r="D1500" s="109" t="s">
        <v>120</v>
      </c>
      <c r="E1500" s="109">
        <v>108</v>
      </c>
      <c r="F1500" s="110">
        <v>6534</v>
      </c>
      <c r="G1500" s="109" t="s">
        <v>120</v>
      </c>
      <c r="H1500" s="109">
        <v>60</v>
      </c>
      <c r="I1500" s="109">
        <v>1253</v>
      </c>
      <c r="J1500" s="110">
        <v>1392</v>
      </c>
    </row>
    <row r="1501" spans="1:10">
      <c r="A1501" s="103" t="s">
        <v>2912</v>
      </c>
      <c r="B1501" s="124" t="s">
        <v>2913</v>
      </c>
      <c r="C1501" s="110">
        <v>6030</v>
      </c>
      <c r="D1501" s="109" t="s">
        <v>120</v>
      </c>
      <c r="E1501" s="109">
        <v>60</v>
      </c>
      <c r="F1501" s="110">
        <v>5659</v>
      </c>
      <c r="G1501" s="109" t="s">
        <v>120</v>
      </c>
      <c r="H1501" s="109">
        <v>94</v>
      </c>
      <c r="I1501" s="109">
        <v>1948</v>
      </c>
      <c r="J1501" s="110">
        <v>1581</v>
      </c>
    </row>
    <row r="1502" spans="1:10">
      <c r="A1502" s="103" t="s">
        <v>2914</v>
      </c>
      <c r="B1502" s="124" t="s">
        <v>2915</v>
      </c>
      <c r="C1502" s="110">
        <v>7170</v>
      </c>
      <c r="D1502" s="109" t="s">
        <v>120</v>
      </c>
      <c r="E1502" s="109">
        <v>72</v>
      </c>
      <c r="F1502" s="110">
        <v>8197</v>
      </c>
      <c r="G1502" s="109" t="s">
        <v>120</v>
      </c>
      <c r="H1502" s="109">
        <v>114</v>
      </c>
      <c r="I1502" s="109">
        <v>1825</v>
      </c>
      <c r="J1502" s="110">
        <v>1095</v>
      </c>
    </row>
    <row r="1503" spans="1:10">
      <c r="A1503" s="103" t="s">
        <v>2916</v>
      </c>
      <c r="B1503" s="124" t="s">
        <v>2917</v>
      </c>
      <c r="C1503" s="110">
        <v>8635</v>
      </c>
      <c r="D1503" s="109" t="s">
        <v>120</v>
      </c>
      <c r="E1503" s="109">
        <v>86</v>
      </c>
      <c r="F1503" s="110">
        <v>11348</v>
      </c>
      <c r="G1503" s="109" t="s">
        <v>120</v>
      </c>
      <c r="H1503" s="109">
        <v>131</v>
      </c>
      <c r="I1503" s="109">
        <v>1587</v>
      </c>
      <c r="J1503" s="110">
        <v>754</v>
      </c>
    </row>
    <row r="1504" spans="1:10">
      <c r="A1504" s="103" t="s">
        <v>2918</v>
      </c>
      <c r="B1504" s="124" t="s">
        <v>2919</v>
      </c>
      <c r="C1504" s="110">
        <v>4409</v>
      </c>
      <c r="D1504" s="109" t="s">
        <v>120</v>
      </c>
      <c r="E1504" s="109">
        <v>44</v>
      </c>
      <c r="F1504" s="110">
        <v>5641</v>
      </c>
      <c r="G1504" s="109" t="s">
        <v>120</v>
      </c>
      <c r="H1504" s="109">
        <v>128</v>
      </c>
      <c r="I1504" s="109">
        <v>2064</v>
      </c>
      <c r="J1504" s="110">
        <v>1583</v>
      </c>
    </row>
    <row r="1505" spans="1:10">
      <c r="A1505" s="103" t="s">
        <v>2920</v>
      </c>
      <c r="B1505" s="124" t="s">
        <v>2921</v>
      </c>
      <c r="C1505" s="110">
        <v>3489</v>
      </c>
      <c r="D1505" s="109" t="s">
        <v>120</v>
      </c>
      <c r="E1505" s="109">
        <v>35</v>
      </c>
      <c r="F1505" s="110">
        <v>5560</v>
      </c>
      <c r="G1505" s="109" t="s">
        <v>120</v>
      </c>
      <c r="H1505" s="109">
        <v>159</v>
      </c>
      <c r="I1505" s="109">
        <v>2128</v>
      </c>
      <c r="J1505" s="110">
        <v>1602</v>
      </c>
    </row>
    <row r="1506" spans="1:10" s="119" customFormat="1">
      <c r="A1506" s="123" t="s">
        <v>120</v>
      </c>
      <c r="B1506" s="275" t="s">
        <v>1026</v>
      </c>
      <c r="C1506" s="276"/>
      <c r="D1506" s="276"/>
      <c r="E1506" s="276"/>
      <c r="F1506" s="276"/>
      <c r="G1506" s="276"/>
      <c r="H1506" s="276"/>
      <c r="I1506" s="276"/>
      <c r="J1506" s="276"/>
    </row>
    <row r="1507" spans="1:10">
      <c r="A1507" s="103" t="s">
        <v>2922</v>
      </c>
      <c r="B1507" s="124" t="s">
        <v>2923</v>
      </c>
      <c r="C1507" s="110">
        <v>8216</v>
      </c>
      <c r="D1507" s="109" t="s">
        <v>120</v>
      </c>
      <c r="E1507" s="109">
        <v>82</v>
      </c>
      <c r="F1507" s="110">
        <v>14177</v>
      </c>
      <c r="G1507" s="109" t="s">
        <v>120</v>
      </c>
      <c r="H1507" s="109">
        <v>173</v>
      </c>
      <c r="I1507" s="109">
        <v>1669</v>
      </c>
      <c r="J1507" s="110">
        <v>562</v>
      </c>
    </row>
    <row r="1508" spans="1:10">
      <c r="A1508" s="103" t="s">
        <v>2924</v>
      </c>
      <c r="B1508" s="124" t="s">
        <v>932</v>
      </c>
      <c r="C1508" s="110">
        <v>497</v>
      </c>
      <c r="D1508" s="109" t="s">
        <v>120</v>
      </c>
      <c r="E1508" s="109">
        <v>5</v>
      </c>
      <c r="F1508" s="110">
        <v>2758</v>
      </c>
      <c r="G1508" s="109" t="s">
        <v>120</v>
      </c>
      <c r="H1508" s="109">
        <v>555</v>
      </c>
      <c r="I1508" s="109" t="s">
        <v>122</v>
      </c>
      <c r="J1508" s="110" t="s">
        <v>122</v>
      </c>
    </row>
    <row r="1509" spans="1:10">
      <c r="A1509" s="103" t="s">
        <v>2925</v>
      </c>
      <c r="B1509" s="124" t="s">
        <v>934</v>
      </c>
      <c r="C1509" s="110">
        <v>7719</v>
      </c>
      <c r="D1509" s="109" t="s">
        <v>120</v>
      </c>
      <c r="E1509" s="109">
        <v>77</v>
      </c>
      <c r="F1509" s="110">
        <v>11419</v>
      </c>
      <c r="G1509" s="109" t="s">
        <v>120</v>
      </c>
      <c r="H1509" s="109">
        <v>148</v>
      </c>
      <c r="I1509" s="109" t="s">
        <v>122</v>
      </c>
      <c r="J1509" s="110" t="s">
        <v>122</v>
      </c>
    </row>
    <row r="1510" spans="1:10" s="119" customFormat="1">
      <c r="A1510" s="123" t="s">
        <v>120</v>
      </c>
      <c r="B1510" s="273" t="s">
        <v>2926</v>
      </c>
      <c r="C1510" s="274"/>
      <c r="D1510" s="274"/>
      <c r="E1510" s="274"/>
      <c r="F1510" s="274"/>
      <c r="G1510" s="274"/>
      <c r="H1510" s="274"/>
      <c r="I1510" s="274"/>
      <c r="J1510" s="274"/>
    </row>
    <row r="1511" spans="1:10" s="119" customFormat="1">
      <c r="A1511" s="123" t="s">
        <v>120</v>
      </c>
      <c r="B1511" s="275" t="s">
        <v>943</v>
      </c>
      <c r="C1511" s="276"/>
      <c r="D1511" s="276"/>
      <c r="E1511" s="276"/>
      <c r="F1511" s="276"/>
      <c r="G1511" s="276"/>
      <c r="H1511" s="276"/>
      <c r="I1511" s="276"/>
      <c r="J1511" s="276"/>
    </row>
    <row r="1512" spans="1:10">
      <c r="A1512" s="103" t="s">
        <v>2927</v>
      </c>
      <c r="B1512" s="124" t="s">
        <v>2928</v>
      </c>
      <c r="C1512" s="110">
        <v>10270</v>
      </c>
      <c r="D1512" s="109" t="s">
        <v>120</v>
      </c>
      <c r="E1512" s="109">
        <v>103</v>
      </c>
      <c r="F1512" s="110">
        <v>8337</v>
      </c>
      <c r="G1512" s="109" t="s">
        <v>120</v>
      </c>
      <c r="H1512" s="109">
        <v>81</v>
      </c>
      <c r="I1512" s="109">
        <v>1342</v>
      </c>
      <c r="J1512" s="110">
        <v>1072</v>
      </c>
    </row>
    <row r="1513" spans="1:10">
      <c r="A1513" s="103" t="s">
        <v>2929</v>
      </c>
      <c r="B1513" s="124" t="s">
        <v>2930</v>
      </c>
      <c r="C1513" s="110">
        <v>8160</v>
      </c>
      <c r="D1513" s="109" t="s">
        <v>120</v>
      </c>
      <c r="E1513" s="109">
        <v>82</v>
      </c>
      <c r="F1513" s="110">
        <v>14746</v>
      </c>
      <c r="G1513" s="109" t="s">
        <v>120</v>
      </c>
      <c r="H1513" s="109">
        <v>181</v>
      </c>
      <c r="I1513" s="109">
        <v>1678</v>
      </c>
      <c r="J1513" s="110">
        <v>529</v>
      </c>
    </row>
    <row r="1514" spans="1:10">
      <c r="A1514" s="103" t="s">
        <v>2931</v>
      </c>
      <c r="B1514" s="124" t="s">
        <v>2932</v>
      </c>
      <c r="C1514" s="110">
        <v>5499</v>
      </c>
      <c r="D1514" s="109" t="s">
        <v>120</v>
      </c>
      <c r="E1514" s="109">
        <v>55</v>
      </c>
      <c r="F1514" s="110">
        <v>8029</v>
      </c>
      <c r="G1514" s="109" t="s">
        <v>120</v>
      </c>
      <c r="H1514" s="109">
        <v>146</v>
      </c>
      <c r="I1514" s="109">
        <v>1985</v>
      </c>
      <c r="J1514" s="110">
        <v>1118</v>
      </c>
    </row>
    <row r="1515" spans="1:10">
      <c r="A1515" s="103" t="s">
        <v>2933</v>
      </c>
      <c r="B1515" s="124" t="s">
        <v>2934</v>
      </c>
      <c r="C1515" s="110">
        <v>4722</v>
      </c>
      <c r="D1515" s="109" t="s">
        <v>120</v>
      </c>
      <c r="E1515" s="109">
        <v>47</v>
      </c>
      <c r="F1515" s="110">
        <v>6483</v>
      </c>
      <c r="G1515" s="109" t="s">
        <v>120</v>
      </c>
      <c r="H1515" s="109">
        <v>137</v>
      </c>
      <c r="I1515" s="109">
        <v>2042</v>
      </c>
      <c r="J1515" s="110">
        <v>1404</v>
      </c>
    </row>
    <row r="1516" spans="1:10">
      <c r="A1516" s="103" t="s">
        <v>2935</v>
      </c>
      <c r="B1516" s="124" t="s">
        <v>2936</v>
      </c>
      <c r="C1516" s="110">
        <v>13492</v>
      </c>
      <c r="D1516" s="109" t="s">
        <v>120</v>
      </c>
      <c r="E1516" s="109">
        <v>135</v>
      </c>
      <c r="F1516" s="110">
        <v>9487</v>
      </c>
      <c r="G1516" s="109" t="s">
        <v>120</v>
      </c>
      <c r="H1516" s="109">
        <v>70</v>
      </c>
      <c r="I1516" s="109">
        <v>839</v>
      </c>
      <c r="J1516" s="110">
        <v>924</v>
      </c>
    </row>
    <row r="1517" spans="1:10" s="119" customFormat="1">
      <c r="A1517" s="123" t="s">
        <v>120</v>
      </c>
      <c r="B1517" s="275" t="s">
        <v>947</v>
      </c>
      <c r="C1517" s="276"/>
      <c r="D1517" s="276"/>
      <c r="E1517" s="276"/>
      <c r="F1517" s="276"/>
      <c r="G1517" s="276"/>
      <c r="H1517" s="276"/>
      <c r="I1517" s="276"/>
      <c r="J1517" s="276"/>
    </row>
    <row r="1518" spans="1:10">
      <c r="A1518" s="103" t="s">
        <v>2937</v>
      </c>
      <c r="B1518" s="124" t="s">
        <v>2938</v>
      </c>
      <c r="C1518" s="110">
        <v>10266</v>
      </c>
      <c r="D1518" s="109" t="s">
        <v>120</v>
      </c>
      <c r="E1518" s="109">
        <v>103</v>
      </c>
      <c r="F1518" s="110">
        <v>36291</v>
      </c>
      <c r="G1518" s="109" t="s">
        <v>120</v>
      </c>
      <c r="H1518" s="109">
        <v>354</v>
      </c>
      <c r="I1518" s="109">
        <v>1344</v>
      </c>
      <c r="J1518" s="110">
        <v>144</v>
      </c>
    </row>
    <row r="1519" spans="1:10">
      <c r="A1519" s="103" t="s">
        <v>2939</v>
      </c>
      <c r="B1519" s="124" t="s">
        <v>932</v>
      </c>
      <c r="C1519" s="110">
        <v>1192</v>
      </c>
      <c r="D1519" s="109" t="s">
        <v>120</v>
      </c>
      <c r="E1519" s="109">
        <v>12</v>
      </c>
      <c r="F1519" s="110">
        <v>16819</v>
      </c>
      <c r="G1519" s="109" t="s">
        <v>120</v>
      </c>
      <c r="H1519" s="109">
        <v>1411</v>
      </c>
      <c r="I1519" s="109" t="s">
        <v>122</v>
      </c>
      <c r="J1519" s="110" t="s">
        <v>122</v>
      </c>
    </row>
    <row r="1520" spans="1:10">
      <c r="A1520" s="103" t="s">
        <v>2940</v>
      </c>
      <c r="B1520" s="124" t="s">
        <v>934</v>
      </c>
      <c r="C1520" s="110">
        <v>9074</v>
      </c>
      <c r="D1520" s="109" t="s">
        <v>120</v>
      </c>
      <c r="E1520" s="109">
        <v>91</v>
      </c>
      <c r="F1520" s="110">
        <v>19472</v>
      </c>
      <c r="G1520" s="109" t="s">
        <v>120</v>
      </c>
      <c r="H1520" s="109">
        <v>215</v>
      </c>
      <c r="I1520" s="109" t="s">
        <v>122</v>
      </c>
      <c r="J1520" s="110" t="s">
        <v>122</v>
      </c>
    </row>
    <row r="1521" spans="1:10">
      <c r="A1521" s="103" t="s">
        <v>2941</v>
      </c>
      <c r="B1521" s="124" t="s">
        <v>2942</v>
      </c>
      <c r="C1521" s="110">
        <v>6643</v>
      </c>
      <c r="D1521" s="109" t="s">
        <v>120</v>
      </c>
      <c r="E1521" s="109">
        <v>66</v>
      </c>
      <c r="F1521" s="110">
        <v>9828</v>
      </c>
      <c r="G1521" s="109" t="s">
        <v>120</v>
      </c>
      <c r="H1521" s="109">
        <v>148</v>
      </c>
      <c r="I1521" s="109">
        <v>1889</v>
      </c>
      <c r="J1521" s="110">
        <v>891</v>
      </c>
    </row>
    <row r="1522" spans="1:10">
      <c r="A1522" s="103" t="s">
        <v>2943</v>
      </c>
      <c r="B1522" s="124" t="s">
        <v>932</v>
      </c>
      <c r="C1522" s="110">
        <v>1409</v>
      </c>
      <c r="D1522" s="109" t="s">
        <v>120</v>
      </c>
      <c r="E1522" s="109">
        <v>14</v>
      </c>
      <c r="F1522" s="110">
        <v>2340</v>
      </c>
      <c r="G1522" s="109" t="s">
        <v>120</v>
      </c>
      <c r="H1522" s="109">
        <v>166</v>
      </c>
      <c r="I1522" s="109" t="s">
        <v>122</v>
      </c>
      <c r="J1522" s="110" t="s">
        <v>122</v>
      </c>
    </row>
    <row r="1523" spans="1:10">
      <c r="A1523" s="103" t="s">
        <v>2944</v>
      </c>
      <c r="B1523" s="124" t="s">
        <v>934</v>
      </c>
      <c r="C1523" s="110">
        <v>5234</v>
      </c>
      <c r="D1523" s="109" t="s">
        <v>120</v>
      </c>
      <c r="E1523" s="109">
        <v>52</v>
      </c>
      <c r="F1523" s="110">
        <v>7488</v>
      </c>
      <c r="G1523" s="109" t="s">
        <v>120</v>
      </c>
      <c r="H1523" s="109">
        <v>143</v>
      </c>
      <c r="I1523" s="109" t="s">
        <v>122</v>
      </c>
      <c r="J1523" s="110" t="s">
        <v>122</v>
      </c>
    </row>
    <row r="1524" spans="1:10" s="119" customFormat="1">
      <c r="A1524" s="123" t="s">
        <v>120</v>
      </c>
      <c r="B1524" s="273" t="s">
        <v>2945</v>
      </c>
      <c r="C1524" s="274"/>
      <c r="D1524" s="274"/>
      <c r="E1524" s="274"/>
      <c r="F1524" s="274"/>
      <c r="G1524" s="274"/>
      <c r="H1524" s="274"/>
      <c r="I1524" s="274"/>
      <c r="J1524" s="274"/>
    </row>
    <row r="1525" spans="1:10" s="119" customFormat="1">
      <c r="A1525" s="123" t="s">
        <v>120</v>
      </c>
      <c r="B1525" s="275" t="s">
        <v>1296</v>
      </c>
      <c r="C1525" s="276"/>
      <c r="D1525" s="276"/>
      <c r="E1525" s="276"/>
      <c r="F1525" s="276"/>
      <c r="G1525" s="276"/>
      <c r="H1525" s="276"/>
      <c r="I1525" s="276"/>
      <c r="J1525" s="276"/>
    </row>
    <row r="1526" spans="1:10">
      <c r="A1526" s="103" t="s">
        <v>2946</v>
      </c>
      <c r="B1526" s="124" t="s">
        <v>2947</v>
      </c>
      <c r="C1526" s="110">
        <v>5404</v>
      </c>
      <c r="D1526" s="109" t="s">
        <v>120</v>
      </c>
      <c r="E1526" s="109">
        <v>55</v>
      </c>
      <c r="F1526" s="110">
        <v>9097</v>
      </c>
      <c r="G1526" s="109" t="s">
        <v>120</v>
      </c>
      <c r="H1526" s="109">
        <v>168</v>
      </c>
      <c r="I1526" s="109">
        <v>1994</v>
      </c>
      <c r="J1526" s="110">
        <v>965</v>
      </c>
    </row>
    <row r="1527" spans="1:10" s="119" customFormat="1">
      <c r="A1527" s="123" t="s">
        <v>120</v>
      </c>
      <c r="B1527" s="275" t="s">
        <v>947</v>
      </c>
      <c r="C1527" s="276"/>
      <c r="D1527" s="276"/>
      <c r="E1527" s="276"/>
      <c r="F1527" s="276"/>
      <c r="G1527" s="276"/>
      <c r="H1527" s="276"/>
      <c r="I1527" s="276"/>
      <c r="J1527" s="276"/>
    </row>
    <row r="1528" spans="1:10">
      <c r="A1528" s="103" t="s">
        <v>2948</v>
      </c>
      <c r="B1528" s="124" t="s">
        <v>2949</v>
      </c>
      <c r="C1528" s="110">
        <v>7417</v>
      </c>
      <c r="D1528" s="109" t="s">
        <v>120</v>
      </c>
      <c r="E1528" s="109">
        <v>74</v>
      </c>
      <c r="F1528" s="110">
        <v>12529</v>
      </c>
      <c r="G1528" s="109" t="s">
        <v>120</v>
      </c>
      <c r="H1528" s="109">
        <v>169</v>
      </c>
      <c r="I1528" s="109">
        <v>1789</v>
      </c>
      <c r="J1528" s="110">
        <v>661</v>
      </c>
    </row>
    <row r="1529" spans="1:10">
      <c r="A1529" s="103" t="s">
        <v>2950</v>
      </c>
      <c r="B1529" s="124" t="s">
        <v>932</v>
      </c>
      <c r="C1529" s="110">
        <v>888</v>
      </c>
      <c r="D1529" s="109" t="s">
        <v>120</v>
      </c>
      <c r="E1529" s="109">
        <v>9</v>
      </c>
      <c r="F1529" s="110">
        <v>3344</v>
      </c>
      <c r="G1529" s="109" t="s">
        <v>120</v>
      </c>
      <c r="H1529" s="109">
        <v>377</v>
      </c>
      <c r="I1529" s="109" t="s">
        <v>122</v>
      </c>
      <c r="J1529" s="110" t="s">
        <v>122</v>
      </c>
    </row>
    <row r="1530" spans="1:10">
      <c r="A1530" s="103" t="s">
        <v>2951</v>
      </c>
      <c r="B1530" s="124" t="s">
        <v>934</v>
      </c>
      <c r="C1530" s="110">
        <v>6529</v>
      </c>
      <c r="D1530" s="109" t="s">
        <v>120</v>
      </c>
      <c r="E1530" s="109">
        <v>65</v>
      </c>
      <c r="F1530" s="110">
        <v>9185</v>
      </c>
      <c r="G1530" s="109" t="s">
        <v>120</v>
      </c>
      <c r="H1530" s="109">
        <v>141</v>
      </c>
      <c r="I1530" s="109" t="s">
        <v>122</v>
      </c>
      <c r="J1530" s="110" t="s">
        <v>122</v>
      </c>
    </row>
    <row r="1531" spans="1:10">
      <c r="A1531" s="103" t="s">
        <v>2952</v>
      </c>
      <c r="B1531" s="124" t="s">
        <v>1890</v>
      </c>
      <c r="C1531" s="110">
        <v>7944</v>
      </c>
      <c r="D1531" s="109" t="s">
        <v>120</v>
      </c>
      <c r="E1531" s="109">
        <v>79</v>
      </c>
      <c r="F1531" s="110">
        <v>46787</v>
      </c>
      <c r="G1531" s="109" t="s">
        <v>120</v>
      </c>
      <c r="H1531" s="109">
        <v>589</v>
      </c>
      <c r="I1531" s="109">
        <v>1709</v>
      </c>
      <c r="J1531" s="110">
        <v>102</v>
      </c>
    </row>
    <row r="1532" spans="1:10">
      <c r="A1532" s="103" t="s">
        <v>2953</v>
      </c>
      <c r="B1532" s="124" t="s">
        <v>932</v>
      </c>
      <c r="C1532" s="110">
        <v>3832</v>
      </c>
      <c r="D1532" s="109" t="s">
        <v>120</v>
      </c>
      <c r="E1532" s="109">
        <v>38</v>
      </c>
      <c r="F1532" s="110">
        <v>36575</v>
      </c>
      <c r="G1532" s="109" t="s">
        <v>120</v>
      </c>
      <c r="H1532" s="109">
        <v>954</v>
      </c>
      <c r="I1532" s="109" t="s">
        <v>122</v>
      </c>
      <c r="J1532" s="110" t="s">
        <v>122</v>
      </c>
    </row>
    <row r="1533" spans="1:10">
      <c r="A1533" s="103" t="s">
        <v>2954</v>
      </c>
      <c r="B1533" s="124" t="s">
        <v>934</v>
      </c>
      <c r="C1533" s="110">
        <v>4112</v>
      </c>
      <c r="D1533" s="109" t="s">
        <v>120</v>
      </c>
      <c r="E1533" s="109">
        <v>41</v>
      </c>
      <c r="F1533" s="110">
        <v>10212</v>
      </c>
      <c r="G1533" s="109" t="s">
        <v>120</v>
      </c>
      <c r="H1533" s="109">
        <v>248</v>
      </c>
      <c r="I1533" s="109" t="s">
        <v>122</v>
      </c>
      <c r="J1533" s="110" t="s">
        <v>122</v>
      </c>
    </row>
    <row r="1534" spans="1:10">
      <c r="A1534" s="103" t="s">
        <v>2955</v>
      </c>
      <c r="B1534" s="124" t="s">
        <v>2956</v>
      </c>
      <c r="C1534" s="110">
        <v>5707</v>
      </c>
      <c r="D1534" s="109" t="s">
        <v>120</v>
      </c>
      <c r="E1534" s="109">
        <v>57</v>
      </c>
      <c r="F1534" s="110">
        <v>22342</v>
      </c>
      <c r="G1534" s="109" t="s">
        <v>120</v>
      </c>
      <c r="H1534" s="109">
        <v>391</v>
      </c>
      <c r="I1534" s="109">
        <v>1971</v>
      </c>
      <c r="J1534" s="110">
        <v>294</v>
      </c>
    </row>
    <row r="1535" spans="1:10">
      <c r="A1535" s="103" t="s">
        <v>2957</v>
      </c>
      <c r="B1535" s="124" t="s">
        <v>932</v>
      </c>
      <c r="C1535" s="110">
        <v>3585</v>
      </c>
      <c r="D1535" s="109" t="s">
        <v>120</v>
      </c>
      <c r="E1535" s="109">
        <v>36</v>
      </c>
      <c r="F1535" s="110">
        <v>17003</v>
      </c>
      <c r="G1535" s="109" t="s">
        <v>120</v>
      </c>
      <c r="H1535" s="109">
        <v>474</v>
      </c>
      <c r="I1535" s="109" t="s">
        <v>122</v>
      </c>
      <c r="J1535" s="110" t="s">
        <v>122</v>
      </c>
    </row>
    <row r="1536" spans="1:10">
      <c r="A1536" s="103" t="s">
        <v>2958</v>
      </c>
      <c r="B1536" s="124" t="s">
        <v>934</v>
      </c>
      <c r="C1536" s="110">
        <v>2122</v>
      </c>
      <c r="D1536" s="109" t="s">
        <v>120</v>
      </c>
      <c r="E1536" s="109">
        <v>21</v>
      </c>
      <c r="F1536" s="110">
        <v>5339</v>
      </c>
      <c r="G1536" s="109" t="s">
        <v>120</v>
      </c>
      <c r="H1536" s="109">
        <v>252</v>
      </c>
      <c r="I1536" s="109" t="s">
        <v>122</v>
      </c>
      <c r="J1536" s="110" t="s">
        <v>122</v>
      </c>
    </row>
    <row r="1537" spans="1:10">
      <c r="A1537" s="103" t="s">
        <v>2959</v>
      </c>
      <c r="B1537" s="124" t="s">
        <v>2960</v>
      </c>
      <c r="C1537" s="110">
        <v>10540</v>
      </c>
      <c r="D1537" s="109" t="s">
        <v>120</v>
      </c>
      <c r="E1537" s="109">
        <v>105</v>
      </c>
      <c r="F1537" s="110">
        <v>33781</v>
      </c>
      <c r="G1537" s="109" t="s">
        <v>120</v>
      </c>
      <c r="H1537" s="109">
        <v>321</v>
      </c>
      <c r="I1537" s="109">
        <v>1297</v>
      </c>
      <c r="J1537" s="110">
        <v>162</v>
      </c>
    </row>
    <row r="1538" spans="1:10">
      <c r="A1538" s="103" t="s">
        <v>2961</v>
      </c>
      <c r="B1538" s="124" t="s">
        <v>932</v>
      </c>
      <c r="C1538" s="110">
        <v>3194</v>
      </c>
      <c r="D1538" s="109" t="s">
        <v>120</v>
      </c>
      <c r="E1538" s="109">
        <v>32</v>
      </c>
      <c r="F1538" s="110">
        <v>19663</v>
      </c>
      <c r="G1538" s="109" t="s">
        <v>120</v>
      </c>
      <c r="H1538" s="109">
        <v>616</v>
      </c>
      <c r="I1538" s="109" t="s">
        <v>122</v>
      </c>
      <c r="J1538" s="110" t="s">
        <v>122</v>
      </c>
    </row>
    <row r="1539" spans="1:10">
      <c r="A1539" s="103" t="s">
        <v>2962</v>
      </c>
      <c r="B1539" s="124" t="s">
        <v>934</v>
      </c>
      <c r="C1539" s="110">
        <v>7346</v>
      </c>
      <c r="D1539" s="109" t="s">
        <v>120</v>
      </c>
      <c r="E1539" s="109">
        <v>73</v>
      </c>
      <c r="F1539" s="110">
        <v>14118</v>
      </c>
      <c r="G1539" s="109" t="s">
        <v>120</v>
      </c>
      <c r="H1539" s="109">
        <v>192</v>
      </c>
      <c r="I1539" s="109" t="s">
        <v>122</v>
      </c>
      <c r="J1539" s="110" t="s">
        <v>122</v>
      </c>
    </row>
    <row r="1540" spans="1:10" s="119" customFormat="1">
      <c r="A1540" s="123" t="s">
        <v>120</v>
      </c>
      <c r="B1540" s="273" t="s">
        <v>2963</v>
      </c>
      <c r="C1540" s="274"/>
      <c r="D1540" s="274"/>
      <c r="E1540" s="274"/>
      <c r="F1540" s="274"/>
      <c r="G1540" s="274"/>
      <c r="H1540" s="274"/>
      <c r="I1540" s="274"/>
      <c r="J1540" s="274"/>
    </row>
    <row r="1541" spans="1:10" s="119" customFormat="1">
      <c r="A1541" s="123" t="s">
        <v>120</v>
      </c>
      <c r="B1541" s="275" t="s">
        <v>924</v>
      </c>
      <c r="C1541" s="276"/>
      <c r="D1541" s="276"/>
      <c r="E1541" s="276"/>
      <c r="F1541" s="276"/>
      <c r="G1541" s="276"/>
      <c r="H1541" s="276"/>
      <c r="I1541" s="276"/>
      <c r="J1541" s="276"/>
    </row>
    <row r="1542" spans="1:10">
      <c r="A1542" s="103" t="s">
        <v>2964</v>
      </c>
      <c r="B1542" s="124" t="s">
        <v>2965</v>
      </c>
      <c r="C1542" s="110">
        <v>3570</v>
      </c>
      <c r="D1542" s="109" t="s">
        <v>120</v>
      </c>
      <c r="E1542" s="109">
        <v>36</v>
      </c>
      <c r="F1542" s="110">
        <v>2607</v>
      </c>
      <c r="G1542" s="109" t="s">
        <v>120</v>
      </c>
      <c r="H1542" s="109">
        <v>73</v>
      </c>
      <c r="I1542" s="109">
        <v>2122</v>
      </c>
      <c r="J1542" s="110">
        <v>2247</v>
      </c>
    </row>
    <row r="1543" spans="1:10">
      <c r="A1543" s="103" t="s">
        <v>2966</v>
      </c>
      <c r="B1543" s="124" t="s">
        <v>2967</v>
      </c>
      <c r="C1543" s="110">
        <v>4851</v>
      </c>
      <c r="D1543" s="109" t="s">
        <v>120</v>
      </c>
      <c r="E1543" s="109">
        <v>49</v>
      </c>
      <c r="F1543" s="110">
        <v>3333</v>
      </c>
      <c r="G1543" s="109" t="s">
        <v>120</v>
      </c>
      <c r="H1543" s="109">
        <v>69</v>
      </c>
      <c r="I1543" s="109">
        <v>2031</v>
      </c>
      <c r="J1543" s="110">
        <v>2140</v>
      </c>
    </row>
    <row r="1544" spans="1:10">
      <c r="A1544" s="103" t="s">
        <v>2968</v>
      </c>
      <c r="B1544" s="124" t="s">
        <v>2969</v>
      </c>
      <c r="C1544" s="110">
        <v>4440</v>
      </c>
      <c r="D1544" s="109" t="s">
        <v>120</v>
      </c>
      <c r="E1544" s="109">
        <v>44</v>
      </c>
      <c r="F1544" s="110">
        <v>3433</v>
      </c>
      <c r="G1544" s="109" t="s">
        <v>120</v>
      </c>
      <c r="H1544" s="109">
        <v>77</v>
      </c>
      <c r="I1544" s="109">
        <v>2063</v>
      </c>
      <c r="J1544" s="110">
        <v>2121</v>
      </c>
    </row>
    <row r="1545" spans="1:10">
      <c r="A1545" s="103" t="s">
        <v>2970</v>
      </c>
      <c r="B1545" s="124" t="s">
        <v>2971</v>
      </c>
      <c r="C1545" s="110">
        <v>7760</v>
      </c>
      <c r="D1545" s="109" t="s">
        <v>120</v>
      </c>
      <c r="E1545" s="109">
        <v>78</v>
      </c>
      <c r="F1545" s="110">
        <v>7966</v>
      </c>
      <c r="G1545" s="109" t="s">
        <v>120</v>
      </c>
      <c r="H1545" s="109">
        <v>103</v>
      </c>
      <c r="I1545" s="109">
        <v>1739</v>
      </c>
      <c r="J1545" s="110">
        <v>1130</v>
      </c>
    </row>
    <row r="1546" spans="1:10">
      <c r="A1546" s="103" t="s">
        <v>2972</v>
      </c>
      <c r="B1546" s="124" t="s">
        <v>2973</v>
      </c>
      <c r="C1546" s="110">
        <v>8810</v>
      </c>
      <c r="D1546" s="109" t="s">
        <v>120</v>
      </c>
      <c r="E1546" s="109">
        <v>88</v>
      </c>
      <c r="F1546" s="110">
        <v>7424</v>
      </c>
      <c r="G1546" s="109" t="s">
        <v>120</v>
      </c>
      <c r="H1546" s="109">
        <v>84</v>
      </c>
      <c r="I1546" s="109">
        <v>1559</v>
      </c>
      <c r="J1546" s="110">
        <v>1221</v>
      </c>
    </row>
    <row r="1547" spans="1:10" s="119" customFormat="1">
      <c r="A1547" s="123" t="s">
        <v>120</v>
      </c>
      <c r="B1547" s="275" t="s">
        <v>1047</v>
      </c>
      <c r="C1547" s="276"/>
      <c r="D1547" s="276"/>
      <c r="E1547" s="276"/>
      <c r="F1547" s="276"/>
      <c r="G1547" s="276"/>
      <c r="H1547" s="276"/>
      <c r="I1547" s="276"/>
      <c r="J1547" s="276"/>
    </row>
    <row r="1548" spans="1:10">
      <c r="A1548" s="103" t="s">
        <v>2974</v>
      </c>
      <c r="B1548" s="124" t="s">
        <v>2975</v>
      </c>
      <c r="C1548" s="110">
        <v>11646</v>
      </c>
      <c r="D1548" s="109" t="s">
        <v>120</v>
      </c>
      <c r="E1548" s="109">
        <v>116</v>
      </c>
      <c r="F1548" s="110">
        <v>21256</v>
      </c>
      <c r="G1548" s="109" t="s">
        <v>120</v>
      </c>
      <c r="H1548" s="109">
        <v>183</v>
      </c>
      <c r="I1548" s="109">
        <v>1107</v>
      </c>
      <c r="J1548" s="110">
        <v>319</v>
      </c>
    </row>
    <row r="1549" spans="1:10">
      <c r="A1549" s="103" t="s">
        <v>2976</v>
      </c>
      <c r="B1549" s="124" t="s">
        <v>932</v>
      </c>
      <c r="C1549" s="110">
        <v>2307</v>
      </c>
      <c r="D1549" s="109" t="s">
        <v>120</v>
      </c>
      <c r="E1549" s="109">
        <v>23</v>
      </c>
      <c r="F1549" s="110">
        <v>11864</v>
      </c>
      <c r="G1549" s="109" t="s">
        <v>120</v>
      </c>
      <c r="H1549" s="109">
        <v>514</v>
      </c>
      <c r="I1549" s="109" t="s">
        <v>122</v>
      </c>
      <c r="J1549" s="110" t="s">
        <v>122</v>
      </c>
    </row>
    <row r="1550" spans="1:10">
      <c r="A1550" s="103" t="s">
        <v>2977</v>
      </c>
      <c r="B1550" s="124" t="s">
        <v>934</v>
      </c>
      <c r="C1550" s="110">
        <v>9339</v>
      </c>
      <c r="D1550" s="109" t="s">
        <v>120</v>
      </c>
      <c r="E1550" s="109">
        <v>93</v>
      </c>
      <c r="F1550" s="110">
        <v>9392</v>
      </c>
      <c r="G1550" s="109" t="s">
        <v>120</v>
      </c>
      <c r="H1550" s="109">
        <v>101</v>
      </c>
      <c r="I1550" s="109" t="s">
        <v>122</v>
      </c>
      <c r="J1550" s="110" t="s">
        <v>122</v>
      </c>
    </row>
    <row r="1551" spans="1:10">
      <c r="A1551" s="103" t="s">
        <v>2978</v>
      </c>
      <c r="B1551" s="124" t="s">
        <v>2979</v>
      </c>
      <c r="C1551" s="110">
        <v>11948</v>
      </c>
      <c r="D1551" s="109" t="s">
        <v>120</v>
      </c>
      <c r="E1551" s="109">
        <v>119</v>
      </c>
      <c r="F1551" s="110">
        <v>13155</v>
      </c>
      <c r="G1551" s="109" t="s">
        <v>120</v>
      </c>
      <c r="H1551" s="109">
        <v>110</v>
      </c>
      <c r="I1551" s="109">
        <v>1062</v>
      </c>
      <c r="J1551" s="110">
        <v>617</v>
      </c>
    </row>
    <row r="1552" spans="1:10">
      <c r="A1552" s="103" t="s">
        <v>2980</v>
      </c>
      <c r="B1552" s="124" t="s">
        <v>932</v>
      </c>
      <c r="C1552" s="110">
        <v>685</v>
      </c>
      <c r="D1552" s="109" t="s">
        <v>120</v>
      </c>
      <c r="E1552" s="109">
        <v>7</v>
      </c>
      <c r="F1552" s="110">
        <v>4157</v>
      </c>
      <c r="G1552" s="109" t="s">
        <v>120</v>
      </c>
      <c r="H1552" s="109">
        <v>607</v>
      </c>
      <c r="I1552" s="109" t="s">
        <v>122</v>
      </c>
      <c r="J1552" s="110" t="s">
        <v>122</v>
      </c>
    </row>
    <row r="1553" spans="1:10">
      <c r="A1553" s="103" t="s">
        <v>2981</v>
      </c>
      <c r="B1553" s="124" t="s">
        <v>934</v>
      </c>
      <c r="C1553" s="110">
        <v>11263</v>
      </c>
      <c r="D1553" s="109" t="s">
        <v>120</v>
      </c>
      <c r="E1553" s="109">
        <v>112</v>
      </c>
      <c r="F1553" s="110">
        <v>8998</v>
      </c>
      <c r="G1553" s="109" t="s">
        <v>120</v>
      </c>
      <c r="H1553" s="109">
        <v>80</v>
      </c>
      <c r="I1553" s="109" t="s">
        <v>122</v>
      </c>
      <c r="J1553" s="110" t="s">
        <v>122</v>
      </c>
    </row>
    <row r="1554" spans="1:10" s="119" customFormat="1">
      <c r="A1554" s="123" t="s">
        <v>120</v>
      </c>
      <c r="B1554" s="273" t="s">
        <v>2982</v>
      </c>
      <c r="C1554" s="274"/>
      <c r="D1554" s="274"/>
      <c r="E1554" s="274"/>
      <c r="F1554" s="274"/>
      <c r="G1554" s="274"/>
      <c r="H1554" s="274"/>
      <c r="I1554" s="274"/>
      <c r="J1554" s="274"/>
    </row>
    <row r="1555" spans="1:10" s="119" customFormat="1">
      <c r="A1555" s="123" t="s">
        <v>120</v>
      </c>
      <c r="B1555" s="275" t="s">
        <v>922</v>
      </c>
      <c r="C1555" s="276"/>
      <c r="D1555" s="276"/>
      <c r="E1555" s="276"/>
      <c r="F1555" s="276"/>
      <c r="G1555" s="276"/>
      <c r="H1555" s="276"/>
      <c r="I1555" s="276"/>
      <c r="J1555" s="276"/>
    </row>
    <row r="1556" spans="1:10">
      <c r="A1556" s="103" t="s">
        <v>2983</v>
      </c>
      <c r="B1556" s="124" t="s">
        <v>2984</v>
      </c>
      <c r="C1556" s="110">
        <v>2353</v>
      </c>
      <c r="D1556" s="109" t="s">
        <v>120</v>
      </c>
      <c r="E1556" s="109">
        <v>24</v>
      </c>
      <c r="F1556" s="110">
        <v>27357</v>
      </c>
      <c r="G1556" s="109" t="s">
        <v>120</v>
      </c>
      <c r="H1556" s="109">
        <v>1163</v>
      </c>
      <c r="I1556" s="109">
        <v>2207</v>
      </c>
      <c r="J1556" s="110">
        <v>214</v>
      </c>
    </row>
    <row r="1557" spans="1:10" s="119" customFormat="1">
      <c r="A1557" s="123" t="s">
        <v>120</v>
      </c>
      <c r="B1557" s="275" t="s">
        <v>943</v>
      </c>
      <c r="C1557" s="276"/>
      <c r="D1557" s="276"/>
      <c r="E1557" s="276"/>
      <c r="F1557" s="276"/>
      <c r="G1557" s="276"/>
      <c r="H1557" s="276"/>
      <c r="I1557" s="276"/>
      <c r="J1557" s="276"/>
    </row>
    <row r="1558" spans="1:10">
      <c r="A1558" s="103" t="s">
        <v>2985</v>
      </c>
      <c r="B1558" s="124" t="s">
        <v>2984</v>
      </c>
      <c r="C1558" s="110">
        <v>10285</v>
      </c>
      <c r="D1558" s="109" t="s">
        <v>120</v>
      </c>
      <c r="E1558" s="109">
        <v>103</v>
      </c>
      <c r="F1558" s="110">
        <v>17278</v>
      </c>
      <c r="G1558" s="109" t="s">
        <v>120</v>
      </c>
      <c r="H1558" s="109">
        <v>168</v>
      </c>
      <c r="I1558" s="109">
        <v>1341</v>
      </c>
      <c r="J1558" s="110">
        <v>422</v>
      </c>
    </row>
    <row r="1559" spans="1:10">
      <c r="A1559" s="103" t="s">
        <v>2986</v>
      </c>
      <c r="B1559" s="124" t="s">
        <v>2987</v>
      </c>
      <c r="C1559" s="110">
        <v>6646</v>
      </c>
      <c r="D1559" s="109" t="s">
        <v>120</v>
      </c>
      <c r="E1559" s="109">
        <v>66</v>
      </c>
      <c r="F1559" s="110">
        <v>6792</v>
      </c>
      <c r="G1559" s="109" t="s">
        <v>120</v>
      </c>
      <c r="H1559" s="109">
        <v>102</v>
      </c>
      <c r="I1559" s="109">
        <v>1887</v>
      </c>
      <c r="J1559" s="110">
        <v>1342</v>
      </c>
    </row>
    <row r="1560" spans="1:10">
      <c r="A1560" s="103" t="s">
        <v>2988</v>
      </c>
      <c r="B1560" s="124" t="s">
        <v>2989</v>
      </c>
      <c r="C1560" s="110">
        <v>5627</v>
      </c>
      <c r="D1560" s="109" t="s">
        <v>120</v>
      </c>
      <c r="E1560" s="109">
        <v>56</v>
      </c>
      <c r="F1560" s="110">
        <v>8535</v>
      </c>
      <c r="G1560" s="109" t="s">
        <v>120</v>
      </c>
      <c r="H1560" s="109">
        <v>152</v>
      </c>
      <c r="I1560" s="109">
        <v>1980</v>
      </c>
      <c r="J1560" s="110">
        <v>1043</v>
      </c>
    </row>
    <row r="1561" spans="1:10">
      <c r="A1561" s="103" t="s">
        <v>2990</v>
      </c>
      <c r="B1561" s="124" t="s">
        <v>2683</v>
      </c>
      <c r="C1561" s="110">
        <v>3762</v>
      </c>
      <c r="D1561" s="109" t="s">
        <v>120</v>
      </c>
      <c r="E1561" s="109">
        <v>38</v>
      </c>
      <c r="F1561" s="110">
        <v>4983</v>
      </c>
      <c r="G1561" s="109" t="s">
        <v>120</v>
      </c>
      <c r="H1561" s="109">
        <v>132</v>
      </c>
      <c r="I1561" s="109">
        <v>2110</v>
      </c>
      <c r="J1561" s="110">
        <v>1744</v>
      </c>
    </row>
    <row r="1562" spans="1:10">
      <c r="A1562" s="103" t="s">
        <v>2991</v>
      </c>
      <c r="B1562" s="124" t="s">
        <v>2992</v>
      </c>
      <c r="C1562" s="110">
        <v>4911</v>
      </c>
      <c r="D1562" s="109" t="s">
        <v>120</v>
      </c>
      <c r="E1562" s="109">
        <v>49</v>
      </c>
      <c r="F1562" s="110">
        <v>5507</v>
      </c>
      <c r="G1562" s="109" t="s">
        <v>120</v>
      </c>
      <c r="H1562" s="109">
        <v>112</v>
      </c>
      <c r="I1562" s="109">
        <v>2028</v>
      </c>
      <c r="J1562" s="110">
        <v>1614</v>
      </c>
    </row>
    <row r="1563" spans="1:10">
      <c r="A1563" s="103" t="s">
        <v>2993</v>
      </c>
      <c r="B1563" s="124" t="s">
        <v>2994</v>
      </c>
      <c r="C1563" s="110">
        <v>19480</v>
      </c>
      <c r="D1563" s="109" t="s">
        <v>120</v>
      </c>
      <c r="E1563" s="109">
        <v>195</v>
      </c>
      <c r="F1563" s="110">
        <v>4980</v>
      </c>
      <c r="G1563" s="109" t="s">
        <v>120</v>
      </c>
      <c r="H1563" s="109">
        <v>26</v>
      </c>
      <c r="I1563" s="109">
        <v>373</v>
      </c>
      <c r="J1563" s="110">
        <v>1745</v>
      </c>
    </row>
    <row r="1564" spans="1:10">
      <c r="A1564" s="103" t="s">
        <v>2995</v>
      </c>
      <c r="B1564" s="124" t="s">
        <v>2996</v>
      </c>
      <c r="C1564" s="110">
        <v>28780</v>
      </c>
      <c r="D1564" s="109" t="s">
        <v>120</v>
      </c>
      <c r="E1564" s="109">
        <v>287</v>
      </c>
      <c r="F1564" s="110">
        <v>6848</v>
      </c>
      <c r="G1564" s="109" t="s">
        <v>120</v>
      </c>
      <c r="H1564" s="109">
        <v>24</v>
      </c>
      <c r="I1564" s="109">
        <v>117</v>
      </c>
      <c r="J1564" s="110">
        <v>1331</v>
      </c>
    </row>
    <row r="1565" spans="1:10" s="119" customFormat="1">
      <c r="A1565" s="123" t="s">
        <v>120</v>
      </c>
      <c r="B1565" s="275" t="s">
        <v>947</v>
      </c>
      <c r="C1565" s="276"/>
      <c r="D1565" s="276"/>
      <c r="E1565" s="276"/>
      <c r="F1565" s="276"/>
      <c r="G1565" s="276"/>
      <c r="H1565" s="276"/>
      <c r="I1565" s="276"/>
      <c r="J1565" s="276"/>
    </row>
    <row r="1566" spans="1:10">
      <c r="A1566" s="103" t="s">
        <v>2997</v>
      </c>
      <c r="B1566" s="124" t="s">
        <v>2998</v>
      </c>
      <c r="C1566" s="110">
        <v>9825</v>
      </c>
      <c r="D1566" s="109" t="s">
        <v>120</v>
      </c>
      <c r="E1566" s="109">
        <v>98</v>
      </c>
      <c r="F1566" s="110">
        <v>16808</v>
      </c>
      <c r="G1566" s="109" t="s">
        <v>120</v>
      </c>
      <c r="H1566" s="109">
        <v>171</v>
      </c>
      <c r="I1566" s="109">
        <v>1419</v>
      </c>
      <c r="J1566" s="110">
        <v>439</v>
      </c>
    </row>
    <row r="1567" spans="1:10">
      <c r="A1567" s="103" t="s">
        <v>2999</v>
      </c>
      <c r="B1567" s="124" t="s">
        <v>932</v>
      </c>
      <c r="C1567" s="110">
        <v>1771</v>
      </c>
      <c r="D1567" s="109" t="s">
        <v>120</v>
      </c>
      <c r="E1567" s="109">
        <v>17</v>
      </c>
      <c r="F1567" s="110">
        <v>4607</v>
      </c>
      <c r="G1567" s="109" t="s">
        <v>120</v>
      </c>
      <c r="H1567" s="109">
        <v>260</v>
      </c>
      <c r="I1567" s="109" t="s">
        <v>122</v>
      </c>
      <c r="J1567" s="110" t="s">
        <v>122</v>
      </c>
    </row>
    <row r="1568" spans="1:10">
      <c r="A1568" s="103" t="s">
        <v>3000</v>
      </c>
      <c r="B1568" s="124" t="s">
        <v>934</v>
      </c>
      <c r="C1568" s="110">
        <v>8054</v>
      </c>
      <c r="D1568" s="109" t="s">
        <v>120</v>
      </c>
      <c r="E1568" s="109">
        <v>81</v>
      </c>
      <c r="F1568" s="110">
        <v>12201</v>
      </c>
      <c r="G1568" s="109" t="s">
        <v>120</v>
      </c>
      <c r="H1568" s="109">
        <v>151</v>
      </c>
      <c r="I1568" s="109" t="s">
        <v>122</v>
      </c>
      <c r="J1568" s="110" t="s">
        <v>122</v>
      </c>
    </row>
    <row r="1569" spans="1:10">
      <c r="A1569" s="103" t="s">
        <v>3001</v>
      </c>
      <c r="B1569" s="124" t="s">
        <v>3002</v>
      </c>
      <c r="C1569" s="110">
        <v>4977</v>
      </c>
      <c r="D1569" s="109" t="s">
        <v>120</v>
      </c>
      <c r="E1569" s="109">
        <v>50</v>
      </c>
      <c r="F1569" s="110">
        <v>9798</v>
      </c>
      <c r="G1569" s="109" t="s">
        <v>120</v>
      </c>
      <c r="H1569" s="109">
        <v>197</v>
      </c>
      <c r="I1569" s="109">
        <v>2021</v>
      </c>
      <c r="J1569" s="110">
        <v>896</v>
      </c>
    </row>
    <row r="1570" spans="1:10">
      <c r="A1570" s="103" t="s">
        <v>3003</v>
      </c>
      <c r="B1570" s="124" t="s">
        <v>932</v>
      </c>
      <c r="C1570" s="110">
        <v>718</v>
      </c>
      <c r="D1570" s="109" t="s">
        <v>120</v>
      </c>
      <c r="E1570" s="109">
        <v>7</v>
      </c>
      <c r="F1570" s="110">
        <v>3144</v>
      </c>
      <c r="G1570" s="109" t="s">
        <v>120</v>
      </c>
      <c r="H1570" s="109">
        <v>438</v>
      </c>
      <c r="I1570" s="109" t="s">
        <v>122</v>
      </c>
      <c r="J1570" s="110" t="s">
        <v>122</v>
      </c>
    </row>
    <row r="1571" spans="1:10">
      <c r="A1571" s="103" t="s">
        <v>3004</v>
      </c>
      <c r="B1571" s="124" t="s">
        <v>934</v>
      </c>
      <c r="C1571" s="110">
        <v>4259</v>
      </c>
      <c r="D1571" s="109" t="s">
        <v>120</v>
      </c>
      <c r="E1571" s="109">
        <v>43</v>
      </c>
      <c r="F1571" s="110">
        <v>6654</v>
      </c>
      <c r="G1571" s="109" t="s">
        <v>120</v>
      </c>
      <c r="H1571" s="109">
        <v>156</v>
      </c>
      <c r="I1571" s="109" t="s">
        <v>122</v>
      </c>
      <c r="J1571" s="110" t="s">
        <v>122</v>
      </c>
    </row>
    <row r="1572" spans="1:10" s="119" customFormat="1">
      <c r="A1572" s="123" t="s">
        <v>120</v>
      </c>
      <c r="B1572" s="273" t="s">
        <v>3005</v>
      </c>
      <c r="C1572" s="274"/>
      <c r="D1572" s="274"/>
      <c r="E1572" s="274"/>
      <c r="F1572" s="274"/>
      <c r="G1572" s="274"/>
      <c r="H1572" s="274"/>
      <c r="I1572" s="274"/>
      <c r="J1572" s="274"/>
    </row>
    <row r="1573" spans="1:10" s="119" customFormat="1">
      <c r="A1573" s="123" t="s">
        <v>120</v>
      </c>
      <c r="B1573" s="275" t="s">
        <v>1022</v>
      </c>
      <c r="C1573" s="276"/>
      <c r="D1573" s="276"/>
      <c r="E1573" s="276"/>
      <c r="F1573" s="276"/>
      <c r="G1573" s="276"/>
      <c r="H1573" s="276"/>
      <c r="I1573" s="276"/>
      <c r="J1573" s="276"/>
    </row>
    <row r="1574" spans="1:10">
      <c r="A1574" s="103" t="s">
        <v>3006</v>
      </c>
      <c r="B1574" s="124" t="s">
        <v>3007</v>
      </c>
      <c r="C1574" s="110">
        <v>8422</v>
      </c>
      <c r="D1574" s="109" t="s">
        <v>120</v>
      </c>
      <c r="E1574" s="109">
        <v>85</v>
      </c>
      <c r="F1574" s="110">
        <v>14712</v>
      </c>
      <c r="G1574" s="109" t="s">
        <v>120</v>
      </c>
      <c r="H1574" s="109">
        <v>175</v>
      </c>
      <c r="I1574" s="109">
        <v>1634</v>
      </c>
      <c r="J1574" s="110">
        <v>530</v>
      </c>
    </row>
    <row r="1575" spans="1:10">
      <c r="A1575" s="103" t="s">
        <v>3008</v>
      </c>
      <c r="B1575" s="124" t="s">
        <v>3009</v>
      </c>
      <c r="C1575" s="110">
        <v>6279</v>
      </c>
      <c r="D1575" s="109" t="s">
        <v>120</v>
      </c>
      <c r="E1575" s="109">
        <v>63</v>
      </c>
      <c r="F1575" s="110">
        <v>7698</v>
      </c>
      <c r="G1575" s="109" t="s">
        <v>120</v>
      </c>
      <c r="H1575" s="109">
        <v>123</v>
      </c>
      <c r="I1575" s="109">
        <v>1927</v>
      </c>
      <c r="J1575" s="110">
        <v>1169</v>
      </c>
    </row>
    <row r="1576" spans="1:10">
      <c r="A1576" s="103" t="s">
        <v>3010</v>
      </c>
      <c r="B1576" s="124" t="s">
        <v>3011</v>
      </c>
      <c r="C1576" s="110">
        <v>7109</v>
      </c>
      <c r="D1576" s="109" t="s">
        <v>120</v>
      </c>
      <c r="E1576" s="109">
        <v>71</v>
      </c>
      <c r="F1576" s="110">
        <v>9164</v>
      </c>
      <c r="G1576" s="109" t="s">
        <v>120</v>
      </c>
      <c r="H1576" s="109">
        <v>129</v>
      </c>
      <c r="I1576" s="109">
        <v>1834</v>
      </c>
      <c r="J1576" s="110">
        <v>957</v>
      </c>
    </row>
    <row r="1577" spans="1:10">
      <c r="A1577" s="103" t="s">
        <v>3012</v>
      </c>
      <c r="B1577" s="124" t="s">
        <v>3013</v>
      </c>
      <c r="C1577" s="110">
        <v>6814</v>
      </c>
      <c r="D1577" s="109" t="s">
        <v>120</v>
      </c>
      <c r="E1577" s="109">
        <v>68</v>
      </c>
      <c r="F1577" s="110">
        <v>10964</v>
      </c>
      <c r="G1577" s="109" t="s">
        <v>120</v>
      </c>
      <c r="H1577" s="109">
        <v>161</v>
      </c>
      <c r="I1577" s="109">
        <v>1870</v>
      </c>
      <c r="J1577" s="110">
        <v>786</v>
      </c>
    </row>
    <row r="1578" spans="1:10">
      <c r="A1578" s="103" t="s">
        <v>3014</v>
      </c>
      <c r="B1578" s="124" t="s">
        <v>3015</v>
      </c>
      <c r="C1578" s="110">
        <v>8076</v>
      </c>
      <c r="D1578" s="109" t="s">
        <v>120</v>
      </c>
      <c r="E1578" s="109">
        <v>81</v>
      </c>
      <c r="F1578" s="110">
        <v>15776</v>
      </c>
      <c r="G1578" s="109" t="s">
        <v>120</v>
      </c>
      <c r="H1578" s="109">
        <v>195</v>
      </c>
      <c r="I1578" s="109">
        <v>1692</v>
      </c>
      <c r="J1578" s="110">
        <v>484</v>
      </c>
    </row>
    <row r="1579" spans="1:10">
      <c r="A1579" s="103" t="s">
        <v>3016</v>
      </c>
      <c r="B1579" s="124" t="s">
        <v>3017</v>
      </c>
      <c r="C1579" s="110">
        <v>7207</v>
      </c>
      <c r="D1579" s="109" t="s">
        <v>120</v>
      </c>
      <c r="E1579" s="109">
        <v>72</v>
      </c>
      <c r="F1579" s="110">
        <v>17447</v>
      </c>
      <c r="G1579" s="109" t="s">
        <v>120</v>
      </c>
      <c r="H1579" s="109">
        <v>242</v>
      </c>
      <c r="I1579" s="109">
        <v>1817</v>
      </c>
      <c r="J1579" s="110">
        <v>419</v>
      </c>
    </row>
    <row r="1580" spans="1:10">
      <c r="A1580" s="103" t="s">
        <v>3018</v>
      </c>
      <c r="B1580" s="124" t="s">
        <v>3019</v>
      </c>
      <c r="C1580" s="110">
        <v>5113</v>
      </c>
      <c r="D1580" s="109" t="s">
        <v>120</v>
      </c>
      <c r="E1580" s="109">
        <v>51</v>
      </c>
      <c r="F1580" s="110">
        <v>10762</v>
      </c>
      <c r="G1580" s="109" t="s">
        <v>120</v>
      </c>
      <c r="H1580" s="109">
        <v>210</v>
      </c>
      <c r="I1580" s="109">
        <v>2011</v>
      </c>
      <c r="J1580" s="110">
        <v>809</v>
      </c>
    </row>
    <row r="1581" spans="1:10">
      <c r="A1581" s="103" t="s">
        <v>3020</v>
      </c>
      <c r="B1581" s="124" t="s">
        <v>3021</v>
      </c>
      <c r="C1581" s="110">
        <v>4363</v>
      </c>
      <c r="D1581" s="109" t="s">
        <v>120</v>
      </c>
      <c r="E1581" s="109">
        <v>44</v>
      </c>
      <c r="F1581" s="110">
        <v>14233</v>
      </c>
      <c r="G1581" s="109" t="s">
        <v>120</v>
      </c>
      <c r="H1581" s="109">
        <v>326</v>
      </c>
      <c r="I1581" s="109">
        <v>2067</v>
      </c>
      <c r="J1581" s="110">
        <v>558</v>
      </c>
    </row>
    <row r="1582" spans="1:10">
      <c r="A1582" s="103" t="s">
        <v>3022</v>
      </c>
      <c r="B1582" s="124" t="s">
        <v>3023</v>
      </c>
      <c r="C1582" s="110">
        <v>5338</v>
      </c>
      <c r="D1582" s="109" t="s">
        <v>120</v>
      </c>
      <c r="E1582" s="109">
        <v>53</v>
      </c>
      <c r="F1582" s="110">
        <v>5835</v>
      </c>
      <c r="G1582" s="109" t="s">
        <v>120</v>
      </c>
      <c r="H1582" s="109">
        <v>109</v>
      </c>
      <c r="I1582" s="109">
        <v>1997</v>
      </c>
      <c r="J1582" s="110">
        <v>1545</v>
      </c>
    </row>
    <row r="1583" spans="1:10">
      <c r="A1583" s="103" t="s">
        <v>3024</v>
      </c>
      <c r="B1583" s="124" t="s">
        <v>3025</v>
      </c>
      <c r="C1583" s="110">
        <v>4827</v>
      </c>
      <c r="D1583" s="109" t="s">
        <v>120</v>
      </c>
      <c r="E1583" s="109">
        <v>48</v>
      </c>
      <c r="F1583" s="110">
        <v>12721</v>
      </c>
      <c r="G1583" s="109" t="s">
        <v>120</v>
      </c>
      <c r="H1583" s="109">
        <v>264</v>
      </c>
      <c r="I1583" s="109">
        <v>2034</v>
      </c>
      <c r="J1583" s="110">
        <v>648</v>
      </c>
    </row>
    <row r="1584" spans="1:10">
      <c r="A1584" s="103" t="s">
        <v>3026</v>
      </c>
      <c r="B1584" s="124" t="s">
        <v>3027</v>
      </c>
      <c r="C1584" s="110">
        <v>9942</v>
      </c>
      <c r="D1584" s="109" t="s">
        <v>120</v>
      </c>
      <c r="E1584" s="109">
        <v>99</v>
      </c>
      <c r="F1584" s="110">
        <v>26708</v>
      </c>
      <c r="G1584" s="109" t="s">
        <v>120</v>
      </c>
      <c r="H1584" s="109">
        <v>269</v>
      </c>
      <c r="I1584" s="109">
        <v>1399</v>
      </c>
      <c r="J1584" s="110">
        <v>225</v>
      </c>
    </row>
    <row r="1585" spans="1:10">
      <c r="A1585" s="103" t="s">
        <v>3028</v>
      </c>
      <c r="B1585" s="124" t="s">
        <v>3029</v>
      </c>
      <c r="C1585" s="110">
        <v>4858</v>
      </c>
      <c r="D1585" s="109" t="s">
        <v>120</v>
      </c>
      <c r="E1585" s="109">
        <v>49</v>
      </c>
      <c r="F1585" s="110">
        <v>23092</v>
      </c>
      <c r="G1585" s="109" t="s">
        <v>120</v>
      </c>
      <c r="H1585" s="109">
        <v>475</v>
      </c>
      <c r="I1585" s="109">
        <v>2030</v>
      </c>
      <c r="J1585" s="110">
        <v>280</v>
      </c>
    </row>
    <row r="1586" spans="1:10" s="119" customFormat="1">
      <c r="A1586" s="123" t="s">
        <v>120</v>
      </c>
      <c r="B1586" s="275" t="s">
        <v>1101</v>
      </c>
      <c r="C1586" s="276"/>
      <c r="D1586" s="276"/>
      <c r="E1586" s="276"/>
      <c r="F1586" s="276"/>
      <c r="G1586" s="276"/>
      <c r="H1586" s="276"/>
      <c r="I1586" s="276"/>
      <c r="J1586" s="276"/>
    </row>
    <row r="1587" spans="1:10">
      <c r="A1587" s="103" t="s">
        <v>3030</v>
      </c>
      <c r="B1587" s="124" t="s">
        <v>3031</v>
      </c>
      <c r="C1587" s="110">
        <v>13904</v>
      </c>
      <c r="D1587" s="109" t="s">
        <v>120</v>
      </c>
      <c r="E1587" s="109">
        <v>139</v>
      </c>
      <c r="F1587" s="110">
        <v>32129</v>
      </c>
      <c r="G1587" s="109" t="s">
        <v>120</v>
      </c>
      <c r="H1587" s="109">
        <v>231</v>
      </c>
      <c r="I1587" s="109">
        <v>794</v>
      </c>
      <c r="J1587" s="110">
        <v>172</v>
      </c>
    </row>
    <row r="1588" spans="1:10">
      <c r="A1588" s="103" t="s">
        <v>3032</v>
      </c>
      <c r="B1588" s="124" t="s">
        <v>932</v>
      </c>
      <c r="C1588" s="110">
        <v>1697</v>
      </c>
      <c r="D1588" s="109" t="s">
        <v>120</v>
      </c>
      <c r="E1588" s="109">
        <v>18</v>
      </c>
      <c r="F1588" s="110">
        <v>9975</v>
      </c>
      <c r="G1588" s="109" t="s">
        <v>120</v>
      </c>
      <c r="H1588" s="109">
        <v>588</v>
      </c>
      <c r="I1588" s="109" t="s">
        <v>122</v>
      </c>
      <c r="J1588" s="110" t="s">
        <v>122</v>
      </c>
    </row>
    <row r="1589" spans="1:10">
      <c r="A1589" s="103" t="s">
        <v>3033</v>
      </c>
      <c r="B1589" s="124" t="s">
        <v>934</v>
      </c>
      <c r="C1589" s="110">
        <v>12207</v>
      </c>
      <c r="D1589" s="109" t="s">
        <v>120</v>
      </c>
      <c r="E1589" s="109">
        <v>121</v>
      </c>
      <c r="F1589" s="110">
        <v>22154</v>
      </c>
      <c r="G1589" s="109" t="s">
        <v>120</v>
      </c>
      <c r="H1589" s="109">
        <v>181</v>
      </c>
      <c r="I1589" s="109" t="s">
        <v>122</v>
      </c>
      <c r="J1589" s="110" t="s">
        <v>122</v>
      </c>
    </row>
    <row r="1590" spans="1:10">
      <c r="A1590" s="103" t="s">
        <v>3034</v>
      </c>
      <c r="B1590" s="124" t="s">
        <v>3035</v>
      </c>
      <c r="C1590" s="110">
        <v>7483</v>
      </c>
      <c r="D1590" s="109" t="s">
        <v>120</v>
      </c>
      <c r="E1590" s="109">
        <v>75</v>
      </c>
      <c r="F1590" s="110">
        <v>10579</v>
      </c>
      <c r="G1590" s="109" t="s">
        <v>120</v>
      </c>
      <c r="H1590" s="109">
        <v>141</v>
      </c>
      <c r="I1590" s="109">
        <v>1783</v>
      </c>
      <c r="J1590" s="110">
        <v>823</v>
      </c>
    </row>
    <row r="1591" spans="1:10">
      <c r="A1591" s="103" t="s">
        <v>3036</v>
      </c>
      <c r="B1591" s="124" t="s">
        <v>932</v>
      </c>
      <c r="C1591" s="110">
        <v>297</v>
      </c>
      <c r="D1591" s="109" t="s">
        <v>120</v>
      </c>
      <c r="E1591" s="109">
        <v>3</v>
      </c>
      <c r="F1591" s="110">
        <v>3801</v>
      </c>
      <c r="G1591" s="109" t="s">
        <v>120</v>
      </c>
      <c r="H1591" s="109">
        <v>1280</v>
      </c>
      <c r="I1591" s="109" t="s">
        <v>122</v>
      </c>
      <c r="J1591" s="110" t="s">
        <v>122</v>
      </c>
    </row>
    <row r="1592" spans="1:10">
      <c r="A1592" s="103" t="s">
        <v>3037</v>
      </c>
      <c r="B1592" s="124" t="s">
        <v>934</v>
      </c>
      <c r="C1592" s="110">
        <v>7186</v>
      </c>
      <c r="D1592" s="109" t="s">
        <v>120</v>
      </c>
      <c r="E1592" s="109">
        <v>72</v>
      </c>
      <c r="F1592" s="110">
        <v>6778</v>
      </c>
      <c r="G1592" s="109" t="s">
        <v>120</v>
      </c>
      <c r="H1592" s="109">
        <v>94</v>
      </c>
      <c r="I1592" s="109" t="s">
        <v>122</v>
      </c>
      <c r="J1592" s="110" t="s">
        <v>122</v>
      </c>
    </row>
    <row r="1593" spans="1:10">
      <c r="A1593" s="103" t="s">
        <v>3038</v>
      </c>
      <c r="B1593" s="124" t="s">
        <v>3039</v>
      </c>
      <c r="C1593" s="110">
        <v>9984</v>
      </c>
      <c r="D1593" s="109" t="s">
        <v>120</v>
      </c>
      <c r="E1593" s="109">
        <v>100</v>
      </c>
      <c r="F1593" s="110">
        <v>43586</v>
      </c>
      <c r="G1593" s="109" t="s">
        <v>120</v>
      </c>
      <c r="H1593" s="109">
        <v>437</v>
      </c>
      <c r="I1593" s="109">
        <v>1393</v>
      </c>
      <c r="J1593" s="110">
        <v>115</v>
      </c>
    </row>
    <row r="1594" spans="1:10">
      <c r="A1594" s="103" t="s">
        <v>3040</v>
      </c>
      <c r="B1594" s="124" t="s">
        <v>932</v>
      </c>
      <c r="C1594" s="110">
        <v>2050</v>
      </c>
      <c r="D1594" s="109" t="s">
        <v>120</v>
      </c>
      <c r="E1594" s="109">
        <v>20</v>
      </c>
      <c r="F1594" s="110">
        <v>24310</v>
      </c>
      <c r="G1594" s="109" t="s">
        <v>120</v>
      </c>
      <c r="H1594" s="109">
        <v>1186</v>
      </c>
      <c r="I1594" s="109" t="s">
        <v>122</v>
      </c>
      <c r="J1594" s="110" t="s">
        <v>122</v>
      </c>
    </row>
    <row r="1595" spans="1:10">
      <c r="A1595" s="103" t="s">
        <v>3041</v>
      </c>
      <c r="B1595" s="124" t="s">
        <v>934</v>
      </c>
      <c r="C1595" s="110">
        <v>7934</v>
      </c>
      <c r="D1595" s="109" t="s">
        <v>120</v>
      </c>
      <c r="E1595" s="109">
        <v>80</v>
      </c>
      <c r="F1595" s="110">
        <v>19276</v>
      </c>
      <c r="G1595" s="109" t="s">
        <v>120</v>
      </c>
      <c r="H1595" s="109">
        <v>243</v>
      </c>
      <c r="I1595" s="109" t="s">
        <v>122</v>
      </c>
      <c r="J1595" s="110" t="s">
        <v>122</v>
      </c>
    </row>
    <row r="1596" spans="1:10">
      <c r="A1596" s="103" t="s">
        <v>3042</v>
      </c>
      <c r="B1596" s="124" t="s">
        <v>3043</v>
      </c>
      <c r="C1596" s="110">
        <v>11298</v>
      </c>
      <c r="D1596" s="109" t="s">
        <v>120</v>
      </c>
      <c r="E1596" s="109">
        <v>113</v>
      </c>
      <c r="F1596" s="110">
        <v>13638</v>
      </c>
      <c r="G1596" s="109" t="s">
        <v>120</v>
      </c>
      <c r="H1596" s="109">
        <v>121</v>
      </c>
      <c r="I1596" s="109">
        <v>1160</v>
      </c>
      <c r="J1596" s="110">
        <v>586</v>
      </c>
    </row>
    <row r="1597" spans="1:10">
      <c r="A1597" s="103" t="s">
        <v>3044</v>
      </c>
      <c r="B1597" s="124" t="s">
        <v>932</v>
      </c>
      <c r="C1597" s="110">
        <v>343</v>
      </c>
      <c r="D1597" s="109" t="s">
        <v>120</v>
      </c>
      <c r="E1597" s="109">
        <v>3</v>
      </c>
      <c r="F1597" s="110">
        <v>4321</v>
      </c>
      <c r="G1597" s="109" t="s">
        <v>120</v>
      </c>
      <c r="H1597" s="109">
        <v>1260</v>
      </c>
      <c r="I1597" s="109" t="s">
        <v>122</v>
      </c>
      <c r="J1597" s="110" t="s">
        <v>122</v>
      </c>
    </row>
    <row r="1598" spans="1:10">
      <c r="A1598" s="103" t="s">
        <v>3045</v>
      </c>
      <c r="B1598" s="124" t="s">
        <v>934</v>
      </c>
      <c r="C1598" s="110">
        <v>10955</v>
      </c>
      <c r="D1598" s="109" t="s">
        <v>120</v>
      </c>
      <c r="E1598" s="109">
        <v>110</v>
      </c>
      <c r="F1598" s="110">
        <v>9317</v>
      </c>
      <c r="G1598" s="109" t="s">
        <v>120</v>
      </c>
      <c r="H1598" s="109">
        <v>85</v>
      </c>
      <c r="I1598" s="109" t="s">
        <v>122</v>
      </c>
      <c r="J1598" s="110" t="s">
        <v>122</v>
      </c>
    </row>
    <row r="1599" spans="1:10">
      <c r="A1599" s="103" t="s">
        <v>3046</v>
      </c>
      <c r="B1599" s="124" t="s">
        <v>3047</v>
      </c>
      <c r="C1599" s="110">
        <v>2035</v>
      </c>
      <c r="D1599" s="109" t="s">
        <v>120</v>
      </c>
      <c r="E1599" s="109">
        <v>20</v>
      </c>
      <c r="F1599" s="110">
        <v>10195</v>
      </c>
      <c r="G1599" s="109" t="s">
        <v>120</v>
      </c>
      <c r="H1599" s="109">
        <v>501</v>
      </c>
      <c r="I1599" s="109">
        <v>2234</v>
      </c>
      <c r="J1599" s="110">
        <v>855</v>
      </c>
    </row>
    <row r="1600" spans="1:10">
      <c r="A1600" s="103" t="s">
        <v>3048</v>
      </c>
      <c r="B1600" s="124" t="s">
        <v>932</v>
      </c>
      <c r="C1600" s="110">
        <v>444</v>
      </c>
      <c r="D1600" s="109" t="s">
        <v>120</v>
      </c>
      <c r="E1600" s="109">
        <v>4</v>
      </c>
      <c r="F1600" s="110">
        <v>2438</v>
      </c>
      <c r="G1600" s="109" t="s">
        <v>120</v>
      </c>
      <c r="H1600" s="109">
        <v>549</v>
      </c>
      <c r="I1600" s="109" t="s">
        <v>122</v>
      </c>
      <c r="J1600" s="110" t="s">
        <v>122</v>
      </c>
    </row>
    <row r="1601" spans="1:10">
      <c r="A1601" s="103" t="s">
        <v>3049</v>
      </c>
      <c r="B1601" s="124" t="s">
        <v>934</v>
      </c>
      <c r="C1601" s="110">
        <v>1591</v>
      </c>
      <c r="D1601" s="109" t="s">
        <v>120</v>
      </c>
      <c r="E1601" s="109">
        <v>16</v>
      </c>
      <c r="F1601" s="110">
        <v>7757</v>
      </c>
      <c r="G1601" s="109" t="s">
        <v>120</v>
      </c>
      <c r="H1601" s="109">
        <v>488</v>
      </c>
      <c r="I1601" s="109" t="s">
        <v>122</v>
      </c>
      <c r="J1601" s="110" t="s">
        <v>122</v>
      </c>
    </row>
    <row r="1602" spans="1:10" s="119" customFormat="1">
      <c r="A1602" s="123" t="s">
        <v>120</v>
      </c>
      <c r="B1602" s="273" t="s">
        <v>3050</v>
      </c>
      <c r="C1602" s="274"/>
      <c r="D1602" s="274"/>
      <c r="E1602" s="274"/>
      <c r="F1602" s="274"/>
      <c r="G1602" s="274"/>
      <c r="H1602" s="274"/>
      <c r="I1602" s="274"/>
      <c r="J1602" s="274"/>
    </row>
    <row r="1603" spans="1:10" s="119" customFormat="1">
      <c r="A1603" s="123" t="s">
        <v>120</v>
      </c>
      <c r="B1603" s="275" t="s">
        <v>936</v>
      </c>
      <c r="C1603" s="276"/>
      <c r="D1603" s="276"/>
      <c r="E1603" s="276"/>
      <c r="F1603" s="276"/>
      <c r="G1603" s="276"/>
      <c r="H1603" s="276"/>
      <c r="I1603" s="276"/>
      <c r="J1603" s="276"/>
    </row>
    <row r="1604" spans="1:10">
      <c r="A1604" s="103" t="s">
        <v>3051</v>
      </c>
      <c r="B1604" s="124" t="s">
        <v>3052</v>
      </c>
      <c r="C1604" s="110">
        <v>1870</v>
      </c>
      <c r="D1604" s="109" t="s">
        <v>120</v>
      </c>
      <c r="E1604" s="109">
        <v>19</v>
      </c>
      <c r="F1604" s="110">
        <v>15162</v>
      </c>
      <c r="G1604" s="109" t="s">
        <v>120</v>
      </c>
      <c r="H1604" s="109">
        <v>811</v>
      </c>
      <c r="I1604" s="109">
        <v>2250</v>
      </c>
      <c r="J1604" s="110">
        <v>510</v>
      </c>
    </row>
    <row r="1605" spans="1:10">
      <c r="A1605" s="103" t="s">
        <v>3053</v>
      </c>
      <c r="B1605" s="124" t="s">
        <v>3054</v>
      </c>
      <c r="C1605" s="110">
        <v>2710</v>
      </c>
      <c r="D1605" s="109" t="s">
        <v>120</v>
      </c>
      <c r="E1605" s="109">
        <v>27</v>
      </c>
      <c r="F1605" s="110">
        <v>7889</v>
      </c>
      <c r="G1605" s="109" t="s">
        <v>120</v>
      </c>
      <c r="H1605" s="109">
        <v>291</v>
      </c>
      <c r="I1605" s="109">
        <v>2183</v>
      </c>
      <c r="J1605" s="110">
        <v>1141</v>
      </c>
    </row>
    <row r="1606" spans="1:10" s="119" customFormat="1">
      <c r="A1606" s="123" t="s">
        <v>120</v>
      </c>
      <c r="B1606" s="275" t="s">
        <v>943</v>
      </c>
      <c r="C1606" s="276"/>
      <c r="D1606" s="276"/>
      <c r="E1606" s="276"/>
      <c r="F1606" s="276"/>
      <c r="G1606" s="276"/>
      <c r="H1606" s="276"/>
      <c r="I1606" s="276"/>
      <c r="J1606" s="276"/>
    </row>
    <row r="1607" spans="1:10">
      <c r="A1607" s="103" t="s">
        <v>3055</v>
      </c>
      <c r="B1607" s="124" t="s">
        <v>3056</v>
      </c>
      <c r="C1607" s="110">
        <v>10991</v>
      </c>
      <c r="D1607" s="109" t="s">
        <v>120</v>
      </c>
      <c r="E1607" s="109">
        <v>110</v>
      </c>
      <c r="F1607" s="110">
        <v>9983</v>
      </c>
      <c r="G1607" s="109" t="s">
        <v>120</v>
      </c>
      <c r="H1607" s="109">
        <v>91</v>
      </c>
      <c r="I1607" s="109">
        <v>1228</v>
      </c>
      <c r="J1607" s="110">
        <v>872</v>
      </c>
    </row>
    <row r="1608" spans="1:10">
      <c r="A1608" s="103" t="s">
        <v>3057</v>
      </c>
      <c r="B1608" s="124" t="s">
        <v>3058</v>
      </c>
      <c r="C1608" s="110">
        <v>7219</v>
      </c>
      <c r="D1608" s="109" t="s">
        <v>120</v>
      </c>
      <c r="E1608" s="109">
        <v>72</v>
      </c>
      <c r="F1608" s="110">
        <v>8690</v>
      </c>
      <c r="G1608" s="109" t="s">
        <v>120</v>
      </c>
      <c r="H1608" s="109">
        <v>120</v>
      </c>
      <c r="I1608" s="109">
        <v>1815</v>
      </c>
      <c r="J1608" s="110">
        <v>1025</v>
      </c>
    </row>
    <row r="1609" spans="1:10">
      <c r="A1609" s="103" t="s">
        <v>3059</v>
      </c>
      <c r="B1609" s="124" t="s">
        <v>3060</v>
      </c>
      <c r="C1609" s="110">
        <v>9518</v>
      </c>
      <c r="D1609" s="109" t="s">
        <v>120</v>
      </c>
      <c r="E1609" s="109">
        <v>95</v>
      </c>
      <c r="F1609" s="110">
        <v>7850</v>
      </c>
      <c r="G1609" s="109" t="s">
        <v>120</v>
      </c>
      <c r="H1609" s="109">
        <v>82</v>
      </c>
      <c r="I1609" s="109">
        <v>1466</v>
      </c>
      <c r="J1609" s="110">
        <v>1144</v>
      </c>
    </row>
    <row r="1610" spans="1:10">
      <c r="A1610" s="103" t="s">
        <v>3061</v>
      </c>
      <c r="B1610" s="124" t="s">
        <v>3062</v>
      </c>
      <c r="C1610" s="110">
        <v>7248</v>
      </c>
      <c r="D1610" s="109" t="s">
        <v>120</v>
      </c>
      <c r="E1610" s="109">
        <v>72</v>
      </c>
      <c r="F1610" s="110">
        <v>8206</v>
      </c>
      <c r="G1610" s="109" t="s">
        <v>120</v>
      </c>
      <c r="H1610" s="109">
        <v>113</v>
      </c>
      <c r="I1610" s="109">
        <v>1812</v>
      </c>
      <c r="J1610" s="110">
        <v>1094</v>
      </c>
    </row>
    <row r="1611" spans="1:10">
      <c r="A1611" s="103" t="s">
        <v>3063</v>
      </c>
      <c r="B1611" s="124" t="s">
        <v>3052</v>
      </c>
      <c r="C1611" s="110">
        <v>15223</v>
      </c>
      <c r="D1611" s="109" t="s">
        <v>120</v>
      </c>
      <c r="E1611" s="109">
        <v>152</v>
      </c>
      <c r="F1611" s="110">
        <v>25607</v>
      </c>
      <c r="G1611" s="109" t="s">
        <v>120</v>
      </c>
      <c r="H1611" s="109">
        <v>168</v>
      </c>
      <c r="I1611" s="109">
        <v>654</v>
      </c>
      <c r="J1611" s="110">
        <v>239</v>
      </c>
    </row>
    <row r="1612" spans="1:10">
      <c r="A1612" s="103" t="s">
        <v>3064</v>
      </c>
      <c r="B1612" s="124" t="s">
        <v>3065</v>
      </c>
      <c r="C1612" s="110">
        <v>6965</v>
      </c>
      <c r="D1612" s="109" t="s">
        <v>120</v>
      </c>
      <c r="E1612" s="109">
        <v>70</v>
      </c>
      <c r="F1612" s="110">
        <v>10062</v>
      </c>
      <c r="G1612" s="109" t="s">
        <v>120</v>
      </c>
      <c r="H1612" s="109">
        <v>144</v>
      </c>
      <c r="I1612" s="109">
        <v>1852</v>
      </c>
      <c r="J1612" s="110">
        <v>867</v>
      </c>
    </row>
    <row r="1613" spans="1:10">
      <c r="A1613" s="103" t="s">
        <v>3066</v>
      </c>
      <c r="B1613" s="124" t="s">
        <v>3054</v>
      </c>
      <c r="C1613" s="110">
        <v>17002</v>
      </c>
      <c r="D1613" s="109" t="s">
        <v>120</v>
      </c>
      <c r="E1613" s="109">
        <v>170</v>
      </c>
      <c r="F1613" s="110">
        <v>17623</v>
      </c>
      <c r="G1613" s="109" t="s">
        <v>120</v>
      </c>
      <c r="H1613" s="109">
        <v>104</v>
      </c>
      <c r="I1613" s="109">
        <v>520</v>
      </c>
      <c r="J1613" s="110">
        <v>414</v>
      </c>
    </row>
    <row r="1614" spans="1:10">
      <c r="A1614" s="103" t="s">
        <v>3067</v>
      </c>
      <c r="B1614" s="124" t="s">
        <v>3068</v>
      </c>
      <c r="C1614" s="110">
        <v>7422</v>
      </c>
      <c r="D1614" s="109" t="s">
        <v>120</v>
      </c>
      <c r="E1614" s="109">
        <v>74</v>
      </c>
      <c r="F1614" s="110">
        <v>7337</v>
      </c>
      <c r="G1614" s="109" t="s">
        <v>120</v>
      </c>
      <c r="H1614" s="109">
        <v>99</v>
      </c>
      <c r="I1614" s="109">
        <v>1788</v>
      </c>
      <c r="J1614" s="110">
        <v>1234</v>
      </c>
    </row>
    <row r="1615" spans="1:10">
      <c r="A1615" s="103" t="s">
        <v>3069</v>
      </c>
      <c r="B1615" s="124" t="s">
        <v>3070</v>
      </c>
      <c r="C1615" s="110">
        <v>5685</v>
      </c>
      <c r="D1615" s="109" t="s">
        <v>120</v>
      </c>
      <c r="E1615" s="109">
        <v>57</v>
      </c>
      <c r="F1615" s="110">
        <v>6764</v>
      </c>
      <c r="G1615" s="109" t="s">
        <v>120</v>
      </c>
      <c r="H1615" s="109">
        <v>119</v>
      </c>
      <c r="I1615" s="109">
        <v>1974</v>
      </c>
      <c r="J1615" s="110">
        <v>1345</v>
      </c>
    </row>
    <row r="1616" spans="1:10">
      <c r="A1616" s="103" t="s">
        <v>3071</v>
      </c>
      <c r="B1616" s="124" t="s">
        <v>3072</v>
      </c>
      <c r="C1616" s="110">
        <v>3270</v>
      </c>
      <c r="D1616" s="109" t="s">
        <v>120</v>
      </c>
      <c r="E1616" s="109">
        <v>33</v>
      </c>
      <c r="F1616" s="110">
        <v>6591</v>
      </c>
      <c r="G1616" s="109" t="s">
        <v>120</v>
      </c>
      <c r="H1616" s="109">
        <v>202</v>
      </c>
      <c r="I1616" s="109">
        <v>2150</v>
      </c>
      <c r="J1616" s="110">
        <v>1382</v>
      </c>
    </row>
    <row r="1617" spans="1:10" s="119" customFormat="1">
      <c r="A1617" s="123" t="s">
        <v>120</v>
      </c>
      <c r="B1617" s="273" t="s">
        <v>3073</v>
      </c>
      <c r="C1617" s="274"/>
      <c r="D1617" s="274"/>
      <c r="E1617" s="274"/>
      <c r="F1617" s="274"/>
      <c r="G1617" s="274"/>
      <c r="H1617" s="274"/>
      <c r="I1617" s="274"/>
      <c r="J1617" s="274"/>
    </row>
    <row r="1618" spans="1:10" s="119" customFormat="1">
      <c r="A1618" s="123" t="s">
        <v>120</v>
      </c>
      <c r="B1618" s="275" t="s">
        <v>924</v>
      </c>
      <c r="C1618" s="276"/>
      <c r="D1618" s="276"/>
      <c r="E1618" s="276"/>
      <c r="F1618" s="276"/>
      <c r="G1618" s="276"/>
      <c r="H1618" s="276"/>
      <c r="I1618" s="276"/>
      <c r="J1618" s="276"/>
    </row>
    <row r="1619" spans="1:10">
      <c r="A1619" s="103" t="s">
        <v>3074</v>
      </c>
      <c r="B1619" s="124" t="s">
        <v>3075</v>
      </c>
      <c r="C1619" s="110">
        <v>7845</v>
      </c>
      <c r="D1619" s="109" t="s">
        <v>120</v>
      </c>
      <c r="E1619" s="109">
        <v>78</v>
      </c>
      <c r="F1619" s="110">
        <v>7441</v>
      </c>
      <c r="G1619" s="109" t="s">
        <v>120</v>
      </c>
      <c r="H1619" s="109">
        <v>95</v>
      </c>
      <c r="I1619" s="109">
        <v>1726</v>
      </c>
      <c r="J1619" s="110">
        <v>1215</v>
      </c>
    </row>
    <row r="1620" spans="1:10">
      <c r="A1620" s="103" t="s">
        <v>3076</v>
      </c>
      <c r="B1620" s="124" t="s">
        <v>3077</v>
      </c>
      <c r="C1620" s="110">
        <v>9002</v>
      </c>
      <c r="D1620" s="109" t="s">
        <v>120</v>
      </c>
      <c r="E1620" s="109">
        <v>90</v>
      </c>
      <c r="F1620" s="110">
        <v>6047</v>
      </c>
      <c r="G1620" s="109" t="s">
        <v>120</v>
      </c>
      <c r="H1620" s="109">
        <v>67</v>
      </c>
      <c r="I1620" s="109">
        <v>1532</v>
      </c>
      <c r="J1620" s="110">
        <v>1491</v>
      </c>
    </row>
    <row r="1621" spans="1:10">
      <c r="A1621" s="103" t="s">
        <v>3078</v>
      </c>
      <c r="B1621" s="124" t="s">
        <v>3079</v>
      </c>
      <c r="C1621" s="110">
        <v>8575</v>
      </c>
      <c r="D1621" s="109" t="s">
        <v>120</v>
      </c>
      <c r="E1621" s="109">
        <v>86</v>
      </c>
      <c r="F1621" s="110">
        <v>4582</v>
      </c>
      <c r="G1621" s="109" t="s">
        <v>120</v>
      </c>
      <c r="H1621" s="109">
        <v>53</v>
      </c>
      <c r="I1621" s="109">
        <v>1603</v>
      </c>
      <c r="J1621" s="110">
        <v>1848</v>
      </c>
    </row>
    <row r="1622" spans="1:10">
      <c r="A1622" s="103" t="s">
        <v>3080</v>
      </c>
      <c r="B1622" s="124" t="s">
        <v>3081</v>
      </c>
      <c r="C1622" s="110">
        <v>13783</v>
      </c>
      <c r="D1622" s="109" t="s">
        <v>120</v>
      </c>
      <c r="E1622" s="109">
        <v>138</v>
      </c>
      <c r="F1622" s="110">
        <v>5073</v>
      </c>
      <c r="G1622" s="109" t="s">
        <v>120</v>
      </c>
      <c r="H1622" s="109">
        <v>37</v>
      </c>
      <c r="I1622" s="109">
        <v>805</v>
      </c>
      <c r="J1622" s="110">
        <v>1727</v>
      </c>
    </row>
    <row r="1623" spans="1:10">
      <c r="A1623" s="103" t="s">
        <v>3082</v>
      </c>
      <c r="B1623" s="124" t="s">
        <v>3083</v>
      </c>
      <c r="C1623" s="110">
        <v>5911</v>
      </c>
      <c r="D1623" s="109" t="s">
        <v>120</v>
      </c>
      <c r="E1623" s="109">
        <v>59</v>
      </c>
      <c r="F1623" s="110">
        <v>2508</v>
      </c>
      <c r="G1623" s="105" t="s">
        <v>1075</v>
      </c>
      <c r="H1623" s="109">
        <v>42</v>
      </c>
      <c r="I1623" s="109">
        <v>1952</v>
      </c>
      <c r="J1623" s="110">
        <v>2257</v>
      </c>
    </row>
    <row r="1624" spans="1:10">
      <c r="A1624" s="103" t="s">
        <v>3084</v>
      </c>
      <c r="B1624" s="124" t="s">
        <v>3085</v>
      </c>
      <c r="C1624" s="110">
        <v>7677</v>
      </c>
      <c r="D1624" s="109" t="s">
        <v>120</v>
      </c>
      <c r="E1624" s="109">
        <v>77</v>
      </c>
      <c r="F1624" s="110">
        <v>3522</v>
      </c>
      <c r="G1624" s="109" t="s">
        <v>120</v>
      </c>
      <c r="H1624" s="109">
        <v>46</v>
      </c>
      <c r="I1624" s="109">
        <v>1748</v>
      </c>
      <c r="J1624" s="110">
        <v>2106</v>
      </c>
    </row>
    <row r="1625" spans="1:10" s="119" customFormat="1">
      <c r="A1625" s="123" t="s">
        <v>120</v>
      </c>
      <c r="B1625" s="275" t="s">
        <v>1026</v>
      </c>
      <c r="C1625" s="276"/>
      <c r="D1625" s="276"/>
      <c r="E1625" s="276"/>
      <c r="F1625" s="276"/>
      <c r="G1625" s="276"/>
      <c r="H1625" s="276"/>
      <c r="I1625" s="276"/>
      <c r="J1625" s="276"/>
    </row>
    <row r="1626" spans="1:10">
      <c r="A1626" s="103" t="s">
        <v>3086</v>
      </c>
      <c r="B1626" s="124" t="s">
        <v>3087</v>
      </c>
      <c r="C1626" s="110">
        <v>14836</v>
      </c>
      <c r="D1626" s="109" t="s">
        <v>120</v>
      </c>
      <c r="E1626" s="109">
        <v>148</v>
      </c>
      <c r="F1626" s="110">
        <v>19645</v>
      </c>
      <c r="G1626" s="109" t="s">
        <v>120</v>
      </c>
      <c r="H1626" s="109">
        <v>132</v>
      </c>
      <c r="I1626" s="109">
        <v>690</v>
      </c>
      <c r="J1626" s="110">
        <v>354</v>
      </c>
    </row>
    <row r="1627" spans="1:10">
      <c r="A1627" s="103" t="s">
        <v>3088</v>
      </c>
      <c r="B1627" s="124" t="s">
        <v>932</v>
      </c>
      <c r="C1627" s="110">
        <v>1549</v>
      </c>
      <c r="D1627" s="109" t="s">
        <v>120</v>
      </c>
      <c r="E1627" s="109">
        <v>15</v>
      </c>
      <c r="F1627" s="110">
        <v>11569</v>
      </c>
      <c r="G1627" s="109" t="s">
        <v>120</v>
      </c>
      <c r="H1627" s="109">
        <v>747</v>
      </c>
      <c r="I1627" s="109" t="s">
        <v>122</v>
      </c>
      <c r="J1627" s="110" t="s">
        <v>122</v>
      </c>
    </row>
    <row r="1628" spans="1:10">
      <c r="A1628" s="103" t="s">
        <v>3089</v>
      </c>
      <c r="B1628" s="124" t="s">
        <v>934</v>
      </c>
      <c r="C1628" s="110">
        <v>13287</v>
      </c>
      <c r="D1628" s="109" t="s">
        <v>120</v>
      </c>
      <c r="E1628" s="109">
        <v>133</v>
      </c>
      <c r="F1628" s="110">
        <v>8076</v>
      </c>
      <c r="G1628" s="109" t="s">
        <v>120</v>
      </c>
      <c r="H1628" s="109">
        <v>61</v>
      </c>
      <c r="I1628" s="109" t="s">
        <v>122</v>
      </c>
      <c r="J1628" s="110" t="s">
        <v>122</v>
      </c>
    </row>
    <row r="1629" spans="1:10" s="119" customFormat="1">
      <c r="A1629" s="123" t="s">
        <v>120</v>
      </c>
      <c r="B1629" s="273" t="s">
        <v>3090</v>
      </c>
      <c r="C1629" s="274"/>
      <c r="D1629" s="274"/>
      <c r="E1629" s="274"/>
      <c r="F1629" s="274"/>
      <c r="G1629" s="274"/>
      <c r="H1629" s="274"/>
      <c r="I1629" s="274"/>
      <c r="J1629" s="274"/>
    </row>
    <row r="1630" spans="1:10" s="119" customFormat="1">
      <c r="A1630" s="123" t="s">
        <v>120</v>
      </c>
      <c r="B1630" s="275" t="s">
        <v>924</v>
      </c>
      <c r="C1630" s="276"/>
      <c r="D1630" s="276"/>
      <c r="E1630" s="276"/>
      <c r="F1630" s="276"/>
      <c r="G1630" s="276"/>
      <c r="H1630" s="276"/>
      <c r="I1630" s="276"/>
      <c r="J1630" s="276"/>
    </row>
    <row r="1631" spans="1:10">
      <c r="A1631" s="103" t="s">
        <v>3091</v>
      </c>
      <c r="B1631" s="124" t="s">
        <v>3092</v>
      </c>
      <c r="C1631" s="110">
        <v>7510</v>
      </c>
      <c r="D1631" s="109" t="s">
        <v>120</v>
      </c>
      <c r="E1631" s="109">
        <v>75</v>
      </c>
      <c r="F1631" s="110">
        <v>10076</v>
      </c>
      <c r="G1631" s="109" t="s">
        <v>120</v>
      </c>
      <c r="H1631" s="109">
        <v>134</v>
      </c>
      <c r="I1631" s="109">
        <v>1774</v>
      </c>
      <c r="J1631" s="110">
        <v>865</v>
      </c>
    </row>
    <row r="1632" spans="1:10">
      <c r="A1632" s="103" t="s">
        <v>3093</v>
      </c>
      <c r="B1632" s="124" t="s">
        <v>3094</v>
      </c>
      <c r="C1632" s="110">
        <v>8896</v>
      </c>
      <c r="D1632" s="109" t="s">
        <v>120</v>
      </c>
      <c r="E1632" s="109">
        <v>89</v>
      </c>
      <c r="F1632" s="110">
        <v>11131</v>
      </c>
      <c r="G1632" s="109" t="s">
        <v>120</v>
      </c>
      <c r="H1632" s="109">
        <v>125</v>
      </c>
      <c r="I1632" s="109">
        <v>1543</v>
      </c>
      <c r="J1632" s="110">
        <v>776</v>
      </c>
    </row>
    <row r="1633" spans="1:10">
      <c r="A1633" s="103" t="s">
        <v>3095</v>
      </c>
      <c r="B1633" s="124" t="s">
        <v>3096</v>
      </c>
      <c r="C1633" s="110">
        <v>6115</v>
      </c>
      <c r="D1633" s="109" t="s">
        <v>120</v>
      </c>
      <c r="E1633" s="109">
        <v>61</v>
      </c>
      <c r="F1633" s="110">
        <v>6413</v>
      </c>
      <c r="G1633" s="109" t="s">
        <v>120</v>
      </c>
      <c r="H1633" s="109">
        <v>105</v>
      </c>
      <c r="I1633" s="109">
        <v>1940</v>
      </c>
      <c r="J1633" s="110">
        <v>1417</v>
      </c>
    </row>
    <row r="1634" spans="1:10">
      <c r="A1634" s="103" t="s">
        <v>3097</v>
      </c>
      <c r="B1634" s="124" t="s">
        <v>3098</v>
      </c>
      <c r="C1634" s="110">
        <v>3185</v>
      </c>
      <c r="D1634" s="109" t="s">
        <v>120</v>
      </c>
      <c r="E1634" s="109">
        <v>32</v>
      </c>
      <c r="F1634" s="110">
        <v>9001</v>
      </c>
      <c r="G1634" s="109" t="s">
        <v>120</v>
      </c>
      <c r="H1634" s="109">
        <v>283</v>
      </c>
      <c r="I1634" s="109">
        <v>2157</v>
      </c>
      <c r="J1634" s="110">
        <v>985</v>
      </c>
    </row>
    <row r="1635" spans="1:10">
      <c r="A1635" s="103" t="s">
        <v>3099</v>
      </c>
      <c r="B1635" s="124" t="s">
        <v>3100</v>
      </c>
      <c r="C1635" s="110">
        <v>6863</v>
      </c>
      <c r="D1635" s="109" t="s">
        <v>120</v>
      </c>
      <c r="E1635" s="109">
        <v>69</v>
      </c>
      <c r="F1635" s="110">
        <v>8820</v>
      </c>
      <c r="G1635" s="109" t="s">
        <v>120</v>
      </c>
      <c r="H1635" s="109">
        <v>129</v>
      </c>
      <c r="I1635" s="109">
        <v>1867</v>
      </c>
      <c r="J1635" s="110">
        <v>1007</v>
      </c>
    </row>
    <row r="1636" spans="1:10">
      <c r="A1636" s="103" t="s">
        <v>3101</v>
      </c>
      <c r="B1636" s="124" t="s">
        <v>3102</v>
      </c>
      <c r="C1636" s="110">
        <v>6710</v>
      </c>
      <c r="D1636" s="109" t="s">
        <v>120</v>
      </c>
      <c r="E1636" s="109">
        <v>67</v>
      </c>
      <c r="F1636" s="110">
        <v>7412</v>
      </c>
      <c r="G1636" s="109" t="s">
        <v>120</v>
      </c>
      <c r="H1636" s="109">
        <v>110</v>
      </c>
      <c r="I1636" s="109">
        <v>1882</v>
      </c>
      <c r="J1636" s="110">
        <v>1223</v>
      </c>
    </row>
    <row r="1637" spans="1:10" s="119" customFormat="1">
      <c r="A1637" s="123" t="s">
        <v>120</v>
      </c>
      <c r="B1637" s="275" t="s">
        <v>1047</v>
      </c>
      <c r="C1637" s="276"/>
      <c r="D1637" s="276"/>
      <c r="E1637" s="276"/>
      <c r="F1637" s="276"/>
      <c r="G1637" s="276"/>
      <c r="H1637" s="276"/>
      <c r="I1637" s="276"/>
      <c r="J1637" s="276"/>
    </row>
    <row r="1638" spans="1:10">
      <c r="A1638" s="103" t="s">
        <v>3103</v>
      </c>
      <c r="B1638" s="124" t="s">
        <v>3104</v>
      </c>
      <c r="C1638" s="110">
        <v>6639</v>
      </c>
      <c r="D1638" s="109" t="s">
        <v>120</v>
      </c>
      <c r="E1638" s="109">
        <v>66</v>
      </c>
      <c r="F1638" s="110">
        <v>15321</v>
      </c>
      <c r="G1638" s="109" t="s">
        <v>120</v>
      </c>
      <c r="H1638" s="109">
        <v>231</v>
      </c>
      <c r="I1638" s="109">
        <v>1892</v>
      </c>
      <c r="J1638" s="110">
        <v>503</v>
      </c>
    </row>
    <row r="1639" spans="1:10">
      <c r="A1639" s="103" t="s">
        <v>3105</v>
      </c>
      <c r="B1639" s="124" t="s">
        <v>932</v>
      </c>
      <c r="C1639" s="110">
        <v>1297</v>
      </c>
      <c r="D1639" s="109" t="s">
        <v>120</v>
      </c>
      <c r="E1639" s="109">
        <v>14</v>
      </c>
      <c r="F1639" s="110">
        <v>6427</v>
      </c>
      <c r="G1639" s="109" t="s">
        <v>120</v>
      </c>
      <c r="H1639" s="109">
        <v>496</v>
      </c>
      <c r="I1639" s="109" t="s">
        <v>122</v>
      </c>
      <c r="J1639" s="110" t="s">
        <v>122</v>
      </c>
    </row>
    <row r="1640" spans="1:10">
      <c r="A1640" s="103" t="s">
        <v>3106</v>
      </c>
      <c r="B1640" s="124" t="s">
        <v>934</v>
      </c>
      <c r="C1640" s="110">
        <v>5342</v>
      </c>
      <c r="D1640" s="109" t="s">
        <v>120</v>
      </c>
      <c r="E1640" s="109">
        <v>52</v>
      </c>
      <c r="F1640" s="110">
        <v>8894</v>
      </c>
      <c r="G1640" s="109" t="s">
        <v>120</v>
      </c>
      <c r="H1640" s="109">
        <v>166</v>
      </c>
      <c r="I1640" s="109" t="s">
        <v>122</v>
      </c>
      <c r="J1640" s="110" t="s">
        <v>122</v>
      </c>
    </row>
    <row r="1641" spans="1:10">
      <c r="A1641" s="103" t="s">
        <v>3107</v>
      </c>
      <c r="B1641" s="124" t="s">
        <v>3108</v>
      </c>
      <c r="C1641" s="110">
        <v>15352</v>
      </c>
      <c r="D1641" s="109" t="s">
        <v>120</v>
      </c>
      <c r="E1641" s="109">
        <v>154</v>
      </c>
      <c r="F1641" s="110">
        <v>44444</v>
      </c>
      <c r="G1641" s="109" t="s">
        <v>120</v>
      </c>
      <c r="H1641" s="109">
        <v>289</v>
      </c>
      <c r="I1641" s="109">
        <v>646</v>
      </c>
      <c r="J1641" s="110">
        <v>112</v>
      </c>
    </row>
    <row r="1642" spans="1:10">
      <c r="A1642" s="103" t="s">
        <v>3109</v>
      </c>
      <c r="B1642" s="124" t="s">
        <v>932</v>
      </c>
      <c r="C1642" s="110">
        <v>3022</v>
      </c>
      <c r="D1642" s="109" t="s">
        <v>120</v>
      </c>
      <c r="E1642" s="109">
        <v>30</v>
      </c>
      <c r="F1642" s="110">
        <v>18366</v>
      </c>
      <c r="G1642" s="109" t="s">
        <v>120</v>
      </c>
      <c r="H1642" s="109">
        <v>608</v>
      </c>
      <c r="I1642" s="109" t="s">
        <v>122</v>
      </c>
      <c r="J1642" s="110" t="s">
        <v>122</v>
      </c>
    </row>
    <row r="1643" spans="1:10">
      <c r="A1643" s="103" t="s">
        <v>3110</v>
      </c>
      <c r="B1643" s="124" t="s">
        <v>934</v>
      </c>
      <c r="C1643" s="110">
        <v>12330</v>
      </c>
      <c r="D1643" s="109" t="s">
        <v>120</v>
      </c>
      <c r="E1643" s="109">
        <v>124</v>
      </c>
      <c r="F1643" s="110">
        <v>26078</v>
      </c>
      <c r="G1643" s="109" t="s">
        <v>120</v>
      </c>
      <c r="H1643" s="109">
        <v>212</v>
      </c>
      <c r="I1643" s="109" t="s">
        <v>122</v>
      </c>
      <c r="J1643" s="110" t="s">
        <v>122</v>
      </c>
    </row>
    <row r="1644" spans="1:10">
      <c r="A1644" s="103" t="s">
        <v>3111</v>
      </c>
      <c r="B1644" s="124" t="s">
        <v>3112</v>
      </c>
      <c r="C1644" s="110">
        <v>6038</v>
      </c>
      <c r="D1644" s="109" t="s">
        <v>120</v>
      </c>
      <c r="E1644" s="109">
        <v>60</v>
      </c>
      <c r="F1644" s="110">
        <v>14982</v>
      </c>
      <c r="G1644" s="109" t="s">
        <v>120</v>
      </c>
      <c r="H1644" s="109">
        <v>248</v>
      </c>
      <c r="I1644" s="109">
        <v>1947</v>
      </c>
      <c r="J1644" s="110">
        <v>519</v>
      </c>
    </row>
    <row r="1645" spans="1:10">
      <c r="A1645" s="103" t="s">
        <v>3113</v>
      </c>
      <c r="B1645" s="124" t="s">
        <v>932</v>
      </c>
      <c r="C1645" s="110">
        <v>1646</v>
      </c>
      <c r="D1645" s="109" t="s">
        <v>120</v>
      </c>
      <c r="E1645" s="109">
        <v>16</v>
      </c>
      <c r="F1645" s="110">
        <v>6633</v>
      </c>
      <c r="G1645" s="109" t="s">
        <v>120</v>
      </c>
      <c r="H1645" s="109">
        <v>403</v>
      </c>
      <c r="I1645" s="109" t="s">
        <v>122</v>
      </c>
      <c r="J1645" s="110" t="s">
        <v>122</v>
      </c>
    </row>
    <row r="1646" spans="1:10">
      <c r="A1646" s="103" t="s">
        <v>3114</v>
      </c>
      <c r="B1646" s="124" t="s">
        <v>934</v>
      </c>
      <c r="C1646" s="110">
        <v>4392</v>
      </c>
      <c r="D1646" s="109" t="s">
        <v>120</v>
      </c>
      <c r="E1646" s="109">
        <v>44</v>
      </c>
      <c r="F1646" s="110">
        <v>8349</v>
      </c>
      <c r="G1646" s="109" t="s">
        <v>120</v>
      </c>
      <c r="H1646" s="109">
        <v>190</v>
      </c>
      <c r="I1646" s="109" t="s">
        <v>122</v>
      </c>
      <c r="J1646" s="110" t="s">
        <v>122</v>
      </c>
    </row>
    <row r="1647" spans="1:10" s="119" customFormat="1">
      <c r="A1647" s="123" t="s">
        <v>120</v>
      </c>
      <c r="B1647" s="273" t="s">
        <v>3115</v>
      </c>
      <c r="C1647" s="274"/>
      <c r="D1647" s="274"/>
      <c r="E1647" s="274"/>
      <c r="F1647" s="274"/>
      <c r="G1647" s="274"/>
      <c r="H1647" s="274"/>
      <c r="I1647" s="274"/>
      <c r="J1647" s="274"/>
    </row>
    <row r="1648" spans="1:10" s="119" customFormat="1">
      <c r="A1648" s="123" t="s">
        <v>120</v>
      </c>
      <c r="B1648" s="275" t="s">
        <v>922</v>
      </c>
      <c r="C1648" s="276"/>
      <c r="D1648" s="276"/>
      <c r="E1648" s="276"/>
      <c r="F1648" s="276"/>
      <c r="G1648" s="276"/>
      <c r="H1648" s="276"/>
      <c r="I1648" s="276"/>
      <c r="J1648" s="276"/>
    </row>
    <row r="1649" spans="1:10">
      <c r="A1649" s="103" t="s">
        <v>3116</v>
      </c>
      <c r="B1649" s="124" t="s">
        <v>3117</v>
      </c>
      <c r="C1649" s="110">
        <v>1695</v>
      </c>
      <c r="D1649" s="105" t="s">
        <v>1075</v>
      </c>
      <c r="E1649" s="109">
        <v>17</v>
      </c>
      <c r="F1649" s="110">
        <v>6026</v>
      </c>
      <c r="G1649" s="109" t="s">
        <v>120</v>
      </c>
      <c r="H1649" s="109">
        <v>356</v>
      </c>
      <c r="I1649" s="109">
        <v>2262</v>
      </c>
      <c r="J1649" s="110">
        <v>1496</v>
      </c>
    </row>
    <row r="1650" spans="1:10" s="119" customFormat="1">
      <c r="A1650" s="123" t="s">
        <v>120</v>
      </c>
      <c r="B1650" s="275" t="s">
        <v>943</v>
      </c>
      <c r="C1650" s="276"/>
      <c r="D1650" s="276"/>
      <c r="E1650" s="276"/>
      <c r="F1650" s="276"/>
      <c r="G1650" s="276"/>
      <c r="H1650" s="276"/>
      <c r="I1650" s="276"/>
      <c r="J1650" s="276"/>
    </row>
    <row r="1651" spans="1:10">
      <c r="A1651" s="103" t="s">
        <v>3118</v>
      </c>
      <c r="B1651" s="124" t="s">
        <v>3119</v>
      </c>
      <c r="C1651" s="110">
        <v>11197</v>
      </c>
      <c r="D1651" s="109" t="s">
        <v>120</v>
      </c>
      <c r="E1651" s="109">
        <v>112</v>
      </c>
      <c r="F1651" s="110">
        <v>28834</v>
      </c>
      <c r="G1651" s="109" t="s">
        <v>120</v>
      </c>
      <c r="H1651" s="109">
        <v>258</v>
      </c>
      <c r="I1651" s="109">
        <v>1177</v>
      </c>
      <c r="J1651" s="110">
        <v>200</v>
      </c>
    </row>
    <row r="1652" spans="1:10">
      <c r="A1652" s="103" t="s">
        <v>3120</v>
      </c>
      <c r="B1652" s="124" t="s">
        <v>3121</v>
      </c>
      <c r="C1652" s="110">
        <v>8819</v>
      </c>
      <c r="D1652" s="109" t="s">
        <v>120</v>
      </c>
      <c r="E1652" s="109">
        <v>88</v>
      </c>
      <c r="F1652" s="110">
        <v>9252</v>
      </c>
      <c r="G1652" s="109" t="s">
        <v>120</v>
      </c>
      <c r="H1652" s="109">
        <v>105</v>
      </c>
      <c r="I1652" s="109">
        <v>1558</v>
      </c>
      <c r="J1652" s="110">
        <v>946</v>
      </c>
    </row>
    <row r="1653" spans="1:10">
      <c r="A1653" s="103" t="s">
        <v>3122</v>
      </c>
      <c r="B1653" s="124" t="s">
        <v>3117</v>
      </c>
      <c r="C1653" s="110">
        <v>15315</v>
      </c>
      <c r="D1653" s="109" t="s">
        <v>120</v>
      </c>
      <c r="E1653" s="109">
        <v>154</v>
      </c>
      <c r="F1653" s="110">
        <v>25579</v>
      </c>
      <c r="G1653" s="109" t="s">
        <v>120</v>
      </c>
      <c r="H1653" s="109">
        <v>167</v>
      </c>
      <c r="I1653" s="109">
        <v>647</v>
      </c>
      <c r="J1653" s="110">
        <v>241</v>
      </c>
    </row>
    <row r="1654" spans="1:10">
      <c r="A1654" s="103" t="s">
        <v>3123</v>
      </c>
      <c r="B1654" s="124" t="s">
        <v>3124</v>
      </c>
      <c r="C1654" s="110">
        <v>6498</v>
      </c>
      <c r="D1654" s="109" t="s">
        <v>120</v>
      </c>
      <c r="E1654" s="109">
        <v>65</v>
      </c>
      <c r="F1654" s="110">
        <v>10432</v>
      </c>
      <c r="G1654" s="109" t="s">
        <v>120</v>
      </c>
      <c r="H1654" s="109">
        <v>161</v>
      </c>
      <c r="I1654" s="109">
        <v>1902</v>
      </c>
      <c r="J1654" s="110">
        <v>838</v>
      </c>
    </row>
    <row r="1655" spans="1:10">
      <c r="A1655" s="103" t="s">
        <v>3125</v>
      </c>
      <c r="B1655" s="124" t="s">
        <v>3126</v>
      </c>
      <c r="C1655" s="110">
        <v>10695</v>
      </c>
      <c r="D1655" s="109" t="s">
        <v>120</v>
      </c>
      <c r="E1655" s="109">
        <v>107</v>
      </c>
      <c r="F1655" s="110">
        <v>14497</v>
      </c>
      <c r="G1655" s="109" t="s">
        <v>120</v>
      </c>
      <c r="H1655" s="109">
        <v>136</v>
      </c>
      <c r="I1655" s="109">
        <v>1273</v>
      </c>
      <c r="J1655" s="110">
        <v>542</v>
      </c>
    </row>
    <row r="1656" spans="1:10">
      <c r="A1656" s="103" t="s">
        <v>3127</v>
      </c>
      <c r="B1656" s="124" t="s">
        <v>3128</v>
      </c>
      <c r="C1656" s="110">
        <v>11915</v>
      </c>
      <c r="D1656" s="109" t="s">
        <v>120</v>
      </c>
      <c r="E1656" s="109">
        <v>119</v>
      </c>
      <c r="F1656" s="110">
        <v>6089</v>
      </c>
      <c r="G1656" s="109" t="s">
        <v>120</v>
      </c>
      <c r="H1656" s="109">
        <v>51</v>
      </c>
      <c r="I1656" s="109">
        <v>1066</v>
      </c>
      <c r="J1656" s="110">
        <v>1484</v>
      </c>
    </row>
    <row r="1657" spans="1:10">
      <c r="A1657" s="103" t="s">
        <v>3129</v>
      </c>
      <c r="B1657" s="124" t="s">
        <v>3130</v>
      </c>
      <c r="C1657" s="110">
        <v>13295</v>
      </c>
      <c r="D1657" s="109" t="s">
        <v>120</v>
      </c>
      <c r="E1657" s="109">
        <v>132</v>
      </c>
      <c r="F1657" s="110">
        <v>16522</v>
      </c>
      <c r="G1657" s="109" t="s">
        <v>120</v>
      </c>
      <c r="H1657" s="109">
        <v>124</v>
      </c>
      <c r="I1657" s="109">
        <v>871</v>
      </c>
      <c r="J1657" s="110">
        <v>453</v>
      </c>
    </row>
    <row r="1658" spans="1:10">
      <c r="A1658" s="103" t="s">
        <v>3131</v>
      </c>
      <c r="B1658" s="124" t="s">
        <v>3132</v>
      </c>
      <c r="C1658" s="110">
        <v>8476</v>
      </c>
      <c r="D1658" s="109" t="s">
        <v>120</v>
      </c>
      <c r="E1658" s="109">
        <v>85</v>
      </c>
      <c r="F1658" s="110">
        <v>11144</v>
      </c>
      <c r="G1658" s="109" t="s">
        <v>120</v>
      </c>
      <c r="H1658" s="109">
        <v>131</v>
      </c>
      <c r="I1658" s="109">
        <v>1622</v>
      </c>
      <c r="J1658" s="110">
        <v>774</v>
      </c>
    </row>
    <row r="1659" spans="1:10">
      <c r="A1659" s="103" t="s">
        <v>3133</v>
      </c>
      <c r="B1659" s="124" t="s">
        <v>3134</v>
      </c>
      <c r="C1659" s="110">
        <v>5021</v>
      </c>
      <c r="D1659" s="109" t="s">
        <v>120</v>
      </c>
      <c r="E1659" s="109">
        <v>50</v>
      </c>
      <c r="F1659" s="110">
        <v>8730</v>
      </c>
      <c r="G1659" s="109" t="s">
        <v>120</v>
      </c>
      <c r="H1659" s="109">
        <v>174</v>
      </c>
      <c r="I1659" s="109">
        <v>2017</v>
      </c>
      <c r="J1659" s="110">
        <v>1017</v>
      </c>
    </row>
    <row r="1660" spans="1:10">
      <c r="A1660" s="103" t="s">
        <v>3135</v>
      </c>
      <c r="B1660" s="124" t="s">
        <v>3136</v>
      </c>
      <c r="C1660" s="110">
        <v>6473</v>
      </c>
      <c r="D1660" s="109" t="s">
        <v>120</v>
      </c>
      <c r="E1660" s="109">
        <v>65</v>
      </c>
      <c r="F1660" s="110">
        <v>13279</v>
      </c>
      <c r="G1660" s="109" t="s">
        <v>120</v>
      </c>
      <c r="H1660" s="109">
        <v>205</v>
      </c>
      <c r="I1660" s="109">
        <v>1905</v>
      </c>
      <c r="J1660" s="110">
        <v>604</v>
      </c>
    </row>
    <row r="1661" spans="1:10">
      <c r="A1661" s="103" t="s">
        <v>3137</v>
      </c>
      <c r="B1661" s="124" t="s">
        <v>3138</v>
      </c>
      <c r="C1661" s="110">
        <v>4190</v>
      </c>
      <c r="D1661" s="109" t="s">
        <v>120</v>
      </c>
      <c r="E1661" s="109">
        <v>42</v>
      </c>
      <c r="F1661" s="110">
        <v>3777</v>
      </c>
      <c r="G1661" s="109" t="s">
        <v>120</v>
      </c>
      <c r="H1661" s="109">
        <v>90</v>
      </c>
      <c r="I1661" s="109">
        <v>2078</v>
      </c>
      <c r="J1661" s="110">
        <v>2047</v>
      </c>
    </row>
    <row r="1662" spans="1:10" s="119" customFormat="1">
      <c r="A1662" s="123" t="s">
        <v>120</v>
      </c>
      <c r="B1662" s="275" t="s">
        <v>1101</v>
      </c>
      <c r="C1662" s="276"/>
      <c r="D1662" s="276"/>
      <c r="E1662" s="276"/>
      <c r="F1662" s="276"/>
      <c r="G1662" s="276"/>
      <c r="H1662" s="276"/>
      <c r="I1662" s="276"/>
      <c r="J1662" s="276"/>
    </row>
    <row r="1663" spans="1:10">
      <c r="A1663" s="103" t="s">
        <v>3139</v>
      </c>
      <c r="B1663" s="124" t="s">
        <v>3140</v>
      </c>
      <c r="C1663" s="110">
        <v>14513</v>
      </c>
      <c r="D1663" s="109" t="s">
        <v>120</v>
      </c>
      <c r="E1663" s="109">
        <v>145</v>
      </c>
      <c r="F1663" s="110">
        <v>16680</v>
      </c>
      <c r="G1663" s="109" t="s">
        <v>120</v>
      </c>
      <c r="H1663" s="109">
        <v>115</v>
      </c>
      <c r="I1663" s="109">
        <v>729</v>
      </c>
      <c r="J1663" s="110">
        <v>446</v>
      </c>
    </row>
    <row r="1664" spans="1:10">
      <c r="A1664" s="103" t="s">
        <v>3141</v>
      </c>
      <c r="B1664" s="124" t="s">
        <v>932</v>
      </c>
      <c r="C1664" s="110">
        <v>3968</v>
      </c>
      <c r="D1664" s="109" t="s">
        <v>120</v>
      </c>
      <c r="E1664" s="109">
        <v>40</v>
      </c>
      <c r="F1664" s="110">
        <v>10568</v>
      </c>
      <c r="G1664" s="109" t="s">
        <v>120</v>
      </c>
      <c r="H1664" s="109">
        <v>266</v>
      </c>
      <c r="I1664" s="109" t="s">
        <v>122</v>
      </c>
      <c r="J1664" s="110" t="s">
        <v>122</v>
      </c>
    </row>
    <row r="1665" spans="1:10">
      <c r="A1665" s="103" t="s">
        <v>3142</v>
      </c>
      <c r="B1665" s="124" t="s">
        <v>934</v>
      </c>
      <c r="C1665" s="110">
        <v>10545</v>
      </c>
      <c r="D1665" s="109" t="s">
        <v>120</v>
      </c>
      <c r="E1665" s="109">
        <v>105</v>
      </c>
      <c r="F1665" s="110">
        <v>6112</v>
      </c>
      <c r="G1665" s="109" t="s">
        <v>120</v>
      </c>
      <c r="H1665" s="109">
        <v>58</v>
      </c>
      <c r="I1665" s="109" t="s">
        <v>122</v>
      </c>
      <c r="J1665" s="110" t="s">
        <v>122</v>
      </c>
    </row>
    <row r="1666" spans="1:10">
      <c r="A1666" s="103" t="s">
        <v>3143</v>
      </c>
      <c r="B1666" s="124" t="s">
        <v>3144</v>
      </c>
      <c r="C1666" s="110">
        <v>14144</v>
      </c>
      <c r="D1666" s="109" t="s">
        <v>120</v>
      </c>
      <c r="E1666" s="109">
        <v>141</v>
      </c>
      <c r="F1666" s="110">
        <v>11566</v>
      </c>
      <c r="G1666" s="109" t="s">
        <v>120</v>
      </c>
      <c r="H1666" s="109">
        <v>82</v>
      </c>
      <c r="I1666" s="109">
        <v>765</v>
      </c>
      <c r="J1666" s="110">
        <v>735</v>
      </c>
    </row>
    <row r="1667" spans="1:10">
      <c r="A1667" s="103" t="s">
        <v>3145</v>
      </c>
      <c r="B1667" s="124" t="s">
        <v>932</v>
      </c>
      <c r="C1667" s="110">
        <v>2443</v>
      </c>
      <c r="D1667" s="109" t="s">
        <v>120</v>
      </c>
      <c r="E1667" s="109">
        <v>24</v>
      </c>
      <c r="F1667" s="110">
        <v>4760</v>
      </c>
      <c r="G1667" s="109" t="s">
        <v>120</v>
      </c>
      <c r="H1667" s="109">
        <v>195</v>
      </c>
      <c r="I1667" s="109" t="s">
        <v>122</v>
      </c>
      <c r="J1667" s="110" t="s">
        <v>122</v>
      </c>
    </row>
    <row r="1668" spans="1:10">
      <c r="A1668" s="103" t="s">
        <v>3146</v>
      </c>
      <c r="B1668" s="124" t="s">
        <v>934</v>
      </c>
      <c r="C1668" s="110">
        <v>11701</v>
      </c>
      <c r="D1668" s="109" t="s">
        <v>120</v>
      </c>
      <c r="E1668" s="109">
        <v>117</v>
      </c>
      <c r="F1668" s="110">
        <v>6806</v>
      </c>
      <c r="G1668" s="109" t="s">
        <v>120</v>
      </c>
      <c r="H1668" s="109">
        <v>58</v>
      </c>
      <c r="I1668" s="109" t="s">
        <v>122</v>
      </c>
      <c r="J1668" s="110" t="s">
        <v>122</v>
      </c>
    </row>
    <row r="1669" spans="1:10">
      <c r="A1669" s="103" t="s">
        <v>3147</v>
      </c>
      <c r="B1669" s="124" t="s">
        <v>3148</v>
      </c>
      <c r="C1669" s="110">
        <v>12646</v>
      </c>
      <c r="D1669" s="109" t="s">
        <v>120</v>
      </c>
      <c r="E1669" s="109">
        <v>126</v>
      </c>
      <c r="F1669" s="110">
        <v>10588</v>
      </c>
      <c r="G1669" s="109" t="s">
        <v>120</v>
      </c>
      <c r="H1669" s="109">
        <v>84</v>
      </c>
      <c r="I1669" s="109">
        <v>964</v>
      </c>
      <c r="J1669" s="110">
        <v>822</v>
      </c>
    </row>
    <row r="1670" spans="1:10">
      <c r="A1670" s="103" t="s">
        <v>3149</v>
      </c>
      <c r="B1670" s="124" t="s">
        <v>932</v>
      </c>
      <c r="C1670" s="110">
        <v>3830</v>
      </c>
      <c r="D1670" s="109" t="s">
        <v>120</v>
      </c>
      <c r="E1670" s="109">
        <v>38</v>
      </c>
      <c r="F1670" s="110">
        <v>5860</v>
      </c>
      <c r="G1670" s="109" t="s">
        <v>120</v>
      </c>
      <c r="H1670" s="109">
        <v>153</v>
      </c>
      <c r="I1670" s="109" t="s">
        <v>122</v>
      </c>
      <c r="J1670" s="110" t="s">
        <v>122</v>
      </c>
    </row>
    <row r="1671" spans="1:10">
      <c r="A1671" s="103" t="s">
        <v>3150</v>
      </c>
      <c r="B1671" s="124" t="s">
        <v>934</v>
      </c>
      <c r="C1671" s="110">
        <v>8816</v>
      </c>
      <c r="D1671" s="109" t="s">
        <v>120</v>
      </c>
      <c r="E1671" s="109">
        <v>88</v>
      </c>
      <c r="F1671" s="110">
        <v>4728</v>
      </c>
      <c r="G1671" s="109" t="s">
        <v>120</v>
      </c>
      <c r="H1671" s="109">
        <v>54</v>
      </c>
      <c r="I1671" s="109" t="s">
        <v>122</v>
      </c>
      <c r="J1671" s="110" t="s">
        <v>122</v>
      </c>
    </row>
    <row r="1672" spans="1:10">
      <c r="A1672" s="103" t="s">
        <v>3151</v>
      </c>
      <c r="B1672" s="124" t="s">
        <v>3152</v>
      </c>
      <c r="C1672" s="110">
        <v>10088</v>
      </c>
      <c r="D1672" s="109" t="s">
        <v>120</v>
      </c>
      <c r="E1672" s="109">
        <v>101</v>
      </c>
      <c r="F1672" s="110">
        <v>23801</v>
      </c>
      <c r="G1672" s="109" t="s">
        <v>120</v>
      </c>
      <c r="H1672" s="109">
        <v>236</v>
      </c>
      <c r="I1672" s="109">
        <v>1374</v>
      </c>
      <c r="J1672" s="110">
        <v>269</v>
      </c>
    </row>
    <row r="1673" spans="1:10">
      <c r="A1673" s="103" t="s">
        <v>3153</v>
      </c>
      <c r="B1673" s="124" t="s">
        <v>932</v>
      </c>
      <c r="C1673" s="110">
        <v>1500</v>
      </c>
      <c r="D1673" s="109" t="s">
        <v>120</v>
      </c>
      <c r="E1673" s="109">
        <v>15</v>
      </c>
      <c r="F1673" s="110">
        <v>9085</v>
      </c>
      <c r="G1673" s="109" t="s">
        <v>120</v>
      </c>
      <c r="H1673" s="109">
        <v>606</v>
      </c>
      <c r="I1673" s="109" t="s">
        <v>122</v>
      </c>
      <c r="J1673" s="110" t="s">
        <v>122</v>
      </c>
    </row>
    <row r="1674" spans="1:10">
      <c r="A1674" s="103" t="s">
        <v>3154</v>
      </c>
      <c r="B1674" s="124" t="s">
        <v>934</v>
      </c>
      <c r="C1674" s="110">
        <v>8588</v>
      </c>
      <c r="D1674" s="109" t="s">
        <v>120</v>
      </c>
      <c r="E1674" s="109">
        <v>86</v>
      </c>
      <c r="F1674" s="110">
        <v>14716</v>
      </c>
      <c r="G1674" s="109" t="s">
        <v>120</v>
      </c>
      <c r="H1674" s="109">
        <v>171</v>
      </c>
      <c r="I1674" s="109" t="s">
        <v>122</v>
      </c>
      <c r="J1674" s="110" t="s">
        <v>122</v>
      </c>
    </row>
    <row r="1675" spans="1:10" s="119" customFormat="1">
      <c r="A1675" s="123" t="s">
        <v>120</v>
      </c>
      <c r="B1675" s="273" t="s">
        <v>3155</v>
      </c>
      <c r="C1675" s="274"/>
      <c r="D1675" s="274"/>
      <c r="E1675" s="274"/>
      <c r="F1675" s="274"/>
      <c r="G1675" s="274"/>
      <c r="H1675" s="274"/>
      <c r="I1675" s="274"/>
      <c r="J1675" s="274"/>
    </row>
    <row r="1676" spans="1:10" s="119" customFormat="1">
      <c r="A1676" s="123" t="s">
        <v>120</v>
      </c>
      <c r="B1676" s="275" t="s">
        <v>1019</v>
      </c>
      <c r="C1676" s="276"/>
      <c r="D1676" s="276"/>
      <c r="E1676" s="276"/>
      <c r="F1676" s="276"/>
      <c r="G1676" s="276"/>
      <c r="H1676" s="276"/>
      <c r="I1676" s="276"/>
      <c r="J1676" s="276"/>
    </row>
    <row r="1677" spans="1:10">
      <c r="A1677" s="103" t="s">
        <v>3156</v>
      </c>
      <c r="B1677" s="124" t="s">
        <v>3157</v>
      </c>
      <c r="C1677" s="110">
        <v>5107</v>
      </c>
      <c r="D1677" s="109" t="s">
        <v>120</v>
      </c>
      <c r="E1677" s="109">
        <v>51</v>
      </c>
      <c r="F1677" s="110">
        <v>33293</v>
      </c>
      <c r="G1677" s="109" t="s">
        <v>120</v>
      </c>
      <c r="H1677" s="109">
        <v>652</v>
      </c>
      <c r="I1677" s="109">
        <v>2012</v>
      </c>
      <c r="J1677" s="110">
        <v>165</v>
      </c>
    </row>
    <row r="1678" spans="1:10" s="119" customFormat="1">
      <c r="A1678" s="123" t="s">
        <v>120</v>
      </c>
      <c r="B1678" s="275" t="s">
        <v>943</v>
      </c>
      <c r="C1678" s="276"/>
      <c r="D1678" s="276"/>
      <c r="E1678" s="276"/>
      <c r="F1678" s="276"/>
      <c r="G1678" s="276"/>
      <c r="H1678" s="276"/>
      <c r="I1678" s="276"/>
      <c r="J1678" s="276"/>
    </row>
    <row r="1679" spans="1:10">
      <c r="A1679" s="103" t="s">
        <v>3158</v>
      </c>
      <c r="B1679" s="124" t="s">
        <v>3159</v>
      </c>
      <c r="C1679" s="110">
        <v>21735</v>
      </c>
      <c r="D1679" s="109" t="s">
        <v>120</v>
      </c>
      <c r="E1679" s="109">
        <v>218</v>
      </c>
      <c r="F1679" s="110">
        <v>22626</v>
      </c>
      <c r="G1679" s="109" t="s">
        <v>120</v>
      </c>
      <c r="H1679" s="109">
        <v>104</v>
      </c>
      <c r="I1679" s="109">
        <v>266</v>
      </c>
      <c r="J1679" s="110">
        <v>288</v>
      </c>
    </row>
    <row r="1680" spans="1:10">
      <c r="A1680" s="103" t="s">
        <v>3160</v>
      </c>
      <c r="B1680" s="124" t="s">
        <v>3161</v>
      </c>
      <c r="C1680" s="110">
        <v>6216</v>
      </c>
      <c r="D1680" s="109" t="s">
        <v>120</v>
      </c>
      <c r="E1680" s="109">
        <v>62</v>
      </c>
      <c r="F1680" s="110">
        <v>7663</v>
      </c>
      <c r="G1680" s="109" t="s">
        <v>120</v>
      </c>
      <c r="H1680" s="109">
        <v>123</v>
      </c>
      <c r="I1680" s="109">
        <v>1933</v>
      </c>
      <c r="J1680" s="110">
        <v>1175</v>
      </c>
    </row>
    <row r="1681" spans="1:10">
      <c r="A1681" s="103" t="s">
        <v>3162</v>
      </c>
      <c r="B1681" s="124" t="s">
        <v>3163</v>
      </c>
      <c r="C1681" s="110">
        <v>21273</v>
      </c>
      <c r="D1681" s="109" t="s">
        <v>120</v>
      </c>
      <c r="E1681" s="109">
        <v>212</v>
      </c>
      <c r="F1681" s="110">
        <v>18664</v>
      </c>
      <c r="G1681" s="109" t="s">
        <v>120</v>
      </c>
      <c r="H1681" s="109">
        <v>88</v>
      </c>
      <c r="I1681" s="109">
        <v>282</v>
      </c>
      <c r="J1681" s="110">
        <v>376</v>
      </c>
    </row>
    <row r="1682" spans="1:10">
      <c r="A1682" s="103" t="s">
        <v>3164</v>
      </c>
      <c r="B1682" s="124" t="s">
        <v>3165</v>
      </c>
      <c r="C1682" s="110">
        <v>5712</v>
      </c>
      <c r="D1682" s="109" t="s">
        <v>120</v>
      </c>
      <c r="E1682" s="109">
        <v>57</v>
      </c>
      <c r="F1682" s="110">
        <v>6802</v>
      </c>
      <c r="G1682" s="109" t="s">
        <v>120</v>
      </c>
      <c r="H1682" s="109">
        <v>119</v>
      </c>
      <c r="I1682" s="109">
        <v>1969</v>
      </c>
      <c r="J1682" s="110">
        <v>1339</v>
      </c>
    </row>
    <row r="1683" spans="1:10">
      <c r="A1683" s="103" t="s">
        <v>3166</v>
      </c>
      <c r="B1683" s="124" t="s">
        <v>3167</v>
      </c>
      <c r="C1683" s="110">
        <v>6736</v>
      </c>
      <c r="D1683" s="109" t="s">
        <v>120</v>
      </c>
      <c r="E1683" s="109">
        <v>67</v>
      </c>
      <c r="F1683" s="110">
        <v>6015</v>
      </c>
      <c r="G1683" s="109" t="s">
        <v>120</v>
      </c>
      <c r="H1683" s="109">
        <v>89</v>
      </c>
      <c r="I1683" s="109">
        <v>1880</v>
      </c>
      <c r="J1683" s="110">
        <v>1499</v>
      </c>
    </row>
    <row r="1684" spans="1:10">
      <c r="A1684" s="103" t="s">
        <v>3168</v>
      </c>
      <c r="B1684" s="124" t="s">
        <v>3169</v>
      </c>
      <c r="C1684" s="110">
        <v>12579</v>
      </c>
      <c r="D1684" s="109" t="s">
        <v>120</v>
      </c>
      <c r="E1684" s="109">
        <v>126</v>
      </c>
      <c r="F1684" s="110">
        <v>9379</v>
      </c>
      <c r="G1684" s="109" t="s">
        <v>120</v>
      </c>
      <c r="H1684" s="109">
        <v>75</v>
      </c>
      <c r="I1684" s="109">
        <v>971</v>
      </c>
      <c r="J1684" s="110">
        <v>933</v>
      </c>
    </row>
    <row r="1685" spans="1:10">
      <c r="A1685" s="103" t="s">
        <v>3170</v>
      </c>
      <c r="B1685" s="124" t="s">
        <v>3157</v>
      </c>
      <c r="C1685" s="110">
        <v>20768</v>
      </c>
      <c r="D1685" s="109" t="s">
        <v>120</v>
      </c>
      <c r="E1685" s="109">
        <v>208</v>
      </c>
      <c r="F1685" s="110">
        <v>24070</v>
      </c>
      <c r="G1685" s="109" t="s">
        <v>120</v>
      </c>
      <c r="H1685" s="109">
        <v>116</v>
      </c>
      <c r="I1685" s="109">
        <v>304</v>
      </c>
      <c r="J1685" s="110">
        <v>265</v>
      </c>
    </row>
    <row r="1686" spans="1:10">
      <c r="A1686" s="103" t="s">
        <v>3171</v>
      </c>
      <c r="B1686" s="124" t="s">
        <v>3172</v>
      </c>
      <c r="C1686" s="110">
        <v>14120</v>
      </c>
      <c r="D1686" s="109" t="s">
        <v>120</v>
      </c>
      <c r="E1686" s="109">
        <v>141</v>
      </c>
      <c r="F1686" s="110">
        <v>8513</v>
      </c>
      <c r="G1686" s="109" t="s">
        <v>120</v>
      </c>
      <c r="H1686" s="109">
        <v>60</v>
      </c>
      <c r="I1686" s="109">
        <v>768</v>
      </c>
      <c r="J1686" s="110">
        <v>1049</v>
      </c>
    </row>
    <row r="1687" spans="1:10">
      <c r="A1687" s="103" t="s">
        <v>3173</v>
      </c>
      <c r="B1687" s="124" t="s">
        <v>3174</v>
      </c>
      <c r="C1687" s="110">
        <v>8902</v>
      </c>
      <c r="D1687" s="109" t="s">
        <v>120</v>
      </c>
      <c r="E1687" s="109">
        <v>89</v>
      </c>
      <c r="F1687" s="110">
        <v>14750</v>
      </c>
      <c r="G1687" s="109" t="s">
        <v>120</v>
      </c>
      <c r="H1687" s="109">
        <v>166</v>
      </c>
      <c r="I1687" s="109">
        <v>1542</v>
      </c>
      <c r="J1687" s="110">
        <v>528</v>
      </c>
    </row>
    <row r="1688" spans="1:10">
      <c r="A1688" s="103" t="s">
        <v>3175</v>
      </c>
      <c r="B1688" s="124" t="s">
        <v>3176</v>
      </c>
      <c r="C1688" s="110">
        <v>3218</v>
      </c>
      <c r="D1688" s="109" t="s">
        <v>120</v>
      </c>
      <c r="E1688" s="109">
        <v>32</v>
      </c>
      <c r="F1688" s="110">
        <v>4609</v>
      </c>
      <c r="G1688" s="109" t="s">
        <v>120</v>
      </c>
      <c r="H1688" s="109">
        <v>143</v>
      </c>
      <c r="I1688" s="109">
        <v>2154</v>
      </c>
      <c r="J1688" s="110">
        <v>1839</v>
      </c>
    </row>
    <row r="1689" spans="1:10">
      <c r="A1689" s="103" t="s">
        <v>3177</v>
      </c>
      <c r="B1689" s="124" t="s">
        <v>3178</v>
      </c>
      <c r="C1689" s="110">
        <v>5427</v>
      </c>
      <c r="D1689" s="109" t="s">
        <v>120</v>
      </c>
      <c r="E1689" s="109">
        <v>54</v>
      </c>
      <c r="F1689" s="110">
        <v>11103</v>
      </c>
      <c r="G1689" s="109" t="s">
        <v>120</v>
      </c>
      <c r="H1689" s="109">
        <v>205</v>
      </c>
      <c r="I1689" s="109">
        <v>1992</v>
      </c>
      <c r="J1689" s="110">
        <v>778</v>
      </c>
    </row>
    <row r="1690" spans="1:10" s="119" customFormat="1">
      <c r="A1690" s="123" t="s">
        <v>120</v>
      </c>
      <c r="B1690" s="275" t="s">
        <v>947</v>
      </c>
      <c r="C1690" s="276"/>
      <c r="D1690" s="276"/>
      <c r="E1690" s="276"/>
      <c r="F1690" s="276"/>
      <c r="G1690" s="276"/>
      <c r="H1690" s="276"/>
      <c r="I1690" s="276"/>
      <c r="J1690" s="276"/>
    </row>
    <row r="1691" spans="1:10">
      <c r="A1691" s="103" t="s">
        <v>3179</v>
      </c>
      <c r="B1691" s="124" t="s">
        <v>3180</v>
      </c>
      <c r="C1691" s="110">
        <v>6916</v>
      </c>
      <c r="D1691" s="109" t="s">
        <v>120</v>
      </c>
      <c r="E1691" s="109">
        <v>69</v>
      </c>
      <c r="F1691" s="110">
        <v>17091</v>
      </c>
      <c r="G1691" s="109" t="s">
        <v>120</v>
      </c>
      <c r="H1691" s="109">
        <v>247</v>
      </c>
      <c r="I1691" s="109">
        <v>1861</v>
      </c>
      <c r="J1691" s="110">
        <v>431</v>
      </c>
    </row>
    <row r="1692" spans="1:10">
      <c r="A1692" s="103" t="s">
        <v>3181</v>
      </c>
      <c r="B1692" s="124" t="s">
        <v>932</v>
      </c>
      <c r="C1692" s="110">
        <v>3631</v>
      </c>
      <c r="D1692" s="109" t="s">
        <v>120</v>
      </c>
      <c r="E1692" s="109">
        <v>36</v>
      </c>
      <c r="F1692" s="110">
        <v>12772</v>
      </c>
      <c r="G1692" s="109" t="s">
        <v>120</v>
      </c>
      <c r="H1692" s="109">
        <v>352</v>
      </c>
      <c r="I1692" s="109" t="s">
        <v>122</v>
      </c>
      <c r="J1692" s="110" t="s">
        <v>122</v>
      </c>
    </row>
    <row r="1693" spans="1:10">
      <c r="A1693" s="103" t="s">
        <v>3182</v>
      </c>
      <c r="B1693" s="124" t="s">
        <v>934</v>
      </c>
      <c r="C1693" s="110">
        <v>3285</v>
      </c>
      <c r="D1693" s="109" t="s">
        <v>120</v>
      </c>
      <c r="E1693" s="109">
        <v>33</v>
      </c>
      <c r="F1693" s="110">
        <v>4319</v>
      </c>
      <c r="G1693" s="109" t="s">
        <v>120</v>
      </c>
      <c r="H1693" s="109">
        <v>131</v>
      </c>
      <c r="I1693" s="109" t="s">
        <v>122</v>
      </c>
      <c r="J1693" s="110" t="s">
        <v>122</v>
      </c>
    </row>
    <row r="1694" spans="1:10">
      <c r="A1694" s="103" t="s">
        <v>3183</v>
      </c>
      <c r="B1694" s="124" t="s">
        <v>3184</v>
      </c>
      <c r="C1694" s="110">
        <v>8790</v>
      </c>
      <c r="D1694" s="109" t="s">
        <v>120</v>
      </c>
      <c r="E1694" s="109">
        <v>88</v>
      </c>
      <c r="F1694" s="110">
        <v>7204</v>
      </c>
      <c r="G1694" s="109" t="s">
        <v>120</v>
      </c>
      <c r="H1694" s="109">
        <v>82</v>
      </c>
      <c r="I1694" s="109">
        <v>1563</v>
      </c>
      <c r="J1694" s="110">
        <v>1257</v>
      </c>
    </row>
    <row r="1695" spans="1:10">
      <c r="A1695" s="103" t="s">
        <v>3185</v>
      </c>
      <c r="B1695" s="124" t="s">
        <v>932</v>
      </c>
      <c r="C1695" s="110">
        <v>3290</v>
      </c>
      <c r="D1695" s="109" t="s">
        <v>120</v>
      </c>
      <c r="E1695" s="109">
        <v>33</v>
      </c>
      <c r="F1695" s="110">
        <v>5711</v>
      </c>
      <c r="G1695" s="109" t="s">
        <v>120</v>
      </c>
      <c r="H1695" s="109">
        <v>174</v>
      </c>
      <c r="I1695" s="109" t="s">
        <v>122</v>
      </c>
      <c r="J1695" s="110" t="s">
        <v>122</v>
      </c>
    </row>
    <row r="1696" spans="1:10">
      <c r="A1696" s="103" t="s">
        <v>3186</v>
      </c>
      <c r="B1696" s="124" t="s">
        <v>934</v>
      </c>
      <c r="C1696" s="110">
        <v>5500</v>
      </c>
      <c r="D1696" s="109" t="s">
        <v>120</v>
      </c>
      <c r="E1696" s="109">
        <v>55</v>
      </c>
      <c r="F1696" s="110">
        <v>1493</v>
      </c>
      <c r="G1696" s="109" t="s">
        <v>120</v>
      </c>
      <c r="H1696" s="109">
        <v>27</v>
      </c>
      <c r="I1696" s="109" t="s">
        <v>122</v>
      </c>
      <c r="J1696" s="110" t="s">
        <v>122</v>
      </c>
    </row>
    <row r="1697" spans="1:10" s="119" customFormat="1">
      <c r="A1697" s="123" t="s">
        <v>120</v>
      </c>
      <c r="B1697" s="273" t="s">
        <v>3187</v>
      </c>
      <c r="C1697" s="274"/>
      <c r="D1697" s="274"/>
      <c r="E1697" s="274"/>
      <c r="F1697" s="274"/>
      <c r="G1697" s="274"/>
      <c r="H1697" s="274"/>
      <c r="I1697" s="274"/>
      <c r="J1697" s="274"/>
    </row>
    <row r="1698" spans="1:10" s="119" customFormat="1">
      <c r="A1698" s="123" t="s">
        <v>120</v>
      </c>
      <c r="B1698" s="275" t="s">
        <v>922</v>
      </c>
      <c r="C1698" s="276"/>
      <c r="D1698" s="276"/>
      <c r="E1698" s="276"/>
      <c r="F1698" s="276"/>
      <c r="G1698" s="276"/>
      <c r="H1698" s="276"/>
      <c r="I1698" s="276"/>
      <c r="J1698" s="276"/>
    </row>
    <row r="1699" spans="1:10">
      <c r="A1699" s="103" t="s">
        <v>3188</v>
      </c>
      <c r="B1699" s="124" t="s">
        <v>3189</v>
      </c>
      <c r="C1699" s="110">
        <v>6459</v>
      </c>
      <c r="D1699" s="109" t="s">
        <v>120</v>
      </c>
      <c r="E1699" s="109">
        <v>65</v>
      </c>
      <c r="F1699" s="110">
        <v>10106</v>
      </c>
      <c r="G1699" s="109" t="s">
        <v>120</v>
      </c>
      <c r="H1699" s="109">
        <v>156</v>
      </c>
      <c r="I1699" s="109">
        <v>1907</v>
      </c>
      <c r="J1699" s="110">
        <v>863</v>
      </c>
    </row>
    <row r="1700" spans="1:10" s="119" customFormat="1">
      <c r="A1700" s="123" t="s">
        <v>120</v>
      </c>
      <c r="B1700" s="275" t="s">
        <v>943</v>
      </c>
      <c r="C1700" s="276"/>
      <c r="D1700" s="276"/>
      <c r="E1700" s="276"/>
      <c r="F1700" s="276"/>
      <c r="G1700" s="276"/>
      <c r="H1700" s="276"/>
      <c r="I1700" s="276"/>
      <c r="J1700" s="276"/>
    </row>
    <row r="1701" spans="1:10">
      <c r="A1701" s="103" t="s">
        <v>3190</v>
      </c>
      <c r="B1701" s="124" t="s">
        <v>2965</v>
      </c>
      <c r="C1701" s="110">
        <v>4071</v>
      </c>
      <c r="D1701" s="109" t="s">
        <v>120</v>
      </c>
      <c r="E1701" s="109">
        <v>41</v>
      </c>
      <c r="F1701" s="110">
        <v>7745</v>
      </c>
      <c r="G1701" s="109" t="s">
        <v>120</v>
      </c>
      <c r="H1701" s="109">
        <v>190</v>
      </c>
      <c r="I1701" s="109">
        <v>2088</v>
      </c>
      <c r="J1701" s="110">
        <v>1161</v>
      </c>
    </row>
    <row r="1702" spans="1:10">
      <c r="A1702" s="103" t="s">
        <v>3191</v>
      </c>
      <c r="B1702" s="124" t="s">
        <v>3192</v>
      </c>
      <c r="C1702" s="110">
        <v>11950</v>
      </c>
      <c r="D1702" s="109" t="s">
        <v>120</v>
      </c>
      <c r="E1702" s="109">
        <v>119</v>
      </c>
      <c r="F1702" s="110">
        <v>14973</v>
      </c>
      <c r="G1702" s="109" t="s">
        <v>120</v>
      </c>
      <c r="H1702" s="109">
        <v>125</v>
      </c>
      <c r="I1702" s="109">
        <v>1060</v>
      </c>
      <c r="J1702" s="110">
        <v>520</v>
      </c>
    </row>
    <row r="1703" spans="1:10">
      <c r="A1703" s="103" t="s">
        <v>3193</v>
      </c>
      <c r="B1703" s="124" t="s">
        <v>3194</v>
      </c>
      <c r="C1703" s="110">
        <v>9573</v>
      </c>
      <c r="D1703" s="109" t="s">
        <v>120</v>
      </c>
      <c r="E1703" s="109">
        <v>95</v>
      </c>
      <c r="F1703" s="110">
        <v>7039</v>
      </c>
      <c r="G1703" s="109" t="s">
        <v>120</v>
      </c>
      <c r="H1703" s="109">
        <v>74</v>
      </c>
      <c r="I1703" s="109">
        <v>1457</v>
      </c>
      <c r="J1703" s="110">
        <v>1289</v>
      </c>
    </row>
    <row r="1704" spans="1:10" s="119" customFormat="1">
      <c r="A1704" s="123" t="s">
        <v>120</v>
      </c>
      <c r="B1704" s="275" t="s">
        <v>1101</v>
      </c>
      <c r="C1704" s="276"/>
      <c r="D1704" s="276"/>
      <c r="E1704" s="276"/>
      <c r="F1704" s="276"/>
      <c r="G1704" s="276"/>
      <c r="H1704" s="276"/>
      <c r="I1704" s="276"/>
      <c r="J1704" s="276"/>
    </row>
    <row r="1705" spans="1:10">
      <c r="A1705" s="103" t="s">
        <v>3195</v>
      </c>
      <c r="B1705" s="124" t="s">
        <v>3196</v>
      </c>
      <c r="C1705" s="110">
        <v>15080</v>
      </c>
      <c r="D1705" s="109" t="s">
        <v>120</v>
      </c>
      <c r="E1705" s="109">
        <v>151</v>
      </c>
      <c r="F1705" s="110">
        <v>48601</v>
      </c>
      <c r="G1705" s="109" t="s">
        <v>120</v>
      </c>
      <c r="H1705" s="109">
        <v>322</v>
      </c>
      <c r="I1705" s="109">
        <v>671</v>
      </c>
      <c r="J1705" s="110">
        <v>95</v>
      </c>
    </row>
    <row r="1706" spans="1:10">
      <c r="A1706" s="103" t="s">
        <v>3197</v>
      </c>
      <c r="B1706" s="124" t="s">
        <v>932</v>
      </c>
      <c r="C1706" s="110">
        <v>2565</v>
      </c>
      <c r="D1706" s="109" t="s">
        <v>120</v>
      </c>
      <c r="E1706" s="109">
        <v>25</v>
      </c>
      <c r="F1706" s="110">
        <v>35170</v>
      </c>
      <c r="G1706" s="109" t="s">
        <v>120</v>
      </c>
      <c r="H1706" s="109">
        <v>1371</v>
      </c>
      <c r="I1706" s="109" t="s">
        <v>122</v>
      </c>
      <c r="J1706" s="110" t="s">
        <v>122</v>
      </c>
    </row>
    <row r="1707" spans="1:10">
      <c r="A1707" s="103" t="s">
        <v>3198</v>
      </c>
      <c r="B1707" s="124" t="s">
        <v>934</v>
      </c>
      <c r="C1707" s="110">
        <v>12515</v>
      </c>
      <c r="D1707" s="109" t="s">
        <v>120</v>
      </c>
      <c r="E1707" s="109">
        <v>126</v>
      </c>
      <c r="F1707" s="110">
        <v>13431</v>
      </c>
      <c r="G1707" s="109" t="s">
        <v>120</v>
      </c>
      <c r="H1707" s="109">
        <v>107</v>
      </c>
      <c r="I1707" s="109" t="s">
        <v>122</v>
      </c>
      <c r="J1707" s="110" t="s">
        <v>122</v>
      </c>
    </row>
    <row r="1708" spans="1:10">
      <c r="A1708" s="103" t="s">
        <v>3199</v>
      </c>
      <c r="B1708" s="124" t="s">
        <v>3200</v>
      </c>
      <c r="C1708" s="110">
        <v>14678</v>
      </c>
      <c r="D1708" s="109" t="s">
        <v>120</v>
      </c>
      <c r="E1708" s="109">
        <v>147</v>
      </c>
      <c r="F1708" s="110">
        <v>22753</v>
      </c>
      <c r="G1708" s="109" t="s">
        <v>120</v>
      </c>
      <c r="H1708" s="109">
        <v>155</v>
      </c>
      <c r="I1708" s="109">
        <v>707</v>
      </c>
      <c r="J1708" s="110">
        <v>285</v>
      </c>
    </row>
    <row r="1709" spans="1:10">
      <c r="A1709" s="103" t="s">
        <v>3201</v>
      </c>
      <c r="B1709" s="124" t="s">
        <v>932</v>
      </c>
      <c r="C1709" s="110">
        <v>1012</v>
      </c>
      <c r="D1709" s="109" t="s">
        <v>120</v>
      </c>
      <c r="E1709" s="109">
        <v>10</v>
      </c>
      <c r="F1709" s="110">
        <v>8561</v>
      </c>
      <c r="G1709" s="109" t="s">
        <v>120</v>
      </c>
      <c r="H1709" s="109">
        <v>846</v>
      </c>
      <c r="I1709" s="109" t="s">
        <v>122</v>
      </c>
      <c r="J1709" s="110" t="s">
        <v>122</v>
      </c>
    </row>
    <row r="1710" spans="1:10">
      <c r="A1710" s="103" t="s">
        <v>3202</v>
      </c>
      <c r="B1710" s="124" t="s">
        <v>934</v>
      </c>
      <c r="C1710" s="110">
        <v>13666</v>
      </c>
      <c r="D1710" s="109" t="s">
        <v>120</v>
      </c>
      <c r="E1710" s="109">
        <v>137</v>
      </c>
      <c r="F1710" s="110">
        <v>14192</v>
      </c>
      <c r="G1710" s="109" t="s">
        <v>120</v>
      </c>
      <c r="H1710" s="109">
        <v>104</v>
      </c>
      <c r="I1710" s="109" t="s">
        <v>122</v>
      </c>
      <c r="J1710" s="110" t="s">
        <v>122</v>
      </c>
    </row>
    <row r="1711" spans="1:10" s="119" customFormat="1">
      <c r="A1711" s="123" t="s">
        <v>120</v>
      </c>
      <c r="B1711" s="273" t="s">
        <v>3203</v>
      </c>
      <c r="C1711" s="274"/>
      <c r="D1711" s="274"/>
      <c r="E1711" s="274"/>
      <c r="F1711" s="274"/>
      <c r="G1711" s="274"/>
      <c r="H1711" s="274"/>
      <c r="I1711" s="274"/>
      <c r="J1711" s="274"/>
    </row>
    <row r="1712" spans="1:10" s="119" customFormat="1">
      <c r="A1712" s="123" t="s">
        <v>120</v>
      </c>
      <c r="B1712" s="275" t="s">
        <v>1019</v>
      </c>
      <c r="C1712" s="276"/>
      <c r="D1712" s="276"/>
      <c r="E1712" s="276"/>
      <c r="F1712" s="276"/>
      <c r="G1712" s="276"/>
      <c r="H1712" s="276"/>
      <c r="I1712" s="276"/>
      <c r="J1712" s="276"/>
    </row>
    <row r="1713" spans="1:10">
      <c r="A1713" s="103" t="s">
        <v>3204</v>
      </c>
      <c r="B1713" s="124" t="s">
        <v>3205</v>
      </c>
      <c r="C1713" s="110">
        <v>3000</v>
      </c>
      <c r="D1713" s="109" t="s">
        <v>120</v>
      </c>
      <c r="E1713" s="109">
        <v>30</v>
      </c>
      <c r="F1713" s="110">
        <v>38005</v>
      </c>
      <c r="G1713" s="109" t="s">
        <v>120</v>
      </c>
      <c r="H1713" s="109">
        <v>1267</v>
      </c>
      <c r="I1713" s="109">
        <v>2169</v>
      </c>
      <c r="J1713" s="110">
        <v>137</v>
      </c>
    </row>
    <row r="1714" spans="1:10" s="119" customFormat="1">
      <c r="A1714" s="123" t="s">
        <v>120</v>
      </c>
      <c r="B1714" s="275" t="s">
        <v>1022</v>
      </c>
      <c r="C1714" s="276"/>
      <c r="D1714" s="276"/>
      <c r="E1714" s="276"/>
      <c r="F1714" s="276"/>
      <c r="G1714" s="276"/>
      <c r="H1714" s="276"/>
      <c r="I1714" s="276"/>
      <c r="J1714" s="276"/>
    </row>
    <row r="1715" spans="1:10">
      <c r="A1715" s="103" t="s">
        <v>3206</v>
      </c>
      <c r="B1715" s="124" t="s">
        <v>1427</v>
      </c>
      <c r="C1715" s="110">
        <v>4076</v>
      </c>
      <c r="D1715" s="109" t="s">
        <v>120</v>
      </c>
      <c r="E1715" s="109">
        <v>41</v>
      </c>
      <c r="F1715" s="110">
        <v>8224</v>
      </c>
      <c r="G1715" s="109" t="s">
        <v>120</v>
      </c>
      <c r="H1715" s="109">
        <v>202</v>
      </c>
      <c r="I1715" s="109">
        <v>2087</v>
      </c>
      <c r="J1715" s="110">
        <v>1090</v>
      </c>
    </row>
    <row r="1716" spans="1:10">
      <c r="A1716" s="103" t="s">
        <v>3207</v>
      </c>
      <c r="B1716" s="124" t="s">
        <v>3205</v>
      </c>
      <c r="C1716" s="110">
        <v>7484</v>
      </c>
      <c r="D1716" s="109" t="s">
        <v>120</v>
      </c>
      <c r="E1716" s="109">
        <v>75</v>
      </c>
      <c r="F1716" s="110">
        <v>18505</v>
      </c>
      <c r="G1716" s="109" t="s">
        <v>120</v>
      </c>
      <c r="H1716" s="109">
        <v>247</v>
      </c>
      <c r="I1716" s="109">
        <v>1782</v>
      </c>
      <c r="J1716" s="110">
        <v>381</v>
      </c>
    </row>
    <row r="1717" spans="1:10">
      <c r="A1717" s="103" t="s">
        <v>3208</v>
      </c>
      <c r="B1717" s="124" t="s">
        <v>3209</v>
      </c>
      <c r="C1717" s="110">
        <v>2389</v>
      </c>
      <c r="D1717" s="109" t="s">
        <v>120</v>
      </c>
      <c r="E1717" s="109">
        <v>24</v>
      </c>
      <c r="F1717" s="110">
        <v>4313</v>
      </c>
      <c r="G1717" s="109" t="s">
        <v>120</v>
      </c>
      <c r="H1717" s="109">
        <v>181</v>
      </c>
      <c r="I1717" s="109">
        <v>2205</v>
      </c>
      <c r="J1717" s="110">
        <v>1919</v>
      </c>
    </row>
    <row r="1718" spans="1:10">
      <c r="A1718" s="103" t="s">
        <v>3210</v>
      </c>
      <c r="B1718" s="124" t="s">
        <v>3211</v>
      </c>
      <c r="C1718" s="110">
        <v>3546</v>
      </c>
      <c r="D1718" s="109" t="s">
        <v>120</v>
      </c>
      <c r="E1718" s="109">
        <v>35</v>
      </c>
      <c r="F1718" s="110">
        <v>6761</v>
      </c>
      <c r="G1718" s="109" t="s">
        <v>120</v>
      </c>
      <c r="H1718" s="109">
        <v>191</v>
      </c>
      <c r="I1718" s="109">
        <v>2124</v>
      </c>
      <c r="J1718" s="110">
        <v>1348</v>
      </c>
    </row>
    <row r="1719" spans="1:10" s="119" customFormat="1">
      <c r="A1719" s="123" t="s">
        <v>120</v>
      </c>
      <c r="B1719" s="275" t="s">
        <v>947</v>
      </c>
      <c r="C1719" s="276"/>
      <c r="D1719" s="276"/>
      <c r="E1719" s="276"/>
      <c r="F1719" s="276"/>
      <c r="G1719" s="276"/>
      <c r="H1719" s="276"/>
      <c r="I1719" s="276"/>
      <c r="J1719" s="276"/>
    </row>
    <row r="1720" spans="1:10">
      <c r="A1720" s="103" t="s">
        <v>3212</v>
      </c>
      <c r="B1720" s="124" t="s">
        <v>3213</v>
      </c>
      <c r="C1720" s="110">
        <v>4560</v>
      </c>
      <c r="D1720" s="109" t="s">
        <v>120</v>
      </c>
      <c r="E1720" s="109">
        <v>46</v>
      </c>
      <c r="F1720" s="110">
        <v>21214</v>
      </c>
      <c r="G1720" s="109" t="s">
        <v>120</v>
      </c>
      <c r="H1720" s="109">
        <v>465</v>
      </c>
      <c r="I1720" s="109">
        <v>2058</v>
      </c>
      <c r="J1720" s="110">
        <v>320</v>
      </c>
    </row>
    <row r="1721" spans="1:10">
      <c r="A1721" s="103" t="s">
        <v>3214</v>
      </c>
      <c r="B1721" s="124" t="s">
        <v>932</v>
      </c>
      <c r="C1721" s="110">
        <v>1904</v>
      </c>
      <c r="D1721" s="109" t="s">
        <v>120</v>
      </c>
      <c r="E1721" s="109">
        <v>19</v>
      </c>
      <c r="F1721" s="110">
        <v>11192</v>
      </c>
      <c r="G1721" s="109" t="s">
        <v>120</v>
      </c>
      <c r="H1721" s="109">
        <v>588</v>
      </c>
      <c r="I1721" s="109" t="s">
        <v>122</v>
      </c>
      <c r="J1721" s="110" t="s">
        <v>122</v>
      </c>
    </row>
    <row r="1722" spans="1:10">
      <c r="A1722" s="103" t="s">
        <v>3215</v>
      </c>
      <c r="B1722" s="124" t="s">
        <v>934</v>
      </c>
      <c r="C1722" s="110">
        <v>2656</v>
      </c>
      <c r="D1722" s="109" t="s">
        <v>120</v>
      </c>
      <c r="E1722" s="109">
        <v>27</v>
      </c>
      <c r="F1722" s="110">
        <v>10022</v>
      </c>
      <c r="G1722" s="109" t="s">
        <v>120</v>
      </c>
      <c r="H1722" s="109">
        <v>377</v>
      </c>
      <c r="I1722" s="109" t="s">
        <v>122</v>
      </c>
      <c r="J1722" s="110" t="s">
        <v>122</v>
      </c>
    </row>
    <row r="1723" spans="1:10">
      <c r="A1723" s="103" t="s">
        <v>3216</v>
      </c>
      <c r="B1723" s="124" t="s">
        <v>3217</v>
      </c>
      <c r="C1723" s="110">
        <v>2732</v>
      </c>
      <c r="D1723" s="109" t="s">
        <v>120</v>
      </c>
      <c r="E1723" s="109">
        <v>27</v>
      </c>
      <c r="F1723" s="110">
        <v>12990</v>
      </c>
      <c r="G1723" s="109" t="s">
        <v>120</v>
      </c>
      <c r="H1723" s="109">
        <v>475</v>
      </c>
      <c r="I1723" s="109">
        <v>2181</v>
      </c>
      <c r="J1723" s="110">
        <v>631</v>
      </c>
    </row>
    <row r="1724" spans="1:10">
      <c r="A1724" s="103" t="s">
        <v>3218</v>
      </c>
      <c r="B1724" s="124" t="s">
        <v>932</v>
      </c>
      <c r="C1724" s="110">
        <v>827</v>
      </c>
      <c r="D1724" s="109" t="s">
        <v>120</v>
      </c>
      <c r="E1724" s="109">
        <v>8</v>
      </c>
      <c r="F1724" s="110">
        <v>9031</v>
      </c>
      <c r="G1724" s="109" t="s">
        <v>120</v>
      </c>
      <c r="H1724" s="109">
        <v>1092</v>
      </c>
      <c r="I1724" s="109" t="s">
        <v>122</v>
      </c>
      <c r="J1724" s="110" t="s">
        <v>122</v>
      </c>
    </row>
    <row r="1725" spans="1:10">
      <c r="A1725" s="103" t="s">
        <v>3219</v>
      </c>
      <c r="B1725" s="124" t="s">
        <v>934</v>
      </c>
      <c r="C1725" s="110">
        <v>1905</v>
      </c>
      <c r="D1725" s="109" t="s">
        <v>120</v>
      </c>
      <c r="E1725" s="109">
        <v>19</v>
      </c>
      <c r="F1725" s="110">
        <v>3959</v>
      </c>
      <c r="G1725" s="109" t="s">
        <v>120</v>
      </c>
      <c r="H1725" s="109">
        <v>208</v>
      </c>
      <c r="I1725" s="109" t="s">
        <v>122</v>
      </c>
      <c r="J1725" s="110" t="s">
        <v>122</v>
      </c>
    </row>
    <row r="1726" spans="1:10">
      <c r="A1726" s="103" t="s">
        <v>3220</v>
      </c>
      <c r="B1726" s="124" t="s">
        <v>3221</v>
      </c>
      <c r="C1726" s="110">
        <v>7608</v>
      </c>
      <c r="D1726" s="109" t="s">
        <v>120</v>
      </c>
      <c r="E1726" s="109">
        <v>76</v>
      </c>
      <c r="F1726" s="110">
        <v>34157</v>
      </c>
      <c r="G1726" s="109" t="s">
        <v>120</v>
      </c>
      <c r="H1726" s="109">
        <v>449</v>
      </c>
      <c r="I1726" s="109">
        <v>1758</v>
      </c>
      <c r="J1726" s="110">
        <v>157</v>
      </c>
    </row>
    <row r="1727" spans="1:10">
      <c r="A1727" s="103" t="s">
        <v>3222</v>
      </c>
      <c r="B1727" s="124" t="s">
        <v>932</v>
      </c>
      <c r="C1727" s="110">
        <v>2305</v>
      </c>
      <c r="D1727" s="109" t="s">
        <v>120</v>
      </c>
      <c r="E1727" s="109">
        <v>23</v>
      </c>
      <c r="F1727" s="110">
        <v>18623</v>
      </c>
      <c r="G1727" s="109" t="s">
        <v>120</v>
      </c>
      <c r="H1727" s="109">
        <v>808</v>
      </c>
      <c r="I1727" s="109" t="s">
        <v>122</v>
      </c>
      <c r="J1727" s="110" t="s">
        <v>122</v>
      </c>
    </row>
    <row r="1728" spans="1:10">
      <c r="A1728" s="103" t="s">
        <v>3223</v>
      </c>
      <c r="B1728" s="124" t="s">
        <v>934</v>
      </c>
      <c r="C1728" s="110">
        <v>5303</v>
      </c>
      <c r="D1728" s="109" t="s">
        <v>120</v>
      </c>
      <c r="E1728" s="109">
        <v>53</v>
      </c>
      <c r="F1728" s="110">
        <v>15534</v>
      </c>
      <c r="G1728" s="109" t="s">
        <v>120</v>
      </c>
      <c r="H1728" s="109">
        <v>293</v>
      </c>
      <c r="I1728" s="109" t="s">
        <v>122</v>
      </c>
      <c r="J1728" s="110" t="s">
        <v>122</v>
      </c>
    </row>
    <row r="1729" spans="1:10">
      <c r="A1729" s="103" t="s">
        <v>3224</v>
      </c>
      <c r="B1729" s="124" t="s">
        <v>3225</v>
      </c>
      <c r="C1729" s="110">
        <v>5163</v>
      </c>
      <c r="D1729" s="109" t="s">
        <v>120</v>
      </c>
      <c r="E1729" s="109">
        <v>52</v>
      </c>
      <c r="F1729" s="110">
        <v>9317</v>
      </c>
      <c r="G1729" s="109" t="s">
        <v>120</v>
      </c>
      <c r="H1729" s="109">
        <v>180</v>
      </c>
      <c r="I1729" s="109">
        <v>2004</v>
      </c>
      <c r="J1729" s="110">
        <v>940</v>
      </c>
    </row>
    <row r="1730" spans="1:10">
      <c r="A1730" s="103" t="s">
        <v>3226</v>
      </c>
      <c r="B1730" s="124" t="s">
        <v>932</v>
      </c>
      <c r="C1730" s="110">
        <v>1152</v>
      </c>
      <c r="D1730" s="109" t="s">
        <v>120</v>
      </c>
      <c r="E1730" s="109">
        <v>12</v>
      </c>
      <c r="F1730" s="110">
        <v>3664</v>
      </c>
      <c r="G1730" s="109" t="s">
        <v>120</v>
      </c>
      <c r="H1730" s="109">
        <v>318</v>
      </c>
      <c r="I1730" s="109" t="s">
        <v>122</v>
      </c>
      <c r="J1730" s="110" t="s">
        <v>122</v>
      </c>
    </row>
    <row r="1731" spans="1:10">
      <c r="A1731" s="103" t="s">
        <v>3227</v>
      </c>
      <c r="B1731" s="124" t="s">
        <v>934</v>
      </c>
      <c r="C1731" s="110">
        <v>4011</v>
      </c>
      <c r="D1731" s="109" t="s">
        <v>120</v>
      </c>
      <c r="E1731" s="109">
        <v>40</v>
      </c>
      <c r="F1731" s="110">
        <v>5653</v>
      </c>
      <c r="G1731" s="109" t="s">
        <v>120</v>
      </c>
      <c r="H1731" s="109">
        <v>141</v>
      </c>
      <c r="I1731" s="109" t="s">
        <v>122</v>
      </c>
      <c r="J1731" s="110" t="s">
        <v>122</v>
      </c>
    </row>
    <row r="1732" spans="1:10" s="119" customFormat="1">
      <c r="A1732" s="123" t="s">
        <v>120</v>
      </c>
      <c r="B1732" s="273" t="s">
        <v>3228</v>
      </c>
      <c r="C1732" s="274"/>
      <c r="D1732" s="274"/>
      <c r="E1732" s="274"/>
      <c r="F1732" s="274"/>
      <c r="G1732" s="274"/>
      <c r="H1732" s="274"/>
      <c r="I1732" s="274"/>
      <c r="J1732" s="274"/>
    </row>
    <row r="1733" spans="1:10" s="119" customFormat="1">
      <c r="A1733" s="123" t="s">
        <v>120</v>
      </c>
      <c r="B1733" s="275" t="s">
        <v>924</v>
      </c>
      <c r="C1733" s="276"/>
      <c r="D1733" s="276"/>
      <c r="E1733" s="276"/>
      <c r="F1733" s="276"/>
      <c r="G1733" s="276"/>
      <c r="H1733" s="276"/>
      <c r="I1733" s="276"/>
      <c r="J1733" s="276"/>
    </row>
    <row r="1734" spans="1:10">
      <c r="A1734" s="103" t="s">
        <v>3229</v>
      </c>
      <c r="B1734" s="124" t="s">
        <v>3230</v>
      </c>
      <c r="C1734" s="110">
        <v>8852</v>
      </c>
      <c r="D1734" s="109" t="s">
        <v>120</v>
      </c>
      <c r="E1734" s="109">
        <v>89</v>
      </c>
      <c r="F1734" s="110">
        <v>9007</v>
      </c>
      <c r="G1734" s="109" t="s">
        <v>120</v>
      </c>
      <c r="H1734" s="109">
        <v>102</v>
      </c>
      <c r="I1734" s="109">
        <v>1553</v>
      </c>
      <c r="J1734" s="110">
        <v>984</v>
      </c>
    </row>
    <row r="1735" spans="1:10">
      <c r="A1735" s="103" t="s">
        <v>3231</v>
      </c>
      <c r="B1735" s="124" t="s">
        <v>3232</v>
      </c>
      <c r="C1735" s="110">
        <v>4788</v>
      </c>
      <c r="D1735" s="109" t="s">
        <v>120</v>
      </c>
      <c r="E1735" s="109">
        <v>48</v>
      </c>
      <c r="F1735" s="110">
        <v>3568</v>
      </c>
      <c r="G1735" s="109" t="s">
        <v>120</v>
      </c>
      <c r="H1735" s="109">
        <v>75</v>
      </c>
      <c r="I1735" s="109">
        <v>2038</v>
      </c>
      <c r="J1735" s="110">
        <v>2098</v>
      </c>
    </row>
    <row r="1736" spans="1:10">
      <c r="A1736" s="103" t="s">
        <v>3233</v>
      </c>
      <c r="B1736" s="124" t="s">
        <v>3234</v>
      </c>
      <c r="C1736" s="110">
        <v>5797</v>
      </c>
      <c r="D1736" s="109" t="s">
        <v>120</v>
      </c>
      <c r="E1736" s="109">
        <v>58</v>
      </c>
      <c r="F1736" s="110">
        <v>3342</v>
      </c>
      <c r="G1736" s="109" t="s">
        <v>120</v>
      </c>
      <c r="H1736" s="109">
        <v>58</v>
      </c>
      <c r="I1736" s="109">
        <v>1957</v>
      </c>
      <c r="J1736" s="110">
        <v>2139</v>
      </c>
    </row>
    <row r="1737" spans="1:10" s="119" customFormat="1">
      <c r="A1737" s="123" t="s">
        <v>120</v>
      </c>
      <c r="B1737" s="275" t="s">
        <v>1101</v>
      </c>
      <c r="C1737" s="276"/>
      <c r="D1737" s="276"/>
      <c r="E1737" s="276"/>
      <c r="F1737" s="276"/>
      <c r="G1737" s="276"/>
      <c r="H1737" s="276"/>
      <c r="I1737" s="276"/>
      <c r="J1737" s="276"/>
    </row>
    <row r="1738" spans="1:10">
      <c r="A1738" s="103" t="s">
        <v>3235</v>
      </c>
      <c r="B1738" s="124" t="s">
        <v>3236</v>
      </c>
      <c r="C1738" s="110">
        <v>6606</v>
      </c>
      <c r="D1738" s="109" t="s">
        <v>120</v>
      </c>
      <c r="E1738" s="109">
        <v>66</v>
      </c>
      <c r="F1738" s="110">
        <v>5454</v>
      </c>
      <c r="G1738" s="109" t="s">
        <v>120</v>
      </c>
      <c r="H1738" s="109">
        <v>83</v>
      </c>
      <c r="I1738" s="109">
        <v>1894</v>
      </c>
      <c r="J1738" s="110">
        <v>1624</v>
      </c>
    </row>
    <row r="1739" spans="1:10">
      <c r="A1739" s="103" t="s">
        <v>3237</v>
      </c>
      <c r="B1739" s="124" t="s">
        <v>932</v>
      </c>
      <c r="C1739" s="110">
        <v>325</v>
      </c>
      <c r="D1739" s="109" t="s">
        <v>120</v>
      </c>
      <c r="E1739" s="109">
        <v>3</v>
      </c>
      <c r="F1739" s="110">
        <v>778</v>
      </c>
      <c r="G1739" s="109" t="s">
        <v>120</v>
      </c>
      <c r="H1739" s="109">
        <v>239</v>
      </c>
      <c r="I1739" s="109" t="s">
        <v>122</v>
      </c>
      <c r="J1739" s="110" t="s">
        <v>122</v>
      </c>
    </row>
    <row r="1740" spans="1:10">
      <c r="A1740" s="103" t="s">
        <v>3238</v>
      </c>
      <c r="B1740" s="124" t="s">
        <v>934</v>
      </c>
      <c r="C1740" s="110">
        <v>6281</v>
      </c>
      <c r="D1740" s="109" t="s">
        <v>120</v>
      </c>
      <c r="E1740" s="109">
        <v>63</v>
      </c>
      <c r="F1740" s="110">
        <v>4676</v>
      </c>
      <c r="G1740" s="109" t="s">
        <v>120</v>
      </c>
      <c r="H1740" s="109">
        <v>74</v>
      </c>
      <c r="I1740" s="109" t="s">
        <v>122</v>
      </c>
      <c r="J1740" s="110" t="s">
        <v>122</v>
      </c>
    </row>
    <row r="1741" spans="1:10">
      <c r="A1741" s="103" t="s">
        <v>3239</v>
      </c>
      <c r="B1741" s="124" t="s">
        <v>3240</v>
      </c>
      <c r="C1741" s="110">
        <v>5442</v>
      </c>
      <c r="D1741" s="109" t="s">
        <v>120</v>
      </c>
      <c r="E1741" s="109">
        <v>54</v>
      </c>
      <c r="F1741" s="110">
        <v>5712</v>
      </c>
      <c r="G1741" s="109" t="s">
        <v>120</v>
      </c>
      <c r="H1741" s="109">
        <v>105</v>
      </c>
      <c r="I1741" s="109">
        <v>1991</v>
      </c>
      <c r="J1741" s="110">
        <v>1575</v>
      </c>
    </row>
    <row r="1742" spans="1:10">
      <c r="A1742" s="103" t="s">
        <v>3241</v>
      </c>
      <c r="B1742" s="124" t="s">
        <v>932</v>
      </c>
      <c r="C1742" s="110">
        <v>726</v>
      </c>
      <c r="D1742" s="109" t="s">
        <v>120</v>
      </c>
      <c r="E1742" s="109">
        <v>8</v>
      </c>
      <c r="F1742" s="110">
        <v>1667</v>
      </c>
      <c r="G1742" s="109" t="s">
        <v>120</v>
      </c>
      <c r="H1742" s="109">
        <v>230</v>
      </c>
      <c r="I1742" s="109" t="s">
        <v>122</v>
      </c>
      <c r="J1742" s="110" t="s">
        <v>122</v>
      </c>
    </row>
    <row r="1743" spans="1:10">
      <c r="A1743" s="103" t="s">
        <v>3242</v>
      </c>
      <c r="B1743" s="124" t="s">
        <v>934</v>
      </c>
      <c r="C1743" s="110">
        <v>4716</v>
      </c>
      <c r="D1743" s="109" t="s">
        <v>120</v>
      </c>
      <c r="E1743" s="109">
        <v>46</v>
      </c>
      <c r="F1743" s="110">
        <v>4045</v>
      </c>
      <c r="G1743" s="109" t="s">
        <v>120</v>
      </c>
      <c r="H1743" s="109">
        <v>86</v>
      </c>
      <c r="I1743" s="109" t="s">
        <v>122</v>
      </c>
      <c r="J1743" s="110" t="s">
        <v>122</v>
      </c>
    </row>
    <row r="1744" spans="1:10">
      <c r="A1744" s="103" t="s">
        <v>3243</v>
      </c>
      <c r="B1744" s="124" t="s">
        <v>3244</v>
      </c>
      <c r="C1744" s="110">
        <v>10002</v>
      </c>
      <c r="D1744" s="109" t="s">
        <v>120</v>
      </c>
      <c r="E1744" s="109">
        <v>100</v>
      </c>
      <c r="F1744" s="110">
        <v>16139</v>
      </c>
      <c r="G1744" s="109" t="s">
        <v>120</v>
      </c>
      <c r="H1744" s="109">
        <v>161</v>
      </c>
      <c r="I1744" s="109">
        <v>1388</v>
      </c>
      <c r="J1744" s="110">
        <v>466</v>
      </c>
    </row>
    <row r="1745" spans="1:10">
      <c r="A1745" s="103" t="s">
        <v>3245</v>
      </c>
      <c r="B1745" s="124" t="s">
        <v>932</v>
      </c>
      <c r="C1745" s="110">
        <v>733</v>
      </c>
      <c r="D1745" s="109" t="s">
        <v>120</v>
      </c>
      <c r="E1745" s="109">
        <v>7</v>
      </c>
      <c r="F1745" s="110">
        <v>5983</v>
      </c>
      <c r="G1745" s="109" t="s">
        <v>120</v>
      </c>
      <c r="H1745" s="109">
        <v>816</v>
      </c>
      <c r="I1745" s="109" t="s">
        <v>122</v>
      </c>
      <c r="J1745" s="110" t="s">
        <v>122</v>
      </c>
    </row>
    <row r="1746" spans="1:10">
      <c r="A1746" s="103" t="s">
        <v>3246</v>
      </c>
      <c r="B1746" s="124" t="s">
        <v>934</v>
      </c>
      <c r="C1746" s="110">
        <v>9269</v>
      </c>
      <c r="D1746" s="109" t="s">
        <v>120</v>
      </c>
      <c r="E1746" s="109">
        <v>93</v>
      </c>
      <c r="F1746" s="110">
        <v>10156</v>
      </c>
      <c r="G1746" s="109" t="s">
        <v>120</v>
      </c>
      <c r="H1746" s="109">
        <v>110</v>
      </c>
      <c r="I1746" s="109" t="s">
        <v>122</v>
      </c>
      <c r="J1746" s="110" t="s">
        <v>122</v>
      </c>
    </row>
    <row r="1747" spans="1:10" s="119" customFormat="1">
      <c r="A1747" s="123" t="s">
        <v>120</v>
      </c>
      <c r="B1747" s="273" t="s">
        <v>3247</v>
      </c>
      <c r="C1747" s="274"/>
      <c r="D1747" s="274"/>
      <c r="E1747" s="274"/>
      <c r="F1747" s="274"/>
      <c r="G1747" s="274"/>
      <c r="H1747" s="274"/>
      <c r="I1747" s="274"/>
      <c r="J1747" s="274"/>
    </row>
    <row r="1748" spans="1:10" s="119" customFormat="1">
      <c r="A1748" s="123" t="s">
        <v>120</v>
      </c>
      <c r="B1748" s="275" t="s">
        <v>936</v>
      </c>
      <c r="C1748" s="276"/>
      <c r="D1748" s="276"/>
      <c r="E1748" s="276"/>
      <c r="F1748" s="276"/>
      <c r="G1748" s="276"/>
      <c r="H1748" s="276"/>
      <c r="I1748" s="276"/>
      <c r="J1748" s="276"/>
    </row>
    <row r="1749" spans="1:10">
      <c r="A1749" s="103" t="s">
        <v>3248</v>
      </c>
      <c r="B1749" s="124" t="s">
        <v>3249</v>
      </c>
      <c r="C1749" s="110">
        <v>2103</v>
      </c>
      <c r="D1749" s="109" t="s">
        <v>120</v>
      </c>
      <c r="E1749" s="109">
        <v>21</v>
      </c>
      <c r="F1749" s="110">
        <v>5366</v>
      </c>
      <c r="G1749" s="109" t="s">
        <v>120</v>
      </c>
      <c r="H1749" s="109">
        <v>255</v>
      </c>
      <c r="I1749" s="109">
        <v>2227</v>
      </c>
      <c r="J1749" s="110">
        <v>1645</v>
      </c>
    </row>
    <row r="1750" spans="1:10">
      <c r="A1750" s="103" t="s">
        <v>3250</v>
      </c>
      <c r="B1750" s="124" t="s">
        <v>3251</v>
      </c>
      <c r="C1750" s="110">
        <v>2765</v>
      </c>
      <c r="D1750" s="109" t="s">
        <v>120</v>
      </c>
      <c r="E1750" s="109">
        <v>28</v>
      </c>
      <c r="F1750" s="110">
        <v>9088</v>
      </c>
      <c r="G1750" s="109" t="s">
        <v>120</v>
      </c>
      <c r="H1750" s="109">
        <v>329</v>
      </c>
      <c r="I1750" s="109">
        <v>2178</v>
      </c>
      <c r="J1750" s="110">
        <v>970</v>
      </c>
    </row>
    <row r="1751" spans="1:10" s="119" customFormat="1">
      <c r="A1751" s="123" t="s">
        <v>120</v>
      </c>
      <c r="B1751" s="275" t="s">
        <v>924</v>
      </c>
      <c r="C1751" s="276"/>
      <c r="D1751" s="276"/>
      <c r="E1751" s="276"/>
      <c r="F1751" s="276"/>
      <c r="G1751" s="276"/>
      <c r="H1751" s="276"/>
      <c r="I1751" s="276"/>
      <c r="J1751" s="276"/>
    </row>
    <row r="1752" spans="1:10">
      <c r="A1752" s="103" t="s">
        <v>3252</v>
      </c>
      <c r="B1752" s="124" t="s">
        <v>3253</v>
      </c>
      <c r="C1752" s="110">
        <v>7356</v>
      </c>
      <c r="D1752" s="109" t="s">
        <v>120</v>
      </c>
      <c r="E1752" s="109">
        <v>74</v>
      </c>
      <c r="F1752" s="110">
        <v>8945</v>
      </c>
      <c r="G1752" s="109" t="s">
        <v>120</v>
      </c>
      <c r="H1752" s="109">
        <v>122</v>
      </c>
      <c r="I1752" s="109">
        <v>1798</v>
      </c>
      <c r="J1752" s="110">
        <v>991</v>
      </c>
    </row>
    <row r="1753" spans="1:10">
      <c r="A1753" s="103" t="s">
        <v>3254</v>
      </c>
      <c r="B1753" s="124" t="s">
        <v>3255</v>
      </c>
      <c r="C1753" s="110">
        <v>8052</v>
      </c>
      <c r="D1753" s="109" t="s">
        <v>120</v>
      </c>
      <c r="E1753" s="109">
        <v>81</v>
      </c>
      <c r="F1753" s="110">
        <v>6920</v>
      </c>
      <c r="G1753" s="109" t="s">
        <v>120</v>
      </c>
      <c r="H1753" s="109">
        <v>86</v>
      </c>
      <c r="I1753" s="109">
        <v>1695</v>
      </c>
      <c r="J1753" s="110">
        <v>1312</v>
      </c>
    </row>
    <row r="1754" spans="1:10">
      <c r="A1754" s="103" t="s">
        <v>3256</v>
      </c>
      <c r="B1754" s="124" t="s">
        <v>3249</v>
      </c>
      <c r="C1754" s="110">
        <v>9245</v>
      </c>
      <c r="D1754" s="109" t="s">
        <v>120</v>
      </c>
      <c r="E1754" s="109">
        <v>92</v>
      </c>
      <c r="F1754" s="110">
        <v>11180</v>
      </c>
      <c r="G1754" s="109" t="s">
        <v>120</v>
      </c>
      <c r="H1754" s="109">
        <v>121</v>
      </c>
      <c r="I1754" s="109">
        <v>1507</v>
      </c>
      <c r="J1754" s="110">
        <v>770</v>
      </c>
    </row>
    <row r="1755" spans="1:10">
      <c r="A1755" s="103" t="s">
        <v>3257</v>
      </c>
      <c r="B1755" s="124" t="s">
        <v>3258</v>
      </c>
      <c r="C1755" s="110">
        <v>11381</v>
      </c>
      <c r="D1755" s="109" t="s">
        <v>120</v>
      </c>
      <c r="E1755" s="109">
        <v>114</v>
      </c>
      <c r="F1755" s="110">
        <v>11940</v>
      </c>
      <c r="G1755" s="109" t="s">
        <v>120</v>
      </c>
      <c r="H1755" s="109">
        <v>105</v>
      </c>
      <c r="I1755" s="109">
        <v>1144</v>
      </c>
      <c r="J1755" s="110">
        <v>704</v>
      </c>
    </row>
    <row r="1756" spans="1:10">
      <c r="A1756" s="103" t="s">
        <v>3259</v>
      </c>
      <c r="B1756" s="124" t="s">
        <v>3260</v>
      </c>
      <c r="C1756" s="110">
        <v>12878</v>
      </c>
      <c r="D1756" s="109" t="s">
        <v>120</v>
      </c>
      <c r="E1756" s="109">
        <v>128</v>
      </c>
      <c r="F1756" s="110">
        <v>9086</v>
      </c>
      <c r="G1756" s="109" t="s">
        <v>120</v>
      </c>
      <c r="H1756" s="109">
        <v>71</v>
      </c>
      <c r="I1756" s="109">
        <v>929</v>
      </c>
      <c r="J1756" s="110">
        <v>971</v>
      </c>
    </row>
    <row r="1757" spans="1:10">
      <c r="A1757" s="103" t="s">
        <v>3261</v>
      </c>
      <c r="B1757" s="124" t="s">
        <v>3262</v>
      </c>
      <c r="C1757" s="110">
        <v>3920</v>
      </c>
      <c r="D1757" s="109" t="s">
        <v>120</v>
      </c>
      <c r="E1757" s="109">
        <v>39</v>
      </c>
      <c r="F1757" s="110">
        <v>5630</v>
      </c>
      <c r="G1757" s="109" t="s">
        <v>120</v>
      </c>
      <c r="H1757" s="109">
        <v>144</v>
      </c>
      <c r="I1757" s="109">
        <v>2097</v>
      </c>
      <c r="J1757" s="110">
        <v>1585</v>
      </c>
    </row>
    <row r="1758" spans="1:10" s="119" customFormat="1">
      <c r="A1758" s="123" t="s">
        <v>120</v>
      </c>
      <c r="B1758" s="275" t="s">
        <v>1026</v>
      </c>
      <c r="C1758" s="276"/>
      <c r="D1758" s="276"/>
      <c r="E1758" s="276"/>
      <c r="F1758" s="276"/>
      <c r="G1758" s="276"/>
      <c r="H1758" s="276"/>
      <c r="I1758" s="276"/>
      <c r="J1758" s="276"/>
    </row>
    <row r="1759" spans="1:10">
      <c r="A1759" s="103" t="s">
        <v>3263</v>
      </c>
      <c r="B1759" s="124" t="s">
        <v>3264</v>
      </c>
      <c r="C1759" s="110">
        <v>10871</v>
      </c>
      <c r="D1759" s="109" t="s">
        <v>120</v>
      </c>
      <c r="E1759" s="109">
        <v>109</v>
      </c>
      <c r="F1759" s="110">
        <v>16077</v>
      </c>
      <c r="G1759" s="109" t="s">
        <v>120</v>
      </c>
      <c r="H1759" s="109">
        <v>148</v>
      </c>
      <c r="I1759" s="109">
        <v>1245</v>
      </c>
      <c r="J1759" s="110">
        <v>473</v>
      </c>
    </row>
    <row r="1760" spans="1:10">
      <c r="A1760" s="103" t="s">
        <v>3265</v>
      </c>
      <c r="B1760" s="124" t="s">
        <v>932</v>
      </c>
      <c r="C1760" s="110">
        <v>2012</v>
      </c>
      <c r="D1760" s="109" t="s">
        <v>120</v>
      </c>
      <c r="E1760" s="109">
        <v>20</v>
      </c>
      <c r="F1760" s="110">
        <v>5824</v>
      </c>
      <c r="G1760" s="109" t="s">
        <v>120</v>
      </c>
      <c r="H1760" s="109">
        <v>289</v>
      </c>
      <c r="I1760" s="109" t="s">
        <v>122</v>
      </c>
      <c r="J1760" s="110" t="s">
        <v>122</v>
      </c>
    </row>
    <row r="1761" spans="1:10">
      <c r="A1761" s="103" t="s">
        <v>3266</v>
      </c>
      <c r="B1761" s="124" t="s">
        <v>934</v>
      </c>
      <c r="C1761" s="110">
        <v>8859</v>
      </c>
      <c r="D1761" s="109" t="s">
        <v>120</v>
      </c>
      <c r="E1761" s="109">
        <v>89</v>
      </c>
      <c r="F1761" s="110">
        <v>10253</v>
      </c>
      <c r="G1761" s="109" t="s">
        <v>120</v>
      </c>
      <c r="H1761" s="109">
        <v>116</v>
      </c>
      <c r="I1761" s="109" t="s">
        <v>122</v>
      </c>
      <c r="J1761" s="110" t="s">
        <v>122</v>
      </c>
    </row>
    <row r="1762" spans="1:10" s="119" customFormat="1">
      <c r="A1762" s="123" t="s">
        <v>120</v>
      </c>
      <c r="B1762" s="273" t="s">
        <v>3267</v>
      </c>
      <c r="C1762" s="274"/>
      <c r="D1762" s="274"/>
      <c r="E1762" s="274"/>
      <c r="F1762" s="274"/>
      <c r="G1762" s="274"/>
      <c r="H1762" s="274"/>
      <c r="I1762" s="274"/>
      <c r="J1762" s="274"/>
    </row>
    <row r="1763" spans="1:10" s="119" customFormat="1">
      <c r="A1763" s="123" t="s">
        <v>120</v>
      </c>
      <c r="B1763" s="275" t="s">
        <v>924</v>
      </c>
      <c r="C1763" s="276"/>
      <c r="D1763" s="276"/>
      <c r="E1763" s="276"/>
      <c r="F1763" s="276"/>
      <c r="G1763" s="276"/>
      <c r="H1763" s="276"/>
      <c r="I1763" s="276"/>
      <c r="J1763" s="276"/>
    </row>
    <row r="1764" spans="1:10">
      <c r="A1764" s="103" t="s">
        <v>3268</v>
      </c>
      <c r="B1764" s="124" t="s">
        <v>3269</v>
      </c>
      <c r="C1764" s="110">
        <v>6973</v>
      </c>
      <c r="D1764" s="109" t="s">
        <v>120</v>
      </c>
      <c r="E1764" s="109">
        <v>70</v>
      </c>
      <c r="F1764" s="110">
        <v>8922</v>
      </c>
      <c r="G1764" s="109" t="s">
        <v>120</v>
      </c>
      <c r="H1764" s="109">
        <v>128</v>
      </c>
      <c r="I1764" s="109">
        <v>1849</v>
      </c>
      <c r="J1764" s="110">
        <v>994</v>
      </c>
    </row>
    <row r="1765" spans="1:10">
      <c r="A1765" s="103" t="s">
        <v>3270</v>
      </c>
      <c r="B1765" s="124" t="s">
        <v>3271</v>
      </c>
      <c r="C1765" s="110">
        <v>10432</v>
      </c>
      <c r="D1765" s="109" t="s">
        <v>120</v>
      </c>
      <c r="E1765" s="109">
        <v>105</v>
      </c>
      <c r="F1765" s="110">
        <v>15402</v>
      </c>
      <c r="G1765" s="109" t="s">
        <v>120</v>
      </c>
      <c r="H1765" s="109">
        <v>148</v>
      </c>
      <c r="I1765" s="109">
        <v>1313</v>
      </c>
      <c r="J1765" s="110">
        <v>500</v>
      </c>
    </row>
    <row r="1766" spans="1:10">
      <c r="A1766" s="103" t="s">
        <v>3272</v>
      </c>
      <c r="B1766" s="124" t="s">
        <v>3273</v>
      </c>
      <c r="C1766" s="110">
        <v>8306</v>
      </c>
      <c r="D1766" s="109" t="s">
        <v>120</v>
      </c>
      <c r="E1766" s="109">
        <v>83</v>
      </c>
      <c r="F1766" s="110">
        <v>11944</v>
      </c>
      <c r="G1766" s="109" t="s">
        <v>120</v>
      </c>
      <c r="H1766" s="109">
        <v>144</v>
      </c>
      <c r="I1766" s="109">
        <v>1655</v>
      </c>
      <c r="J1766" s="110">
        <v>702</v>
      </c>
    </row>
    <row r="1767" spans="1:10">
      <c r="A1767" s="103" t="s">
        <v>3274</v>
      </c>
      <c r="B1767" s="124" t="s">
        <v>3275</v>
      </c>
      <c r="C1767" s="110">
        <v>7071</v>
      </c>
      <c r="D1767" s="109" t="s">
        <v>120</v>
      </c>
      <c r="E1767" s="109">
        <v>71</v>
      </c>
      <c r="F1767" s="110">
        <v>6738</v>
      </c>
      <c r="G1767" s="109" t="s">
        <v>120</v>
      </c>
      <c r="H1767" s="109">
        <v>95</v>
      </c>
      <c r="I1767" s="109">
        <v>1841</v>
      </c>
      <c r="J1767" s="110">
        <v>1356</v>
      </c>
    </row>
    <row r="1768" spans="1:10">
      <c r="A1768" s="103" t="s">
        <v>3276</v>
      </c>
      <c r="B1768" s="124" t="s">
        <v>3277</v>
      </c>
      <c r="C1768" s="110">
        <v>8602</v>
      </c>
      <c r="D1768" s="109" t="s">
        <v>120</v>
      </c>
      <c r="E1768" s="109">
        <v>86</v>
      </c>
      <c r="F1768" s="110">
        <v>14303</v>
      </c>
      <c r="G1768" s="109" t="s">
        <v>120</v>
      </c>
      <c r="H1768" s="109">
        <v>166</v>
      </c>
      <c r="I1768" s="109">
        <v>1594</v>
      </c>
      <c r="J1768" s="110">
        <v>554</v>
      </c>
    </row>
    <row r="1769" spans="1:10">
      <c r="A1769" s="103" t="s">
        <v>3278</v>
      </c>
      <c r="B1769" s="124" t="s">
        <v>3279</v>
      </c>
      <c r="C1769" s="110">
        <v>8200</v>
      </c>
      <c r="D1769" s="109" t="s">
        <v>120</v>
      </c>
      <c r="E1769" s="109">
        <v>82</v>
      </c>
      <c r="F1769" s="110">
        <v>7943</v>
      </c>
      <c r="G1769" s="109" t="s">
        <v>120</v>
      </c>
      <c r="H1769" s="109">
        <v>97</v>
      </c>
      <c r="I1769" s="109">
        <v>1672</v>
      </c>
      <c r="J1769" s="110">
        <v>1135</v>
      </c>
    </row>
    <row r="1770" spans="1:10">
      <c r="A1770" s="103" t="s">
        <v>3280</v>
      </c>
      <c r="B1770" s="124" t="s">
        <v>3281</v>
      </c>
      <c r="C1770" s="110">
        <v>8272</v>
      </c>
      <c r="D1770" s="109" t="s">
        <v>120</v>
      </c>
      <c r="E1770" s="109">
        <v>83</v>
      </c>
      <c r="F1770" s="110">
        <v>26202</v>
      </c>
      <c r="G1770" s="109" t="s">
        <v>120</v>
      </c>
      <c r="H1770" s="109">
        <v>317</v>
      </c>
      <c r="I1770" s="109">
        <v>1661</v>
      </c>
      <c r="J1770" s="110">
        <v>232</v>
      </c>
    </row>
    <row r="1771" spans="1:10">
      <c r="A1771" s="103" t="s">
        <v>3282</v>
      </c>
      <c r="B1771" s="124" t="s">
        <v>3283</v>
      </c>
      <c r="C1771" s="110">
        <v>7515</v>
      </c>
      <c r="D1771" s="109" t="s">
        <v>120</v>
      </c>
      <c r="E1771" s="109">
        <v>75</v>
      </c>
      <c r="F1771" s="110">
        <v>10857</v>
      </c>
      <c r="G1771" s="109" t="s">
        <v>120</v>
      </c>
      <c r="H1771" s="109">
        <v>144</v>
      </c>
      <c r="I1771" s="109">
        <v>1772</v>
      </c>
      <c r="J1771" s="110">
        <v>793</v>
      </c>
    </row>
    <row r="1772" spans="1:10">
      <c r="A1772" s="103" t="s">
        <v>3284</v>
      </c>
      <c r="B1772" s="124" t="s">
        <v>3285</v>
      </c>
      <c r="C1772" s="110">
        <v>4840</v>
      </c>
      <c r="D1772" s="109" t="s">
        <v>120</v>
      </c>
      <c r="E1772" s="109">
        <v>48</v>
      </c>
      <c r="F1772" s="110">
        <v>3938</v>
      </c>
      <c r="G1772" s="109" t="s">
        <v>120</v>
      </c>
      <c r="H1772" s="109">
        <v>81</v>
      </c>
      <c r="I1772" s="109">
        <v>2033</v>
      </c>
      <c r="J1772" s="110">
        <v>2005</v>
      </c>
    </row>
    <row r="1773" spans="1:10" s="119" customFormat="1">
      <c r="A1773" s="123" t="s">
        <v>120</v>
      </c>
      <c r="B1773" s="275" t="s">
        <v>947</v>
      </c>
      <c r="C1773" s="276"/>
      <c r="D1773" s="276"/>
      <c r="E1773" s="276"/>
      <c r="F1773" s="276"/>
      <c r="G1773" s="276"/>
      <c r="H1773" s="276"/>
      <c r="I1773" s="276"/>
      <c r="J1773" s="276"/>
    </row>
    <row r="1774" spans="1:10">
      <c r="A1774" s="103" t="s">
        <v>3286</v>
      </c>
      <c r="B1774" s="124" t="s">
        <v>3287</v>
      </c>
      <c r="C1774" s="110">
        <v>10338</v>
      </c>
      <c r="D1774" s="109" t="s">
        <v>120</v>
      </c>
      <c r="E1774" s="109">
        <v>103</v>
      </c>
      <c r="F1774" s="110">
        <v>11209</v>
      </c>
      <c r="G1774" s="109" t="s">
        <v>120</v>
      </c>
      <c r="H1774" s="109">
        <v>108</v>
      </c>
      <c r="I1774" s="109">
        <v>1332</v>
      </c>
      <c r="J1774" s="110">
        <v>766</v>
      </c>
    </row>
    <row r="1775" spans="1:10">
      <c r="A1775" s="103" t="s">
        <v>3288</v>
      </c>
      <c r="B1775" s="124" t="s">
        <v>932</v>
      </c>
      <c r="C1775" s="110">
        <v>999</v>
      </c>
      <c r="D1775" s="109" t="s">
        <v>120</v>
      </c>
      <c r="E1775" s="109">
        <v>11</v>
      </c>
      <c r="F1775" s="110">
        <v>2479</v>
      </c>
      <c r="G1775" s="109" t="s">
        <v>120</v>
      </c>
      <c r="H1775" s="109">
        <v>248</v>
      </c>
      <c r="I1775" s="109" t="s">
        <v>122</v>
      </c>
      <c r="J1775" s="110" t="s">
        <v>122</v>
      </c>
    </row>
    <row r="1776" spans="1:10">
      <c r="A1776" s="103" t="s">
        <v>3289</v>
      </c>
      <c r="B1776" s="124" t="s">
        <v>934</v>
      </c>
      <c r="C1776" s="110">
        <v>9339</v>
      </c>
      <c r="D1776" s="109" t="s">
        <v>120</v>
      </c>
      <c r="E1776" s="109">
        <v>92</v>
      </c>
      <c r="F1776" s="110">
        <v>8730</v>
      </c>
      <c r="G1776" s="109" t="s">
        <v>120</v>
      </c>
      <c r="H1776" s="109">
        <v>93</v>
      </c>
      <c r="I1776" s="109" t="s">
        <v>122</v>
      </c>
      <c r="J1776" s="110" t="s">
        <v>122</v>
      </c>
    </row>
    <row r="1777" spans="1:10">
      <c r="A1777" s="103" t="s">
        <v>3290</v>
      </c>
      <c r="B1777" s="124" t="s">
        <v>3291</v>
      </c>
      <c r="C1777" s="110">
        <v>8619</v>
      </c>
      <c r="D1777" s="109" t="s">
        <v>120</v>
      </c>
      <c r="E1777" s="109">
        <v>86</v>
      </c>
      <c r="F1777" s="110">
        <v>9666</v>
      </c>
      <c r="G1777" s="109" t="s">
        <v>120</v>
      </c>
      <c r="H1777" s="109">
        <v>112</v>
      </c>
      <c r="I1777" s="109">
        <v>1589</v>
      </c>
      <c r="J1777" s="110">
        <v>910</v>
      </c>
    </row>
    <row r="1778" spans="1:10">
      <c r="A1778" s="103" t="s">
        <v>3292</v>
      </c>
      <c r="B1778" s="124" t="s">
        <v>932</v>
      </c>
      <c r="C1778" s="110">
        <v>1683</v>
      </c>
      <c r="D1778" s="109" t="s">
        <v>120</v>
      </c>
      <c r="E1778" s="109">
        <v>17</v>
      </c>
      <c r="F1778" s="110">
        <v>2742</v>
      </c>
      <c r="G1778" s="109" t="s">
        <v>120</v>
      </c>
      <c r="H1778" s="109">
        <v>163</v>
      </c>
      <c r="I1778" s="109" t="s">
        <v>122</v>
      </c>
      <c r="J1778" s="110" t="s">
        <v>122</v>
      </c>
    </row>
    <row r="1779" spans="1:10">
      <c r="A1779" s="103" t="s">
        <v>3293</v>
      </c>
      <c r="B1779" s="124" t="s">
        <v>934</v>
      </c>
      <c r="C1779" s="110">
        <v>6936</v>
      </c>
      <c r="D1779" s="109" t="s">
        <v>120</v>
      </c>
      <c r="E1779" s="109">
        <v>69</v>
      </c>
      <c r="F1779" s="110">
        <v>6924</v>
      </c>
      <c r="G1779" s="109" t="s">
        <v>120</v>
      </c>
      <c r="H1779" s="109">
        <v>100</v>
      </c>
      <c r="I1779" s="109" t="s">
        <v>122</v>
      </c>
      <c r="J1779" s="110" t="s">
        <v>122</v>
      </c>
    </row>
    <row r="1780" spans="1:10">
      <c r="A1780" s="103" t="s">
        <v>3294</v>
      </c>
      <c r="B1780" s="124" t="s">
        <v>3295</v>
      </c>
      <c r="C1780" s="110">
        <v>11711</v>
      </c>
      <c r="D1780" s="109" t="s">
        <v>120</v>
      </c>
      <c r="E1780" s="109">
        <v>117</v>
      </c>
      <c r="F1780" s="110">
        <v>11652</v>
      </c>
      <c r="G1780" s="109" t="s">
        <v>120</v>
      </c>
      <c r="H1780" s="109">
        <v>99</v>
      </c>
      <c r="I1780" s="109">
        <v>1096</v>
      </c>
      <c r="J1780" s="110">
        <v>726</v>
      </c>
    </row>
    <row r="1781" spans="1:10">
      <c r="A1781" s="103" t="s">
        <v>3296</v>
      </c>
      <c r="B1781" s="124" t="s">
        <v>932</v>
      </c>
      <c r="C1781" s="110">
        <v>2515</v>
      </c>
      <c r="D1781" s="109" t="s">
        <v>120</v>
      </c>
      <c r="E1781" s="109">
        <v>25</v>
      </c>
      <c r="F1781" s="110">
        <v>2836</v>
      </c>
      <c r="G1781" s="109" t="s">
        <v>120</v>
      </c>
      <c r="H1781" s="109">
        <v>113</v>
      </c>
      <c r="I1781" s="109" t="s">
        <v>122</v>
      </c>
      <c r="J1781" s="110" t="s">
        <v>122</v>
      </c>
    </row>
    <row r="1782" spans="1:10">
      <c r="A1782" s="103" t="s">
        <v>3297</v>
      </c>
      <c r="B1782" s="124" t="s">
        <v>934</v>
      </c>
      <c r="C1782" s="110">
        <v>9196</v>
      </c>
      <c r="D1782" s="109" t="s">
        <v>120</v>
      </c>
      <c r="E1782" s="109">
        <v>92</v>
      </c>
      <c r="F1782" s="110">
        <v>8816</v>
      </c>
      <c r="G1782" s="109" t="s">
        <v>120</v>
      </c>
      <c r="H1782" s="109">
        <v>96</v>
      </c>
      <c r="I1782" s="109" t="s">
        <v>122</v>
      </c>
      <c r="J1782" s="110" t="s">
        <v>122</v>
      </c>
    </row>
    <row r="1783" spans="1:10">
      <c r="A1783" s="103" t="s">
        <v>3298</v>
      </c>
      <c r="B1783" s="124" t="s">
        <v>3299</v>
      </c>
      <c r="C1783" s="110">
        <v>9986</v>
      </c>
      <c r="D1783" s="109" t="s">
        <v>120</v>
      </c>
      <c r="E1783" s="109">
        <v>100</v>
      </c>
      <c r="F1783" s="110">
        <v>17916</v>
      </c>
      <c r="G1783" s="109" t="s">
        <v>120</v>
      </c>
      <c r="H1783" s="109">
        <v>179</v>
      </c>
      <c r="I1783" s="109">
        <v>1391</v>
      </c>
      <c r="J1783" s="110">
        <v>403</v>
      </c>
    </row>
    <row r="1784" spans="1:10">
      <c r="A1784" s="103" t="s">
        <v>3300</v>
      </c>
      <c r="B1784" s="124" t="s">
        <v>932</v>
      </c>
      <c r="C1784" s="110">
        <v>1810</v>
      </c>
      <c r="D1784" s="109" t="s">
        <v>120</v>
      </c>
      <c r="E1784" s="109">
        <v>18</v>
      </c>
      <c r="F1784" s="110">
        <v>6594</v>
      </c>
      <c r="G1784" s="109" t="s">
        <v>120</v>
      </c>
      <c r="H1784" s="109">
        <v>364</v>
      </c>
      <c r="I1784" s="109" t="s">
        <v>122</v>
      </c>
      <c r="J1784" s="110" t="s">
        <v>122</v>
      </c>
    </row>
    <row r="1785" spans="1:10">
      <c r="A1785" s="103" t="s">
        <v>3301</v>
      </c>
      <c r="B1785" s="124" t="s">
        <v>934</v>
      </c>
      <c r="C1785" s="110">
        <v>8176</v>
      </c>
      <c r="D1785" s="109" t="s">
        <v>120</v>
      </c>
      <c r="E1785" s="109">
        <v>82</v>
      </c>
      <c r="F1785" s="110">
        <v>11322</v>
      </c>
      <c r="G1785" s="109" t="s">
        <v>120</v>
      </c>
      <c r="H1785" s="109">
        <v>138</v>
      </c>
      <c r="I1785" s="109" t="s">
        <v>122</v>
      </c>
      <c r="J1785" s="110" t="s">
        <v>122</v>
      </c>
    </row>
    <row r="1786" spans="1:10">
      <c r="A1786" s="103" t="s">
        <v>3302</v>
      </c>
      <c r="B1786" s="124" t="s">
        <v>3303</v>
      </c>
      <c r="C1786" s="110">
        <v>7931</v>
      </c>
      <c r="D1786" s="109" t="s">
        <v>120</v>
      </c>
      <c r="E1786" s="109">
        <v>79</v>
      </c>
      <c r="F1786" s="110">
        <v>13443</v>
      </c>
      <c r="G1786" s="109" t="s">
        <v>120</v>
      </c>
      <c r="H1786" s="109">
        <v>169</v>
      </c>
      <c r="I1786" s="109">
        <v>1711</v>
      </c>
      <c r="J1786" s="110">
        <v>595</v>
      </c>
    </row>
    <row r="1787" spans="1:10">
      <c r="A1787" s="103" t="s">
        <v>3304</v>
      </c>
      <c r="B1787" s="124" t="s">
        <v>932</v>
      </c>
      <c r="C1787" s="110">
        <v>850</v>
      </c>
      <c r="D1787" s="109" t="s">
        <v>120</v>
      </c>
      <c r="E1787" s="109">
        <v>8</v>
      </c>
      <c r="F1787" s="110">
        <v>3314</v>
      </c>
      <c r="G1787" s="109" t="s">
        <v>120</v>
      </c>
      <c r="H1787" s="109">
        <v>390</v>
      </c>
      <c r="I1787" s="109" t="s">
        <v>122</v>
      </c>
      <c r="J1787" s="110" t="s">
        <v>122</v>
      </c>
    </row>
    <row r="1788" spans="1:10">
      <c r="A1788" s="103" t="s">
        <v>3305</v>
      </c>
      <c r="B1788" s="124" t="s">
        <v>934</v>
      </c>
      <c r="C1788" s="110">
        <v>7081</v>
      </c>
      <c r="D1788" s="109" t="s">
        <v>120</v>
      </c>
      <c r="E1788" s="109">
        <v>71</v>
      </c>
      <c r="F1788" s="110">
        <v>10129</v>
      </c>
      <c r="G1788" s="109" t="s">
        <v>120</v>
      </c>
      <c r="H1788" s="109">
        <v>143</v>
      </c>
      <c r="I1788" s="109" t="s">
        <v>122</v>
      </c>
      <c r="J1788" s="110" t="s">
        <v>122</v>
      </c>
    </row>
    <row r="1789" spans="1:10">
      <c r="A1789" s="103" t="s">
        <v>3306</v>
      </c>
      <c r="B1789" s="124" t="s">
        <v>3307</v>
      </c>
      <c r="C1789" s="110">
        <v>12206</v>
      </c>
      <c r="D1789" s="109" t="s">
        <v>120</v>
      </c>
      <c r="E1789" s="109">
        <v>122</v>
      </c>
      <c r="F1789" s="110">
        <v>12488</v>
      </c>
      <c r="G1789" s="109" t="s">
        <v>120</v>
      </c>
      <c r="H1789" s="109">
        <v>102</v>
      </c>
      <c r="I1789" s="109">
        <v>1026</v>
      </c>
      <c r="J1789" s="110">
        <v>663</v>
      </c>
    </row>
    <row r="1790" spans="1:10">
      <c r="A1790" s="103" t="s">
        <v>3308</v>
      </c>
      <c r="B1790" s="124" t="s">
        <v>932</v>
      </c>
      <c r="C1790" s="110">
        <v>402</v>
      </c>
      <c r="D1790" s="109" t="s">
        <v>120</v>
      </c>
      <c r="E1790" s="109">
        <v>4</v>
      </c>
      <c r="F1790" s="110">
        <v>1631</v>
      </c>
      <c r="G1790" s="109" t="s">
        <v>120</v>
      </c>
      <c r="H1790" s="109">
        <v>406</v>
      </c>
      <c r="I1790" s="109" t="s">
        <v>122</v>
      </c>
      <c r="J1790" s="110" t="s">
        <v>122</v>
      </c>
    </row>
    <row r="1791" spans="1:10">
      <c r="A1791" s="103" t="s">
        <v>3309</v>
      </c>
      <c r="B1791" s="124" t="s">
        <v>934</v>
      </c>
      <c r="C1791" s="110">
        <v>11804</v>
      </c>
      <c r="D1791" s="109" t="s">
        <v>120</v>
      </c>
      <c r="E1791" s="109">
        <v>118</v>
      </c>
      <c r="F1791" s="110">
        <v>10857</v>
      </c>
      <c r="G1791" s="109" t="s">
        <v>120</v>
      </c>
      <c r="H1791" s="109">
        <v>92</v>
      </c>
      <c r="I1791" s="109" t="s">
        <v>122</v>
      </c>
      <c r="J1791" s="110" t="s">
        <v>122</v>
      </c>
    </row>
    <row r="1792" spans="1:10">
      <c r="A1792" s="103" t="s">
        <v>3310</v>
      </c>
      <c r="B1792" s="124" t="s">
        <v>3311</v>
      </c>
      <c r="C1792" s="110">
        <v>10156</v>
      </c>
      <c r="D1792" s="109" t="s">
        <v>120</v>
      </c>
      <c r="E1792" s="109">
        <v>102</v>
      </c>
      <c r="F1792" s="110">
        <v>18874</v>
      </c>
      <c r="G1792" s="109" t="s">
        <v>120</v>
      </c>
      <c r="H1792" s="109">
        <v>186</v>
      </c>
      <c r="I1792" s="109">
        <v>1361</v>
      </c>
      <c r="J1792" s="110">
        <v>372</v>
      </c>
    </row>
    <row r="1793" spans="1:10">
      <c r="A1793" s="103" t="s">
        <v>3312</v>
      </c>
      <c r="B1793" s="124" t="s">
        <v>932</v>
      </c>
      <c r="C1793" s="110">
        <v>1113</v>
      </c>
      <c r="D1793" s="109" t="s">
        <v>120</v>
      </c>
      <c r="E1793" s="109">
        <v>11</v>
      </c>
      <c r="F1793" s="110">
        <v>4200</v>
      </c>
      <c r="G1793" s="109" t="s">
        <v>120</v>
      </c>
      <c r="H1793" s="109">
        <v>377</v>
      </c>
      <c r="I1793" s="109" t="s">
        <v>122</v>
      </c>
      <c r="J1793" s="110" t="s">
        <v>122</v>
      </c>
    </row>
    <row r="1794" spans="1:10">
      <c r="A1794" s="103" t="s">
        <v>3313</v>
      </c>
      <c r="B1794" s="124" t="s">
        <v>934</v>
      </c>
      <c r="C1794" s="110">
        <v>9043</v>
      </c>
      <c r="D1794" s="109" t="s">
        <v>120</v>
      </c>
      <c r="E1794" s="109">
        <v>91</v>
      </c>
      <c r="F1794" s="110">
        <v>14674</v>
      </c>
      <c r="G1794" s="109" t="s">
        <v>120</v>
      </c>
      <c r="H1794" s="109">
        <v>162</v>
      </c>
      <c r="I1794" s="109" t="s">
        <v>122</v>
      </c>
      <c r="J1794" s="110" t="s">
        <v>122</v>
      </c>
    </row>
    <row r="1795" spans="1:10" s="119" customFormat="1">
      <c r="A1795" s="123" t="s">
        <v>120</v>
      </c>
      <c r="B1795" s="273" t="s">
        <v>3314</v>
      </c>
      <c r="C1795" s="274"/>
      <c r="D1795" s="274"/>
      <c r="E1795" s="274"/>
      <c r="F1795" s="274"/>
      <c r="G1795" s="274"/>
      <c r="H1795" s="274"/>
      <c r="I1795" s="274"/>
      <c r="J1795" s="274"/>
    </row>
    <row r="1796" spans="1:10" s="119" customFormat="1">
      <c r="A1796" s="123" t="s">
        <v>120</v>
      </c>
      <c r="B1796" s="275" t="s">
        <v>1019</v>
      </c>
      <c r="C1796" s="276"/>
      <c r="D1796" s="276"/>
      <c r="E1796" s="276"/>
      <c r="F1796" s="276"/>
      <c r="G1796" s="276"/>
      <c r="H1796" s="276"/>
      <c r="I1796" s="276"/>
      <c r="J1796" s="276"/>
    </row>
    <row r="1797" spans="1:10">
      <c r="A1797" s="103" t="s">
        <v>3315</v>
      </c>
      <c r="B1797" s="124" t="s">
        <v>3316</v>
      </c>
      <c r="C1797" s="110">
        <v>8426</v>
      </c>
      <c r="D1797" s="109" t="s">
        <v>120</v>
      </c>
      <c r="E1797" s="109">
        <v>84</v>
      </c>
      <c r="F1797" s="110">
        <v>27010</v>
      </c>
      <c r="G1797" s="109" t="s">
        <v>120</v>
      </c>
      <c r="H1797" s="109">
        <v>321</v>
      </c>
      <c r="I1797" s="109">
        <v>1632</v>
      </c>
      <c r="J1797" s="110">
        <v>220</v>
      </c>
    </row>
    <row r="1798" spans="1:10" s="119" customFormat="1">
      <c r="A1798" s="123" t="s">
        <v>120</v>
      </c>
      <c r="B1798" s="275" t="s">
        <v>924</v>
      </c>
      <c r="C1798" s="276"/>
      <c r="D1798" s="276"/>
      <c r="E1798" s="276"/>
      <c r="F1798" s="276"/>
      <c r="G1798" s="276"/>
      <c r="H1798" s="276"/>
      <c r="I1798" s="276"/>
      <c r="J1798" s="276"/>
    </row>
    <row r="1799" spans="1:10">
      <c r="A1799" s="103" t="s">
        <v>3317</v>
      </c>
      <c r="B1799" s="124" t="s">
        <v>3318</v>
      </c>
      <c r="C1799" s="110">
        <v>3523</v>
      </c>
      <c r="D1799" s="109" t="s">
        <v>120</v>
      </c>
      <c r="E1799" s="109">
        <v>35</v>
      </c>
      <c r="F1799" s="110">
        <v>7179</v>
      </c>
      <c r="G1799" s="109" t="s">
        <v>120</v>
      </c>
      <c r="H1799" s="109">
        <v>204</v>
      </c>
      <c r="I1799" s="109">
        <v>2126</v>
      </c>
      <c r="J1799" s="110">
        <v>1262</v>
      </c>
    </row>
    <row r="1800" spans="1:10">
      <c r="A1800" s="103" t="s">
        <v>3319</v>
      </c>
      <c r="B1800" s="124" t="s">
        <v>3320</v>
      </c>
      <c r="C1800" s="110">
        <v>13186</v>
      </c>
      <c r="D1800" s="109" t="s">
        <v>120</v>
      </c>
      <c r="E1800" s="109">
        <v>132</v>
      </c>
      <c r="F1800" s="110">
        <v>13387</v>
      </c>
      <c r="G1800" s="109" t="s">
        <v>120</v>
      </c>
      <c r="H1800" s="109">
        <v>102</v>
      </c>
      <c r="I1800" s="109">
        <v>885</v>
      </c>
      <c r="J1800" s="110">
        <v>599</v>
      </c>
    </row>
    <row r="1801" spans="1:10">
      <c r="A1801" s="103" t="s">
        <v>3321</v>
      </c>
      <c r="B1801" s="124" t="s">
        <v>3322</v>
      </c>
      <c r="C1801" s="110">
        <v>13668</v>
      </c>
      <c r="D1801" s="109" t="s">
        <v>120</v>
      </c>
      <c r="E1801" s="109">
        <v>137</v>
      </c>
      <c r="F1801" s="110">
        <v>8846</v>
      </c>
      <c r="G1801" s="109" t="s">
        <v>120</v>
      </c>
      <c r="H1801" s="109">
        <v>65</v>
      </c>
      <c r="I1801" s="109">
        <v>815</v>
      </c>
      <c r="J1801" s="110">
        <v>1006</v>
      </c>
    </row>
    <row r="1802" spans="1:10">
      <c r="A1802" s="103" t="s">
        <v>3323</v>
      </c>
      <c r="B1802" s="124" t="s">
        <v>3324</v>
      </c>
      <c r="C1802" s="110">
        <v>8362</v>
      </c>
      <c r="D1802" s="109" t="s">
        <v>120</v>
      </c>
      <c r="E1802" s="109">
        <v>84</v>
      </c>
      <c r="F1802" s="110">
        <v>11650</v>
      </c>
      <c r="G1802" s="109" t="s">
        <v>120</v>
      </c>
      <c r="H1802" s="109">
        <v>139</v>
      </c>
      <c r="I1802" s="109">
        <v>1643</v>
      </c>
      <c r="J1802" s="110">
        <v>727</v>
      </c>
    </row>
    <row r="1803" spans="1:10" s="119" customFormat="1">
      <c r="A1803" s="123" t="s">
        <v>120</v>
      </c>
      <c r="B1803" s="273" t="s">
        <v>3325</v>
      </c>
      <c r="C1803" s="274"/>
      <c r="D1803" s="274"/>
      <c r="E1803" s="274"/>
      <c r="F1803" s="274"/>
      <c r="G1803" s="274"/>
      <c r="H1803" s="274"/>
      <c r="I1803" s="274"/>
      <c r="J1803" s="274"/>
    </row>
    <row r="1804" spans="1:10" s="119" customFormat="1">
      <c r="A1804" s="123" t="s">
        <v>120</v>
      </c>
      <c r="B1804" s="275" t="s">
        <v>924</v>
      </c>
      <c r="C1804" s="276"/>
      <c r="D1804" s="276"/>
      <c r="E1804" s="276"/>
      <c r="F1804" s="276"/>
      <c r="G1804" s="276"/>
      <c r="H1804" s="276"/>
      <c r="I1804" s="276"/>
      <c r="J1804" s="276"/>
    </row>
    <row r="1805" spans="1:10">
      <c r="A1805" s="103" t="s">
        <v>3326</v>
      </c>
      <c r="B1805" s="124" t="s">
        <v>2444</v>
      </c>
      <c r="C1805" s="110">
        <v>6643</v>
      </c>
      <c r="D1805" s="109" t="s">
        <v>120</v>
      </c>
      <c r="E1805" s="109">
        <v>66</v>
      </c>
      <c r="F1805" s="110">
        <v>10426</v>
      </c>
      <c r="G1805" s="109" t="s">
        <v>120</v>
      </c>
      <c r="H1805" s="109">
        <v>157</v>
      </c>
      <c r="I1805" s="109">
        <v>1889</v>
      </c>
      <c r="J1805" s="110">
        <v>839</v>
      </c>
    </row>
    <row r="1806" spans="1:10">
      <c r="A1806" s="103" t="s">
        <v>3327</v>
      </c>
      <c r="B1806" s="124" t="s">
        <v>3328</v>
      </c>
      <c r="C1806" s="110">
        <v>4043</v>
      </c>
      <c r="D1806" s="109" t="s">
        <v>120</v>
      </c>
      <c r="E1806" s="109">
        <v>40</v>
      </c>
      <c r="F1806" s="110">
        <v>6245</v>
      </c>
      <c r="G1806" s="109" t="s">
        <v>120</v>
      </c>
      <c r="H1806" s="109">
        <v>154</v>
      </c>
      <c r="I1806" s="109">
        <v>2091</v>
      </c>
      <c r="J1806" s="110">
        <v>1450</v>
      </c>
    </row>
    <row r="1807" spans="1:10">
      <c r="A1807" s="103" t="s">
        <v>3329</v>
      </c>
      <c r="B1807" s="124" t="s">
        <v>3330</v>
      </c>
      <c r="C1807" s="110">
        <v>3731</v>
      </c>
      <c r="D1807" s="109" t="s">
        <v>120</v>
      </c>
      <c r="E1807" s="109">
        <v>37</v>
      </c>
      <c r="F1807" s="110">
        <v>4122</v>
      </c>
      <c r="G1807" s="109" t="s">
        <v>120</v>
      </c>
      <c r="H1807" s="109">
        <v>110</v>
      </c>
      <c r="I1807" s="109">
        <v>2113</v>
      </c>
      <c r="J1807" s="110">
        <v>1967</v>
      </c>
    </row>
    <row r="1808" spans="1:10">
      <c r="A1808" s="103" t="s">
        <v>3331</v>
      </c>
      <c r="B1808" s="124" t="s">
        <v>3176</v>
      </c>
      <c r="C1808" s="110">
        <v>5138</v>
      </c>
      <c r="D1808" s="109" t="s">
        <v>120</v>
      </c>
      <c r="E1808" s="109">
        <v>52</v>
      </c>
      <c r="F1808" s="110">
        <v>10365</v>
      </c>
      <c r="G1808" s="109" t="s">
        <v>120</v>
      </c>
      <c r="H1808" s="109">
        <v>202</v>
      </c>
      <c r="I1808" s="109">
        <v>2007</v>
      </c>
      <c r="J1808" s="110">
        <v>843</v>
      </c>
    </row>
    <row r="1809" spans="1:10">
      <c r="A1809" s="103" t="s">
        <v>3332</v>
      </c>
      <c r="B1809" s="124" t="s">
        <v>3333</v>
      </c>
      <c r="C1809" s="110">
        <v>4590</v>
      </c>
      <c r="D1809" s="109" t="s">
        <v>120</v>
      </c>
      <c r="E1809" s="109">
        <v>46</v>
      </c>
      <c r="F1809" s="110">
        <v>6865</v>
      </c>
      <c r="G1809" s="109" t="s">
        <v>120</v>
      </c>
      <c r="H1809" s="109">
        <v>150</v>
      </c>
      <c r="I1809" s="109">
        <v>2055</v>
      </c>
      <c r="J1809" s="110">
        <v>1326</v>
      </c>
    </row>
    <row r="1810" spans="1:10">
      <c r="A1810" s="103" t="s">
        <v>3334</v>
      </c>
      <c r="B1810" s="124" t="s">
        <v>3335</v>
      </c>
      <c r="C1810" s="110">
        <v>4153</v>
      </c>
      <c r="D1810" s="109" t="s">
        <v>120</v>
      </c>
      <c r="E1810" s="109">
        <v>42</v>
      </c>
      <c r="F1810" s="110">
        <v>8174</v>
      </c>
      <c r="G1810" s="109" t="s">
        <v>120</v>
      </c>
      <c r="H1810" s="109">
        <v>197</v>
      </c>
      <c r="I1810" s="109">
        <v>2080</v>
      </c>
      <c r="J1810" s="110">
        <v>1097</v>
      </c>
    </row>
    <row r="1811" spans="1:10">
      <c r="A1811" s="103" t="s">
        <v>3336</v>
      </c>
      <c r="B1811" s="124" t="s">
        <v>3337</v>
      </c>
      <c r="C1811" s="110">
        <v>7442</v>
      </c>
      <c r="D1811" s="109" t="s">
        <v>120</v>
      </c>
      <c r="E1811" s="109">
        <v>75</v>
      </c>
      <c r="F1811" s="110">
        <v>12432</v>
      </c>
      <c r="G1811" s="109" t="s">
        <v>120</v>
      </c>
      <c r="H1811" s="109">
        <v>167</v>
      </c>
      <c r="I1811" s="109">
        <v>1786</v>
      </c>
      <c r="J1811" s="110">
        <v>670</v>
      </c>
    </row>
    <row r="1812" spans="1:10" s="119" customFormat="1">
      <c r="A1812" s="123" t="s">
        <v>120</v>
      </c>
      <c r="B1812" s="275" t="s">
        <v>1101</v>
      </c>
      <c r="C1812" s="276"/>
      <c r="D1812" s="276"/>
      <c r="E1812" s="276"/>
      <c r="F1812" s="276"/>
      <c r="G1812" s="276"/>
      <c r="H1812" s="276"/>
      <c r="I1812" s="276"/>
      <c r="J1812" s="276"/>
    </row>
    <row r="1813" spans="1:10">
      <c r="A1813" s="103" t="s">
        <v>3338</v>
      </c>
      <c r="B1813" s="124" t="s">
        <v>3339</v>
      </c>
      <c r="C1813" s="110">
        <v>10039</v>
      </c>
      <c r="D1813" s="109" t="s">
        <v>120</v>
      </c>
      <c r="E1813" s="109">
        <v>100</v>
      </c>
      <c r="F1813" s="110">
        <v>43477</v>
      </c>
      <c r="G1813" s="109" t="s">
        <v>120</v>
      </c>
      <c r="H1813" s="109">
        <v>433</v>
      </c>
      <c r="I1813" s="109">
        <v>1382</v>
      </c>
      <c r="J1813" s="110">
        <v>116</v>
      </c>
    </row>
    <row r="1814" spans="1:10">
      <c r="A1814" s="103" t="s">
        <v>3340</v>
      </c>
      <c r="B1814" s="124" t="s">
        <v>932</v>
      </c>
      <c r="C1814" s="110">
        <v>1033</v>
      </c>
      <c r="D1814" s="109" t="s">
        <v>120</v>
      </c>
      <c r="E1814" s="109">
        <v>10</v>
      </c>
      <c r="F1814" s="110">
        <v>20016</v>
      </c>
      <c r="G1814" s="109" t="s">
        <v>120</v>
      </c>
      <c r="H1814" s="109">
        <v>1938</v>
      </c>
      <c r="I1814" s="109" t="s">
        <v>122</v>
      </c>
      <c r="J1814" s="110" t="s">
        <v>122</v>
      </c>
    </row>
    <row r="1815" spans="1:10">
      <c r="A1815" s="103" t="s">
        <v>3341</v>
      </c>
      <c r="B1815" s="124" t="s">
        <v>934</v>
      </c>
      <c r="C1815" s="110">
        <v>9006</v>
      </c>
      <c r="D1815" s="109" t="s">
        <v>120</v>
      </c>
      <c r="E1815" s="109">
        <v>90</v>
      </c>
      <c r="F1815" s="110">
        <v>23461</v>
      </c>
      <c r="G1815" s="109" t="s">
        <v>120</v>
      </c>
      <c r="H1815" s="109">
        <v>261</v>
      </c>
      <c r="I1815" s="109" t="s">
        <v>122</v>
      </c>
      <c r="J1815" s="110" t="s">
        <v>122</v>
      </c>
    </row>
    <row r="1816" spans="1:10">
      <c r="A1816" s="103" t="s">
        <v>3342</v>
      </c>
      <c r="B1816" s="124" t="s">
        <v>3343</v>
      </c>
      <c r="C1816" s="110">
        <v>7526</v>
      </c>
      <c r="D1816" s="109" t="s">
        <v>120</v>
      </c>
      <c r="E1816" s="109">
        <v>75</v>
      </c>
      <c r="F1816" s="110">
        <v>20012</v>
      </c>
      <c r="G1816" s="109" t="s">
        <v>120</v>
      </c>
      <c r="H1816" s="109">
        <v>266</v>
      </c>
      <c r="I1816" s="109">
        <v>1771</v>
      </c>
      <c r="J1816" s="110">
        <v>344</v>
      </c>
    </row>
    <row r="1817" spans="1:10">
      <c r="A1817" s="103" t="s">
        <v>3344</v>
      </c>
      <c r="B1817" s="124" t="s">
        <v>932</v>
      </c>
      <c r="C1817" s="110">
        <v>550</v>
      </c>
      <c r="D1817" s="109" t="s">
        <v>120</v>
      </c>
      <c r="E1817" s="109">
        <v>6</v>
      </c>
      <c r="F1817" s="110">
        <v>4493</v>
      </c>
      <c r="G1817" s="109" t="s">
        <v>120</v>
      </c>
      <c r="H1817" s="109">
        <v>817</v>
      </c>
      <c r="I1817" s="109" t="s">
        <v>122</v>
      </c>
      <c r="J1817" s="110" t="s">
        <v>122</v>
      </c>
    </row>
    <row r="1818" spans="1:10">
      <c r="A1818" s="103" t="s">
        <v>3345</v>
      </c>
      <c r="B1818" s="124" t="s">
        <v>934</v>
      </c>
      <c r="C1818" s="110">
        <v>6976</v>
      </c>
      <c r="D1818" s="109" t="s">
        <v>120</v>
      </c>
      <c r="E1818" s="109">
        <v>69</v>
      </c>
      <c r="F1818" s="110">
        <v>15519</v>
      </c>
      <c r="G1818" s="109" t="s">
        <v>120</v>
      </c>
      <c r="H1818" s="109">
        <v>222</v>
      </c>
      <c r="I1818" s="109" t="s">
        <v>122</v>
      </c>
      <c r="J1818" s="110" t="s">
        <v>122</v>
      </c>
    </row>
    <row r="1819" spans="1:10">
      <c r="A1819" s="103" t="s">
        <v>3346</v>
      </c>
      <c r="B1819" s="124" t="s">
        <v>3347</v>
      </c>
      <c r="C1819" s="110">
        <v>11283</v>
      </c>
      <c r="D1819" s="109" t="s">
        <v>120</v>
      </c>
      <c r="E1819" s="109">
        <v>113</v>
      </c>
      <c r="F1819" s="110">
        <v>37888</v>
      </c>
      <c r="G1819" s="109" t="s">
        <v>120</v>
      </c>
      <c r="H1819" s="109">
        <v>336</v>
      </c>
      <c r="I1819" s="109">
        <v>1162</v>
      </c>
      <c r="J1819" s="110">
        <v>138</v>
      </c>
    </row>
    <row r="1820" spans="1:10">
      <c r="A1820" s="103" t="s">
        <v>3348</v>
      </c>
      <c r="B1820" s="124" t="s">
        <v>932</v>
      </c>
      <c r="C1820" s="110">
        <v>1054</v>
      </c>
      <c r="D1820" s="109" t="s">
        <v>120</v>
      </c>
      <c r="E1820" s="109">
        <v>11</v>
      </c>
      <c r="F1820" s="110">
        <v>18692</v>
      </c>
      <c r="G1820" s="109" t="s">
        <v>120</v>
      </c>
      <c r="H1820" s="109">
        <v>1773</v>
      </c>
      <c r="I1820" s="109" t="s">
        <v>122</v>
      </c>
      <c r="J1820" s="110" t="s">
        <v>122</v>
      </c>
    </row>
    <row r="1821" spans="1:10">
      <c r="A1821" s="103" t="s">
        <v>3349</v>
      </c>
      <c r="B1821" s="124" t="s">
        <v>934</v>
      </c>
      <c r="C1821" s="110">
        <v>10229</v>
      </c>
      <c r="D1821" s="109" t="s">
        <v>120</v>
      </c>
      <c r="E1821" s="109">
        <v>102</v>
      </c>
      <c r="F1821" s="110">
        <v>19196</v>
      </c>
      <c r="G1821" s="109" t="s">
        <v>120</v>
      </c>
      <c r="H1821" s="109">
        <v>188</v>
      </c>
      <c r="I1821" s="109" t="s">
        <v>122</v>
      </c>
      <c r="J1821" s="110" t="s">
        <v>122</v>
      </c>
    </row>
    <row r="1822" spans="1:10" s="119" customFormat="1">
      <c r="A1822" s="123" t="s">
        <v>120</v>
      </c>
      <c r="B1822" s="273" t="s">
        <v>3350</v>
      </c>
      <c r="C1822" s="274"/>
      <c r="D1822" s="274"/>
      <c r="E1822" s="274"/>
      <c r="F1822" s="274"/>
      <c r="G1822" s="274"/>
      <c r="H1822" s="274"/>
      <c r="I1822" s="274"/>
      <c r="J1822" s="274"/>
    </row>
    <row r="1823" spans="1:10" s="119" customFormat="1">
      <c r="A1823" s="123" t="s">
        <v>120</v>
      </c>
      <c r="B1823" s="275" t="s">
        <v>943</v>
      </c>
      <c r="C1823" s="276"/>
      <c r="D1823" s="276"/>
      <c r="E1823" s="276"/>
      <c r="F1823" s="276"/>
      <c r="G1823" s="276"/>
      <c r="H1823" s="276"/>
      <c r="I1823" s="276"/>
      <c r="J1823" s="276"/>
    </row>
    <row r="1824" spans="1:10">
      <c r="A1824" s="103" t="s">
        <v>3351</v>
      </c>
      <c r="B1824" s="124" t="s">
        <v>3352</v>
      </c>
      <c r="C1824" s="110">
        <v>4114</v>
      </c>
      <c r="D1824" s="109" t="s">
        <v>120</v>
      </c>
      <c r="E1824" s="109">
        <v>41</v>
      </c>
      <c r="F1824" s="110">
        <v>10450</v>
      </c>
      <c r="G1824" s="109" t="s">
        <v>120</v>
      </c>
      <c r="H1824" s="109">
        <v>254</v>
      </c>
      <c r="I1824" s="109">
        <v>2084</v>
      </c>
      <c r="J1824" s="110">
        <v>836</v>
      </c>
    </row>
    <row r="1825" spans="1:10">
      <c r="A1825" s="103" t="s">
        <v>3353</v>
      </c>
      <c r="B1825" s="124" t="s">
        <v>3354</v>
      </c>
      <c r="C1825" s="110">
        <v>10872</v>
      </c>
      <c r="D1825" s="109" t="s">
        <v>120</v>
      </c>
      <c r="E1825" s="109">
        <v>109</v>
      </c>
      <c r="F1825" s="110">
        <v>18296</v>
      </c>
      <c r="G1825" s="109" t="s">
        <v>120</v>
      </c>
      <c r="H1825" s="109">
        <v>168</v>
      </c>
      <c r="I1825" s="109">
        <v>1244</v>
      </c>
      <c r="J1825" s="110">
        <v>390</v>
      </c>
    </row>
    <row r="1826" spans="1:10">
      <c r="A1826" s="103" t="s">
        <v>3355</v>
      </c>
      <c r="B1826" s="124" t="s">
        <v>3356</v>
      </c>
      <c r="C1826" s="110">
        <v>6498</v>
      </c>
      <c r="D1826" s="109" t="s">
        <v>120</v>
      </c>
      <c r="E1826" s="109">
        <v>65</v>
      </c>
      <c r="F1826" s="110">
        <v>10768</v>
      </c>
      <c r="G1826" s="109" t="s">
        <v>120</v>
      </c>
      <c r="H1826" s="109">
        <v>166</v>
      </c>
      <c r="I1826" s="109">
        <v>1902</v>
      </c>
      <c r="J1826" s="110">
        <v>808</v>
      </c>
    </row>
    <row r="1827" spans="1:10" s="119" customFormat="1">
      <c r="A1827" s="123" t="s">
        <v>120</v>
      </c>
      <c r="B1827" s="275" t="s">
        <v>1101</v>
      </c>
      <c r="C1827" s="276"/>
      <c r="D1827" s="276"/>
      <c r="E1827" s="276"/>
      <c r="F1827" s="276"/>
      <c r="G1827" s="276"/>
      <c r="H1827" s="276"/>
      <c r="I1827" s="276"/>
      <c r="J1827" s="276"/>
    </row>
    <row r="1828" spans="1:10">
      <c r="A1828" s="103" t="s">
        <v>3357</v>
      </c>
      <c r="B1828" s="124" t="s">
        <v>3358</v>
      </c>
      <c r="C1828" s="110">
        <v>9627</v>
      </c>
      <c r="D1828" s="109" t="s">
        <v>120</v>
      </c>
      <c r="E1828" s="109">
        <v>96</v>
      </c>
      <c r="F1828" s="110">
        <v>29141</v>
      </c>
      <c r="G1828" s="109" t="s">
        <v>120</v>
      </c>
      <c r="H1828" s="109">
        <v>303</v>
      </c>
      <c r="I1828" s="109">
        <v>1444</v>
      </c>
      <c r="J1828" s="110">
        <v>198</v>
      </c>
    </row>
    <row r="1829" spans="1:10">
      <c r="A1829" s="103" t="s">
        <v>3359</v>
      </c>
      <c r="B1829" s="124" t="s">
        <v>932</v>
      </c>
      <c r="C1829" s="110">
        <v>2740</v>
      </c>
      <c r="D1829" s="109" t="s">
        <v>120</v>
      </c>
      <c r="E1829" s="109">
        <v>28</v>
      </c>
      <c r="F1829" s="110">
        <v>13564</v>
      </c>
      <c r="G1829" s="109" t="s">
        <v>120</v>
      </c>
      <c r="H1829" s="109">
        <v>495</v>
      </c>
      <c r="I1829" s="109" t="s">
        <v>122</v>
      </c>
      <c r="J1829" s="110" t="s">
        <v>122</v>
      </c>
    </row>
    <row r="1830" spans="1:10">
      <c r="A1830" s="103" t="s">
        <v>3360</v>
      </c>
      <c r="B1830" s="124" t="s">
        <v>934</v>
      </c>
      <c r="C1830" s="110">
        <v>6887</v>
      </c>
      <c r="D1830" s="109" t="s">
        <v>120</v>
      </c>
      <c r="E1830" s="109">
        <v>68</v>
      </c>
      <c r="F1830" s="110">
        <v>15577</v>
      </c>
      <c r="G1830" s="109" t="s">
        <v>120</v>
      </c>
      <c r="H1830" s="109">
        <v>226</v>
      </c>
      <c r="I1830" s="109" t="s">
        <v>122</v>
      </c>
      <c r="J1830" s="110" t="s">
        <v>122</v>
      </c>
    </row>
    <row r="1831" spans="1:10">
      <c r="A1831" s="103" t="s">
        <v>3361</v>
      </c>
      <c r="B1831" s="124" t="s">
        <v>3362</v>
      </c>
      <c r="C1831" s="110">
        <v>9967</v>
      </c>
      <c r="D1831" s="109" t="s">
        <v>120</v>
      </c>
      <c r="E1831" s="109">
        <v>100</v>
      </c>
      <c r="F1831" s="110">
        <v>60481</v>
      </c>
      <c r="G1831" s="109" t="s">
        <v>120</v>
      </c>
      <c r="H1831" s="109">
        <v>607</v>
      </c>
      <c r="I1831" s="109">
        <v>1397</v>
      </c>
      <c r="J1831" s="110">
        <v>73</v>
      </c>
    </row>
    <row r="1832" spans="1:10">
      <c r="A1832" s="103" t="s">
        <v>3363</v>
      </c>
      <c r="B1832" s="124" t="s">
        <v>932</v>
      </c>
      <c r="C1832" s="110">
        <v>1341</v>
      </c>
      <c r="D1832" s="109" t="s">
        <v>120</v>
      </c>
      <c r="E1832" s="109">
        <v>13</v>
      </c>
      <c r="F1832" s="110">
        <v>23849</v>
      </c>
      <c r="G1832" s="109" t="s">
        <v>120</v>
      </c>
      <c r="H1832" s="109">
        <v>1778</v>
      </c>
      <c r="I1832" s="109" t="s">
        <v>122</v>
      </c>
      <c r="J1832" s="110" t="s">
        <v>122</v>
      </c>
    </row>
    <row r="1833" spans="1:10">
      <c r="A1833" s="103" t="s">
        <v>3364</v>
      </c>
      <c r="B1833" s="124" t="s">
        <v>934</v>
      </c>
      <c r="C1833" s="110">
        <v>8626</v>
      </c>
      <c r="D1833" s="109" t="s">
        <v>120</v>
      </c>
      <c r="E1833" s="109">
        <v>87</v>
      </c>
      <c r="F1833" s="110">
        <v>36632</v>
      </c>
      <c r="G1833" s="109" t="s">
        <v>120</v>
      </c>
      <c r="H1833" s="109">
        <v>425</v>
      </c>
      <c r="I1833" s="109" t="s">
        <v>122</v>
      </c>
      <c r="J1833" s="110" t="s">
        <v>122</v>
      </c>
    </row>
    <row r="1834" spans="1:10" s="119" customFormat="1">
      <c r="A1834" s="123" t="s">
        <v>120</v>
      </c>
      <c r="B1834" s="273" t="s">
        <v>2900</v>
      </c>
      <c r="C1834" s="274"/>
      <c r="D1834" s="274"/>
      <c r="E1834" s="274"/>
      <c r="F1834" s="274"/>
      <c r="G1834" s="274"/>
      <c r="H1834" s="274"/>
      <c r="I1834" s="274"/>
      <c r="J1834" s="274"/>
    </row>
    <row r="1835" spans="1:10">
      <c r="A1835" s="103" t="s">
        <v>3365</v>
      </c>
      <c r="B1835" s="124" t="s">
        <v>3366</v>
      </c>
      <c r="C1835" s="110">
        <v>32685</v>
      </c>
      <c r="D1835" s="105" t="s">
        <v>927</v>
      </c>
      <c r="E1835" s="109">
        <v>327</v>
      </c>
      <c r="F1835" s="110">
        <v>779115</v>
      </c>
      <c r="G1835" s="105" t="s">
        <v>927</v>
      </c>
      <c r="H1835" s="109">
        <v>2384</v>
      </c>
      <c r="I1835" s="109">
        <v>71</v>
      </c>
      <c r="J1835" s="110">
        <v>2</v>
      </c>
    </row>
    <row r="1836" spans="1:10">
      <c r="A1836" s="103" t="s">
        <v>3367</v>
      </c>
      <c r="B1836" s="124" t="s">
        <v>3368</v>
      </c>
      <c r="C1836" s="110">
        <v>5758</v>
      </c>
      <c r="D1836" s="109" t="s">
        <v>120</v>
      </c>
      <c r="E1836" s="109">
        <v>58</v>
      </c>
      <c r="F1836" s="110">
        <v>83794</v>
      </c>
      <c r="G1836" s="109" t="s">
        <v>120</v>
      </c>
      <c r="H1836" s="109">
        <v>1455</v>
      </c>
      <c r="I1836" s="109">
        <v>1961</v>
      </c>
      <c r="J1836" s="110">
        <v>45</v>
      </c>
    </row>
    <row r="1837" spans="1:10">
      <c r="A1837" s="103" t="s">
        <v>3369</v>
      </c>
      <c r="B1837" s="124" t="s">
        <v>3281</v>
      </c>
      <c r="C1837" s="110">
        <v>7238</v>
      </c>
      <c r="D1837" s="109" t="s">
        <v>120</v>
      </c>
      <c r="E1837" s="109">
        <v>72</v>
      </c>
      <c r="F1837" s="110">
        <v>108470</v>
      </c>
      <c r="G1837" s="109" t="s">
        <v>120</v>
      </c>
      <c r="H1837" s="109">
        <v>1499</v>
      </c>
      <c r="I1837" s="109">
        <v>1814</v>
      </c>
      <c r="J1837" s="110">
        <v>35</v>
      </c>
    </row>
    <row r="1838" spans="1:10" s="119" customFormat="1">
      <c r="A1838" s="123" t="s">
        <v>120</v>
      </c>
      <c r="B1838" s="273" t="s">
        <v>11</v>
      </c>
      <c r="C1838" s="274"/>
      <c r="D1838" s="274"/>
      <c r="E1838" s="274"/>
      <c r="F1838" s="274"/>
      <c r="G1838" s="274"/>
      <c r="H1838" s="274"/>
      <c r="I1838" s="274"/>
      <c r="J1838" s="274"/>
    </row>
    <row r="1839" spans="1:10" s="119" customFormat="1">
      <c r="A1839" s="123" t="s">
        <v>120</v>
      </c>
      <c r="B1839" s="273" t="s">
        <v>3370</v>
      </c>
      <c r="C1839" s="274"/>
      <c r="D1839" s="274"/>
      <c r="E1839" s="274"/>
      <c r="F1839" s="274"/>
      <c r="G1839" s="274"/>
      <c r="H1839" s="274"/>
      <c r="I1839" s="274"/>
      <c r="J1839" s="274"/>
    </row>
    <row r="1840" spans="1:10" s="119" customFormat="1">
      <c r="A1840" s="123" t="s">
        <v>120</v>
      </c>
      <c r="B1840" s="275" t="s">
        <v>924</v>
      </c>
      <c r="C1840" s="276"/>
      <c r="D1840" s="276"/>
      <c r="E1840" s="276"/>
      <c r="F1840" s="276"/>
      <c r="G1840" s="276"/>
      <c r="H1840" s="276"/>
      <c r="I1840" s="276"/>
      <c r="J1840" s="276"/>
    </row>
    <row r="1841" spans="1:12">
      <c r="A1841" s="103" t="s">
        <v>3371</v>
      </c>
      <c r="B1841" s="124" t="s">
        <v>3372</v>
      </c>
      <c r="C1841" s="110">
        <v>12026</v>
      </c>
      <c r="D1841" s="109" t="s">
        <v>120</v>
      </c>
      <c r="E1841" s="109">
        <v>120</v>
      </c>
      <c r="F1841" s="110">
        <v>5555</v>
      </c>
      <c r="G1841" s="109" t="s">
        <v>120</v>
      </c>
      <c r="H1841" s="109">
        <v>46</v>
      </c>
      <c r="I1841" s="109">
        <v>1049</v>
      </c>
      <c r="J1841" s="110">
        <v>1603</v>
      </c>
    </row>
    <row r="1842" spans="1:12">
      <c r="A1842" s="103" t="s">
        <v>3373</v>
      </c>
      <c r="B1842" s="124" t="s">
        <v>3374</v>
      </c>
      <c r="C1842" s="110">
        <v>8252</v>
      </c>
      <c r="D1842" s="109" t="s">
        <v>120</v>
      </c>
      <c r="E1842" s="109">
        <v>83</v>
      </c>
      <c r="F1842" s="110">
        <v>3887</v>
      </c>
      <c r="G1842" s="109" t="s">
        <v>120</v>
      </c>
      <c r="H1842" s="109">
        <v>47</v>
      </c>
      <c r="I1842" s="109">
        <v>1663</v>
      </c>
      <c r="J1842" s="110">
        <v>2020</v>
      </c>
      <c r="L1842" s="96" t="s">
        <v>7312</v>
      </c>
    </row>
    <row r="1843" spans="1:12">
      <c r="A1843" s="103" t="s">
        <v>3375</v>
      </c>
      <c r="B1843" s="124" t="s">
        <v>3376</v>
      </c>
      <c r="C1843" s="110">
        <v>9605</v>
      </c>
      <c r="D1843" s="109" t="s">
        <v>120</v>
      </c>
      <c r="E1843" s="109">
        <v>96</v>
      </c>
      <c r="F1843" s="110">
        <v>5298</v>
      </c>
      <c r="G1843" s="109" t="s">
        <v>120</v>
      </c>
      <c r="H1843" s="109">
        <v>55</v>
      </c>
      <c r="I1843" s="109">
        <v>1448</v>
      </c>
      <c r="J1843" s="110">
        <v>1663</v>
      </c>
    </row>
    <row r="1844" spans="1:12">
      <c r="A1844" s="103" t="s">
        <v>3377</v>
      </c>
      <c r="B1844" s="124" t="s">
        <v>3378</v>
      </c>
      <c r="C1844" s="110">
        <v>15674</v>
      </c>
      <c r="D1844" s="109" t="s">
        <v>120</v>
      </c>
      <c r="E1844" s="109">
        <v>156</v>
      </c>
      <c r="F1844" s="110">
        <v>5628</v>
      </c>
      <c r="G1844" s="109" t="s">
        <v>120</v>
      </c>
      <c r="H1844" s="109">
        <v>36</v>
      </c>
      <c r="I1844" s="109">
        <v>620</v>
      </c>
      <c r="J1844" s="110">
        <v>1586</v>
      </c>
    </row>
    <row r="1845" spans="1:12" s="119" customFormat="1">
      <c r="A1845" s="123" t="s">
        <v>120</v>
      </c>
      <c r="B1845" s="275" t="s">
        <v>947</v>
      </c>
      <c r="C1845" s="276"/>
      <c r="D1845" s="276"/>
      <c r="E1845" s="276"/>
      <c r="F1845" s="276"/>
      <c r="G1845" s="276"/>
      <c r="H1845" s="276"/>
      <c r="I1845" s="276"/>
      <c r="J1845" s="276"/>
    </row>
    <row r="1846" spans="1:12">
      <c r="A1846" s="103" t="s">
        <v>3379</v>
      </c>
      <c r="B1846" s="124" t="s">
        <v>3380</v>
      </c>
      <c r="C1846" s="110">
        <v>7774</v>
      </c>
      <c r="D1846" s="109" t="s">
        <v>120</v>
      </c>
      <c r="E1846" s="109">
        <v>78</v>
      </c>
      <c r="F1846" s="110">
        <v>10263</v>
      </c>
      <c r="G1846" s="109" t="s">
        <v>120</v>
      </c>
      <c r="H1846" s="109">
        <v>132</v>
      </c>
      <c r="I1846" s="109">
        <v>1733</v>
      </c>
      <c r="J1846" s="110">
        <v>847</v>
      </c>
    </row>
    <row r="1847" spans="1:12">
      <c r="A1847" s="103" t="s">
        <v>3381</v>
      </c>
      <c r="B1847" s="124" t="s">
        <v>932</v>
      </c>
      <c r="C1847" s="110">
        <v>751</v>
      </c>
      <c r="D1847" s="109" t="s">
        <v>120</v>
      </c>
      <c r="E1847" s="109">
        <v>8</v>
      </c>
      <c r="F1847" s="110">
        <v>6891</v>
      </c>
      <c r="G1847" s="109" t="s">
        <v>120</v>
      </c>
      <c r="H1847" s="109">
        <v>918</v>
      </c>
      <c r="I1847" s="109" t="s">
        <v>122</v>
      </c>
      <c r="J1847" s="110" t="s">
        <v>122</v>
      </c>
    </row>
    <row r="1848" spans="1:12">
      <c r="A1848" s="103" t="s">
        <v>3382</v>
      </c>
      <c r="B1848" s="124" t="s">
        <v>934</v>
      </c>
      <c r="C1848" s="110">
        <v>7023</v>
      </c>
      <c r="D1848" s="109" t="s">
        <v>120</v>
      </c>
      <c r="E1848" s="109">
        <v>70</v>
      </c>
      <c r="F1848" s="110">
        <v>3372</v>
      </c>
      <c r="G1848" s="109" t="s">
        <v>120</v>
      </c>
      <c r="H1848" s="109">
        <v>48</v>
      </c>
      <c r="I1848" s="109" t="s">
        <v>122</v>
      </c>
      <c r="J1848" s="110" t="s">
        <v>122</v>
      </c>
    </row>
    <row r="1849" spans="1:12">
      <c r="A1849" s="103" t="s">
        <v>3383</v>
      </c>
      <c r="B1849" s="124" t="s">
        <v>3384</v>
      </c>
      <c r="C1849" s="110">
        <v>10579</v>
      </c>
      <c r="D1849" s="109" t="s">
        <v>120</v>
      </c>
      <c r="E1849" s="109">
        <v>106</v>
      </c>
      <c r="F1849" s="110">
        <v>2779</v>
      </c>
      <c r="G1849" s="109" t="s">
        <v>120</v>
      </c>
      <c r="H1849" s="109">
        <v>26</v>
      </c>
      <c r="I1849" s="109">
        <v>1291</v>
      </c>
      <c r="J1849" s="110">
        <v>2225</v>
      </c>
    </row>
    <row r="1850" spans="1:12">
      <c r="A1850" s="103" t="s">
        <v>3385</v>
      </c>
      <c r="B1850" s="124" t="s">
        <v>932</v>
      </c>
      <c r="C1850" s="110">
        <v>1684</v>
      </c>
      <c r="D1850" s="109" t="s">
        <v>120</v>
      </c>
      <c r="E1850" s="109">
        <v>17</v>
      </c>
      <c r="F1850" s="110">
        <v>894</v>
      </c>
      <c r="G1850" s="109" t="s">
        <v>120</v>
      </c>
      <c r="H1850" s="109">
        <v>53</v>
      </c>
      <c r="I1850" s="109" t="s">
        <v>122</v>
      </c>
      <c r="J1850" s="110" t="s">
        <v>122</v>
      </c>
    </row>
    <row r="1851" spans="1:12">
      <c r="A1851" s="103" t="s">
        <v>3386</v>
      </c>
      <c r="B1851" s="124" t="s">
        <v>934</v>
      </c>
      <c r="C1851" s="110">
        <v>8895</v>
      </c>
      <c r="D1851" s="109" t="s">
        <v>120</v>
      </c>
      <c r="E1851" s="109">
        <v>89</v>
      </c>
      <c r="F1851" s="110">
        <v>1885</v>
      </c>
      <c r="G1851" s="109" t="s">
        <v>120</v>
      </c>
      <c r="H1851" s="109">
        <v>21</v>
      </c>
      <c r="I1851" s="109" t="s">
        <v>122</v>
      </c>
      <c r="J1851" s="110" t="s">
        <v>122</v>
      </c>
    </row>
    <row r="1852" spans="1:12" s="119" customFormat="1">
      <c r="A1852" s="123" t="s">
        <v>120</v>
      </c>
      <c r="B1852" s="273" t="s">
        <v>3387</v>
      </c>
      <c r="C1852" s="274"/>
      <c r="D1852" s="274"/>
      <c r="E1852" s="274"/>
      <c r="F1852" s="274"/>
      <c r="G1852" s="274"/>
      <c r="H1852" s="274"/>
      <c r="I1852" s="274"/>
      <c r="J1852" s="274"/>
    </row>
    <row r="1853" spans="1:12" s="119" customFormat="1">
      <c r="A1853" s="123" t="s">
        <v>120</v>
      </c>
      <c r="B1853" s="275" t="s">
        <v>922</v>
      </c>
      <c r="C1853" s="276"/>
      <c r="D1853" s="276"/>
      <c r="E1853" s="276"/>
      <c r="F1853" s="276"/>
      <c r="G1853" s="276"/>
      <c r="H1853" s="276"/>
      <c r="I1853" s="276"/>
      <c r="J1853" s="276"/>
    </row>
    <row r="1854" spans="1:12">
      <c r="A1854" s="103" t="s">
        <v>3388</v>
      </c>
      <c r="B1854" s="124" t="s">
        <v>3389</v>
      </c>
      <c r="C1854" s="110">
        <v>3278</v>
      </c>
      <c r="D1854" s="109" t="s">
        <v>120</v>
      </c>
      <c r="E1854" s="109">
        <v>33</v>
      </c>
      <c r="F1854" s="110">
        <v>44138</v>
      </c>
      <c r="G1854" s="109" t="s">
        <v>120</v>
      </c>
      <c r="H1854" s="109">
        <v>1346</v>
      </c>
      <c r="I1854" s="109">
        <v>2149</v>
      </c>
      <c r="J1854" s="110">
        <v>113</v>
      </c>
    </row>
    <row r="1855" spans="1:12" s="119" customFormat="1">
      <c r="A1855" s="123" t="s">
        <v>120</v>
      </c>
      <c r="B1855" s="275" t="s">
        <v>924</v>
      </c>
      <c r="C1855" s="276"/>
      <c r="D1855" s="276"/>
      <c r="E1855" s="276"/>
      <c r="F1855" s="276"/>
      <c r="G1855" s="276"/>
      <c r="H1855" s="276"/>
      <c r="I1855" s="276"/>
      <c r="J1855" s="276"/>
    </row>
    <row r="1856" spans="1:12">
      <c r="A1856" s="103" t="s">
        <v>3390</v>
      </c>
      <c r="B1856" s="124" t="s">
        <v>3389</v>
      </c>
      <c r="C1856" s="110">
        <v>14054</v>
      </c>
      <c r="D1856" s="109" t="s">
        <v>120</v>
      </c>
      <c r="E1856" s="109">
        <v>141</v>
      </c>
      <c r="F1856" s="110">
        <v>7117</v>
      </c>
      <c r="G1856" s="109" t="s">
        <v>120</v>
      </c>
      <c r="H1856" s="109">
        <v>51</v>
      </c>
      <c r="I1856" s="109">
        <v>778</v>
      </c>
      <c r="J1856" s="110">
        <v>1276</v>
      </c>
    </row>
    <row r="1857" spans="1:10">
      <c r="A1857" s="103" t="s">
        <v>3391</v>
      </c>
      <c r="B1857" s="124" t="s">
        <v>3392</v>
      </c>
      <c r="C1857" s="110">
        <v>11071</v>
      </c>
      <c r="D1857" s="109" t="s">
        <v>120</v>
      </c>
      <c r="E1857" s="109">
        <v>111</v>
      </c>
      <c r="F1857" s="110">
        <v>3752</v>
      </c>
      <c r="G1857" s="109" t="s">
        <v>120</v>
      </c>
      <c r="H1857" s="109">
        <v>34</v>
      </c>
      <c r="I1857" s="109">
        <v>1208</v>
      </c>
      <c r="J1857" s="110">
        <v>2056</v>
      </c>
    </row>
    <row r="1858" spans="1:10">
      <c r="A1858" s="103" t="s">
        <v>3393</v>
      </c>
      <c r="B1858" s="124" t="s">
        <v>3394</v>
      </c>
      <c r="C1858" s="110">
        <v>9675</v>
      </c>
      <c r="D1858" s="109" t="s">
        <v>120</v>
      </c>
      <c r="E1858" s="109">
        <v>97</v>
      </c>
      <c r="F1858" s="110">
        <v>3586</v>
      </c>
      <c r="G1858" s="109" t="s">
        <v>120</v>
      </c>
      <c r="H1858" s="109">
        <v>37</v>
      </c>
      <c r="I1858" s="109">
        <v>1435</v>
      </c>
      <c r="J1858" s="110">
        <v>2094</v>
      </c>
    </row>
    <row r="1859" spans="1:10">
      <c r="A1859" s="103" t="s">
        <v>3395</v>
      </c>
      <c r="B1859" s="124" t="s">
        <v>3396</v>
      </c>
      <c r="C1859" s="110">
        <v>12024</v>
      </c>
      <c r="D1859" s="109" t="s">
        <v>120</v>
      </c>
      <c r="E1859" s="109">
        <v>120</v>
      </c>
      <c r="F1859" s="110">
        <v>4291</v>
      </c>
      <c r="G1859" s="109" t="s">
        <v>120</v>
      </c>
      <c r="H1859" s="109">
        <v>36</v>
      </c>
      <c r="I1859" s="109">
        <v>1050</v>
      </c>
      <c r="J1859" s="110">
        <v>1927</v>
      </c>
    </row>
    <row r="1860" spans="1:10">
      <c r="A1860" s="103" t="s">
        <v>3397</v>
      </c>
      <c r="B1860" s="124" t="s">
        <v>3398</v>
      </c>
      <c r="C1860" s="110">
        <v>13904</v>
      </c>
      <c r="D1860" s="109" t="s">
        <v>120</v>
      </c>
      <c r="E1860" s="109">
        <v>139</v>
      </c>
      <c r="F1860" s="110">
        <v>5963</v>
      </c>
      <c r="G1860" s="109" t="s">
        <v>120</v>
      </c>
      <c r="H1860" s="109">
        <v>43</v>
      </c>
      <c r="I1860" s="109">
        <v>794</v>
      </c>
      <c r="J1860" s="110">
        <v>1520</v>
      </c>
    </row>
    <row r="1861" spans="1:10">
      <c r="A1861" s="103" t="s">
        <v>3399</v>
      </c>
      <c r="B1861" s="124" t="s">
        <v>3400</v>
      </c>
      <c r="C1861" s="110">
        <v>11118</v>
      </c>
      <c r="D1861" s="109" t="s">
        <v>120</v>
      </c>
      <c r="E1861" s="109">
        <v>111</v>
      </c>
      <c r="F1861" s="110">
        <v>4989</v>
      </c>
      <c r="G1861" s="109" t="s">
        <v>120</v>
      </c>
      <c r="H1861" s="109">
        <v>45</v>
      </c>
      <c r="I1861" s="109">
        <v>1195</v>
      </c>
      <c r="J1861" s="110">
        <v>1743</v>
      </c>
    </row>
    <row r="1862" spans="1:10">
      <c r="A1862" s="103" t="s">
        <v>3401</v>
      </c>
      <c r="B1862" s="124" t="s">
        <v>3402</v>
      </c>
      <c r="C1862" s="110">
        <v>15471</v>
      </c>
      <c r="D1862" s="109" t="s">
        <v>120</v>
      </c>
      <c r="E1862" s="109">
        <v>154</v>
      </c>
      <c r="F1862" s="110">
        <v>7755</v>
      </c>
      <c r="G1862" s="109" t="s">
        <v>120</v>
      </c>
      <c r="H1862" s="109">
        <v>50</v>
      </c>
      <c r="I1862" s="109">
        <v>634</v>
      </c>
      <c r="J1862" s="110">
        <v>1160</v>
      </c>
    </row>
    <row r="1863" spans="1:10" s="119" customFormat="1">
      <c r="A1863" s="123" t="s">
        <v>120</v>
      </c>
      <c r="B1863" s="275" t="s">
        <v>3403</v>
      </c>
      <c r="C1863" s="276"/>
      <c r="D1863" s="276"/>
      <c r="E1863" s="276"/>
      <c r="F1863" s="276"/>
      <c r="G1863" s="276"/>
      <c r="H1863" s="276"/>
      <c r="I1863" s="276"/>
      <c r="J1863" s="276"/>
    </row>
    <row r="1864" spans="1:10">
      <c r="A1864" s="103" t="s">
        <v>3404</v>
      </c>
      <c r="B1864" s="124" t="s">
        <v>3405</v>
      </c>
      <c r="C1864" s="110">
        <v>15385</v>
      </c>
      <c r="D1864" s="109" t="s">
        <v>120</v>
      </c>
      <c r="E1864" s="109">
        <v>154</v>
      </c>
      <c r="F1864" s="110">
        <v>7832</v>
      </c>
      <c r="G1864" s="109" t="s">
        <v>120</v>
      </c>
      <c r="H1864" s="109">
        <v>51</v>
      </c>
      <c r="I1864" s="109">
        <v>641</v>
      </c>
      <c r="J1864" s="110">
        <v>1148</v>
      </c>
    </row>
    <row r="1865" spans="1:10">
      <c r="A1865" s="103" t="s">
        <v>3406</v>
      </c>
      <c r="B1865" s="124" t="s">
        <v>932</v>
      </c>
      <c r="C1865" s="110">
        <v>737</v>
      </c>
      <c r="D1865" s="109" t="s">
        <v>120</v>
      </c>
      <c r="E1865" s="109">
        <v>7</v>
      </c>
      <c r="F1865" s="110">
        <v>3008</v>
      </c>
      <c r="G1865" s="109" t="s">
        <v>120</v>
      </c>
      <c r="H1865" s="109">
        <v>408</v>
      </c>
      <c r="I1865" s="109" t="s">
        <v>122</v>
      </c>
      <c r="J1865" s="110" t="s">
        <v>122</v>
      </c>
    </row>
    <row r="1866" spans="1:10">
      <c r="A1866" s="103" t="s">
        <v>3407</v>
      </c>
      <c r="B1866" s="124" t="s">
        <v>934</v>
      </c>
      <c r="C1866" s="110">
        <v>14648</v>
      </c>
      <c r="D1866" s="109" t="s">
        <v>120</v>
      </c>
      <c r="E1866" s="109">
        <v>147</v>
      </c>
      <c r="F1866" s="110">
        <v>4824</v>
      </c>
      <c r="G1866" s="109" t="s">
        <v>120</v>
      </c>
      <c r="H1866" s="109">
        <v>33</v>
      </c>
      <c r="I1866" s="109" t="s">
        <v>122</v>
      </c>
      <c r="J1866" s="110" t="s">
        <v>122</v>
      </c>
    </row>
    <row r="1867" spans="1:10" s="119" customFormat="1">
      <c r="A1867" s="123" t="s">
        <v>120</v>
      </c>
      <c r="B1867" s="273" t="s">
        <v>3408</v>
      </c>
      <c r="C1867" s="274"/>
      <c r="D1867" s="274"/>
      <c r="E1867" s="274"/>
      <c r="F1867" s="274"/>
      <c r="G1867" s="274"/>
      <c r="H1867" s="274"/>
      <c r="I1867" s="274"/>
      <c r="J1867" s="274"/>
    </row>
    <row r="1868" spans="1:10" s="119" customFormat="1">
      <c r="A1868" s="123" t="s">
        <v>120</v>
      </c>
      <c r="B1868" s="275" t="s">
        <v>2880</v>
      </c>
      <c r="C1868" s="276"/>
      <c r="D1868" s="276"/>
      <c r="E1868" s="276"/>
      <c r="F1868" s="276"/>
      <c r="G1868" s="276"/>
      <c r="H1868" s="276"/>
      <c r="I1868" s="276"/>
      <c r="J1868" s="276"/>
    </row>
    <row r="1869" spans="1:10">
      <c r="A1869" s="103" t="s">
        <v>3409</v>
      </c>
      <c r="B1869" s="124" t="s">
        <v>3410</v>
      </c>
      <c r="C1869" s="110">
        <v>2208</v>
      </c>
      <c r="D1869" s="109" t="s">
        <v>120</v>
      </c>
      <c r="E1869" s="109">
        <v>22</v>
      </c>
      <c r="F1869" s="110">
        <v>17602</v>
      </c>
      <c r="G1869" s="109" t="s">
        <v>120</v>
      </c>
      <c r="H1869" s="109">
        <v>797</v>
      </c>
      <c r="I1869" s="109">
        <v>2216</v>
      </c>
      <c r="J1869" s="110">
        <v>416</v>
      </c>
    </row>
    <row r="1870" spans="1:10">
      <c r="A1870" s="103" t="s">
        <v>3411</v>
      </c>
      <c r="B1870" s="124" t="s">
        <v>3412</v>
      </c>
      <c r="C1870" s="110">
        <v>1535</v>
      </c>
      <c r="D1870" s="109" t="s">
        <v>120</v>
      </c>
      <c r="E1870" s="109">
        <v>15</v>
      </c>
      <c r="F1870" s="110">
        <v>4829</v>
      </c>
      <c r="G1870" s="109" t="s">
        <v>120</v>
      </c>
      <c r="H1870" s="109">
        <v>315</v>
      </c>
      <c r="I1870" s="109">
        <v>2277</v>
      </c>
      <c r="J1870" s="110">
        <v>1786</v>
      </c>
    </row>
    <row r="1871" spans="1:10" s="119" customFormat="1">
      <c r="A1871" s="123" t="s">
        <v>120</v>
      </c>
      <c r="B1871" s="275" t="s">
        <v>943</v>
      </c>
      <c r="C1871" s="276"/>
      <c r="D1871" s="276"/>
      <c r="E1871" s="276"/>
      <c r="F1871" s="276"/>
      <c r="G1871" s="276"/>
      <c r="H1871" s="276"/>
      <c r="I1871" s="276"/>
      <c r="J1871" s="276"/>
    </row>
    <row r="1872" spans="1:10">
      <c r="A1872" s="103" t="s">
        <v>3413</v>
      </c>
      <c r="B1872" s="124" t="s">
        <v>3414</v>
      </c>
      <c r="C1872" s="110">
        <v>8022</v>
      </c>
      <c r="D1872" s="109" t="s">
        <v>120</v>
      </c>
      <c r="E1872" s="109">
        <v>80</v>
      </c>
      <c r="F1872" s="110">
        <v>5283</v>
      </c>
      <c r="G1872" s="109" t="s">
        <v>120</v>
      </c>
      <c r="H1872" s="109">
        <v>66</v>
      </c>
      <c r="I1872" s="109">
        <v>1699</v>
      </c>
      <c r="J1872" s="110">
        <v>1668</v>
      </c>
    </row>
    <row r="1873" spans="1:10">
      <c r="A1873" s="103" t="s">
        <v>3415</v>
      </c>
      <c r="B1873" s="124" t="s">
        <v>3410</v>
      </c>
      <c r="C1873" s="110">
        <v>13576</v>
      </c>
      <c r="D1873" s="109" t="s">
        <v>120</v>
      </c>
      <c r="E1873" s="109">
        <v>136</v>
      </c>
      <c r="F1873" s="110">
        <v>13273</v>
      </c>
      <c r="G1873" s="109" t="s">
        <v>120</v>
      </c>
      <c r="H1873" s="109">
        <v>98</v>
      </c>
      <c r="I1873" s="109">
        <v>830</v>
      </c>
      <c r="J1873" s="110">
        <v>606</v>
      </c>
    </row>
    <row r="1874" spans="1:10">
      <c r="A1874" s="103" t="s">
        <v>3416</v>
      </c>
      <c r="B1874" s="124" t="s">
        <v>1433</v>
      </c>
      <c r="C1874" s="110">
        <v>9120</v>
      </c>
      <c r="D1874" s="109" t="s">
        <v>120</v>
      </c>
      <c r="E1874" s="109">
        <v>91</v>
      </c>
      <c r="F1874" s="110">
        <v>6541</v>
      </c>
      <c r="G1874" s="109" t="s">
        <v>120</v>
      </c>
      <c r="H1874" s="109">
        <v>72</v>
      </c>
      <c r="I1874" s="109">
        <v>1518</v>
      </c>
      <c r="J1874" s="110">
        <v>1389</v>
      </c>
    </row>
    <row r="1875" spans="1:10">
      <c r="A1875" s="103" t="s">
        <v>3417</v>
      </c>
      <c r="B1875" s="124" t="s">
        <v>3412</v>
      </c>
      <c r="C1875" s="110">
        <v>8762</v>
      </c>
      <c r="D1875" s="109" t="s">
        <v>120</v>
      </c>
      <c r="E1875" s="109">
        <v>88</v>
      </c>
      <c r="F1875" s="110">
        <v>5475</v>
      </c>
      <c r="G1875" s="109" t="s">
        <v>120</v>
      </c>
      <c r="H1875" s="109">
        <v>62</v>
      </c>
      <c r="I1875" s="109">
        <v>1569</v>
      </c>
      <c r="J1875" s="110">
        <v>1620</v>
      </c>
    </row>
    <row r="1876" spans="1:10">
      <c r="A1876" s="103" t="s">
        <v>3418</v>
      </c>
      <c r="B1876" s="124" t="s">
        <v>3419</v>
      </c>
      <c r="C1876" s="110">
        <v>17404</v>
      </c>
      <c r="D1876" s="109" t="s">
        <v>120</v>
      </c>
      <c r="E1876" s="109">
        <v>175</v>
      </c>
      <c r="F1876" s="110">
        <v>6909</v>
      </c>
      <c r="G1876" s="109" t="s">
        <v>120</v>
      </c>
      <c r="H1876" s="109">
        <v>40</v>
      </c>
      <c r="I1876" s="109">
        <v>493</v>
      </c>
      <c r="J1876" s="110">
        <v>1314</v>
      </c>
    </row>
    <row r="1877" spans="1:10">
      <c r="A1877" s="103" t="s">
        <v>3420</v>
      </c>
      <c r="B1877" s="124" t="s">
        <v>3421</v>
      </c>
      <c r="C1877" s="110">
        <v>8528</v>
      </c>
      <c r="D1877" s="109" t="s">
        <v>120</v>
      </c>
      <c r="E1877" s="109">
        <v>85</v>
      </c>
      <c r="F1877" s="110">
        <v>4869</v>
      </c>
      <c r="G1877" s="109" t="s">
        <v>120</v>
      </c>
      <c r="H1877" s="109">
        <v>57</v>
      </c>
      <c r="I1877" s="109">
        <v>1612</v>
      </c>
      <c r="J1877" s="110">
        <v>1774</v>
      </c>
    </row>
    <row r="1878" spans="1:10">
      <c r="A1878" s="103" t="s">
        <v>3422</v>
      </c>
      <c r="B1878" s="124" t="s">
        <v>3423</v>
      </c>
      <c r="C1878" s="110">
        <v>6415</v>
      </c>
      <c r="D1878" s="109" t="s">
        <v>120</v>
      </c>
      <c r="E1878" s="109">
        <v>64</v>
      </c>
      <c r="F1878" s="110">
        <v>4128</v>
      </c>
      <c r="G1878" s="109" t="s">
        <v>120</v>
      </c>
      <c r="H1878" s="109">
        <v>64</v>
      </c>
      <c r="I1878" s="109">
        <v>1914</v>
      </c>
      <c r="J1878" s="110">
        <v>1966</v>
      </c>
    </row>
    <row r="1879" spans="1:10">
      <c r="A1879" s="103" t="s">
        <v>3424</v>
      </c>
      <c r="B1879" s="124" t="s">
        <v>3425</v>
      </c>
      <c r="C1879" s="110">
        <v>9480</v>
      </c>
      <c r="D1879" s="109" t="s">
        <v>120</v>
      </c>
      <c r="E1879" s="109">
        <v>95</v>
      </c>
      <c r="F1879" s="110">
        <v>8239</v>
      </c>
      <c r="G1879" s="109" t="s">
        <v>120</v>
      </c>
      <c r="H1879" s="109">
        <v>87</v>
      </c>
      <c r="I1879" s="109">
        <v>1473</v>
      </c>
      <c r="J1879" s="110">
        <v>1088</v>
      </c>
    </row>
    <row r="1880" spans="1:10">
      <c r="A1880" s="103" t="s">
        <v>3426</v>
      </c>
      <c r="B1880" s="124" t="s">
        <v>3427</v>
      </c>
      <c r="C1880" s="110">
        <v>15134</v>
      </c>
      <c r="D1880" s="109" t="s">
        <v>120</v>
      </c>
      <c r="E1880" s="109">
        <v>152</v>
      </c>
      <c r="F1880" s="110">
        <v>7299</v>
      </c>
      <c r="G1880" s="109" t="s">
        <v>120</v>
      </c>
      <c r="H1880" s="109">
        <v>48</v>
      </c>
      <c r="I1880" s="109">
        <v>662</v>
      </c>
      <c r="J1880" s="110">
        <v>1245</v>
      </c>
    </row>
    <row r="1881" spans="1:10">
      <c r="A1881" s="103" t="s">
        <v>3428</v>
      </c>
      <c r="B1881" s="124" t="s">
        <v>3429</v>
      </c>
      <c r="C1881" s="110">
        <v>11840</v>
      </c>
      <c r="D1881" s="109" t="s">
        <v>120</v>
      </c>
      <c r="E1881" s="109">
        <v>118</v>
      </c>
      <c r="F1881" s="110">
        <v>5278</v>
      </c>
      <c r="G1881" s="109" t="s">
        <v>120</v>
      </c>
      <c r="H1881" s="109">
        <v>45</v>
      </c>
      <c r="I1881" s="109">
        <v>1075</v>
      </c>
      <c r="J1881" s="110">
        <v>1669</v>
      </c>
    </row>
    <row r="1882" spans="1:10" s="119" customFormat="1">
      <c r="A1882" s="123" t="s">
        <v>120</v>
      </c>
      <c r="B1882" s="275" t="s">
        <v>1101</v>
      </c>
      <c r="C1882" s="276"/>
      <c r="D1882" s="276"/>
      <c r="E1882" s="276"/>
      <c r="F1882" s="276"/>
      <c r="G1882" s="276"/>
      <c r="H1882" s="276"/>
      <c r="I1882" s="276"/>
      <c r="J1882" s="276"/>
    </row>
    <row r="1883" spans="1:10">
      <c r="A1883" s="103" t="s">
        <v>3430</v>
      </c>
      <c r="B1883" s="124" t="s">
        <v>3431</v>
      </c>
      <c r="C1883" s="110">
        <v>7710</v>
      </c>
      <c r="D1883" s="109" t="s">
        <v>120</v>
      </c>
      <c r="E1883" s="109">
        <v>77</v>
      </c>
      <c r="F1883" s="110">
        <v>10975</v>
      </c>
      <c r="G1883" s="109" t="s">
        <v>120</v>
      </c>
      <c r="H1883" s="109">
        <v>142</v>
      </c>
      <c r="I1883" s="109">
        <v>1745</v>
      </c>
      <c r="J1883" s="110">
        <v>784</v>
      </c>
    </row>
    <row r="1884" spans="1:10">
      <c r="A1884" s="103" t="s">
        <v>3432</v>
      </c>
      <c r="B1884" s="124" t="s">
        <v>932</v>
      </c>
      <c r="C1884" s="110">
        <v>666</v>
      </c>
      <c r="D1884" s="109" t="s">
        <v>120</v>
      </c>
      <c r="E1884" s="109">
        <v>7</v>
      </c>
      <c r="F1884" s="110">
        <v>4588</v>
      </c>
      <c r="G1884" s="109" t="s">
        <v>120</v>
      </c>
      <c r="H1884" s="109">
        <v>689</v>
      </c>
      <c r="I1884" s="109" t="s">
        <v>122</v>
      </c>
      <c r="J1884" s="110" t="s">
        <v>122</v>
      </c>
    </row>
    <row r="1885" spans="1:10">
      <c r="A1885" s="103" t="s">
        <v>3433</v>
      </c>
      <c r="B1885" s="124" t="s">
        <v>934</v>
      </c>
      <c r="C1885" s="110">
        <v>7044</v>
      </c>
      <c r="D1885" s="109" t="s">
        <v>120</v>
      </c>
      <c r="E1885" s="109">
        <v>70</v>
      </c>
      <c r="F1885" s="110">
        <v>6387</v>
      </c>
      <c r="G1885" s="109" t="s">
        <v>120</v>
      </c>
      <c r="H1885" s="109">
        <v>91</v>
      </c>
      <c r="I1885" s="109" t="s">
        <v>122</v>
      </c>
      <c r="J1885" s="110" t="s">
        <v>122</v>
      </c>
    </row>
    <row r="1886" spans="1:10">
      <c r="A1886" s="103" t="s">
        <v>3434</v>
      </c>
      <c r="B1886" s="124" t="s">
        <v>3435</v>
      </c>
      <c r="C1886" s="110">
        <v>8749</v>
      </c>
      <c r="D1886" s="109" t="s">
        <v>120</v>
      </c>
      <c r="E1886" s="109">
        <v>87</v>
      </c>
      <c r="F1886" s="110">
        <v>8281</v>
      </c>
      <c r="G1886" s="109" t="s">
        <v>120</v>
      </c>
      <c r="H1886" s="109">
        <v>95</v>
      </c>
      <c r="I1886" s="109">
        <v>1570</v>
      </c>
      <c r="J1886" s="110">
        <v>1078</v>
      </c>
    </row>
    <row r="1887" spans="1:10">
      <c r="A1887" s="103" t="s">
        <v>3436</v>
      </c>
      <c r="B1887" s="124" t="s">
        <v>932</v>
      </c>
      <c r="C1887" s="110">
        <v>1213</v>
      </c>
      <c r="D1887" s="109" t="s">
        <v>120</v>
      </c>
      <c r="E1887" s="109">
        <v>12</v>
      </c>
      <c r="F1887" s="110">
        <v>3930</v>
      </c>
      <c r="G1887" s="109" t="s">
        <v>120</v>
      </c>
      <c r="H1887" s="109">
        <v>324</v>
      </c>
      <c r="I1887" s="109" t="s">
        <v>122</v>
      </c>
      <c r="J1887" s="110" t="s">
        <v>122</v>
      </c>
    </row>
    <row r="1888" spans="1:10">
      <c r="A1888" s="103" t="s">
        <v>3437</v>
      </c>
      <c r="B1888" s="124" t="s">
        <v>934</v>
      </c>
      <c r="C1888" s="110">
        <v>7536</v>
      </c>
      <c r="D1888" s="109" t="s">
        <v>120</v>
      </c>
      <c r="E1888" s="109">
        <v>75</v>
      </c>
      <c r="F1888" s="110">
        <v>4351</v>
      </c>
      <c r="G1888" s="109" t="s">
        <v>120</v>
      </c>
      <c r="H1888" s="109">
        <v>58</v>
      </c>
      <c r="I1888" s="109" t="s">
        <v>122</v>
      </c>
      <c r="J1888" s="110" t="s">
        <v>122</v>
      </c>
    </row>
    <row r="1889" spans="1:10" s="119" customFormat="1">
      <c r="A1889" s="123" t="s">
        <v>120</v>
      </c>
      <c r="B1889" s="273" t="s">
        <v>3438</v>
      </c>
      <c r="C1889" s="274"/>
      <c r="D1889" s="274"/>
      <c r="E1889" s="274"/>
      <c r="F1889" s="274"/>
      <c r="G1889" s="274"/>
      <c r="H1889" s="274"/>
      <c r="I1889" s="274"/>
      <c r="J1889" s="274"/>
    </row>
    <row r="1890" spans="1:10" s="119" customFormat="1">
      <c r="A1890" s="123" t="s">
        <v>120</v>
      </c>
      <c r="B1890" s="275" t="s">
        <v>1019</v>
      </c>
      <c r="C1890" s="276"/>
      <c r="D1890" s="276"/>
      <c r="E1890" s="276"/>
      <c r="F1890" s="276"/>
      <c r="G1890" s="276"/>
      <c r="H1890" s="276"/>
      <c r="I1890" s="276"/>
      <c r="J1890" s="276"/>
    </row>
    <row r="1891" spans="1:10">
      <c r="A1891" s="103" t="s">
        <v>3439</v>
      </c>
      <c r="B1891" s="124" t="s">
        <v>3440</v>
      </c>
      <c r="C1891" s="110">
        <v>3240</v>
      </c>
      <c r="D1891" s="109" t="s">
        <v>120</v>
      </c>
      <c r="E1891" s="109">
        <v>32</v>
      </c>
      <c r="F1891" s="110">
        <v>18527</v>
      </c>
      <c r="G1891" s="109" t="s">
        <v>120</v>
      </c>
      <c r="H1891" s="109">
        <v>572</v>
      </c>
      <c r="I1891" s="109">
        <v>2153</v>
      </c>
      <c r="J1891" s="110">
        <v>380</v>
      </c>
    </row>
    <row r="1892" spans="1:10" s="119" customFormat="1">
      <c r="A1892" s="123" t="s">
        <v>120</v>
      </c>
      <c r="B1892" s="275" t="s">
        <v>924</v>
      </c>
      <c r="C1892" s="276"/>
      <c r="D1892" s="276"/>
      <c r="E1892" s="276"/>
      <c r="F1892" s="276"/>
      <c r="G1892" s="276"/>
      <c r="H1892" s="276"/>
      <c r="I1892" s="276"/>
      <c r="J1892" s="276"/>
    </row>
    <row r="1893" spans="1:10">
      <c r="A1893" s="103" t="s">
        <v>3441</v>
      </c>
      <c r="B1893" s="124" t="s">
        <v>3440</v>
      </c>
      <c r="C1893" s="110">
        <v>27037</v>
      </c>
      <c r="D1893" s="109" t="s">
        <v>120</v>
      </c>
      <c r="E1893" s="109">
        <v>271</v>
      </c>
      <c r="F1893" s="110">
        <v>12005</v>
      </c>
      <c r="G1893" s="109" t="s">
        <v>120</v>
      </c>
      <c r="H1893" s="109">
        <v>44</v>
      </c>
      <c r="I1893" s="109">
        <v>136</v>
      </c>
      <c r="J1893" s="110">
        <v>696</v>
      </c>
    </row>
    <row r="1894" spans="1:10">
      <c r="A1894" s="103" t="s">
        <v>3442</v>
      </c>
      <c r="B1894" s="124" t="s">
        <v>3443</v>
      </c>
      <c r="C1894" s="110">
        <v>9029</v>
      </c>
      <c r="D1894" s="109" t="s">
        <v>120</v>
      </c>
      <c r="E1894" s="109">
        <v>90</v>
      </c>
      <c r="F1894" s="110">
        <v>3527</v>
      </c>
      <c r="G1894" s="109" t="s">
        <v>120</v>
      </c>
      <c r="H1894" s="109">
        <v>39</v>
      </c>
      <c r="I1894" s="109">
        <v>1527</v>
      </c>
      <c r="J1894" s="110">
        <v>2103</v>
      </c>
    </row>
    <row r="1895" spans="1:10">
      <c r="A1895" s="103" t="s">
        <v>3444</v>
      </c>
      <c r="B1895" s="124" t="s">
        <v>3445</v>
      </c>
      <c r="C1895" s="110">
        <v>12716</v>
      </c>
      <c r="D1895" s="109" t="s">
        <v>120</v>
      </c>
      <c r="E1895" s="109">
        <v>127</v>
      </c>
      <c r="F1895" s="110">
        <v>4843</v>
      </c>
      <c r="G1895" s="109" t="s">
        <v>120</v>
      </c>
      <c r="H1895" s="109">
        <v>38</v>
      </c>
      <c r="I1895" s="109">
        <v>953</v>
      </c>
      <c r="J1895" s="110">
        <v>1782</v>
      </c>
    </row>
    <row r="1896" spans="1:10" s="119" customFormat="1">
      <c r="A1896" s="123" t="s">
        <v>120</v>
      </c>
      <c r="B1896" s="275" t="s">
        <v>2572</v>
      </c>
      <c r="C1896" s="276"/>
      <c r="D1896" s="276"/>
      <c r="E1896" s="276"/>
      <c r="F1896" s="276"/>
      <c r="G1896" s="276"/>
      <c r="H1896" s="276"/>
      <c r="I1896" s="276"/>
      <c r="J1896" s="276"/>
    </row>
    <row r="1897" spans="1:10">
      <c r="A1897" s="103" t="s">
        <v>3446</v>
      </c>
      <c r="B1897" s="124" t="s">
        <v>3447</v>
      </c>
      <c r="C1897" s="110">
        <v>9459</v>
      </c>
      <c r="D1897" s="109" t="s">
        <v>120</v>
      </c>
      <c r="E1897" s="109">
        <v>95</v>
      </c>
      <c r="F1897" s="110">
        <v>5997</v>
      </c>
      <c r="G1897" s="109" t="s">
        <v>120</v>
      </c>
      <c r="H1897" s="109">
        <v>63</v>
      </c>
      <c r="I1897" s="109">
        <v>1477</v>
      </c>
      <c r="J1897" s="110">
        <v>1505</v>
      </c>
    </row>
    <row r="1898" spans="1:10">
      <c r="A1898" s="103" t="s">
        <v>3448</v>
      </c>
      <c r="B1898" s="124" t="s">
        <v>932</v>
      </c>
      <c r="C1898" s="110">
        <v>1176</v>
      </c>
      <c r="D1898" s="109" t="s">
        <v>120</v>
      </c>
      <c r="E1898" s="109">
        <v>12</v>
      </c>
      <c r="F1898" s="110">
        <v>1949</v>
      </c>
      <c r="G1898" s="109" t="s">
        <v>120</v>
      </c>
      <c r="H1898" s="109">
        <v>166</v>
      </c>
      <c r="I1898" s="109" t="s">
        <v>122</v>
      </c>
      <c r="J1898" s="110" t="s">
        <v>122</v>
      </c>
    </row>
    <row r="1899" spans="1:10">
      <c r="A1899" s="103" t="s">
        <v>3449</v>
      </c>
      <c r="B1899" s="124" t="s">
        <v>934</v>
      </c>
      <c r="C1899" s="110">
        <v>8283</v>
      </c>
      <c r="D1899" s="109" t="s">
        <v>120</v>
      </c>
      <c r="E1899" s="109">
        <v>83</v>
      </c>
      <c r="F1899" s="110">
        <v>4048</v>
      </c>
      <c r="G1899" s="109" t="s">
        <v>120</v>
      </c>
      <c r="H1899" s="109">
        <v>49</v>
      </c>
      <c r="I1899" s="109" t="s">
        <v>122</v>
      </c>
      <c r="J1899" s="110" t="s">
        <v>122</v>
      </c>
    </row>
    <row r="1900" spans="1:10" s="119" customFormat="1">
      <c r="A1900" s="123" t="s">
        <v>120</v>
      </c>
      <c r="B1900" s="273" t="s">
        <v>3450</v>
      </c>
      <c r="C1900" s="274"/>
      <c r="D1900" s="274"/>
      <c r="E1900" s="274"/>
      <c r="F1900" s="274"/>
      <c r="G1900" s="274"/>
      <c r="H1900" s="274"/>
      <c r="I1900" s="274"/>
      <c r="J1900" s="274"/>
    </row>
    <row r="1901" spans="1:10" s="119" customFormat="1">
      <c r="A1901" s="123" t="s">
        <v>120</v>
      </c>
      <c r="B1901" s="275" t="s">
        <v>2880</v>
      </c>
      <c r="C1901" s="276"/>
      <c r="D1901" s="276"/>
      <c r="E1901" s="276"/>
      <c r="F1901" s="276"/>
      <c r="G1901" s="276"/>
      <c r="H1901" s="276"/>
      <c r="I1901" s="276"/>
      <c r="J1901" s="276"/>
    </row>
    <row r="1902" spans="1:10">
      <c r="A1902" s="103" t="s">
        <v>3451</v>
      </c>
      <c r="B1902" s="124" t="s">
        <v>3452</v>
      </c>
      <c r="C1902" s="110">
        <v>1344</v>
      </c>
      <c r="D1902" s="109" t="s">
        <v>120</v>
      </c>
      <c r="E1902" s="109">
        <v>13</v>
      </c>
      <c r="F1902" s="110">
        <v>16416</v>
      </c>
      <c r="G1902" s="109" t="s">
        <v>120</v>
      </c>
      <c r="H1902" s="109">
        <v>1221</v>
      </c>
      <c r="I1902" s="109">
        <v>2297</v>
      </c>
      <c r="J1902" s="110">
        <v>455</v>
      </c>
    </row>
    <row r="1903" spans="1:10">
      <c r="A1903" s="103" t="s">
        <v>3453</v>
      </c>
      <c r="B1903" s="124" t="s">
        <v>3454</v>
      </c>
      <c r="C1903" s="110">
        <v>1013</v>
      </c>
      <c r="D1903" s="109" t="s">
        <v>120</v>
      </c>
      <c r="E1903" s="109">
        <v>10</v>
      </c>
      <c r="F1903" s="110">
        <v>3844</v>
      </c>
      <c r="G1903" s="109" t="s">
        <v>120</v>
      </c>
      <c r="H1903" s="109">
        <v>379</v>
      </c>
      <c r="I1903" s="109">
        <v>2322</v>
      </c>
      <c r="J1903" s="110">
        <v>2032</v>
      </c>
    </row>
    <row r="1904" spans="1:10" s="119" customFormat="1">
      <c r="A1904" s="123" t="s">
        <v>120</v>
      </c>
      <c r="B1904" s="275" t="s">
        <v>943</v>
      </c>
      <c r="C1904" s="276"/>
      <c r="D1904" s="276"/>
      <c r="E1904" s="276"/>
      <c r="F1904" s="276"/>
      <c r="G1904" s="276"/>
      <c r="H1904" s="276"/>
      <c r="I1904" s="276"/>
      <c r="J1904" s="276"/>
    </row>
    <row r="1905" spans="1:10">
      <c r="A1905" s="103" t="s">
        <v>3455</v>
      </c>
      <c r="B1905" s="124" t="s">
        <v>2094</v>
      </c>
      <c r="C1905" s="110">
        <v>7534</v>
      </c>
      <c r="D1905" s="109" t="s">
        <v>120</v>
      </c>
      <c r="E1905" s="109">
        <v>76</v>
      </c>
      <c r="F1905" s="110">
        <v>5340</v>
      </c>
      <c r="G1905" s="109" t="s">
        <v>120</v>
      </c>
      <c r="H1905" s="109">
        <v>71</v>
      </c>
      <c r="I1905" s="109">
        <v>1768</v>
      </c>
      <c r="J1905" s="110">
        <v>1653</v>
      </c>
    </row>
    <row r="1906" spans="1:10">
      <c r="A1906" s="103" t="s">
        <v>3456</v>
      </c>
      <c r="B1906" s="124" t="s">
        <v>3457</v>
      </c>
      <c r="C1906" s="110">
        <v>5530</v>
      </c>
      <c r="D1906" s="109" t="s">
        <v>120</v>
      </c>
      <c r="E1906" s="109">
        <v>55</v>
      </c>
      <c r="F1906" s="110">
        <v>12471</v>
      </c>
      <c r="G1906" s="109" t="s">
        <v>120</v>
      </c>
      <c r="H1906" s="109">
        <v>226</v>
      </c>
      <c r="I1906" s="109">
        <v>1983</v>
      </c>
      <c r="J1906" s="110">
        <v>666</v>
      </c>
    </row>
    <row r="1907" spans="1:10">
      <c r="A1907" s="103" t="s">
        <v>3458</v>
      </c>
      <c r="B1907" s="124" t="s">
        <v>3459</v>
      </c>
      <c r="C1907" s="110">
        <v>10543</v>
      </c>
      <c r="D1907" s="109" t="s">
        <v>120</v>
      </c>
      <c r="E1907" s="109">
        <v>106</v>
      </c>
      <c r="F1907" s="110">
        <v>8985</v>
      </c>
      <c r="G1907" s="109" t="s">
        <v>120</v>
      </c>
      <c r="H1907" s="109">
        <v>85</v>
      </c>
      <c r="I1907" s="109">
        <v>1296</v>
      </c>
      <c r="J1907" s="110">
        <v>986</v>
      </c>
    </row>
    <row r="1908" spans="1:10" s="119" customFormat="1">
      <c r="A1908" s="123" t="s">
        <v>120</v>
      </c>
      <c r="B1908" s="275" t="s">
        <v>929</v>
      </c>
      <c r="C1908" s="276"/>
      <c r="D1908" s="276"/>
      <c r="E1908" s="276"/>
      <c r="F1908" s="276"/>
      <c r="G1908" s="276"/>
      <c r="H1908" s="276"/>
      <c r="I1908" s="276"/>
      <c r="J1908" s="276"/>
    </row>
    <row r="1909" spans="1:10">
      <c r="A1909" s="103" t="s">
        <v>3460</v>
      </c>
      <c r="B1909" s="124" t="s">
        <v>3461</v>
      </c>
      <c r="C1909" s="110">
        <v>10740</v>
      </c>
      <c r="D1909" s="109" t="s">
        <v>120</v>
      </c>
      <c r="E1909" s="109">
        <v>107</v>
      </c>
      <c r="F1909" s="110">
        <v>48907</v>
      </c>
      <c r="G1909" s="109" t="s">
        <v>120</v>
      </c>
      <c r="H1909" s="109">
        <v>455</v>
      </c>
      <c r="I1909" s="109">
        <v>1267</v>
      </c>
      <c r="J1909" s="110">
        <v>94</v>
      </c>
    </row>
    <row r="1910" spans="1:10">
      <c r="A1910" s="103" t="s">
        <v>3462</v>
      </c>
      <c r="B1910" s="124" t="s">
        <v>932</v>
      </c>
      <c r="C1910" s="110">
        <v>1319</v>
      </c>
      <c r="D1910" s="109" t="s">
        <v>120</v>
      </c>
      <c r="E1910" s="109">
        <v>14</v>
      </c>
      <c r="F1910" s="110">
        <v>32125</v>
      </c>
      <c r="G1910" s="109" t="s">
        <v>120</v>
      </c>
      <c r="H1910" s="109">
        <v>2436</v>
      </c>
      <c r="I1910" s="109" t="s">
        <v>122</v>
      </c>
      <c r="J1910" s="110" t="s">
        <v>122</v>
      </c>
    </row>
    <row r="1911" spans="1:10">
      <c r="A1911" s="103" t="s">
        <v>3463</v>
      </c>
      <c r="B1911" s="124" t="s">
        <v>934</v>
      </c>
      <c r="C1911" s="110">
        <v>9421</v>
      </c>
      <c r="D1911" s="109" t="s">
        <v>120</v>
      </c>
      <c r="E1911" s="109">
        <v>93</v>
      </c>
      <c r="F1911" s="110">
        <v>16782</v>
      </c>
      <c r="G1911" s="109" t="s">
        <v>120</v>
      </c>
      <c r="H1911" s="109">
        <v>178</v>
      </c>
      <c r="I1911" s="109" t="s">
        <v>122</v>
      </c>
      <c r="J1911" s="110" t="s">
        <v>122</v>
      </c>
    </row>
    <row r="1912" spans="1:10" s="119" customFormat="1">
      <c r="A1912" s="123" t="s">
        <v>120</v>
      </c>
      <c r="B1912" s="273" t="s">
        <v>3464</v>
      </c>
      <c r="C1912" s="274"/>
      <c r="D1912" s="274"/>
      <c r="E1912" s="274"/>
      <c r="F1912" s="274"/>
      <c r="G1912" s="274"/>
      <c r="H1912" s="274"/>
      <c r="I1912" s="274"/>
      <c r="J1912" s="274"/>
    </row>
    <row r="1913" spans="1:10" s="119" customFormat="1">
      <c r="A1913" s="123" t="s">
        <v>120</v>
      </c>
      <c r="B1913" s="275" t="s">
        <v>943</v>
      </c>
      <c r="C1913" s="276"/>
      <c r="D1913" s="276"/>
      <c r="E1913" s="276"/>
      <c r="F1913" s="276"/>
      <c r="G1913" s="276"/>
      <c r="H1913" s="276"/>
      <c r="I1913" s="276"/>
      <c r="J1913" s="276"/>
    </row>
    <row r="1914" spans="1:10">
      <c r="A1914" s="103" t="s">
        <v>3465</v>
      </c>
      <c r="B1914" s="124" t="s">
        <v>3466</v>
      </c>
      <c r="C1914" s="110">
        <v>10751</v>
      </c>
      <c r="D1914" s="109" t="s">
        <v>120</v>
      </c>
      <c r="E1914" s="109">
        <v>108</v>
      </c>
      <c r="F1914" s="110">
        <v>6475</v>
      </c>
      <c r="G1914" s="109" t="s">
        <v>120</v>
      </c>
      <c r="H1914" s="109">
        <v>60</v>
      </c>
      <c r="I1914" s="109">
        <v>1264</v>
      </c>
      <c r="J1914" s="110">
        <v>1406</v>
      </c>
    </row>
    <row r="1915" spans="1:10">
      <c r="A1915" s="103" t="s">
        <v>3467</v>
      </c>
      <c r="B1915" s="124" t="s">
        <v>3468</v>
      </c>
      <c r="C1915" s="110">
        <v>13405</v>
      </c>
      <c r="D1915" s="109" t="s">
        <v>120</v>
      </c>
      <c r="E1915" s="109">
        <v>134</v>
      </c>
      <c r="F1915" s="110">
        <v>7415</v>
      </c>
      <c r="G1915" s="109" t="s">
        <v>120</v>
      </c>
      <c r="H1915" s="109">
        <v>55</v>
      </c>
      <c r="I1915" s="109">
        <v>853</v>
      </c>
      <c r="J1915" s="110">
        <v>1222</v>
      </c>
    </row>
    <row r="1916" spans="1:10">
      <c r="A1916" s="103" t="s">
        <v>3469</v>
      </c>
      <c r="B1916" s="124" t="s">
        <v>3470</v>
      </c>
      <c r="C1916" s="110">
        <v>13499</v>
      </c>
      <c r="D1916" s="109" t="s">
        <v>120</v>
      </c>
      <c r="E1916" s="109">
        <v>135</v>
      </c>
      <c r="F1916" s="110">
        <v>9846</v>
      </c>
      <c r="G1916" s="109" t="s">
        <v>120</v>
      </c>
      <c r="H1916" s="109">
        <v>73</v>
      </c>
      <c r="I1916" s="109">
        <v>837</v>
      </c>
      <c r="J1916" s="110">
        <v>889</v>
      </c>
    </row>
    <row r="1917" spans="1:10">
      <c r="A1917" s="103" t="s">
        <v>3471</v>
      </c>
      <c r="B1917" s="124" t="s">
        <v>3472</v>
      </c>
      <c r="C1917" s="110">
        <v>5750</v>
      </c>
      <c r="D1917" s="109" t="s">
        <v>120</v>
      </c>
      <c r="E1917" s="109">
        <v>58</v>
      </c>
      <c r="F1917" s="110">
        <v>2971</v>
      </c>
      <c r="G1917" s="109" t="s">
        <v>120</v>
      </c>
      <c r="H1917" s="109">
        <v>52</v>
      </c>
      <c r="I1917" s="109">
        <v>1962</v>
      </c>
      <c r="J1917" s="110">
        <v>2202</v>
      </c>
    </row>
    <row r="1918" spans="1:10">
      <c r="A1918" s="103" t="s">
        <v>3473</v>
      </c>
      <c r="B1918" s="124" t="s">
        <v>3474</v>
      </c>
      <c r="C1918" s="110">
        <v>10824</v>
      </c>
      <c r="D1918" s="109" t="s">
        <v>120</v>
      </c>
      <c r="E1918" s="109">
        <v>108</v>
      </c>
      <c r="F1918" s="110">
        <v>5376</v>
      </c>
      <c r="G1918" s="109" t="s">
        <v>120</v>
      </c>
      <c r="H1918" s="109">
        <v>50</v>
      </c>
      <c r="I1918" s="109">
        <v>1254</v>
      </c>
      <c r="J1918" s="110">
        <v>1642</v>
      </c>
    </row>
    <row r="1919" spans="1:10">
      <c r="A1919" s="103" t="s">
        <v>3475</v>
      </c>
      <c r="B1919" s="124" t="s">
        <v>3476</v>
      </c>
      <c r="C1919" s="110">
        <v>10232</v>
      </c>
      <c r="D1919" s="109" t="s">
        <v>120</v>
      </c>
      <c r="E1919" s="109">
        <v>102</v>
      </c>
      <c r="F1919" s="110">
        <v>4797</v>
      </c>
      <c r="G1919" s="109" t="s">
        <v>120</v>
      </c>
      <c r="H1919" s="109">
        <v>47</v>
      </c>
      <c r="I1919" s="109">
        <v>1349</v>
      </c>
      <c r="J1919" s="110">
        <v>1795</v>
      </c>
    </row>
    <row r="1920" spans="1:10" s="119" customFormat="1">
      <c r="A1920" s="123" t="s">
        <v>120</v>
      </c>
      <c r="B1920" s="275" t="s">
        <v>947</v>
      </c>
      <c r="C1920" s="276"/>
      <c r="D1920" s="276"/>
      <c r="E1920" s="276"/>
      <c r="F1920" s="276"/>
      <c r="G1920" s="276"/>
      <c r="H1920" s="276"/>
      <c r="I1920" s="276"/>
      <c r="J1920" s="276"/>
    </row>
    <row r="1921" spans="1:10">
      <c r="A1921" s="103" t="s">
        <v>3477</v>
      </c>
      <c r="B1921" s="124" t="s">
        <v>3478</v>
      </c>
      <c r="C1921" s="110">
        <v>12135</v>
      </c>
      <c r="D1921" s="109" t="s">
        <v>120</v>
      </c>
      <c r="E1921" s="109">
        <v>121</v>
      </c>
      <c r="F1921" s="110">
        <v>25855</v>
      </c>
      <c r="G1921" s="109" t="s">
        <v>120</v>
      </c>
      <c r="H1921" s="109">
        <v>213</v>
      </c>
      <c r="I1921" s="109">
        <v>1036</v>
      </c>
      <c r="J1921" s="110">
        <v>234</v>
      </c>
    </row>
    <row r="1922" spans="1:10">
      <c r="A1922" s="103" t="s">
        <v>3479</v>
      </c>
      <c r="B1922" s="124" t="s">
        <v>932</v>
      </c>
      <c r="C1922" s="110">
        <v>857</v>
      </c>
      <c r="D1922" s="109" t="s">
        <v>120</v>
      </c>
      <c r="E1922" s="109">
        <v>8</v>
      </c>
      <c r="F1922" s="110">
        <v>16758</v>
      </c>
      <c r="G1922" s="109" t="s">
        <v>120</v>
      </c>
      <c r="H1922" s="109">
        <v>1955</v>
      </c>
      <c r="I1922" s="109" t="s">
        <v>122</v>
      </c>
      <c r="J1922" s="110" t="s">
        <v>122</v>
      </c>
    </row>
    <row r="1923" spans="1:10">
      <c r="A1923" s="103" t="s">
        <v>3480</v>
      </c>
      <c r="B1923" s="124" t="s">
        <v>934</v>
      </c>
      <c r="C1923" s="110">
        <v>11278</v>
      </c>
      <c r="D1923" s="109" t="s">
        <v>120</v>
      </c>
      <c r="E1923" s="109">
        <v>113</v>
      </c>
      <c r="F1923" s="110">
        <v>9097</v>
      </c>
      <c r="G1923" s="109" t="s">
        <v>120</v>
      </c>
      <c r="H1923" s="109">
        <v>81</v>
      </c>
      <c r="I1923" s="109" t="s">
        <v>122</v>
      </c>
      <c r="J1923" s="110" t="s">
        <v>122</v>
      </c>
    </row>
    <row r="1924" spans="1:10">
      <c r="A1924" s="103" t="s">
        <v>3481</v>
      </c>
      <c r="B1924" s="124" t="s">
        <v>3482</v>
      </c>
      <c r="C1924" s="110">
        <v>14099</v>
      </c>
      <c r="D1924" s="109" t="s">
        <v>120</v>
      </c>
      <c r="E1924" s="109">
        <v>141</v>
      </c>
      <c r="F1924" s="110">
        <v>8682</v>
      </c>
      <c r="G1924" s="109" t="s">
        <v>120</v>
      </c>
      <c r="H1924" s="109">
        <v>62</v>
      </c>
      <c r="I1924" s="109">
        <v>774</v>
      </c>
      <c r="J1924" s="110">
        <v>1026</v>
      </c>
    </row>
    <row r="1925" spans="1:10">
      <c r="A1925" s="103" t="s">
        <v>3483</v>
      </c>
      <c r="B1925" s="124" t="s">
        <v>932</v>
      </c>
      <c r="C1925" s="110">
        <v>1298</v>
      </c>
      <c r="D1925" s="109" t="s">
        <v>120</v>
      </c>
      <c r="E1925" s="109">
        <v>13</v>
      </c>
      <c r="F1925" s="110">
        <v>2237</v>
      </c>
      <c r="G1925" s="109" t="s">
        <v>120</v>
      </c>
      <c r="H1925" s="109">
        <v>172</v>
      </c>
      <c r="I1925" s="109" t="s">
        <v>122</v>
      </c>
      <c r="J1925" s="110" t="s">
        <v>122</v>
      </c>
    </row>
    <row r="1926" spans="1:10">
      <c r="A1926" s="103" t="s">
        <v>3484</v>
      </c>
      <c r="B1926" s="124" t="s">
        <v>934</v>
      </c>
      <c r="C1926" s="110">
        <v>12801</v>
      </c>
      <c r="D1926" s="109" t="s">
        <v>120</v>
      </c>
      <c r="E1926" s="109">
        <v>128</v>
      </c>
      <c r="F1926" s="110">
        <v>6445</v>
      </c>
      <c r="G1926" s="109" t="s">
        <v>120</v>
      </c>
      <c r="H1926" s="109">
        <v>50</v>
      </c>
      <c r="I1926" s="109" t="s">
        <v>122</v>
      </c>
      <c r="J1926" s="110" t="s">
        <v>122</v>
      </c>
    </row>
    <row r="1927" spans="1:10">
      <c r="A1927" s="103" t="s">
        <v>3485</v>
      </c>
      <c r="B1927" s="124" t="s">
        <v>3486</v>
      </c>
      <c r="C1927" s="110">
        <v>15851</v>
      </c>
      <c r="D1927" s="109" t="s">
        <v>120</v>
      </c>
      <c r="E1927" s="109">
        <v>159</v>
      </c>
      <c r="F1927" s="110">
        <v>7668</v>
      </c>
      <c r="G1927" s="109" t="s">
        <v>120</v>
      </c>
      <c r="H1927" s="109">
        <v>48</v>
      </c>
      <c r="I1927" s="109">
        <v>611</v>
      </c>
      <c r="J1927" s="110">
        <v>1174</v>
      </c>
    </row>
    <row r="1928" spans="1:10">
      <c r="A1928" s="103" t="s">
        <v>3487</v>
      </c>
      <c r="B1928" s="124" t="s">
        <v>932</v>
      </c>
      <c r="C1928" s="110">
        <v>1125</v>
      </c>
      <c r="D1928" s="109" t="s">
        <v>120</v>
      </c>
      <c r="E1928" s="109">
        <v>11</v>
      </c>
      <c r="F1928" s="110">
        <v>3717</v>
      </c>
      <c r="G1928" s="109" t="s">
        <v>120</v>
      </c>
      <c r="H1928" s="109">
        <v>330</v>
      </c>
      <c r="I1928" s="109" t="s">
        <v>122</v>
      </c>
      <c r="J1928" s="110" t="s">
        <v>122</v>
      </c>
    </row>
    <row r="1929" spans="1:10">
      <c r="A1929" s="103" t="s">
        <v>3488</v>
      </c>
      <c r="B1929" s="124" t="s">
        <v>934</v>
      </c>
      <c r="C1929" s="110">
        <v>14726</v>
      </c>
      <c r="D1929" s="109" t="s">
        <v>120</v>
      </c>
      <c r="E1929" s="109">
        <v>148</v>
      </c>
      <c r="F1929" s="110">
        <v>3951</v>
      </c>
      <c r="G1929" s="109" t="s">
        <v>120</v>
      </c>
      <c r="H1929" s="109">
        <v>27</v>
      </c>
      <c r="I1929" s="109" t="s">
        <v>122</v>
      </c>
      <c r="J1929" s="110" t="s">
        <v>122</v>
      </c>
    </row>
    <row r="1930" spans="1:10">
      <c r="A1930" s="103" t="s">
        <v>3489</v>
      </c>
      <c r="B1930" s="124" t="s">
        <v>3490</v>
      </c>
      <c r="C1930" s="110">
        <v>20227</v>
      </c>
      <c r="D1930" s="109" t="s">
        <v>120</v>
      </c>
      <c r="E1930" s="109">
        <v>202</v>
      </c>
      <c r="F1930" s="110">
        <v>19226</v>
      </c>
      <c r="G1930" s="109" t="s">
        <v>120</v>
      </c>
      <c r="H1930" s="109">
        <v>95</v>
      </c>
      <c r="I1930" s="109">
        <v>334</v>
      </c>
      <c r="J1930" s="110">
        <v>364</v>
      </c>
    </row>
    <row r="1931" spans="1:10">
      <c r="A1931" s="103" t="s">
        <v>3491</v>
      </c>
      <c r="B1931" s="124" t="s">
        <v>932</v>
      </c>
      <c r="C1931" s="110">
        <v>2677</v>
      </c>
      <c r="D1931" s="109" t="s">
        <v>120</v>
      </c>
      <c r="E1931" s="109">
        <v>27</v>
      </c>
      <c r="F1931" s="110">
        <v>11952</v>
      </c>
      <c r="G1931" s="109" t="s">
        <v>120</v>
      </c>
      <c r="H1931" s="109">
        <v>446</v>
      </c>
      <c r="I1931" s="109" t="s">
        <v>122</v>
      </c>
      <c r="J1931" s="110" t="s">
        <v>122</v>
      </c>
    </row>
    <row r="1932" spans="1:10">
      <c r="A1932" s="103" t="s">
        <v>3492</v>
      </c>
      <c r="B1932" s="124" t="s">
        <v>934</v>
      </c>
      <c r="C1932" s="110">
        <v>17550</v>
      </c>
      <c r="D1932" s="109" t="s">
        <v>120</v>
      </c>
      <c r="E1932" s="109">
        <v>175</v>
      </c>
      <c r="F1932" s="110">
        <v>7274</v>
      </c>
      <c r="G1932" s="109" t="s">
        <v>120</v>
      </c>
      <c r="H1932" s="109">
        <v>41</v>
      </c>
      <c r="I1932" s="109" t="s">
        <v>122</v>
      </c>
      <c r="J1932" s="110" t="s">
        <v>122</v>
      </c>
    </row>
    <row r="1933" spans="1:10" s="119" customFormat="1">
      <c r="A1933" s="123" t="s">
        <v>120</v>
      </c>
      <c r="B1933" s="273" t="s">
        <v>3493</v>
      </c>
      <c r="C1933" s="274"/>
      <c r="D1933" s="274"/>
      <c r="E1933" s="274"/>
      <c r="F1933" s="274"/>
      <c r="G1933" s="274"/>
      <c r="H1933" s="274"/>
      <c r="I1933" s="274"/>
      <c r="J1933" s="274"/>
    </row>
    <row r="1934" spans="1:10" s="119" customFormat="1">
      <c r="A1934" s="123" t="s">
        <v>120</v>
      </c>
      <c r="B1934" s="275" t="s">
        <v>1022</v>
      </c>
      <c r="C1934" s="276"/>
      <c r="D1934" s="276"/>
      <c r="E1934" s="276"/>
      <c r="F1934" s="276"/>
      <c r="G1934" s="276"/>
      <c r="H1934" s="276"/>
      <c r="I1934" s="276"/>
      <c r="J1934" s="276"/>
    </row>
    <row r="1935" spans="1:10">
      <c r="A1935" s="103" t="s">
        <v>3494</v>
      </c>
      <c r="B1935" s="124" t="s">
        <v>3495</v>
      </c>
      <c r="C1935" s="110">
        <v>7383</v>
      </c>
      <c r="D1935" s="109" t="s">
        <v>120</v>
      </c>
      <c r="E1935" s="109">
        <v>74</v>
      </c>
      <c r="F1935" s="110">
        <v>5001</v>
      </c>
      <c r="G1935" s="109" t="s">
        <v>120</v>
      </c>
      <c r="H1935" s="109">
        <v>68</v>
      </c>
      <c r="I1935" s="109">
        <v>1794</v>
      </c>
      <c r="J1935" s="110">
        <v>1742</v>
      </c>
    </row>
    <row r="1936" spans="1:10">
      <c r="A1936" s="103" t="s">
        <v>3496</v>
      </c>
      <c r="B1936" s="124" t="s">
        <v>3497</v>
      </c>
      <c r="C1936" s="110">
        <v>18584</v>
      </c>
      <c r="D1936" s="109" t="s">
        <v>120</v>
      </c>
      <c r="E1936" s="109">
        <v>186</v>
      </c>
      <c r="F1936" s="110">
        <v>7166</v>
      </c>
      <c r="G1936" s="109" t="s">
        <v>120</v>
      </c>
      <c r="H1936" s="109">
        <v>39</v>
      </c>
      <c r="I1936" s="109">
        <v>416</v>
      </c>
      <c r="J1936" s="110">
        <v>1264</v>
      </c>
    </row>
    <row r="1937" spans="1:10">
      <c r="A1937" s="103" t="s">
        <v>3498</v>
      </c>
      <c r="B1937" s="124" t="s">
        <v>3499</v>
      </c>
      <c r="C1937" s="110">
        <v>8410</v>
      </c>
      <c r="D1937" s="109" t="s">
        <v>120</v>
      </c>
      <c r="E1937" s="109">
        <v>84</v>
      </c>
      <c r="F1937" s="110">
        <v>3878</v>
      </c>
      <c r="G1937" s="109" t="s">
        <v>120</v>
      </c>
      <c r="H1937" s="109">
        <v>46</v>
      </c>
      <c r="I1937" s="109">
        <v>1638</v>
      </c>
      <c r="J1937" s="110">
        <v>2024</v>
      </c>
    </row>
    <row r="1938" spans="1:10">
      <c r="A1938" s="103" t="s">
        <v>3500</v>
      </c>
      <c r="B1938" s="124" t="s">
        <v>3501</v>
      </c>
      <c r="C1938" s="110">
        <v>12472</v>
      </c>
      <c r="D1938" s="109" t="s">
        <v>120</v>
      </c>
      <c r="E1938" s="109">
        <v>125</v>
      </c>
      <c r="F1938" s="110">
        <v>3899</v>
      </c>
      <c r="G1938" s="109" t="s">
        <v>120</v>
      </c>
      <c r="H1938" s="109">
        <v>31</v>
      </c>
      <c r="I1938" s="109">
        <v>983</v>
      </c>
      <c r="J1938" s="110">
        <v>2013</v>
      </c>
    </row>
    <row r="1939" spans="1:10">
      <c r="A1939" s="103" t="s">
        <v>3502</v>
      </c>
      <c r="B1939" s="124" t="s">
        <v>3503</v>
      </c>
      <c r="C1939" s="110">
        <v>14106</v>
      </c>
      <c r="D1939" s="109" t="s">
        <v>120</v>
      </c>
      <c r="E1939" s="109">
        <v>141</v>
      </c>
      <c r="F1939" s="110">
        <v>6742</v>
      </c>
      <c r="G1939" s="109" t="s">
        <v>120</v>
      </c>
      <c r="H1939" s="109">
        <v>48</v>
      </c>
      <c r="I1939" s="109">
        <v>770</v>
      </c>
      <c r="J1939" s="110">
        <v>1354</v>
      </c>
    </row>
    <row r="1940" spans="1:10">
      <c r="A1940" s="103" t="s">
        <v>3504</v>
      </c>
      <c r="B1940" s="124" t="s">
        <v>3505</v>
      </c>
      <c r="C1940" s="110">
        <v>6252</v>
      </c>
      <c r="D1940" s="109" t="s">
        <v>120</v>
      </c>
      <c r="E1940" s="109">
        <v>62</v>
      </c>
      <c r="F1940" s="110">
        <v>3890</v>
      </c>
      <c r="G1940" s="109" t="s">
        <v>120</v>
      </c>
      <c r="H1940" s="109">
        <v>62</v>
      </c>
      <c r="I1940" s="109">
        <v>1929</v>
      </c>
      <c r="J1940" s="110">
        <v>2017</v>
      </c>
    </row>
    <row r="1941" spans="1:10" s="119" customFormat="1">
      <c r="A1941" s="123" t="s">
        <v>120</v>
      </c>
      <c r="B1941" s="275" t="s">
        <v>929</v>
      </c>
      <c r="C1941" s="276"/>
      <c r="D1941" s="276"/>
      <c r="E1941" s="276"/>
      <c r="F1941" s="276"/>
      <c r="G1941" s="276"/>
      <c r="H1941" s="276"/>
      <c r="I1941" s="276"/>
      <c r="J1941" s="276"/>
    </row>
    <row r="1942" spans="1:10">
      <c r="A1942" s="103" t="s">
        <v>3506</v>
      </c>
      <c r="B1942" s="124" t="s">
        <v>3507</v>
      </c>
      <c r="C1942" s="110">
        <v>24403</v>
      </c>
      <c r="D1942" s="109" t="s">
        <v>120</v>
      </c>
      <c r="E1942" s="109">
        <v>244</v>
      </c>
      <c r="F1942" s="110">
        <v>29421</v>
      </c>
      <c r="G1942" s="109" t="s">
        <v>120</v>
      </c>
      <c r="H1942" s="109">
        <v>121</v>
      </c>
      <c r="I1942" s="109">
        <v>193</v>
      </c>
      <c r="J1942" s="110">
        <v>196</v>
      </c>
    </row>
    <row r="1943" spans="1:10">
      <c r="A1943" s="103" t="s">
        <v>3508</v>
      </c>
      <c r="B1943" s="124" t="s">
        <v>932</v>
      </c>
      <c r="C1943" s="110">
        <v>1045</v>
      </c>
      <c r="D1943" s="109" t="s">
        <v>120</v>
      </c>
      <c r="E1943" s="109">
        <v>10</v>
      </c>
      <c r="F1943" s="110">
        <v>17072</v>
      </c>
      <c r="G1943" s="109" t="s">
        <v>120</v>
      </c>
      <c r="H1943" s="109">
        <v>1634</v>
      </c>
      <c r="I1943" s="109" t="s">
        <v>122</v>
      </c>
      <c r="J1943" s="110" t="s">
        <v>122</v>
      </c>
    </row>
    <row r="1944" spans="1:10">
      <c r="A1944" s="103" t="s">
        <v>3509</v>
      </c>
      <c r="B1944" s="124" t="s">
        <v>934</v>
      </c>
      <c r="C1944" s="110">
        <v>23358</v>
      </c>
      <c r="D1944" s="109" t="s">
        <v>120</v>
      </c>
      <c r="E1944" s="109">
        <v>234</v>
      </c>
      <c r="F1944" s="110">
        <v>12349</v>
      </c>
      <c r="G1944" s="109" t="s">
        <v>120</v>
      </c>
      <c r="H1944" s="109">
        <v>53</v>
      </c>
      <c r="I1944" s="109" t="s">
        <v>122</v>
      </c>
      <c r="J1944" s="110" t="s">
        <v>122</v>
      </c>
    </row>
    <row r="1945" spans="1:10" s="119" customFormat="1">
      <c r="A1945" s="123" t="s">
        <v>120</v>
      </c>
      <c r="B1945" s="273" t="s">
        <v>3510</v>
      </c>
      <c r="C1945" s="274"/>
      <c r="D1945" s="274"/>
      <c r="E1945" s="274"/>
      <c r="F1945" s="274"/>
      <c r="G1945" s="274"/>
      <c r="H1945" s="274"/>
      <c r="I1945" s="274"/>
      <c r="J1945" s="274"/>
    </row>
    <row r="1946" spans="1:10" s="119" customFormat="1">
      <c r="A1946" s="123" t="s">
        <v>120</v>
      </c>
      <c r="B1946" s="275" t="s">
        <v>1019</v>
      </c>
      <c r="C1946" s="276"/>
      <c r="D1946" s="276"/>
      <c r="E1946" s="276"/>
      <c r="F1946" s="276"/>
      <c r="G1946" s="276"/>
      <c r="H1946" s="276"/>
      <c r="I1946" s="276"/>
      <c r="J1946" s="276"/>
    </row>
    <row r="1947" spans="1:10">
      <c r="A1947" s="103" t="s">
        <v>3511</v>
      </c>
      <c r="B1947" s="124" t="s">
        <v>3512</v>
      </c>
      <c r="C1947" s="110">
        <v>1354</v>
      </c>
      <c r="D1947" s="109" t="s">
        <v>120</v>
      </c>
      <c r="E1947" s="109">
        <v>14</v>
      </c>
      <c r="F1947" s="110">
        <v>53886</v>
      </c>
      <c r="G1947" s="109" t="s">
        <v>120</v>
      </c>
      <c r="H1947" s="109">
        <v>3980</v>
      </c>
      <c r="I1947" s="109">
        <v>2295</v>
      </c>
      <c r="J1947" s="110">
        <v>85</v>
      </c>
    </row>
    <row r="1948" spans="1:10" s="119" customFormat="1">
      <c r="A1948" s="123" t="s">
        <v>120</v>
      </c>
      <c r="B1948" s="275" t="s">
        <v>1022</v>
      </c>
      <c r="C1948" s="276"/>
      <c r="D1948" s="276"/>
      <c r="E1948" s="276"/>
      <c r="F1948" s="276"/>
      <c r="G1948" s="276"/>
      <c r="H1948" s="276"/>
      <c r="I1948" s="276"/>
      <c r="J1948" s="276"/>
    </row>
    <row r="1949" spans="1:10">
      <c r="A1949" s="103" t="s">
        <v>3513</v>
      </c>
      <c r="B1949" s="124" t="s">
        <v>1987</v>
      </c>
      <c r="C1949" s="110">
        <v>6480</v>
      </c>
      <c r="D1949" s="109" t="s">
        <v>120</v>
      </c>
      <c r="E1949" s="109">
        <v>65</v>
      </c>
      <c r="F1949" s="110">
        <v>19659</v>
      </c>
      <c r="G1949" s="109" t="s">
        <v>120</v>
      </c>
      <c r="H1949" s="109">
        <v>303</v>
      </c>
      <c r="I1949" s="109">
        <v>1904</v>
      </c>
      <c r="J1949" s="110">
        <v>352</v>
      </c>
    </row>
    <row r="1950" spans="1:10">
      <c r="A1950" s="103" t="s">
        <v>3514</v>
      </c>
      <c r="B1950" s="124" t="s">
        <v>3515</v>
      </c>
      <c r="C1950" s="110">
        <v>9604</v>
      </c>
      <c r="D1950" s="109" t="s">
        <v>120</v>
      </c>
      <c r="E1950" s="109">
        <v>96</v>
      </c>
      <c r="F1950" s="110">
        <v>14687</v>
      </c>
      <c r="G1950" s="109" t="s">
        <v>120</v>
      </c>
      <c r="H1950" s="109">
        <v>153</v>
      </c>
      <c r="I1950" s="109">
        <v>1449</v>
      </c>
      <c r="J1950" s="110">
        <v>532</v>
      </c>
    </row>
    <row r="1951" spans="1:10">
      <c r="A1951" s="103" t="s">
        <v>3516</v>
      </c>
      <c r="B1951" s="124" t="s">
        <v>3517</v>
      </c>
      <c r="C1951" s="110">
        <v>10609</v>
      </c>
      <c r="D1951" s="109" t="s">
        <v>120</v>
      </c>
      <c r="E1951" s="109">
        <v>106</v>
      </c>
      <c r="F1951" s="110">
        <v>15228</v>
      </c>
      <c r="G1951" s="109" t="s">
        <v>120</v>
      </c>
      <c r="H1951" s="109">
        <v>144</v>
      </c>
      <c r="I1951" s="109">
        <v>1288</v>
      </c>
      <c r="J1951" s="110">
        <v>507</v>
      </c>
    </row>
    <row r="1952" spans="1:10" s="119" customFormat="1">
      <c r="A1952" s="123" t="s">
        <v>120</v>
      </c>
      <c r="B1952" s="275" t="s">
        <v>2572</v>
      </c>
      <c r="C1952" s="276"/>
      <c r="D1952" s="276"/>
      <c r="E1952" s="276"/>
      <c r="F1952" s="276"/>
      <c r="G1952" s="276"/>
      <c r="H1952" s="276"/>
      <c r="I1952" s="276"/>
      <c r="J1952" s="276"/>
    </row>
    <row r="1953" spans="1:10">
      <c r="A1953" s="103" t="s">
        <v>3518</v>
      </c>
      <c r="B1953" s="124" t="s">
        <v>3519</v>
      </c>
      <c r="C1953" s="110">
        <v>11029</v>
      </c>
      <c r="D1953" s="109" t="s">
        <v>120</v>
      </c>
      <c r="E1953" s="109">
        <v>110</v>
      </c>
      <c r="F1953" s="110">
        <v>15125</v>
      </c>
      <c r="G1953" s="109" t="s">
        <v>120</v>
      </c>
      <c r="H1953" s="109">
        <v>137</v>
      </c>
      <c r="I1953" s="109">
        <v>1219</v>
      </c>
      <c r="J1953" s="110">
        <v>512</v>
      </c>
    </row>
    <row r="1954" spans="1:10">
      <c r="A1954" s="103" t="s">
        <v>3520</v>
      </c>
      <c r="B1954" s="124" t="s">
        <v>932</v>
      </c>
      <c r="C1954" s="110">
        <v>1343</v>
      </c>
      <c r="D1954" s="109" t="s">
        <v>120</v>
      </c>
      <c r="E1954" s="109">
        <v>13</v>
      </c>
      <c r="F1954" s="110">
        <v>4585</v>
      </c>
      <c r="G1954" s="109" t="s">
        <v>120</v>
      </c>
      <c r="H1954" s="109">
        <v>341</v>
      </c>
      <c r="I1954" s="109" t="s">
        <v>122</v>
      </c>
      <c r="J1954" s="110" t="s">
        <v>122</v>
      </c>
    </row>
    <row r="1955" spans="1:10">
      <c r="A1955" s="103" t="s">
        <v>3521</v>
      </c>
      <c r="B1955" s="124" t="s">
        <v>934</v>
      </c>
      <c r="C1955" s="110">
        <v>9686</v>
      </c>
      <c r="D1955" s="109" t="s">
        <v>120</v>
      </c>
      <c r="E1955" s="109">
        <v>97</v>
      </c>
      <c r="F1955" s="110">
        <v>10540</v>
      </c>
      <c r="G1955" s="109" t="s">
        <v>120</v>
      </c>
      <c r="H1955" s="109">
        <v>109</v>
      </c>
      <c r="I1955" s="109" t="s">
        <v>122</v>
      </c>
      <c r="J1955" s="110" t="s">
        <v>122</v>
      </c>
    </row>
    <row r="1956" spans="1:10" s="119" customFormat="1">
      <c r="A1956" s="123" t="s">
        <v>120</v>
      </c>
      <c r="B1956" s="273" t="s">
        <v>3522</v>
      </c>
      <c r="C1956" s="274"/>
      <c r="D1956" s="274"/>
      <c r="E1956" s="274"/>
      <c r="F1956" s="274"/>
      <c r="G1956" s="274"/>
      <c r="H1956" s="274"/>
      <c r="I1956" s="274"/>
      <c r="J1956" s="274"/>
    </row>
    <row r="1957" spans="1:10" s="119" customFormat="1">
      <c r="A1957" s="123" t="s">
        <v>120</v>
      </c>
      <c r="B1957" s="275" t="s">
        <v>924</v>
      </c>
      <c r="C1957" s="276"/>
      <c r="D1957" s="276"/>
      <c r="E1957" s="276"/>
      <c r="F1957" s="276"/>
      <c r="G1957" s="276"/>
      <c r="H1957" s="276"/>
      <c r="I1957" s="276"/>
      <c r="J1957" s="276"/>
    </row>
    <row r="1958" spans="1:10">
      <c r="A1958" s="103" t="s">
        <v>3523</v>
      </c>
      <c r="B1958" s="124" t="s">
        <v>3524</v>
      </c>
      <c r="C1958" s="110">
        <v>8982</v>
      </c>
      <c r="D1958" s="109" t="s">
        <v>120</v>
      </c>
      <c r="E1958" s="109">
        <v>90</v>
      </c>
      <c r="F1958" s="110">
        <v>2326</v>
      </c>
      <c r="G1958" s="109" t="s">
        <v>120</v>
      </c>
      <c r="H1958" s="109">
        <v>26</v>
      </c>
      <c r="I1958" s="109">
        <v>1535</v>
      </c>
      <c r="J1958" s="110">
        <v>2274</v>
      </c>
    </row>
    <row r="1959" spans="1:10">
      <c r="A1959" s="103" t="s">
        <v>3525</v>
      </c>
      <c r="B1959" s="124" t="s">
        <v>3526</v>
      </c>
      <c r="C1959" s="110">
        <v>13477</v>
      </c>
      <c r="D1959" s="109" t="s">
        <v>120</v>
      </c>
      <c r="E1959" s="109">
        <v>135</v>
      </c>
      <c r="F1959" s="110">
        <v>5530</v>
      </c>
      <c r="G1959" s="109" t="s">
        <v>120</v>
      </c>
      <c r="H1959" s="109">
        <v>41</v>
      </c>
      <c r="I1959" s="109">
        <v>842</v>
      </c>
      <c r="J1959" s="110">
        <v>1607</v>
      </c>
    </row>
    <row r="1960" spans="1:10">
      <c r="A1960" s="103" t="s">
        <v>3527</v>
      </c>
      <c r="B1960" s="124" t="s">
        <v>3528</v>
      </c>
      <c r="C1960" s="110">
        <v>10343</v>
      </c>
      <c r="D1960" s="109" t="s">
        <v>120</v>
      </c>
      <c r="E1960" s="109">
        <v>103</v>
      </c>
      <c r="F1960" s="110">
        <v>4352</v>
      </c>
      <c r="G1960" s="109" t="s">
        <v>120</v>
      </c>
      <c r="H1960" s="109">
        <v>42</v>
      </c>
      <c r="I1960" s="109">
        <v>1331</v>
      </c>
      <c r="J1960" s="110">
        <v>1905</v>
      </c>
    </row>
    <row r="1961" spans="1:10">
      <c r="A1961" s="103" t="s">
        <v>3529</v>
      </c>
      <c r="B1961" s="124" t="s">
        <v>3530</v>
      </c>
      <c r="C1961" s="110">
        <v>14712</v>
      </c>
      <c r="D1961" s="109" t="s">
        <v>120</v>
      </c>
      <c r="E1961" s="109">
        <v>147</v>
      </c>
      <c r="F1961" s="110">
        <v>5802</v>
      </c>
      <c r="G1961" s="109" t="s">
        <v>120</v>
      </c>
      <c r="H1961" s="109">
        <v>39</v>
      </c>
      <c r="I1961" s="109">
        <v>703</v>
      </c>
      <c r="J1961" s="110">
        <v>1556</v>
      </c>
    </row>
    <row r="1962" spans="1:10">
      <c r="A1962" s="103" t="s">
        <v>3531</v>
      </c>
      <c r="B1962" s="124" t="s">
        <v>3532</v>
      </c>
      <c r="C1962" s="110">
        <v>12983</v>
      </c>
      <c r="D1962" s="109" t="s">
        <v>120</v>
      </c>
      <c r="E1962" s="109">
        <v>130</v>
      </c>
      <c r="F1962" s="110">
        <v>4894</v>
      </c>
      <c r="G1962" s="109" t="s">
        <v>120</v>
      </c>
      <c r="H1962" s="109">
        <v>38</v>
      </c>
      <c r="I1962" s="109">
        <v>912</v>
      </c>
      <c r="J1962" s="110">
        <v>1767</v>
      </c>
    </row>
    <row r="1963" spans="1:10" s="119" customFormat="1">
      <c r="A1963" s="123" t="s">
        <v>120</v>
      </c>
      <c r="B1963" s="275" t="s">
        <v>929</v>
      </c>
      <c r="C1963" s="276"/>
      <c r="D1963" s="276"/>
      <c r="E1963" s="276"/>
      <c r="F1963" s="276"/>
      <c r="G1963" s="276"/>
      <c r="H1963" s="276"/>
      <c r="I1963" s="276"/>
      <c r="J1963" s="276"/>
    </row>
    <row r="1964" spans="1:10">
      <c r="A1964" s="103" t="s">
        <v>3533</v>
      </c>
      <c r="B1964" s="124" t="s">
        <v>3534</v>
      </c>
      <c r="C1964" s="110">
        <v>13525</v>
      </c>
      <c r="D1964" s="109" t="s">
        <v>120</v>
      </c>
      <c r="E1964" s="109">
        <v>135</v>
      </c>
      <c r="F1964" s="110">
        <v>10970</v>
      </c>
      <c r="G1964" s="109" t="s">
        <v>120</v>
      </c>
      <c r="H1964" s="109">
        <v>81</v>
      </c>
      <c r="I1964" s="109">
        <v>833</v>
      </c>
      <c r="J1964" s="110">
        <v>785</v>
      </c>
    </row>
    <row r="1965" spans="1:10">
      <c r="A1965" s="103" t="s">
        <v>3535</v>
      </c>
      <c r="B1965" s="124" t="s">
        <v>932</v>
      </c>
      <c r="C1965" s="110">
        <v>1570</v>
      </c>
      <c r="D1965" s="109" t="s">
        <v>120</v>
      </c>
      <c r="E1965" s="109">
        <v>16</v>
      </c>
      <c r="F1965" s="110">
        <v>5455</v>
      </c>
      <c r="G1965" s="109" t="s">
        <v>120</v>
      </c>
      <c r="H1965" s="109">
        <v>347</v>
      </c>
      <c r="I1965" s="109" t="s">
        <v>122</v>
      </c>
      <c r="J1965" s="110" t="s">
        <v>122</v>
      </c>
    </row>
    <row r="1966" spans="1:10">
      <c r="A1966" s="103" t="s">
        <v>3536</v>
      </c>
      <c r="B1966" s="124" t="s">
        <v>934</v>
      </c>
      <c r="C1966" s="110">
        <v>11955</v>
      </c>
      <c r="D1966" s="109" t="s">
        <v>120</v>
      </c>
      <c r="E1966" s="109">
        <v>119</v>
      </c>
      <c r="F1966" s="110">
        <v>5515</v>
      </c>
      <c r="G1966" s="109" t="s">
        <v>120</v>
      </c>
      <c r="H1966" s="109">
        <v>46</v>
      </c>
      <c r="I1966" s="109" t="s">
        <v>122</v>
      </c>
      <c r="J1966" s="110" t="s">
        <v>122</v>
      </c>
    </row>
    <row r="1967" spans="1:10" s="119" customFormat="1">
      <c r="A1967" s="123" t="s">
        <v>120</v>
      </c>
      <c r="B1967" s="273" t="s">
        <v>3537</v>
      </c>
      <c r="C1967" s="274"/>
      <c r="D1967" s="274"/>
      <c r="E1967" s="274"/>
      <c r="F1967" s="274"/>
      <c r="G1967" s="274"/>
      <c r="H1967" s="274"/>
      <c r="I1967" s="274"/>
      <c r="J1967" s="274"/>
    </row>
    <row r="1968" spans="1:10" s="119" customFormat="1">
      <c r="A1968" s="123" t="s">
        <v>120</v>
      </c>
      <c r="B1968" s="275" t="s">
        <v>943</v>
      </c>
      <c r="C1968" s="276"/>
      <c r="D1968" s="276"/>
      <c r="E1968" s="276"/>
      <c r="F1968" s="276"/>
      <c r="G1968" s="276"/>
      <c r="H1968" s="276"/>
      <c r="I1968" s="276"/>
      <c r="J1968" s="276"/>
    </row>
    <row r="1969" spans="1:10">
      <c r="A1969" s="103" t="s">
        <v>3538</v>
      </c>
      <c r="B1969" s="124" t="s">
        <v>3539</v>
      </c>
      <c r="C1969" s="110">
        <v>11771</v>
      </c>
      <c r="D1969" s="109" t="s">
        <v>120</v>
      </c>
      <c r="E1969" s="109">
        <v>118</v>
      </c>
      <c r="F1969" s="110">
        <v>2813</v>
      </c>
      <c r="G1969" s="109" t="s">
        <v>120</v>
      </c>
      <c r="H1969" s="109">
        <v>24</v>
      </c>
      <c r="I1969" s="109">
        <v>1085</v>
      </c>
      <c r="J1969" s="110">
        <v>2222</v>
      </c>
    </row>
    <row r="1970" spans="1:10">
      <c r="A1970" s="103" t="s">
        <v>3540</v>
      </c>
      <c r="B1970" s="124" t="s">
        <v>3541</v>
      </c>
      <c r="C1970" s="110">
        <v>8763</v>
      </c>
      <c r="D1970" s="109" t="s">
        <v>120</v>
      </c>
      <c r="E1970" s="109">
        <v>88</v>
      </c>
      <c r="F1970" s="110">
        <v>2943</v>
      </c>
      <c r="G1970" s="109" t="s">
        <v>120</v>
      </c>
      <c r="H1970" s="109">
        <v>34</v>
      </c>
      <c r="I1970" s="109">
        <v>1568</v>
      </c>
      <c r="J1970" s="110">
        <v>2207</v>
      </c>
    </row>
    <row r="1971" spans="1:10">
      <c r="A1971" s="103" t="s">
        <v>3542</v>
      </c>
      <c r="B1971" s="124" t="s">
        <v>3543</v>
      </c>
      <c r="C1971" s="110">
        <v>12949</v>
      </c>
      <c r="D1971" s="109" t="s">
        <v>120</v>
      </c>
      <c r="E1971" s="109">
        <v>129</v>
      </c>
      <c r="F1971" s="110">
        <v>4849</v>
      </c>
      <c r="G1971" s="109" t="s">
        <v>120</v>
      </c>
      <c r="H1971" s="109">
        <v>37</v>
      </c>
      <c r="I1971" s="109">
        <v>916</v>
      </c>
      <c r="J1971" s="110">
        <v>1780</v>
      </c>
    </row>
    <row r="1972" spans="1:10">
      <c r="A1972" s="103" t="s">
        <v>3544</v>
      </c>
      <c r="B1972" s="124" t="s">
        <v>3545</v>
      </c>
      <c r="C1972" s="110">
        <v>19749</v>
      </c>
      <c r="D1972" s="109" t="s">
        <v>120</v>
      </c>
      <c r="E1972" s="109">
        <v>197</v>
      </c>
      <c r="F1972" s="110">
        <v>4645</v>
      </c>
      <c r="G1972" s="109" t="s">
        <v>120</v>
      </c>
      <c r="H1972" s="109">
        <v>24</v>
      </c>
      <c r="I1972" s="109">
        <v>361</v>
      </c>
      <c r="J1972" s="110">
        <v>1833</v>
      </c>
    </row>
    <row r="1973" spans="1:10">
      <c r="A1973" s="103" t="s">
        <v>3546</v>
      </c>
      <c r="B1973" s="124" t="s">
        <v>3547</v>
      </c>
      <c r="C1973" s="110">
        <v>11884</v>
      </c>
      <c r="D1973" s="109" t="s">
        <v>120</v>
      </c>
      <c r="E1973" s="109">
        <v>119</v>
      </c>
      <c r="F1973" s="110">
        <v>4737</v>
      </c>
      <c r="G1973" s="109" t="s">
        <v>120</v>
      </c>
      <c r="H1973" s="109">
        <v>40</v>
      </c>
      <c r="I1973" s="109">
        <v>1070</v>
      </c>
      <c r="J1973" s="110">
        <v>1810</v>
      </c>
    </row>
    <row r="1974" spans="1:10" s="119" customFormat="1">
      <c r="A1974" s="123" t="s">
        <v>120</v>
      </c>
      <c r="B1974" s="275" t="s">
        <v>1026</v>
      </c>
      <c r="C1974" s="276"/>
      <c r="D1974" s="276"/>
      <c r="E1974" s="276"/>
      <c r="F1974" s="276"/>
      <c r="G1974" s="276"/>
      <c r="H1974" s="276"/>
      <c r="I1974" s="276"/>
      <c r="J1974" s="276"/>
    </row>
    <row r="1975" spans="1:10">
      <c r="A1975" s="103" t="s">
        <v>3548</v>
      </c>
      <c r="B1975" s="124" t="s">
        <v>3549</v>
      </c>
      <c r="C1975" s="110">
        <v>12129</v>
      </c>
      <c r="D1975" s="109" t="s">
        <v>120</v>
      </c>
      <c r="E1975" s="109">
        <v>121</v>
      </c>
      <c r="F1975" s="110">
        <v>10787</v>
      </c>
      <c r="G1975" s="109" t="s">
        <v>120</v>
      </c>
      <c r="H1975" s="109">
        <v>89</v>
      </c>
      <c r="I1975" s="109">
        <v>1037</v>
      </c>
      <c r="J1975" s="110">
        <v>805</v>
      </c>
    </row>
    <row r="1976" spans="1:10">
      <c r="A1976" s="103" t="s">
        <v>3550</v>
      </c>
      <c r="B1976" s="124" t="s">
        <v>932</v>
      </c>
      <c r="C1976" s="110">
        <v>2374</v>
      </c>
      <c r="D1976" s="109" t="s">
        <v>120</v>
      </c>
      <c r="E1976" s="109">
        <v>24</v>
      </c>
      <c r="F1976" s="110">
        <v>7042</v>
      </c>
      <c r="G1976" s="109" t="s">
        <v>120</v>
      </c>
      <c r="H1976" s="109">
        <v>297</v>
      </c>
      <c r="I1976" s="109" t="s">
        <v>122</v>
      </c>
      <c r="J1976" s="110" t="s">
        <v>122</v>
      </c>
    </row>
    <row r="1977" spans="1:10">
      <c r="A1977" s="103" t="s">
        <v>3551</v>
      </c>
      <c r="B1977" s="124" t="s">
        <v>934</v>
      </c>
      <c r="C1977" s="110">
        <v>9755</v>
      </c>
      <c r="D1977" s="109" t="s">
        <v>120</v>
      </c>
      <c r="E1977" s="109">
        <v>97</v>
      </c>
      <c r="F1977" s="110">
        <v>3745</v>
      </c>
      <c r="G1977" s="109" t="s">
        <v>120</v>
      </c>
      <c r="H1977" s="109">
        <v>38</v>
      </c>
      <c r="I1977" s="109" t="s">
        <v>122</v>
      </c>
      <c r="J1977" s="110" t="s">
        <v>122</v>
      </c>
    </row>
    <row r="1978" spans="1:10" s="119" customFormat="1">
      <c r="A1978" s="123" t="s">
        <v>120</v>
      </c>
      <c r="B1978" s="273" t="s">
        <v>3552</v>
      </c>
      <c r="C1978" s="274"/>
      <c r="D1978" s="274"/>
      <c r="E1978" s="274"/>
      <c r="F1978" s="274"/>
      <c r="G1978" s="274"/>
      <c r="H1978" s="274"/>
      <c r="I1978" s="274"/>
      <c r="J1978" s="274"/>
    </row>
    <row r="1979" spans="1:10" s="119" customFormat="1">
      <c r="A1979" s="123" t="s">
        <v>120</v>
      </c>
      <c r="B1979" s="275" t="s">
        <v>1019</v>
      </c>
      <c r="C1979" s="276"/>
      <c r="D1979" s="276"/>
      <c r="E1979" s="276"/>
      <c r="F1979" s="276"/>
      <c r="G1979" s="276"/>
      <c r="H1979" s="276"/>
      <c r="I1979" s="276"/>
      <c r="J1979" s="276"/>
    </row>
    <row r="1980" spans="1:10">
      <c r="A1980" s="103" t="s">
        <v>3553</v>
      </c>
      <c r="B1980" s="124" t="s">
        <v>3554</v>
      </c>
      <c r="C1980" s="110">
        <v>1028</v>
      </c>
      <c r="D1980" s="109" t="s">
        <v>120</v>
      </c>
      <c r="E1980" s="109">
        <v>10</v>
      </c>
      <c r="F1980" s="110">
        <v>9711</v>
      </c>
      <c r="G1980" s="109" t="s">
        <v>120</v>
      </c>
      <c r="H1980" s="109">
        <v>945</v>
      </c>
      <c r="I1980" s="109">
        <v>2319</v>
      </c>
      <c r="J1980" s="110">
        <v>903</v>
      </c>
    </row>
    <row r="1981" spans="1:10" s="119" customFormat="1">
      <c r="A1981" s="123" t="s">
        <v>120</v>
      </c>
      <c r="B1981" s="275" t="s">
        <v>943</v>
      </c>
      <c r="C1981" s="276"/>
      <c r="D1981" s="276"/>
      <c r="E1981" s="276"/>
      <c r="F1981" s="276"/>
      <c r="G1981" s="276"/>
      <c r="H1981" s="276"/>
      <c r="I1981" s="276"/>
      <c r="J1981" s="276"/>
    </row>
    <row r="1982" spans="1:10">
      <c r="A1982" s="103" t="s">
        <v>3555</v>
      </c>
      <c r="B1982" s="124" t="s">
        <v>3556</v>
      </c>
      <c r="C1982" s="110">
        <v>11044</v>
      </c>
      <c r="D1982" s="109" t="s">
        <v>120</v>
      </c>
      <c r="E1982" s="109">
        <v>110</v>
      </c>
      <c r="F1982" s="110">
        <v>2647</v>
      </c>
      <c r="G1982" s="109" t="s">
        <v>120</v>
      </c>
      <c r="H1982" s="109">
        <v>24</v>
      </c>
      <c r="I1982" s="109">
        <v>1214</v>
      </c>
      <c r="J1982" s="110">
        <v>2240</v>
      </c>
    </row>
    <row r="1983" spans="1:10">
      <c r="A1983" s="103" t="s">
        <v>3557</v>
      </c>
      <c r="B1983" s="124" t="s">
        <v>3558</v>
      </c>
      <c r="C1983" s="110">
        <v>12906</v>
      </c>
      <c r="D1983" s="109" t="s">
        <v>120</v>
      </c>
      <c r="E1983" s="109">
        <v>129</v>
      </c>
      <c r="F1983" s="110">
        <v>5176</v>
      </c>
      <c r="G1983" s="109" t="s">
        <v>120</v>
      </c>
      <c r="H1983" s="109">
        <v>40</v>
      </c>
      <c r="I1983" s="109">
        <v>925</v>
      </c>
      <c r="J1983" s="110">
        <v>1696</v>
      </c>
    </row>
    <row r="1984" spans="1:10">
      <c r="A1984" s="103" t="s">
        <v>3559</v>
      </c>
      <c r="B1984" s="124" t="s">
        <v>3560</v>
      </c>
      <c r="C1984" s="110">
        <v>16715</v>
      </c>
      <c r="D1984" s="109" t="s">
        <v>120</v>
      </c>
      <c r="E1984" s="109">
        <v>168</v>
      </c>
      <c r="F1984" s="110">
        <v>6352</v>
      </c>
      <c r="G1984" s="109" t="s">
        <v>120</v>
      </c>
      <c r="H1984" s="109">
        <v>38</v>
      </c>
      <c r="I1984" s="109">
        <v>541</v>
      </c>
      <c r="J1984" s="110">
        <v>1433</v>
      </c>
    </row>
    <row r="1985" spans="1:10">
      <c r="A1985" s="103" t="s">
        <v>3561</v>
      </c>
      <c r="B1985" s="124" t="s">
        <v>3562</v>
      </c>
      <c r="C1985" s="110">
        <v>7486</v>
      </c>
      <c r="D1985" s="109" t="s">
        <v>120</v>
      </c>
      <c r="E1985" s="109">
        <v>75</v>
      </c>
      <c r="F1985" s="110">
        <v>1742</v>
      </c>
      <c r="G1985" s="109" t="s">
        <v>120</v>
      </c>
      <c r="H1985" s="109">
        <v>23</v>
      </c>
      <c r="I1985" s="109">
        <v>1781</v>
      </c>
      <c r="J1985" s="110">
        <v>2301</v>
      </c>
    </row>
    <row r="1986" spans="1:10">
      <c r="A1986" s="103" t="s">
        <v>3563</v>
      </c>
      <c r="B1986" s="124" t="s">
        <v>3564</v>
      </c>
      <c r="C1986" s="110">
        <v>13485</v>
      </c>
      <c r="D1986" s="109" t="s">
        <v>120</v>
      </c>
      <c r="E1986" s="109">
        <v>135</v>
      </c>
      <c r="F1986" s="110">
        <v>5336</v>
      </c>
      <c r="G1986" s="109" t="s">
        <v>120</v>
      </c>
      <c r="H1986" s="109">
        <v>40</v>
      </c>
      <c r="I1986" s="109">
        <v>841</v>
      </c>
      <c r="J1986" s="110">
        <v>1655</v>
      </c>
    </row>
    <row r="1987" spans="1:10">
      <c r="A1987" s="103" t="s">
        <v>3565</v>
      </c>
      <c r="B1987" s="124" t="s">
        <v>3566</v>
      </c>
      <c r="C1987" s="110">
        <v>11175</v>
      </c>
      <c r="D1987" s="109" t="s">
        <v>120</v>
      </c>
      <c r="E1987" s="109">
        <v>112</v>
      </c>
      <c r="F1987" s="110">
        <v>2638</v>
      </c>
      <c r="G1987" s="109" t="s">
        <v>120</v>
      </c>
      <c r="H1987" s="109">
        <v>24</v>
      </c>
      <c r="I1987" s="109">
        <v>1183</v>
      </c>
      <c r="J1987" s="110">
        <v>2243</v>
      </c>
    </row>
    <row r="1988" spans="1:10">
      <c r="A1988" s="103" t="s">
        <v>3567</v>
      </c>
      <c r="B1988" s="124" t="s">
        <v>3568</v>
      </c>
      <c r="C1988" s="110">
        <v>12845</v>
      </c>
      <c r="D1988" s="109" t="s">
        <v>120</v>
      </c>
      <c r="E1988" s="109">
        <v>128</v>
      </c>
      <c r="F1988" s="110">
        <v>3248</v>
      </c>
      <c r="G1988" s="109" t="s">
        <v>120</v>
      </c>
      <c r="H1988" s="109">
        <v>25</v>
      </c>
      <c r="I1988" s="109">
        <v>937</v>
      </c>
      <c r="J1988" s="110">
        <v>2158</v>
      </c>
    </row>
    <row r="1989" spans="1:10">
      <c r="A1989" s="103" t="s">
        <v>3569</v>
      </c>
      <c r="B1989" s="124" t="s">
        <v>3570</v>
      </c>
      <c r="C1989" s="110">
        <v>11321</v>
      </c>
      <c r="D1989" s="109" t="s">
        <v>120</v>
      </c>
      <c r="E1989" s="109">
        <v>113</v>
      </c>
      <c r="F1989" s="110">
        <v>3624</v>
      </c>
      <c r="G1989" s="109" t="s">
        <v>120</v>
      </c>
      <c r="H1989" s="109">
        <v>32</v>
      </c>
      <c r="I1989" s="109">
        <v>1157</v>
      </c>
      <c r="J1989" s="110">
        <v>2083</v>
      </c>
    </row>
    <row r="1990" spans="1:10" s="119" customFormat="1">
      <c r="A1990" s="123" t="s">
        <v>120</v>
      </c>
      <c r="B1990" s="275" t="s">
        <v>1026</v>
      </c>
      <c r="C1990" s="276"/>
      <c r="D1990" s="276"/>
      <c r="E1990" s="276"/>
      <c r="F1990" s="276"/>
      <c r="G1990" s="276"/>
      <c r="H1990" s="276"/>
      <c r="I1990" s="276"/>
      <c r="J1990" s="276"/>
    </row>
    <row r="1991" spans="1:10">
      <c r="A1991" s="103" t="s">
        <v>3571</v>
      </c>
      <c r="B1991" s="124" t="s">
        <v>3572</v>
      </c>
      <c r="C1991" s="110">
        <v>8458</v>
      </c>
      <c r="D1991" s="109" t="s">
        <v>120</v>
      </c>
      <c r="E1991" s="109">
        <v>85</v>
      </c>
      <c r="F1991" s="110">
        <v>4418</v>
      </c>
      <c r="G1991" s="109" t="s">
        <v>120</v>
      </c>
      <c r="H1991" s="109">
        <v>52</v>
      </c>
      <c r="I1991" s="109">
        <v>1626</v>
      </c>
      <c r="J1991" s="110">
        <v>1885</v>
      </c>
    </row>
    <row r="1992" spans="1:10">
      <c r="A1992" s="103" t="s">
        <v>3573</v>
      </c>
      <c r="B1992" s="124" t="s">
        <v>932</v>
      </c>
      <c r="C1992" s="110">
        <v>666</v>
      </c>
      <c r="D1992" s="109" t="s">
        <v>120</v>
      </c>
      <c r="E1992" s="109">
        <v>7</v>
      </c>
      <c r="F1992" s="110">
        <v>2720</v>
      </c>
      <c r="G1992" s="109" t="s">
        <v>120</v>
      </c>
      <c r="H1992" s="109">
        <v>408</v>
      </c>
      <c r="I1992" s="109" t="s">
        <v>122</v>
      </c>
      <c r="J1992" s="110" t="s">
        <v>122</v>
      </c>
    </row>
    <row r="1993" spans="1:10">
      <c r="A1993" s="103" t="s">
        <v>3574</v>
      </c>
      <c r="B1993" s="124" t="s">
        <v>934</v>
      </c>
      <c r="C1993" s="110">
        <v>7792</v>
      </c>
      <c r="D1993" s="109" t="s">
        <v>120</v>
      </c>
      <c r="E1993" s="109">
        <v>78</v>
      </c>
      <c r="F1993" s="110">
        <v>1698</v>
      </c>
      <c r="G1993" s="109" t="s">
        <v>120</v>
      </c>
      <c r="H1993" s="109">
        <v>22</v>
      </c>
      <c r="I1993" s="109" t="s">
        <v>122</v>
      </c>
      <c r="J1993" s="110" t="s">
        <v>122</v>
      </c>
    </row>
    <row r="1994" spans="1:10" s="119" customFormat="1">
      <c r="A1994" s="123" t="s">
        <v>120</v>
      </c>
      <c r="B1994" s="273" t="s">
        <v>3575</v>
      </c>
      <c r="C1994" s="274"/>
      <c r="D1994" s="274"/>
      <c r="E1994" s="274"/>
      <c r="F1994" s="274"/>
      <c r="G1994" s="274"/>
      <c r="H1994" s="274"/>
      <c r="I1994" s="274"/>
      <c r="J1994" s="274"/>
    </row>
    <row r="1995" spans="1:10" s="119" customFormat="1">
      <c r="A1995" s="123" t="s">
        <v>120</v>
      </c>
      <c r="B1995" s="275" t="s">
        <v>1032</v>
      </c>
      <c r="C1995" s="276"/>
      <c r="D1995" s="276"/>
      <c r="E1995" s="276"/>
      <c r="F1995" s="276"/>
      <c r="G1995" s="276"/>
      <c r="H1995" s="276"/>
      <c r="I1995" s="276"/>
      <c r="J1995" s="276"/>
    </row>
    <row r="1996" spans="1:10">
      <c r="A1996" s="103" t="s">
        <v>3576</v>
      </c>
      <c r="B1996" s="124" t="s">
        <v>3577</v>
      </c>
      <c r="C1996" s="110">
        <v>1318</v>
      </c>
      <c r="D1996" s="109" t="s">
        <v>120</v>
      </c>
      <c r="E1996" s="109">
        <v>13</v>
      </c>
      <c r="F1996" s="110">
        <v>40999</v>
      </c>
      <c r="G1996" s="109" t="s">
        <v>120</v>
      </c>
      <c r="H1996" s="109">
        <v>3111</v>
      </c>
      <c r="I1996" s="109">
        <v>2301</v>
      </c>
      <c r="J1996" s="110">
        <v>123</v>
      </c>
    </row>
    <row r="1997" spans="1:10">
      <c r="A1997" s="103" t="s">
        <v>3578</v>
      </c>
      <c r="B1997" s="124" t="s">
        <v>3579</v>
      </c>
      <c r="C1997" s="110">
        <v>1931</v>
      </c>
      <c r="D1997" s="109" t="s">
        <v>120</v>
      </c>
      <c r="E1997" s="109">
        <v>19</v>
      </c>
      <c r="F1997" s="110">
        <v>19838</v>
      </c>
      <c r="G1997" s="109" t="s">
        <v>120</v>
      </c>
      <c r="H1997" s="109">
        <v>1027</v>
      </c>
      <c r="I1997" s="109">
        <v>2245</v>
      </c>
      <c r="J1997" s="110">
        <v>348</v>
      </c>
    </row>
    <row r="1998" spans="1:10" s="119" customFormat="1">
      <c r="A1998" s="123" t="s">
        <v>120</v>
      </c>
      <c r="B1998" s="275" t="s">
        <v>943</v>
      </c>
      <c r="C1998" s="276"/>
      <c r="D1998" s="276"/>
      <c r="E1998" s="276"/>
      <c r="F1998" s="276"/>
      <c r="G1998" s="276"/>
      <c r="H1998" s="276"/>
      <c r="I1998" s="276"/>
      <c r="J1998" s="276"/>
    </row>
    <row r="1999" spans="1:10">
      <c r="A1999" s="103" t="s">
        <v>3580</v>
      </c>
      <c r="B1999" s="124" t="s">
        <v>3581</v>
      </c>
      <c r="C1999" s="110">
        <v>9563</v>
      </c>
      <c r="D1999" s="109" t="s">
        <v>120</v>
      </c>
      <c r="E1999" s="109">
        <v>96</v>
      </c>
      <c r="F1999" s="110">
        <v>6087</v>
      </c>
      <c r="G1999" s="109" t="s">
        <v>120</v>
      </c>
      <c r="H1999" s="109">
        <v>64</v>
      </c>
      <c r="I1999" s="109">
        <v>1459</v>
      </c>
      <c r="J1999" s="110">
        <v>1485</v>
      </c>
    </row>
    <row r="2000" spans="1:10">
      <c r="A2000" s="103" t="s">
        <v>3582</v>
      </c>
      <c r="B2000" s="124" t="s">
        <v>3583</v>
      </c>
      <c r="C2000" s="110">
        <v>7772</v>
      </c>
      <c r="D2000" s="109" t="s">
        <v>120</v>
      </c>
      <c r="E2000" s="109">
        <v>78</v>
      </c>
      <c r="F2000" s="110">
        <v>10518</v>
      </c>
      <c r="G2000" s="109" t="s">
        <v>120</v>
      </c>
      <c r="H2000" s="109">
        <v>135</v>
      </c>
      <c r="I2000" s="109">
        <v>1735</v>
      </c>
      <c r="J2000" s="110">
        <v>831</v>
      </c>
    </row>
    <row r="2001" spans="1:10">
      <c r="A2001" s="103" t="s">
        <v>3584</v>
      </c>
      <c r="B2001" s="124" t="s">
        <v>1593</v>
      </c>
      <c r="C2001" s="110">
        <v>12490</v>
      </c>
      <c r="D2001" s="109" t="s">
        <v>120</v>
      </c>
      <c r="E2001" s="109">
        <v>125</v>
      </c>
      <c r="F2001" s="110">
        <v>5985</v>
      </c>
      <c r="G2001" s="109" t="s">
        <v>120</v>
      </c>
      <c r="H2001" s="109">
        <v>48</v>
      </c>
      <c r="I2001" s="109">
        <v>978</v>
      </c>
      <c r="J2001" s="110">
        <v>1508</v>
      </c>
    </row>
    <row r="2002" spans="1:10">
      <c r="A2002" s="103" t="s">
        <v>3585</v>
      </c>
      <c r="B2002" s="124" t="s">
        <v>3586</v>
      </c>
      <c r="C2002" s="110">
        <v>8698</v>
      </c>
      <c r="D2002" s="109" t="s">
        <v>120</v>
      </c>
      <c r="E2002" s="109">
        <v>87</v>
      </c>
      <c r="F2002" s="110">
        <v>5101</v>
      </c>
      <c r="G2002" s="109" t="s">
        <v>120</v>
      </c>
      <c r="H2002" s="109">
        <v>59</v>
      </c>
      <c r="I2002" s="109">
        <v>1577</v>
      </c>
      <c r="J2002" s="110">
        <v>1718</v>
      </c>
    </row>
    <row r="2003" spans="1:10">
      <c r="A2003" s="103" t="s">
        <v>3587</v>
      </c>
      <c r="B2003" s="124" t="s">
        <v>3588</v>
      </c>
      <c r="C2003" s="110">
        <v>11405</v>
      </c>
      <c r="D2003" s="109" t="s">
        <v>120</v>
      </c>
      <c r="E2003" s="109">
        <v>114</v>
      </c>
      <c r="F2003" s="110">
        <v>5399</v>
      </c>
      <c r="G2003" s="109" t="s">
        <v>120</v>
      </c>
      <c r="H2003" s="109">
        <v>47</v>
      </c>
      <c r="I2003" s="109">
        <v>1140</v>
      </c>
      <c r="J2003" s="110">
        <v>1638</v>
      </c>
    </row>
    <row r="2004" spans="1:10">
      <c r="A2004" s="103" t="s">
        <v>3589</v>
      </c>
      <c r="B2004" s="124" t="s">
        <v>3577</v>
      </c>
      <c r="C2004" s="110">
        <v>11231</v>
      </c>
      <c r="D2004" s="109" t="s">
        <v>120</v>
      </c>
      <c r="E2004" s="109">
        <v>112</v>
      </c>
      <c r="F2004" s="110">
        <v>15490</v>
      </c>
      <c r="G2004" s="109" t="s">
        <v>120</v>
      </c>
      <c r="H2004" s="109">
        <v>138</v>
      </c>
      <c r="I2004" s="109">
        <v>1169</v>
      </c>
      <c r="J2004" s="110">
        <v>496</v>
      </c>
    </row>
    <row r="2005" spans="1:10">
      <c r="A2005" s="103" t="s">
        <v>3590</v>
      </c>
      <c r="B2005" s="124" t="s">
        <v>3591</v>
      </c>
      <c r="C2005" s="110">
        <v>11087</v>
      </c>
      <c r="D2005" s="109" t="s">
        <v>120</v>
      </c>
      <c r="E2005" s="109">
        <v>111</v>
      </c>
      <c r="F2005" s="110">
        <v>7480</v>
      </c>
      <c r="G2005" s="109" t="s">
        <v>120</v>
      </c>
      <c r="H2005" s="109">
        <v>67</v>
      </c>
      <c r="I2005" s="109">
        <v>1203</v>
      </c>
      <c r="J2005" s="110">
        <v>1204</v>
      </c>
    </row>
    <row r="2006" spans="1:10">
      <c r="A2006" s="103" t="s">
        <v>3592</v>
      </c>
      <c r="B2006" s="124" t="s">
        <v>3593</v>
      </c>
      <c r="C2006" s="110">
        <v>10637</v>
      </c>
      <c r="D2006" s="109" t="s">
        <v>120</v>
      </c>
      <c r="E2006" s="109">
        <v>107</v>
      </c>
      <c r="F2006" s="110">
        <v>6756</v>
      </c>
      <c r="G2006" s="109" t="s">
        <v>120</v>
      </c>
      <c r="H2006" s="109">
        <v>64</v>
      </c>
      <c r="I2006" s="109">
        <v>1283</v>
      </c>
      <c r="J2006" s="110">
        <v>1351</v>
      </c>
    </row>
    <row r="2007" spans="1:10" s="119" customFormat="1">
      <c r="A2007" s="123" t="s">
        <v>120</v>
      </c>
      <c r="B2007" s="275" t="s">
        <v>1101</v>
      </c>
      <c r="C2007" s="276"/>
      <c r="D2007" s="276"/>
      <c r="E2007" s="276"/>
      <c r="F2007" s="276"/>
      <c r="G2007" s="276"/>
      <c r="H2007" s="276"/>
      <c r="I2007" s="276"/>
      <c r="J2007" s="276"/>
    </row>
    <row r="2008" spans="1:10">
      <c r="A2008" s="103" t="s">
        <v>3594</v>
      </c>
      <c r="B2008" s="124" t="s">
        <v>3595</v>
      </c>
      <c r="C2008" s="110">
        <v>6309</v>
      </c>
      <c r="D2008" s="109" t="s">
        <v>120</v>
      </c>
      <c r="E2008" s="109">
        <v>63</v>
      </c>
      <c r="F2008" s="110">
        <v>16336</v>
      </c>
      <c r="G2008" s="109" t="s">
        <v>120</v>
      </c>
      <c r="H2008" s="109">
        <v>259</v>
      </c>
      <c r="I2008" s="109">
        <v>1922</v>
      </c>
      <c r="J2008" s="110">
        <v>459</v>
      </c>
    </row>
    <row r="2009" spans="1:10">
      <c r="A2009" s="103" t="s">
        <v>3596</v>
      </c>
      <c r="B2009" s="124" t="s">
        <v>932</v>
      </c>
      <c r="C2009" s="110">
        <v>284</v>
      </c>
      <c r="D2009" s="109" t="s">
        <v>120</v>
      </c>
      <c r="E2009" s="109">
        <v>3</v>
      </c>
      <c r="F2009" s="110">
        <v>3745</v>
      </c>
      <c r="G2009" s="109" t="s">
        <v>120</v>
      </c>
      <c r="H2009" s="109">
        <v>1319</v>
      </c>
      <c r="I2009" s="109" t="s">
        <v>122</v>
      </c>
      <c r="J2009" s="110" t="s">
        <v>122</v>
      </c>
    </row>
    <row r="2010" spans="1:10">
      <c r="A2010" s="103" t="s">
        <v>3597</v>
      </c>
      <c r="B2010" s="124" t="s">
        <v>934</v>
      </c>
      <c r="C2010" s="110">
        <v>6025</v>
      </c>
      <c r="D2010" s="109" t="s">
        <v>120</v>
      </c>
      <c r="E2010" s="109">
        <v>60</v>
      </c>
      <c r="F2010" s="110">
        <v>12591</v>
      </c>
      <c r="G2010" s="109" t="s">
        <v>120</v>
      </c>
      <c r="H2010" s="109">
        <v>209</v>
      </c>
      <c r="I2010" s="109" t="s">
        <v>122</v>
      </c>
      <c r="J2010" s="110" t="s">
        <v>122</v>
      </c>
    </row>
    <row r="2011" spans="1:10">
      <c r="A2011" s="103" t="s">
        <v>3598</v>
      </c>
      <c r="B2011" s="124" t="s">
        <v>3599</v>
      </c>
      <c r="C2011" s="110">
        <v>9439</v>
      </c>
      <c r="D2011" s="109" t="s">
        <v>120</v>
      </c>
      <c r="E2011" s="109">
        <v>94</v>
      </c>
      <c r="F2011" s="110">
        <v>5825</v>
      </c>
      <c r="G2011" s="109" t="s">
        <v>120</v>
      </c>
      <c r="H2011" s="109">
        <v>62</v>
      </c>
      <c r="I2011" s="109">
        <v>1482</v>
      </c>
      <c r="J2011" s="110">
        <v>1550</v>
      </c>
    </row>
    <row r="2012" spans="1:10">
      <c r="A2012" s="103" t="s">
        <v>3600</v>
      </c>
      <c r="B2012" s="124" t="s">
        <v>932</v>
      </c>
      <c r="C2012" s="110">
        <v>1230</v>
      </c>
      <c r="D2012" s="109" t="s">
        <v>120</v>
      </c>
      <c r="E2012" s="109">
        <v>12</v>
      </c>
      <c r="F2012" s="110">
        <v>2891</v>
      </c>
      <c r="G2012" s="109" t="s">
        <v>120</v>
      </c>
      <c r="H2012" s="109">
        <v>235</v>
      </c>
      <c r="I2012" s="109" t="s">
        <v>122</v>
      </c>
      <c r="J2012" s="110" t="s">
        <v>122</v>
      </c>
    </row>
    <row r="2013" spans="1:10">
      <c r="A2013" s="103" t="s">
        <v>3601</v>
      </c>
      <c r="B2013" s="124" t="s">
        <v>934</v>
      </c>
      <c r="C2013" s="110">
        <v>8209</v>
      </c>
      <c r="D2013" s="109" t="s">
        <v>120</v>
      </c>
      <c r="E2013" s="109">
        <v>82</v>
      </c>
      <c r="F2013" s="110">
        <v>2934</v>
      </c>
      <c r="G2013" s="109" t="s">
        <v>120</v>
      </c>
      <c r="H2013" s="109">
        <v>36</v>
      </c>
      <c r="I2013" s="109" t="s">
        <v>122</v>
      </c>
      <c r="J2013" s="110" t="s">
        <v>122</v>
      </c>
    </row>
    <row r="2014" spans="1:10">
      <c r="A2014" s="103" t="s">
        <v>3602</v>
      </c>
      <c r="B2014" s="124" t="s">
        <v>3603</v>
      </c>
      <c r="C2014" s="110">
        <v>14492</v>
      </c>
      <c r="D2014" s="109" t="s">
        <v>120</v>
      </c>
      <c r="E2014" s="109">
        <v>145</v>
      </c>
      <c r="F2014" s="110">
        <v>8712</v>
      </c>
      <c r="G2014" s="109" t="s">
        <v>120</v>
      </c>
      <c r="H2014" s="109">
        <v>60</v>
      </c>
      <c r="I2014" s="109">
        <v>733</v>
      </c>
      <c r="J2014" s="110">
        <v>1021</v>
      </c>
    </row>
    <row r="2015" spans="1:10">
      <c r="A2015" s="103" t="s">
        <v>3604</v>
      </c>
      <c r="B2015" s="124" t="s">
        <v>932</v>
      </c>
      <c r="C2015" s="110">
        <v>773</v>
      </c>
      <c r="D2015" s="109" t="s">
        <v>120</v>
      </c>
      <c r="E2015" s="109">
        <v>8</v>
      </c>
      <c r="F2015" s="110">
        <v>3588</v>
      </c>
      <c r="G2015" s="109" t="s">
        <v>120</v>
      </c>
      <c r="H2015" s="109">
        <v>464</v>
      </c>
      <c r="I2015" s="109" t="s">
        <v>122</v>
      </c>
      <c r="J2015" s="110" t="s">
        <v>122</v>
      </c>
    </row>
    <row r="2016" spans="1:10">
      <c r="A2016" s="103" t="s">
        <v>3605</v>
      </c>
      <c r="B2016" s="124" t="s">
        <v>934</v>
      </c>
      <c r="C2016" s="110">
        <v>13719</v>
      </c>
      <c r="D2016" s="109" t="s">
        <v>120</v>
      </c>
      <c r="E2016" s="109">
        <v>137</v>
      </c>
      <c r="F2016" s="110">
        <v>5124</v>
      </c>
      <c r="G2016" s="109" t="s">
        <v>120</v>
      </c>
      <c r="H2016" s="109">
        <v>37</v>
      </c>
      <c r="I2016" s="109" t="s">
        <v>122</v>
      </c>
      <c r="J2016" s="110" t="s">
        <v>122</v>
      </c>
    </row>
    <row r="2017" spans="1:10" s="119" customFormat="1">
      <c r="A2017" s="123" t="s">
        <v>120</v>
      </c>
      <c r="B2017" s="273" t="s">
        <v>3606</v>
      </c>
      <c r="C2017" s="274"/>
      <c r="D2017" s="274"/>
      <c r="E2017" s="274"/>
      <c r="F2017" s="274"/>
      <c r="G2017" s="274"/>
      <c r="H2017" s="274"/>
      <c r="I2017" s="274"/>
      <c r="J2017" s="274"/>
    </row>
    <row r="2018" spans="1:10" s="119" customFormat="1" ht="15" customHeight="1">
      <c r="A2018" s="123" t="s">
        <v>120</v>
      </c>
      <c r="B2018" s="275" t="s">
        <v>922</v>
      </c>
      <c r="C2018" s="276"/>
      <c r="D2018" s="276"/>
      <c r="E2018" s="276"/>
      <c r="F2018" s="276"/>
      <c r="G2018" s="276"/>
      <c r="H2018" s="276"/>
      <c r="I2018" s="276"/>
      <c r="J2018" s="276"/>
    </row>
    <row r="2019" spans="1:10" ht="15" customHeight="1">
      <c r="A2019" s="103" t="s">
        <v>3607</v>
      </c>
      <c r="B2019" s="124" t="s">
        <v>3608</v>
      </c>
      <c r="C2019" s="110">
        <v>3480</v>
      </c>
      <c r="D2019" s="109" t="s">
        <v>120</v>
      </c>
      <c r="E2019" s="109">
        <v>35</v>
      </c>
      <c r="F2019" s="110">
        <v>31246</v>
      </c>
      <c r="G2019" s="109" t="s">
        <v>120</v>
      </c>
      <c r="H2019" s="109">
        <v>898</v>
      </c>
      <c r="I2019" s="109">
        <v>2129</v>
      </c>
      <c r="J2019" s="110">
        <v>181</v>
      </c>
    </row>
    <row r="2020" spans="1:10" s="119" customFormat="1" ht="15" customHeight="1">
      <c r="A2020" s="123" t="s">
        <v>120</v>
      </c>
      <c r="B2020" s="275" t="s">
        <v>943</v>
      </c>
      <c r="C2020" s="276"/>
      <c r="D2020" s="276"/>
      <c r="E2020" s="276"/>
      <c r="F2020" s="276"/>
      <c r="G2020" s="276"/>
      <c r="H2020" s="276"/>
      <c r="I2020" s="276"/>
      <c r="J2020" s="276"/>
    </row>
    <row r="2021" spans="1:10" ht="15" customHeight="1">
      <c r="A2021" s="103" t="s">
        <v>3609</v>
      </c>
      <c r="B2021" s="124" t="s">
        <v>3610</v>
      </c>
      <c r="C2021" s="110">
        <v>15061</v>
      </c>
      <c r="D2021" s="109" t="s">
        <v>120</v>
      </c>
      <c r="E2021" s="109">
        <v>151</v>
      </c>
      <c r="F2021" s="110">
        <v>3051</v>
      </c>
      <c r="G2021" s="109" t="s">
        <v>120</v>
      </c>
      <c r="H2021" s="109">
        <v>20</v>
      </c>
      <c r="I2021" s="109">
        <v>673</v>
      </c>
      <c r="J2021" s="110">
        <v>2190</v>
      </c>
    </row>
    <row r="2022" spans="1:10" ht="15" customHeight="1">
      <c r="A2022" s="103" t="s">
        <v>3611</v>
      </c>
      <c r="B2022" s="124" t="s">
        <v>3612</v>
      </c>
      <c r="C2022" s="110">
        <v>11445</v>
      </c>
      <c r="D2022" s="109" t="s">
        <v>120</v>
      </c>
      <c r="E2022" s="109">
        <v>114</v>
      </c>
      <c r="F2022" s="110">
        <v>4781</v>
      </c>
      <c r="G2022" s="109" t="s">
        <v>120</v>
      </c>
      <c r="H2022" s="109">
        <v>42</v>
      </c>
      <c r="I2022" s="109">
        <v>1135</v>
      </c>
      <c r="J2022" s="110">
        <v>1797</v>
      </c>
    </row>
    <row r="2023" spans="1:10" ht="15" customHeight="1">
      <c r="A2023" s="103" t="s">
        <v>3613</v>
      </c>
      <c r="B2023" s="124" t="s">
        <v>3374</v>
      </c>
      <c r="C2023" s="110">
        <v>9886</v>
      </c>
      <c r="D2023" s="109" t="s">
        <v>120</v>
      </c>
      <c r="E2023" s="109">
        <v>99</v>
      </c>
      <c r="F2023" s="110">
        <v>3270</v>
      </c>
      <c r="G2023" s="109" t="s">
        <v>120</v>
      </c>
      <c r="H2023" s="109">
        <v>33</v>
      </c>
      <c r="I2023" s="109">
        <v>1409</v>
      </c>
      <c r="J2023" s="110">
        <v>2154</v>
      </c>
    </row>
    <row r="2024" spans="1:10" ht="15" customHeight="1">
      <c r="A2024" s="103" t="s">
        <v>3614</v>
      </c>
      <c r="B2024" s="124" t="s">
        <v>3615</v>
      </c>
      <c r="C2024" s="110">
        <v>21421</v>
      </c>
      <c r="D2024" s="109" t="s">
        <v>120</v>
      </c>
      <c r="E2024" s="109">
        <v>214</v>
      </c>
      <c r="F2024" s="110">
        <v>7478</v>
      </c>
      <c r="G2024" s="109" t="s">
        <v>120</v>
      </c>
      <c r="H2024" s="109">
        <v>35</v>
      </c>
      <c r="I2024" s="109">
        <v>275</v>
      </c>
      <c r="J2024" s="110">
        <v>1205</v>
      </c>
    </row>
    <row r="2025" spans="1:10" ht="15" customHeight="1">
      <c r="A2025" s="103" t="s">
        <v>3616</v>
      </c>
      <c r="B2025" s="124" t="s">
        <v>3617</v>
      </c>
      <c r="C2025" s="110">
        <v>11799</v>
      </c>
      <c r="D2025" s="109" t="s">
        <v>120</v>
      </c>
      <c r="E2025" s="109">
        <v>118</v>
      </c>
      <c r="F2025" s="110">
        <v>4836</v>
      </c>
      <c r="G2025" s="109" t="s">
        <v>120</v>
      </c>
      <c r="H2025" s="109">
        <v>41</v>
      </c>
      <c r="I2025" s="109">
        <v>1079</v>
      </c>
      <c r="J2025" s="110">
        <v>1784</v>
      </c>
    </row>
    <row r="2026" spans="1:10" ht="15" customHeight="1">
      <c r="A2026" s="103" t="s">
        <v>3618</v>
      </c>
      <c r="B2026" s="124" t="s">
        <v>3619</v>
      </c>
      <c r="C2026" s="110">
        <v>10939</v>
      </c>
      <c r="D2026" s="109" t="s">
        <v>120</v>
      </c>
      <c r="E2026" s="109">
        <v>109</v>
      </c>
      <c r="F2026" s="110">
        <v>4115</v>
      </c>
      <c r="G2026" s="109" t="s">
        <v>120</v>
      </c>
      <c r="H2026" s="109">
        <v>38</v>
      </c>
      <c r="I2026" s="109">
        <v>1234</v>
      </c>
      <c r="J2026" s="110">
        <v>1969</v>
      </c>
    </row>
    <row r="2027" spans="1:10" ht="15" customHeight="1">
      <c r="A2027" s="103" t="s">
        <v>3620</v>
      </c>
      <c r="B2027" s="124" t="s">
        <v>3621</v>
      </c>
      <c r="C2027" s="110">
        <v>12250</v>
      </c>
      <c r="D2027" s="109" t="s">
        <v>120</v>
      </c>
      <c r="E2027" s="109">
        <v>123</v>
      </c>
      <c r="F2027" s="110">
        <v>4576</v>
      </c>
      <c r="G2027" s="109" t="s">
        <v>120</v>
      </c>
      <c r="H2027" s="109">
        <v>37</v>
      </c>
      <c r="I2027" s="109">
        <v>1015</v>
      </c>
      <c r="J2027" s="110">
        <v>1849</v>
      </c>
    </row>
    <row r="2028" spans="1:10" ht="15" customHeight="1">
      <c r="A2028" s="103" t="s">
        <v>3622</v>
      </c>
      <c r="B2028" s="124" t="s">
        <v>3623</v>
      </c>
      <c r="C2028" s="110">
        <v>11973</v>
      </c>
      <c r="D2028" s="109" t="s">
        <v>120</v>
      </c>
      <c r="E2028" s="109">
        <v>120</v>
      </c>
      <c r="F2028" s="110">
        <v>4048</v>
      </c>
      <c r="G2028" s="109" t="s">
        <v>120</v>
      </c>
      <c r="H2028" s="109">
        <v>34</v>
      </c>
      <c r="I2028" s="109">
        <v>1057</v>
      </c>
      <c r="J2028" s="110">
        <v>1982</v>
      </c>
    </row>
    <row r="2029" spans="1:10" ht="15" customHeight="1">
      <c r="A2029" s="103" t="s">
        <v>3624</v>
      </c>
      <c r="B2029" s="124" t="s">
        <v>3625</v>
      </c>
      <c r="C2029" s="110">
        <v>9928</v>
      </c>
      <c r="D2029" s="109" t="s">
        <v>120</v>
      </c>
      <c r="E2029" s="109">
        <v>99</v>
      </c>
      <c r="F2029" s="110">
        <v>5225</v>
      </c>
      <c r="G2029" s="109" t="s">
        <v>120</v>
      </c>
      <c r="H2029" s="109">
        <v>53</v>
      </c>
      <c r="I2029" s="109">
        <v>1402</v>
      </c>
      <c r="J2029" s="110">
        <v>1682</v>
      </c>
    </row>
    <row r="2030" spans="1:10" s="119" customFormat="1">
      <c r="A2030" s="123" t="s">
        <v>120</v>
      </c>
      <c r="B2030" s="273" t="s">
        <v>3626</v>
      </c>
      <c r="C2030" s="274"/>
      <c r="D2030" s="274"/>
      <c r="E2030" s="274"/>
      <c r="F2030" s="274"/>
      <c r="G2030" s="274"/>
      <c r="H2030" s="274"/>
      <c r="I2030" s="274"/>
      <c r="J2030" s="274"/>
    </row>
    <row r="2031" spans="1:10" s="119" customFormat="1">
      <c r="A2031" s="123" t="s">
        <v>120</v>
      </c>
      <c r="B2031" s="275" t="s">
        <v>1019</v>
      </c>
      <c r="C2031" s="276"/>
      <c r="D2031" s="276"/>
      <c r="E2031" s="276"/>
      <c r="F2031" s="276"/>
      <c r="G2031" s="276"/>
      <c r="H2031" s="276"/>
      <c r="I2031" s="276"/>
      <c r="J2031" s="276"/>
    </row>
    <row r="2032" spans="1:10">
      <c r="A2032" s="103" t="s">
        <v>3627</v>
      </c>
      <c r="B2032" s="124" t="s">
        <v>3628</v>
      </c>
      <c r="C2032" s="110">
        <v>2821</v>
      </c>
      <c r="D2032" s="109" t="s">
        <v>120</v>
      </c>
      <c r="E2032" s="109">
        <v>28</v>
      </c>
      <c r="F2032" s="110">
        <v>28679</v>
      </c>
      <c r="G2032" s="109" t="s">
        <v>120</v>
      </c>
      <c r="H2032" s="109">
        <v>1017</v>
      </c>
      <c r="I2032" s="109">
        <v>2174</v>
      </c>
      <c r="J2032" s="110">
        <v>201</v>
      </c>
    </row>
    <row r="2033" spans="1:10" s="119" customFormat="1">
      <c r="A2033" s="123" t="s">
        <v>120</v>
      </c>
      <c r="B2033" s="275" t="s">
        <v>924</v>
      </c>
      <c r="C2033" s="276"/>
      <c r="D2033" s="276"/>
      <c r="E2033" s="276"/>
      <c r="F2033" s="276"/>
      <c r="G2033" s="276"/>
      <c r="H2033" s="276"/>
      <c r="I2033" s="276"/>
      <c r="J2033" s="276"/>
    </row>
    <row r="2034" spans="1:10">
      <c r="A2034" s="103" t="s">
        <v>3629</v>
      </c>
      <c r="B2034" s="124" t="s">
        <v>3630</v>
      </c>
      <c r="C2034" s="110">
        <v>12845</v>
      </c>
      <c r="D2034" s="109" t="s">
        <v>120</v>
      </c>
      <c r="E2034" s="109">
        <v>128</v>
      </c>
      <c r="F2034" s="110">
        <v>9991</v>
      </c>
      <c r="G2034" s="109" t="s">
        <v>120</v>
      </c>
      <c r="H2034" s="109">
        <v>78</v>
      </c>
      <c r="I2034" s="109">
        <v>937</v>
      </c>
      <c r="J2034" s="110">
        <v>870</v>
      </c>
    </row>
    <row r="2035" spans="1:10">
      <c r="A2035" s="103" t="s">
        <v>3631</v>
      </c>
      <c r="B2035" s="124" t="s">
        <v>3632</v>
      </c>
      <c r="C2035" s="110">
        <v>15798</v>
      </c>
      <c r="D2035" s="109" t="s">
        <v>120</v>
      </c>
      <c r="E2035" s="109">
        <v>158</v>
      </c>
      <c r="F2035" s="110">
        <v>5620</v>
      </c>
      <c r="G2035" s="109" t="s">
        <v>120</v>
      </c>
      <c r="H2035" s="109">
        <v>36</v>
      </c>
      <c r="I2035" s="109">
        <v>617</v>
      </c>
      <c r="J2035" s="110">
        <v>1588</v>
      </c>
    </row>
    <row r="2036" spans="1:10">
      <c r="A2036" s="103" t="s">
        <v>3633</v>
      </c>
      <c r="B2036" s="124" t="s">
        <v>3634</v>
      </c>
      <c r="C2036" s="110">
        <v>10268</v>
      </c>
      <c r="D2036" s="109" t="s">
        <v>120</v>
      </c>
      <c r="E2036" s="109">
        <v>103</v>
      </c>
      <c r="F2036" s="110">
        <v>9090</v>
      </c>
      <c r="G2036" s="109" t="s">
        <v>120</v>
      </c>
      <c r="H2036" s="109">
        <v>89</v>
      </c>
      <c r="I2036" s="109">
        <v>1343</v>
      </c>
      <c r="J2036" s="110">
        <v>968</v>
      </c>
    </row>
    <row r="2037" spans="1:10" s="119" customFormat="1">
      <c r="A2037" s="123" t="s">
        <v>120</v>
      </c>
      <c r="B2037" s="275" t="s">
        <v>1101</v>
      </c>
      <c r="C2037" s="276"/>
      <c r="D2037" s="276"/>
      <c r="E2037" s="276"/>
      <c r="F2037" s="276"/>
      <c r="G2037" s="276"/>
      <c r="H2037" s="276"/>
      <c r="I2037" s="276"/>
      <c r="J2037" s="276"/>
    </row>
    <row r="2038" spans="1:10">
      <c r="A2038" s="103" t="s">
        <v>3635</v>
      </c>
      <c r="B2038" s="124" t="s">
        <v>3636</v>
      </c>
      <c r="C2038" s="110">
        <v>20577</v>
      </c>
      <c r="D2038" s="109" t="s">
        <v>120</v>
      </c>
      <c r="E2038" s="109">
        <v>206</v>
      </c>
      <c r="F2038" s="110">
        <v>19965</v>
      </c>
      <c r="G2038" s="109" t="s">
        <v>120</v>
      </c>
      <c r="H2038" s="109">
        <v>97</v>
      </c>
      <c r="I2038" s="109">
        <v>314</v>
      </c>
      <c r="J2038" s="110">
        <v>345</v>
      </c>
    </row>
    <row r="2039" spans="1:10">
      <c r="A2039" s="103" t="s">
        <v>3637</v>
      </c>
      <c r="B2039" s="124" t="s">
        <v>932</v>
      </c>
      <c r="C2039" s="110">
        <v>1257</v>
      </c>
      <c r="D2039" s="109" t="s">
        <v>120</v>
      </c>
      <c r="E2039" s="109">
        <v>13</v>
      </c>
      <c r="F2039" s="110">
        <v>7697</v>
      </c>
      <c r="G2039" s="109" t="s">
        <v>120</v>
      </c>
      <c r="H2039" s="109">
        <v>612</v>
      </c>
      <c r="I2039" s="109" t="s">
        <v>122</v>
      </c>
      <c r="J2039" s="110" t="s">
        <v>122</v>
      </c>
    </row>
    <row r="2040" spans="1:10">
      <c r="A2040" s="103" t="s">
        <v>3638</v>
      </c>
      <c r="B2040" s="124" t="s">
        <v>934</v>
      </c>
      <c r="C2040" s="110">
        <v>19320</v>
      </c>
      <c r="D2040" s="109" t="s">
        <v>120</v>
      </c>
      <c r="E2040" s="109">
        <v>193</v>
      </c>
      <c r="F2040" s="110">
        <v>12268</v>
      </c>
      <c r="G2040" s="109" t="s">
        <v>120</v>
      </c>
      <c r="H2040" s="109">
        <v>63</v>
      </c>
      <c r="I2040" s="109" t="s">
        <v>122</v>
      </c>
      <c r="J2040" s="110" t="s">
        <v>122</v>
      </c>
    </row>
    <row r="2041" spans="1:10">
      <c r="A2041" s="103" t="s">
        <v>3639</v>
      </c>
      <c r="B2041" s="124" t="s">
        <v>3640</v>
      </c>
      <c r="C2041" s="110">
        <v>7170</v>
      </c>
      <c r="D2041" s="109" t="s">
        <v>120</v>
      </c>
      <c r="E2041" s="109">
        <v>72</v>
      </c>
      <c r="F2041" s="110">
        <v>6033</v>
      </c>
      <c r="G2041" s="109" t="s">
        <v>120</v>
      </c>
      <c r="H2041" s="109">
        <v>84</v>
      </c>
      <c r="I2041" s="109">
        <v>1825</v>
      </c>
      <c r="J2041" s="110">
        <v>1493</v>
      </c>
    </row>
    <row r="2042" spans="1:10">
      <c r="A2042" s="103" t="s">
        <v>3641</v>
      </c>
      <c r="B2042" s="124" t="s">
        <v>932</v>
      </c>
      <c r="C2042" s="110">
        <v>1997</v>
      </c>
      <c r="D2042" s="109" t="s">
        <v>120</v>
      </c>
      <c r="E2042" s="109">
        <v>20</v>
      </c>
      <c r="F2042" s="110">
        <v>3183</v>
      </c>
      <c r="G2042" s="109" t="s">
        <v>120</v>
      </c>
      <c r="H2042" s="109">
        <v>159</v>
      </c>
      <c r="I2042" s="109" t="s">
        <v>122</v>
      </c>
      <c r="J2042" s="110" t="s">
        <v>122</v>
      </c>
    </row>
    <row r="2043" spans="1:10">
      <c r="A2043" s="103" t="s">
        <v>3642</v>
      </c>
      <c r="B2043" s="124" t="s">
        <v>934</v>
      </c>
      <c r="C2043" s="110">
        <v>5173</v>
      </c>
      <c r="D2043" s="109" t="s">
        <v>120</v>
      </c>
      <c r="E2043" s="109">
        <v>52</v>
      </c>
      <c r="F2043" s="110">
        <v>2850</v>
      </c>
      <c r="G2043" s="109" t="s">
        <v>120</v>
      </c>
      <c r="H2043" s="109">
        <v>55</v>
      </c>
      <c r="I2043" s="109" t="s">
        <v>122</v>
      </c>
      <c r="J2043" s="110" t="s">
        <v>122</v>
      </c>
    </row>
    <row r="2044" spans="1:10" s="119" customFormat="1">
      <c r="A2044" s="123" t="s">
        <v>120</v>
      </c>
      <c r="B2044" s="273" t="s">
        <v>3643</v>
      </c>
      <c r="C2044" s="274"/>
      <c r="D2044" s="274"/>
      <c r="E2044" s="274"/>
      <c r="F2044" s="274"/>
      <c r="G2044" s="274"/>
      <c r="H2044" s="274"/>
      <c r="I2044" s="274"/>
      <c r="J2044" s="274"/>
    </row>
    <row r="2045" spans="1:10" s="119" customFormat="1">
      <c r="A2045" s="123" t="s">
        <v>120</v>
      </c>
      <c r="B2045" s="275" t="s">
        <v>1022</v>
      </c>
      <c r="C2045" s="276"/>
      <c r="D2045" s="276"/>
      <c r="E2045" s="276"/>
      <c r="F2045" s="276"/>
      <c r="G2045" s="276"/>
      <c r="H2045" s="276"/>
      <c r="I2045" s="276"/>
      <c r="J2045" s="276"/>
    </row>
    <row r="2046" spans="1:10">
      <c r="A2046" s="103" t="s">
        <v>3644</v>
      </c>
      <c r="B2046" s="124" t="s">
        <v>3645</v>
      </c>
      <c r="C2046" s="110">
        <v>19757</v>
      </c>
      <c r="D2046" s="109" t="s">
        <v>120</v>
      </c>
      <c r="E2046" s="109">
        <v>197</v>
      </c>
      <c r="F2046" s="110">
        <v>6496</v>
      </c>
      <c r="G2046" s="109" t="s">
        <v>120</v>
      </c>
      <c r="H2046" s="109">
        <v>33</v>
      </c>
      <c r="I2046" s="109">
        <v>360</v>
      </c>
      <c r="J2046" s="110">
        <v>1399</v>
      </c>
    </row>
    <row r="2047" spans="1:10">
      <c r="A2047" s="103" t="s">
        <v>3646</v>
      </c>
      <c r="B2047" s="124" t="s">
        <v>3647</v>
      </c>
      <c r="C2047" s="110">
        <v>9385</v>
      </c>
      <c r="D2047" s="109" t="s">
        <v>120</v>
      </c>
      <c r="E2047" s="109">
        <v>94</v>
      </c>
      <c r="F2047" s="110">
        <v>2513</v>
      </c>
      <c r="G2047" s="109" t="s">
        <v>120</v>
      </c>
      <c r="H2047" s="109">
        <v>27</v>
      </c>
      <c r="I2047" s="109">
        <v>1488</v>
      </c>
      <c r="J2047" s="110">
        <v>2256</v>
      </c>
    </row>
    <row r="2048" spans="1:10">
      <c r="A2048" s="103" t="s">
        <v>3648</v>
      </c>
      <c r="B2048" s="124" t="s">
        <v>3649</v>
      </c>
      <c r="C2048" s="110">
        <v>17024</v>
      </c>
      <c r="D2048" s="109" t="s">
        <v>120</v>
      </c>
      <c r="E2048" s="109">
        <v>170</v>
      </c>
      <c r="F2048" s="110">
        <v>5098</v>
      </c>
      <c r="G2048" s="109" t="s">
        <v>120</v>
      </c>
      <c r="H2048" s="109">
        <v>30</v>
      </c>
      <c r="I2048" s="109">
        <v>515</v>
      </c>
      <c r="J2048" s="110">
        <v>1719</v>
      </c>
    </row>
    <row r="2049" spans="1:10">
      <c r="A2049" s="103" t="s">
        <v>3650</v>
      </c>
      <c r="B2049" s="124" t="s">
        <v>3651</v>
      </c>
      <c r="C2049" s="110">
        <v>21910</v>
      </c>
      <c r="D2049" s="109" t="s">
        <v>120</v>
      </c>
      <c r="E2049" s="109">
        <v>219</v>
      </c>
      <c r="F2049" s="110">
        <v>8275</v>
      </c>
      <c r="G2049" s="109" t="s">
        <v>120</v>
      </c>
      <c r="H2049" s="109">
        <v>38</v>
      </c>
      <c r="I2049" s="109">
        <v>261</v>
      </c>
      <c r="J2049" s="110">
        <v>1079</v>
      </c>
    </row>
    <row r="2050" spans="1:10">
      <c r="A2050" s="103" t="s">
        <v>3652</v>
      </c>
      <c r="B2050" s="124" t="s">
        <v>3653</v>
      </c>
      <c r="C2050" s="110">
        <v>25888</v>
      </c>
      <c r="D2050" s="109" t="s">
        <v>120</v>
      </c>
      <c r="E2050" s="109">
        <v>259</v>
      </c>
      <c r="F2050" s="110">
        <v>11363</v>
      </c>
      <c r="G2050" s="109" t="s">
        <v>120</v>
      </c>
      <c r="H2050" s="109">
        <v>44</v>
      </c>
      <c r="I2050" s="109">
        <v>159</v>
      </c>
      <c r="J2050" s="110">
        <v>752</v>
      </c>
    </row>
    <row r="2051" spans="1:10">
      <c r="A2051" s="103" t="s">
        <v>3654</v>
      </c>
      <c r="B2051" s="124" t="s">
        <v>3655</v>
      </c>
      <c r="C2051" s="110">
        <v>19639</v>
      </c>
      <c r="D2051" s="109" t="s">
        <v>120</v>
      </c>
      <c r="E2051" s="109">
        <v>196</v>
      </c>
      <c r="F2051" s="110">
        <v>9707</v>
      </c>
      <c r="G2051" s="109" t="s">
        <v>120</v>
      </c>
      <c r="H2051" s="109">
        <v>49</v>
      </c>
      <c r="I2051" s="109">
        <v>368</v>
      </c>
      <c r="J2051" s="110">
        <v>904</v>
      </c>
    </row>
    <row r="2052" spans="1:10">
      <c r="A2052" s="103" t="s">
        <v>3656</v>
      </c>
      <c r="B2052" s="124" t="s">
        <v>3657</v>
      </c>
      <c r="C2052" s="110">
        <v>24678</v>
      </c>
      <c r="D2052" s="109" t="s">
        <v>120</v>
      </c>
      <c r="E2052" s="109">
        <v>247</v>
      </c>
      <c r="F2052" s="110">
        <v>8384</v>
      </c>
      <c r="G2052" s="109" t="s">
        <v>120</v>
      </c>
      <c r="H2052" s="109">
        <v>34</v>
      </c>
      <c r="I2052" s="109">
        <v>188</v>
      </c>
      <c r="J2052" s="110">
        <v>1065</v>
      </c>
    </row>
    <row r="2053" spans="1:10">
      <c r="A2053" s="103" t="s">
        <v>3658</v>
      </c>
      <c r="B2053" s="124" t="s">
        <v>3659</v>
      </c>
      <c r="C2053" s="110">
        <v>19674</v>
      </c>
      <c r="D2053" s="109" t="s">
        <v>120</v>
      </c>
      <c r="E2053" s="109">
        <v>197</v>
      </c>
      <c r="F2053" s="110">
        <v>10786</v>
      </c>
      <c r="G2053" s="109" t="s">
        <v>120</v>
      </c>
      <c r="H2053" s="109">
        <v>55</v>
      </c>
      <c r="I2053" s="109">
        <v>367</v>
      </c>
      <c r="J2053" s="110">
        <v>806</v>
      </c>
    </row>
    <row r="2054" spans="1:10">
      <c r="A2054" s="103" t="s">
        <v>3660</v>
      </c>
      <c r="B2054" s="124" t="s">
        <v>3661</v>
      </c>
      <c r="C2054" s="110">
        <v>13089</v>
      </c>
      <c r="D2054" s="109" t="s">
        <v>120</v>
      </c>
      <c r="E2054" s="109">
        <v>131</v>
      </c>
      <c r="F2054" s="110">
        <v>10839</v>
      </c>
      <c r="G2054" s="109" t="s">
        <v>120</v>
      </c>
      <c r="H2054" s="109">
        <v>83</v>
      </c>
      <c r="I2054" s="109">
        <v>897</v>
      </c>
      <c r="J2054" s="110">
        <v>797</v>
      </c>
    </row>
    <row r="2055" spans="1:10">
      <c r="A2055" s="103" t="s">
        <v>3662</v>
      </c>
      <c r="B2055" s="124" t="s">
        <v>3663</v>
      </c>
      <c r="C2055" s="110">
        <v>15630</v>
      </c>
      <c r="D2055" s="109" t="s">
        <v>120</v>
      </c>
      <c r="E2055" s="109">
        <v>156</v>
      </c>
      <c r="F2055" s="110">
        <v>4756</v>
      </c>
      <c r="G2055" s="109" t="s">
        <v>120</v>
      </c>
      <c r="H2055" s="109">
        <v>30</v>
      </c>
      <c r="I2055" s="109">
        <v>623</v>
      </c>
      <c r="J2055" s="110">
        <v>1803</v>
      </c>
    </row>
    <row r="2056" spans="1:10" s="119" customFormat="1">
      <c r="A2056" s="123" t="s">
        <v>120</v>
      </c>
      <c r="B2056" s="275" t="s">
        <v>1026</v>
      </c>
      <c r="C2056" s="276"/>
      <c r="D2056" s="276"/>
      <c r="E2056" s="276"/>
      <c r="F2056" s="276"/>
      <c r="G2056" s="276"/>
      <c r="H2056" s="276"/>
      <c r="I2056" s="276"/>
      <c r="J2056" s="276"/>
    </row>
    <row r="2057" spans="1:10">
      <c r="A2057" s="103" t="s">
        <v>3664</v>
      </c>
      <c r="B2057" s="124" t="s">
        <v>3665</v>
      </c>
      <c r="C2057" s="110">
        <v>22681</v>
      </c>
      <c r="D2057" s="109" t="s">
        <v>120</v>
      </c>
      <c r="E2057" s="109">
        <v>227</v>
      </c>
      <c r="F2057" s="110">
        <v>10437</v>
      </c>
      <c r="G2057" s="109" t="s">
        <v>120</v>
      </c>
      <c r="H2057" s="109">
        <v>46</v>
      </c>
      <c r="I2057" s="109">
        <v>240</v>
      </c>
      <c r="J2057" s="110">
        <v>837</v>
      </c>
    </row>
    <row r="2058" spans="1:10">
      <c r="A2058" s="103" t="s">
        <v>3666</v>
      </c>
      <c r="B2058" s="124" t="s">
        <v>932</v>
      </c>
      <c r="C2058" s="110">
        <v>1122</v>
      </c>
      <c r="D2058" s="109" t="s">
        <v>120</v>
      </c>
      <c r="E2058" s="109">
        <v>11</v>
      </c>
      <c r="F2058" s="110">
        <v>3421</v>
      </c>
      <c r="G2058" s="109" t="s">
        <v>120</v>
      </c>
      <c r="H2058" s="109">
        <v>305</v>
      </c>
      <c r="I2058" s="109" t="s">
        <v>122</v>
      </c>
      <c r="J2058" s="110" t="s">
        <v>122</v>
      </c>
    </row>
    <row r="2059" spans="1:10">
      <c r="A2059" s="103" t="s">
        <v>3667</v>
      </c>
      <c r="B2059" s="124" t="s">
        <v>934</v>
      </c>
      <c r="C2059" s="110">
        <v>21559</v>
      </c>
      <c r="D2059" s="109" t="s">
        <v>120</v>
      </c>
      <c r="E2059" s="109">
        <v>216</v>
      </c>
      <c r="F2059" s="110">
        <v>7016</v>
      </c>
      <c r="G2059" s="109" t="s">
        <v>120</v>
      </c>
      <c r="H2059" s="109">
        <v>33</v>
      </c>
      <c r="I2059" s="109" t="s">
        <v>122</v>
      </c>
      <c r="J2059" s="110" t="s">
        <v>122</v>
      </c>
    </row>
    <row r="2060" spans="1:10" s="119" customFormat="1">
      <c r="A2060" s="123" t="s">
        <v>120</v>
      </c>
      <c r="B2060" s="273" t="s">
        <v>3668</v>
      </c>
      <c r="C2060" s="274"/>
      <c r="D2060" s="274"/>
      <c r="E2060" s="274"/>
      <c r="F2060" s="274"/>
      <c r="G2060" s="274"/>
      <c r="H2060" s="274"/>
      <c r="I2060" s="274"/>
      <c r="J2060" s="274"/>
    </row>
    <row r="2061" spans="1:10" s="119" customFormat="1">
      <c r="A2061" s="123" t="s">
        <v>120</v>
      </c>
      <c r="B2061" s="275" t="s">
        <v>1019</v>
      </c>
      <c r="C2061" s="276"/>
      <c r="D2061" s="276"/>
      <c r="E2061" s="276"/>
      <c r="F2061" s="276"/>
      <c r="G2061" s="276"/>
      <c r="H2061" s="276"/>
      <c r="I2061" s="276"/>
      <c r="J2061" s="276"/>
    </row>
    <row r="2062" spans="1:10">
      <c r="A2062" s="103" t="s">
        <v>3669</v>
      </c>
      <c r="B2062" s="124" t="s">
        <v>3670</v>
      </c>
      <c r="C2062" s="110">
        <v>2227</v>
      </c>
      <c r="D2062" s="109" t="s">
        <v>120</v>
      </c>
      <c r="E2062" s="109">
        <v>22</v>
      </c>
      <c r="F2062" s="110">
        <v>22399</v>
      </c>
      <c r="G2062" s="109" t="s">
        <v>120</v>
      </c>
      <c r="H2062" s="109">
        <v>1006</v>
      </c>
      <c r="I2062" s="109">
        <v>2214</v>
      </c>
      <c r="J2062" s="110">
        <v>292</v>
      </c>
    </row>
    <row r="2063" spans="1:10" s="119" customFormat="1">
      <c r="A2063" s="123" t="s">
        <v>120</v>
      </c>
      <c r="B2063" s="275" t="s">
        <v>943</v>
      </c>
      <c r="C2063" s="276"/>
      <c r="D2063" s="276"/>
      <c r="E2063" s="276"/>
      <c r="F2063" s="276"/>
      <c r="G2063" s="276"/>
      <c r="H2063" s="276"/>
      <c r="I2063" s="276"/>
      <c r="J2063" s="276"/>
    </row>
    <row r="2064" spans="1:10">
      <c r="A2064" s="103" t="s">
        <v>3671</v>
      </c>
      <c r="B2064" s="124" t="s">
        <v>3672</v>
      </c>
      <c r="C2064" s="110">
        <v>11874</v>
      </c>
      <c r="D2064" s="109" t="s">
        <v>120</v>
      </c>
      <c r="E2064" s="109">
        <v>119</v>
      </c>
      <c r="F2064" s="110">
        <v>4063</v>
      </c>
      <c r="G2064" s="109" t="s">
        <v>120</v>
      </c>
      <c r="H2064" s="109">
        <v>34</v>
      </c>
      <c r="I2064" s="109">
        <v>1072</v>
      </c>
      <c r="J2064" s="110">
        <v>1978</v>
      </c>
    </row>
    <row r="2065" spans="1:10">
      <c r="A2065" s="103" t="s">
        <v>3673</v>
      </c>
      <c r="B2065" s="124" t="s">
        <v>3674</v>
      </c>
      <c r="C2065" s="110">
        <v>8909</v>
      </c>
      <c r="D2065" s="109" t="s">
        <v>120</v>
      </c>
      <c r="E2065" s="109">
        <v>89</v>
      </c>
      <c r="F2065" s="110">
        <v>2581</v>
      </c>
      <c r="G2065" s="109" t="s">
        <v>120</v>
      </c>
      <c r="H2065" s="109">
        <v>29</v>
      </c>
      <c r="I2065" s="109">
        <v>1541</v>
      </c>
      <c r="J2065" s="110">
        <v>2252</v>
      </c>
    </row>
    <row r="2066" spans="1:10">
      <c r="A2066" s="103" t="s">
        <v>3675</v>
      </c>
      <c r="B2066" s="124" t="s">
        <v>3676</v>
      </c>
      <c r="C2066" s="110">
        <v>13431</v>
      </c>
      <c r="D2066" s="109" t="s">
        <v>120</v>
      </c>
      <c r="E2066" s="109">
        <v>134</v>
      </c>
      <c r="F2066" s="110">
        <v>11624</v>
      </c>
      <c r="G2066" s="109" t="s">
        <v>120</v>
      </c>
      <c r="H2066" s="109">
        <v>87</v>
      </c>
      <c r="I2066" s="109">
        <v>847</v>
      </c>
      <c r="J2066" s="110">
        <v>729</v>
      </c>
    </row>
    <row r="2067" spans="1:10">
      <c r="A2067" s="103" t="s">
        <v>3677</v>
      </c>
      <c r="B2067" s="124" t="s">
        <v>3678</v>
      </c>
      <c r="C2067" s="110">
        <v>9600</v>
      </c>
      <c r="D2067" s="109" t="s">
        <v>120</v>
      </c>
      <c r="E2067" s="109">
        <v>96</v>
      </c>
      <c r="F2067" s="110">
        <v>2673</v>
      </c>
      <c r="G2067" s="109" t="s">
        <v>120</v>
      </c>
      <c r="H2067" s="109">
        <v>28</v>
      </c>
      <c r="I2067" s="109">
        <v>1450</v>
      </c>
      <c r="J2067" s="110">
        <v>2237</v>
      </c>
    </row>
    <row r="2068" spans="1:10">
      <c r="A2068" s="103" t="s">
        <v>3679</v>
      </c>
      <c r="B2068" s="124" t="s">
        <v>3670</v>
      </c>
      <c r="C2068" s="110">
        <v>28294</v>
      </c>
      <c r="D2068" s="109" t="s">
        <v>120</v>
      </c>
      <c r="E2068" s="109">
        <v>283</v>
      </c>
      <c r="F2068" s="110">
        <v>12884</v>
      </c>
      <c r="G2068" s="109" t="s">
        <v>120</v>
      </c>
      <c r="H2068" s="109">
        <v>46</v>
      </c>
      <c r="I2068" s="109">
        <v>125</v>
      </c>
      <c r="J2068" s="110">
        <v>640</v>
      </c>
    </row>
    <row r="2069" spans="1:10">
      <c r="A2069" s="103" t="s">
        <v>3680</v>
      </c>
      <c r="B2069" s="124" t="s">
        <v>3681</v>
      </c>
      <c r="C2069" s="110">
        <v>10959</v>
      </c>
      <c r="D2069" s="109" t="s">
        <v>120</v>
      </c>
      <c r="E2069" s="109">
        <v>110</v>
      </c>
      <c r="F2069" s="110">
        <v>3707</v>
      </c>
      <c r="G2069" s="109" t="s">
        <v>120</v>
      </c>
      <c r="H2069" s="109">
        <v>34</v>
      </c>
      <c r="I2069" s="109">
        <v>1233</v>
      </c>
      <c r="J2069" s="110">
        <v>2064</v>
      </c>
    </row>
    <row r="2070" spans="1:10">
      <c r="A2070" s="103" t="s">
        <v>3682</v>
      </c>
      <c r="B2070" s="124" t="s">
        <v>3683</v>
      </c>
      <c r="C2070" s="110">
        <v>4672</v>
      </c>
      <c r="D2070" s="109" t="s">
        <v>120</v>
      </c>
      <c r="E2070" s="109">
        <v>47</v>
      </c>
      <c r="F2070" s="110">
        <v>1646</v>
      </c>
      <c r="G2070" s="105" t="s">
        <v>1075</v>
      </c>
      <c r="H2070" s="109">
        <v>35</v>
      </c>
      <c r="I2070" s="109">
        <v>2047</v>
      </c>
      <c r="J2070" s="110">
        <v>2304</v>
      </c>
    </row>
    <row r="2071" spans="1:10">
      <c r="A2071" s="103" t="s">
        <v>3684</v>
      </c>
      <c r="B2071" s="124" t="s">
        <v>3685</v>
      </c>
      <c r="C2071" s="110">
        <v>11949</v>
      </c>
      <c r="D2071" s="109" t="s">
        <v>120</v>
      </c>
      <c r="E2071" s="109">
        <v>119</v>
      </c>
      <c r="F2071" s="110">
        <v>4293</v>
      </c>
      <c r="G2071" s="109" t="s">
        <v>120</v>
      </c>
      <c r="H2071" s="109">
        <v>36</v>
      </c>
      <c r="I2071" s="109">
        <v>1061</v>
      </c>
      <c r="J2071" s="110">
        <v>1925</v>
      </c>
    </row>
    <row r="2072" spans="1:10">
      <c r="A2072" s="103" t="s">
        <v>3686</v>
      </c>
      <c r="B2072" s="124" t="s">
        <v>3687</v>
      </c>
      <c r="C2072" s="110">
        <v>8873</v>
      </c>
      <c r="D2072" s="109" t="s">
        <v>120</v>
      </c>
      <c r="E2072" s="109">
        <v>89</v>
      </c>
      <c r="F2072" s="110">
        <v>3645</v>
      </c>
      <c r="G2072" s="109" t="s">
        <v>120</v>
      </c>
      <c r="H2072" s="109">
        <v>41</v>
      </c>
      <c r="I2072" s="109">
        <v>1548</v>
      </c>
      <c r="J2072" s="110">
        <v>2076</v>
      </c>
    </row>
    <row r="2073" spans="1:10" s="119" customFormat="1">
      <c r="A2073" s="123" t="s">
        <v>120</v>
      </c>
      <c r="B2073" s="275" t="s">
        <v>1026</v>
      </c>
      <c r="C2073" s="276"/>
      <c r="D2073" s="276"/>
      <c r="E2073" s="276"/>
      <c r="F2073" s="276"/>
      <c r="G2073" s="276"/>
      <c r="H2073" s="276"/>
      <c r="I2073" s="276"/>
      <c r="J2073" s="276"/>
    </row>
    <row r="2074" spans="1:10">
      <c r="A2074" s="103" t="s">
        <v>3688</v>
      </c>
      <c r="B2074" s="124" t="s">
        <v>3689</v>
      </c>
      <c r="C2074" s="110">
        <v>10991</v>
      </c>
      <c r="D2074" s="109" t="s">
        <v>120</v>
      </c>
      <c r="E2074" s="109">
        <v>110</v>
      </c>
      <c r="F2074" s="110">
        <v>2813</v>
      </c>
      <c r="G2074" s="109" t="s">
        <v>120</v>
      </c>
      <c r="H2074" s="109">
        <v>26</v>
      </c>
      <c r="I2074" s="109">
        <v>1228</v>
      </c>
      <c r="J2074" s="110">
        <v>2222</v>
      </c>
    </row>
    <row r="2075" spans="1:10">
      <c r="A2075" s="103" t="s">
        <v>3690</v>
      </c>
      <c r="B2075" s="124" t="s">
        <v>932</v>
      </c>
      <c r="C2075" s="110">
        <v>2806</v>
      </c>
      <c r="D2075" s="109" t="s">
        <v>120</v>
      </c>
      <c r="E2075" s="109">
        <v>28</v>
      </c>
      <c r="F2075" s="110">
        <v>1924</v>
      </c>
      <c r="G2075" s="109" t="s">
        <v>120</v>
      </c>
      <c r="H2075" s="109">
        <v>69</v>
      </c>
      <c r="I2075" s="109" t="s">
        <v>122</v>
      </c>
      <c r="J2075" s="110" t="s">
        <v>122</v>
      </c>
    </row>
    <row r="2076" spans="1:10">
      <c r="A2076" s="103" t="s">
        <v>3691</v>
      </c>
      <c r="B2076" s="124" t="s">
        <v>934</v>
      </c>
      <c r="C2076" s="110">
        <v>8185</v>
      </c>
      <c r="D2076" s="109" t="s">
        <v>120</v>
      </c>
      <c r="E2076" s="109">
        <v>82</v>
      </c>
      <c r="F2076" s="110">
        <v>889</v>
      </c>
      <c r="G2076" s="109" t="s">
        <v>120</v>
      </c>
      <c r="H2076" s="109">
        <v>11</v>
      </c>
      <c r="I2076" s="109" t="s">
        <v>122</v>
      </c>
      <c r="J2076" s="110" t="s">
        <v>122</v>
      </c>
    </row>
    <row r="2077" spans="1:10" s="119" customFormat="1">
      <c r="A2077" s="123" t="s">
        <v>120</v>
      </c>
      <c r="B2077" s="273" t="s">
        <v>3692</v>
      </c>
      <c r="C2077" s="274"/>
      <c r="D2077" s="274"/>
      <c r="E2077" s="274"/>
      <c r="F2077" s="274"/>
      <c r="G2077" s="274"/>
      <c r="H2077" s="274"/>
      <c r="I2077" s="274"/>
      <c r="J2077" s="274"/>
    </row>
    <row r="2078" spans="1:10" s="119" customFormat="1">
      <c r="A2078" s="123" t="s">
        <v>120</v>
      </c>
      <c r="B2078" s="275" t="s">
        <v>936</v>
      </c>
      <c r="C2078" s="276"/>
      <c r="D2078" s="276"/>
      <c r="E2078" s="276"/>
      <c r="F2078" s="276"/>
      <c r="G2078" s="276"/>
      <c r="H2078" s="276"/>
      <c r="I2078" s="276"/>
      <c r="J2078" s="276"/>
    </row>
    <row r="2079" spans="1:10">
      <c r="A2079" s="103" t="s">
        <v>3693</v>
      </c>
      <c r="B2079" s="124" t="s">
        <v>1828</v>
      </c>
      <c r="C2079" s="110">
        <v>2391</v>
      </c>
      <c r="D2079" s="109" t="s">
        <v>120</v>
      </c>
      <c r="E2079" s="109">
        <v>24</v>
      </c>
      <c r="F2079" s="110">
        <v>20724</v>
      </c>
      <c r="G2079" s="109" t="s">
        <v>120</v>
      </c>
      <c r="H2079" s="109">
        <v>867</v>
      </c>
      <c r="I2079" s="109">
        <v>2204</v>
      </c>
      <c r="J2079" s="110">
        <v>326</v>
      </c>
    </row>
    <row r="2080" spans="1:10">
      <c r="A2080" s="103" t="s">
        <v>3694</v>
      </c>
      <c r="B2080" s="124" t="s">
        <v>3695</v>
      </c>
      <c r="C2080" s="110">
        <v>4731</v>
      </c>
      <c r="D2080" s="109" t="s">
        <v>120</v>
      </c>
      <c r="E2080" s="109">
        <v>47</v>
      </c>
      <c r="F2080" s="110">
        <v>44635</v>
      </c>
      <c r="G2080" s="109" t="s">
        <v>120</v>
      </c>
      <c r="H2080" s="109">
        <v>943</v>
      </c>
      <c r="I2080" s="109">
        <v>2041</v>
      </c>
      <c r="J2080" s="110">
        <v>111</v>
      </c>
    </row>
    <row r="2081" spans="1:10" s="119" customFormat="1">
      <c r="A2081" s="123" t="s">
        <v>120</v>
      </c>
      <c r="B2081" s="275" t="s">
        <v>943</v>
      </c>
      <c r="C2081" s="276"/>
      <c r="D2081" s="276"/>
      <c r="E2081" s="276"/>
      <c r="F2081" s="276"/>
      <c r="G2081" s="276"/>
      <c r="H2081" s="276"/>
      <c r="I2081" s="276"/>
      <c r="J2081" s="276"/>
    </row>
    <row r="2082" spans="1:10">
      <c r="A2082" s="103" t="s">
        <v>3696</v>
      </c>
      <c r="B2082" s="124" t="s">
        <v>3697</v>
      </c>
      <c r="C2082" s="110">
        <v>8892</v>
      </c>
      <c r="D2082" s="109" t="s">
        <v>120</v>
      </c>
      <c r="E2082" s="109">
        <v>89</v>
      </c>
      <c r="F2082" s="110">
        <v>11732</v>
      </c>
      <c r="G2082" s="109" t="s">
        <v>120</v>
      </c>
      <c r="H2082" s="109">
        <v>132</v>
      </c>
      <c r="I2082" s="109">
        <v>1544</v>
      </c>
      <c r="J2082" s="110">
        <v>723</v>
      </c>
    </row>
    <row r="2083" spans="1:10">
      <c r="A2083" s="103" t="s">
        <v>3698</v>
      </c>
      <c r="B2083" s="124" t="s">
        <v>3699</v>
      </c>
      <c r="C2083" s="110">
        <v>10650</v>
      </c>
      <c r="D2083" s="109" t="s">
        <v>120</v>
      </c>
      <c r="E2083" s="109">
        <v>107</v>
      </c>
      <c r="F2083" s="110">
        <v>8230</v>
      </c>
      <c r="G2083" s="109" t="s">
        <v>120</v>
      </c>
      <c r="H2083" s="109">
        <v>77</v>
      </c>
      <c r="I2083" s="109">
        <v>1281</v>
      </c>
      <c r="J2083" s="110">
        <v>1089</v>
      </c>
    </row>
    <row r="2084" spans="1:10">
      <c r="A2084" s="103" t="s">
        <v>3700</v>
      </c>
      <c r="B2084" s="124" t="s">
        <v>3701</v>
      </c>
      <c r="C2084" s="110">
        <v>6798</v>
      </c>
      <c r="D2084" s="109" t="s">
        <v>120</v>
      </c>
      <c r="E2084" s="109">
        <v>68</v>
      </c>
      <c r="F2084" s="110">
        <v>3636</v>
      </c>
      <c r="G2084" s="109" t="s">
        <v>120</v>
      </c>
      <c r="H2084" s="109">
        <v>53</v>
      </c>
      <c r="I2084" s="109">
        <v>1871</v>
      </c>
      <c r="J2084" s="110">
        <v>2078</v>
      </c>
    </row>
    <row r="2085" spans="1:10">
      <c r="A2085" s="103" t="s">
        <v>3702</v>
      </c>
      <c r="B2085" s="124" t="s">
        <v>3703</v>
      </c>
      <c r="C2085" s="110">
        <v>9768</v>
      </c>
      <c r="D2085" s="109" t="s">
        <v>120</v>
      </c>
      <c r="E2085" s="109">
        <v>98</v>
      </c>
      <c r="F2085" s="110">
        <v>6388</v>
      </c>
      <c r="G2085" s="109" t="s">
        <v>120</v>
      </c>
      <c r="H2085" s="109">
        <v>65</v>
      </c>
      <c r="I2085" s="109">
        <v>1426</v>
      </c>
      <c r="J2085" s="110">
        <v>1424</v>
      </c>
    </row>
    <row r="2086" spans="1:10">
      <c r="A2086" s="103" t="s">
        <v>3704</v>
      </c>
      <c r="B2086" s="124" t="s">
        <v>3705</v>
      </c>
      <c r="C2086" s="110">
        <v>10212</v>
      </c>
      <c r="D2086" s="109" t="s">
        <v>120</v>
      </c>
      <c r="E2086" s="109">
        <v>102</v>
      </c>
      <c r="F2086" s="110">
        <v>13108</v>
      </c>
      <c r="G2086" s="109" t="s">
        <v>120</v>
      </c>
      <c r="H2086" s="109">
        <v>128</v>
      </c>
      <c r="I2086" s="109">
        <v>1354</v>
      </c>
      <c r="J2086" s="110">
        <v>621</v>
      </c>
    </row>
    <row r="2087" spans="1:10" s="119" customFormat="1">
      <c r="A2087" s="123" t="s">
        <v>120</v>
      </c>
      <c r="B2087" s="275" t="s">
        <v>929</v>
      </c>
      <c r="C2087" s="276"/>
      <c r="D2087" s="276"/>
      <c r="E2087" s="276"/>
      <c r="F2087" s="276"/>
      <c r="G2087" s="276"/>
      <c r="H2087" s="276"/>
      <c r="I2087" s="276"/>
      <c r="J2087" s="276"/>
    </row>
    <row r="2088" spans="1:10">
      <c r="A2088" s="103" t="s">
        <v>3706</v>
      </c>
      <c r="B2088" s="124" t="s">
        <v>3707</v>
      </c>
      <c r="C2088" s="110">
        <v>8150</v>
      </c>
      <c r="D2088" s="109" t="s">
        <v>120</v>
      </c>
      <c r="E2088" s="109">
        <v>81</v>
      </c>
      <c r="F2088" s="110">
        <v>15899</v>
      </c>
      <c r="G2088" s="109" t="s">
        <v>120</v>
      </c>
      <c r="H2088" s="109">
        <v>195</v>
      </c>
      <c r="I2088" s="109">
        <v>1681</v>
      </c>
      <c r="J2088" s="110">
        <v>477</v>
      </c>
    </row>
    <row r="2089" spans="1:10">
      <c r="A2089" s="103" t="s">
        <v>3708</v>
      </c>
      <c r="B2089" s="124" t="s">
        <v>932</v>
      </c>
      <c r="C2089" s="110">
        <v>2812</v>
      </c>
      <c r="D2089" s="109" t="s">
        <v>120</v>
      </c>
      <c r="E2089" s="109">
        <v>28</v>
      </c>
      <c r="F2089" s="110">
        <v>9826</v>
      </c>
      <c r="G2089" s="109" t="s">
        <v>120</v>
      </c>
      <c r="H2089" s="109">
        <v>349</v>
      </c>
      <c r="I2089" s="109" t="s">
        <v>122</v>
      </c>
      <c r="J2089" s="110" t="s">
        <v>122</v>
      </c>
    </row>
    <row r="2090" spans="1:10">
      <c r="A2090" s="103" t="s">
        <v>3709</v>
      </c>
      <c r="B2090" s="124" t="s">
        <v>934</v>
      </c>
      <c r="C2090" s="110">
        <v>5338</v>
      </c>
      <c r="D2090" s="109" t="s">
        <v>120</v>
      </c>
      <c r="E2090" s="109">
        <v>53</v>
      </c>
      <c r="F2090" s="110">
        <v>6073</v>
      </c>
      <c r="G2090" s="109" t="s">
        <v>120</v>
      </c>
      <c r="H2090" s="109">
        <v>114</v>
      </c>
      <c r="I2090" s="109" t="s">
        <v>122</v>
      </c>
      <c r="J2090" s="110" t="s">
        <v>122</v>
      </c>
    </row>
    <row r="2091" spans="1:10" s="119" customFormat="1">
      <c r="A2091" s="123" t="s">
        <v>120</v>
      </c>
      <c r="B2091" s="273" t="s">
        <v>3710</v>
      </c>
      <c r="C2091" s="274"/>
      <c r="D2091" s="274"/>
      <c r="E2091" s="274"/>
      <c r="F2091" s="274"/>
      <c r="G2091" s="274"/>
      <c r="H2091" s="274"/>
      <c r="I2091" s="274"/>
      <c r="J2091" s="274"/>
    </row>
    <row r="2092" spans="1:10" s="119" customFormat="1">
      <c r="A2092" s="123" t="s">
        <v>120</v>
      </c>
      <c r="B2092" s="275" t="s">
        <v>943</v>
      </c>
      <c r="C2092" s="276"/>
      <c r="D2092" s="276"/>
      <c r="E2092" s="276"/>
      <c r="F2092" s="276"/>
      <c r="G2092" s="276"/>
      <c r="H2092" s="276"/>
      <c r="I2092" s="276"/>
      <c r="J2092" s="276"/>
    </row>
    <row r="2093" spans="1:10">
      <c r="A2093" s="103" t="s">
        <v>3711</v>
      </c>
      <c r="B2093" s="124" t="s">
        <v>3712</v>
      </c>
      <c r="C2093" s="110">
        <v>6930</v>
      </c>
      <c r="D2093" s="109" t="s">
        <v>120</v>
      </c>
      <c r="E2093" s="109">
        <v>69</v>
      </c>
      <c r="F2093" s="110">
        <v>28500</v>
      </c>
      <c r="G2093" s="109" t="s">
        <v>120</v>
      </c>
      <c r="H2093" s="109">
        <v>411</v>
      </c>
      <c r="I2093" s="109">
        <v>1858</v>
      </c>
      <c r="J2093" s="110">
        <v>202</v>
      </c>
    </row>
    <row r="2094" spans="1:10">
      <c r="A2094" s="103" t="s">
        <v>3713</v>
      </c>
      <c r="B2094" s="124" t="s">
        <v>3714</v>
      </c>
      <c r="C2094" s="110">
        <v>8647</v>
      </c>
      <c r="D2094" s="109" t="s">
        <v>120</v>
      </c>
      <c r="E2094" s="109">
        <v>87</v>
      </c>
      <c r="F2094" s="110">
        <v>11199</v>
      </c>
      <c r="G2094" s="109" t="s">
        <v>120</v>
      </c>
      <c r="H2094" s="109">
        <v>130</v>
      </c>
      <c r="I2094" s="109">
        <v>1584</v>
      </c>
      <c r="J2094" s="110">
        <v>768</v>
      </c>
    </row>
    <row r="2095" spans="1:10" s="119" customFormat="1">
      <c r="A2095" s="123" t="s">
        <v>120</v>
      </c>
      <c r="B2095" s="275" t="s">
        <v>947</v>
      </c>
      <c r="C2095" s="276"/>
      <c r="D2095" s="276"/>
      <c r="E2095" s="276"/>
      <c r="F2095" s="276"/>
      <c r="G2095" s="276"/>
      <c r="H2095" s="276"/>
      <c r="I2095" s="276"/>
      <c r="J2095" s="276"/>
    </row>
    <row r="2096" spans="1:10">
      <c r="A2096" s="103" t="s">
        <v>3715</v>
      </c>
      <c r="B2096" s="124" t="s">
        <v>3716</v>
      </c>
      <c r="C2096" s="110">
        <v>14412</v>
      </c>
      <c r="D2096" s="109" t="s">
        <v>120</v>
      </c>
      <c r="E2096" s="109">
        <v>144</v>
      </c>
      <c r="F2096" s="110">
        <v>27063</v>
      </c>
      <c r="G2096" s="109" t="s">
        <v>120</v>
      </c>
      <c r="H2096" s="109">
        <v>188</v>
      </c>
      <c r="I2096" s="109">
        <v>739</v>
      </c>
      <c r="J2096" s="110">
        <v>217</v>
      </c>
    </row>
    <row r="2097" spans="1:10">
      <c r="A2097" s="103" t="s">
        <v>3717</v>
      </c>
      <c r="B2097" s="124" t="s">
        <v>932</v>
      </c>
      <c r="C2097" s="110">
        <v>1367</v>
      </c>
      <c r="D2097" s="109" t="s">
        <v>120</v>
      </c>
      <c r="E2097" s="109">
        <v>14</v>
      </c>
      <c r="F2097" s="110">
        <v>12109</v>
      </c>
      <c r="G2097" s="109" t="s">
        <v>120</v>
      </c>
      <c r="H2097" s="109">
        <v>886</v>
      </c>
      <c r="I2097" s="109" t="s">
        <v>122</v>
      </c>
      <c r="J2097" s="110" t="s">
        <v>122</v>
      </c>
    </row>
    <row r="2098" spans="1:10">
      <c r="A2098" s="103" t="s">
        <v>3718</v>
      </c>
      <c r="B2098" s="124" t="s">
        <v>934</v>
      </c>
      <c r="C2098" s="110">
        <v>13045</v>
      </c>
      <c r="D2098" s="109" t="s">
        <v>120</v>
      </c>
      <c r="E2098" s="109">
        <v>130</v>
      </c>
      <c r="F2098" s="110">
        <v>14954</v>
      </c>
      <c r="G2098" s="109" t="s">
        <v>120</v>
      </c>
      <c r="H2098" s="109">
        <v>115</v>
      </c>
      <c r="I2098" s="109" t="s">
        <v>122</v>
      </c>
      <c r="J2098" s="110" t="s">
        <v>122</v>
      </c>
    </row>
    <row r="2099" spans="1:10">
      <c r="A2099" s="103" t="s">
        <v>3719</v>
      </c>
      <c r="B2099" s="124" t="s">
        <v>3720</v>
      </c>
      <c r="C2099" s="110">
        <v>7858</v>
      </c>
      <c r="D2099" s="109" t="s">
        <v>120</v>
      </c>
      <c r="E2099" s="109">
        <v>79</v>
      </c>
      <c r="F2099" s="110">
        <v>24726</v>
      </c>
      <c r="G2099" s="109" t="s">
        <v>120</v>
      </c>
      <c r="H2099" s="109">
        <v>315</v>
      </c>
      <c r="I2099" s="109">
        <v>1721</v>
      </c>
      <c r="J2099" s="110">
        <v>250</v>
      </c>
    </row>
    <row r="2100" spans="1:10">
      <c r="A2100" s="103" t="s">
        <v>3721</v>
      </c>
      <c r="B2100" s="124" t="s">
        <v>932</v>
      </c>
      <c r="C2100" s="110">
        <v>1774</v>
      </c>
      <c r="D2100" s="109" t="s">
        <v>120</v>
      </c>
      <c r="E2100" s="109">
        <v>18</v>
      </c>
      <c r="F2100" s="110">
        <v>17040</v>
      </c>
      <c r="G2100" s="109" t="s">
        <v>120</v>
      </c>
      <c r="H2100" s="109">
        <v>961</v>
      </c>
      <c r="I2100" s="109" t="s">
        <v>122</v>
      </c>
      <c r="J2100" s="110" t="s">
        <v>122</v>
      </c>
    </row>
    <row r="2101" spans="1:10">
      <c r="A2101" s="103" t="s">
        <v>3722</v>
      </c>
      <c r="B2101" s="124" t="s">
        <v>934</v>
      </c>
      <c r="C2101" s="110">
        <v>6084</v>
      </c>
      <c r="D2101" s="109" t="s">
        <v>120</v>
      </c>
      <c r="E2101" s="109">
        <v>61</v>
      </c>
      <c r="F2101" s="110">
        <v>7686</v>
      </c>
      <c r="G2101" s="109" t="s">
        <v>120</v>
      </c>
      <c r="H2101" s="109">
        <v>126</v>
      </c>
      <c r="I2101" s="109" t="s">
        <v>122</v>
      </c>
      <c r="J2101" s="110" t="s">
        <v>122</v>
      </c>
    </row>
    <row r="2102" spans="1:10">
      <c r="A2102" s="103" t="s">
        <v>3723</v>
      </c>
      <c r="B2102" s="124" t="s">
        <v>3724</v>
      </c>
      <c r="C2102" s="110">
        <v>12826</v>
      </c>
      <c r="D2102" s="109" t="s">
        <v>120</v>
      </c>
      <c r="E2102" s="109">
        <v>128</v>
      </c>
      <c r="F2102" s="110">
        <v>85226</v>
      </c>
      <c r="G2102" s="109" t="s">
        <v>120</v>
      </c>
      <c r="H2102" s="109">
        <v>664</v>
      </c>
      <c r="I2102" s="109">
        <v>940</v>
      </c>
      <c r="J2102" s="110">
        <v>44</v>
      </c>
    </row>
    <row r="2103" spans="1:10">
      <c r="A2103" s="103" t="s">
        <v>3725</v>
      </c>
      <c r="B2103" s="124" t="s">
        <v>932</v>
      </c>
      <c r="C2103" s="110">
        <v>1622</v>
      </c>
      <c r="D2103" s="109" t="s">
        <v>120</v>
      </c>
      <c r="E2103" s="109">
        <v>16</v>
      </c>
      <c r="F2103" s="110">
        <v>48450</v>
      </c>
      <c r="G2103" s="109" t="s">
        <v>120</v>
      </c>
      <c r="H2103" s="109">
        <v>2987</v>
      </c>
      <c r="I2103" s="109" t="s">
        <v>122</v>
      </c>
      <c r="J2103" s="110" t="s">
        <v>122</v>
      </c>
    </row>
    <row r="2104" spans="1:10">
      <c r="A2104" s="103" t="s">
        <v>3726</v>
      </c>
      <c r="B2104" s="124" t="s">
        <v>934</v>
      </c>
      <c r="C2104" s="110">
        <v>11204</v>
      </c>
      <c r="D2104" s="109" t="s">
        <v>120</v>
      </c>
      <c r="E2104" s="109">
        <v>112</v>
      </c>
      <c r="F2104" s="110">
        <v>36776</v>
      </c>
      <c r="G2104" s="109" t="s">
        <v>120</v>
      </c>
      <c r="H2104" s="109">
        <v>328</v>
      </c>
      <c r="I2104" s="109" t="s">
        <v>122</v>
      </c>
      <c r="J2104" s="110" t="s">
        <v>122</v>
      </c>
    </row>
    <row r="2105" spans="1:10">
      <c r="A2105" s="103" t="s">
        <v>3727</v>
      </c>
      <c r="B2105" s="124" t="s">
        <v>3728</v>
      </c>
      <c r="C2105" s="110">
        <v>11427</v>
      </c>
      <c r="D2105" s="109" t="s">
        <v>120</v>
      </c>
      <c r="E2105" s="109">
        <v>114</v>
      </c>
      <c r="F2105" s="110">
        <v>11567</v>
      </c>
      <c r="G2105" s="109" t="s">
        <v>120</v>
      </c>
      <c r="H2105" s="109">
        <v>101</v>
      </c>
      <c r="I2105" s="109">
        <v>1137</v>
      </c>
      <c r="J2105" s="110">
        <v>734</v>
      </c>
    </row>
    <row r="2106" spans="1:10">
      <c r="A2106" s="103" t="s">
        <v>3729</v>
      </c>
      <c r="B2106" s="124" t="s">
        <v>932</v>
      </c>
      <c r="C2106" s="110">
        <v>523</v>
      </c>
      <c r="D2106" s="109" t="s">
        <v>120</v>
      </c>
      <c r="E2106" s="109">
        <v>5</v>
      </c>
      <c r="F2106" s="110">
        <v>4132</v>
      </c>
      <c r="G2106" s="109" t="s">
        <v>120</v>
      </c>
      <c r="H2106" s="109">
        <v>790</v>
      </c>
      <c r="I2106" s="109" t="s">
        <v>122</v>
      </c>
      <c r="J2106" s="110" t="s">
        <v>122</v>
      </c>
    </row>
    <row r="2107" spans="1:10">
      <c r="A2107" s="103" t="s">
        <v>3730</v>
      </c>
      <c r="B2107" s="124" t="s">
        <v>934</v>
      </c>
      <c r="C2107" s="110">
        <v>10904</v>
      </c>
      <c r="D2107" s="109" t="s">
        <v>120</v>
      </c>
      <c r="E2107" s="109">
        <v>109</v>
      </c>
      <c r="F2107" s="110">
        <v>7435</v>
      </c>
      <c r="G2107" s="109" t="s">
        <v>120</v>
      </c>
      <c r="H2107" s="109">
        <v>68</v>
      </c>
      <c r="I2107" s="109" t="s">
        <v>122</v>
      </c>
      <c r="J2107" s="110" t="s">
        <v>122</v>
      </c>
    </row>
    <row r="2108" spans="1:10" s="119" customFormat="1">
      <c r="A2108" s="123" t="s">
        <v>120</v>
      </c>
      <c r="B2108" s="273" t="s">
        <v>3731</v>
      </c>
      <c r="C2108" s="274"/>
      <c r="D2108" s="274"/>
      <c r="E2108" s="274"/>
      <c r="F2108" s="274"/>
      <c r="G2108" s="274"/>
      <c r="H2108" s="274"/>
      <c r="I2108" s="274"/>
      <c r="J2108" s="274"/>
    </row>
    <row r="2109" spans="1:10" s="119" customFormat="1">
      <c r="A2109" s="123" t="s">
        <v>120</v>
      </c>
      <c r="B2109" s="275" t="s">
        <v>943</v>
      </c>
      <c r="C2109" s="276"/>
      <c r="D2109" s="276"/>
      <c r="E2109" s="276"/>
      <c r="F2109" s="276"/>
      <c r="G2109" s="276"/>
      <c r="H2109" s="276"/>
      <c r="I2109" s="276"/>
      <c r="J2109" s="276"/>
    </row>
    <row r="2110" spans="1:10">
      <c r="A2110" s="103" t="s">
        <v>3732</v>
      </c>
      <c r="B2110" s="124" t="s">
        <v>3733</v>
      </c>
      <c r="C2110" s="110">
        <v>12517</v>
      </c>
      <c r="D2110" s="109" t="s">
        <v>120</v>
      </c>
      <c r="E2110" s="109">
        <v>125</v>
      </c>
      <c r="F2110" s="110">
        <v>9071</v>
      </c>
      <c r="G2110" s="109" t="s">
        <v>120</v>
      </c>
      <c r="H2110" s="109">
        <v>72</v>
      </c>
      <c r="I2110" s="109">
        <v>975</v>
      </c>
      <c r="J2110" s="110">
        <v>973</v>
      </c>
    </row>
    <row r="2111" spans="1:10">
      <c r="A2111" s="103" t="s">
        <v>3734</v>
      </c>
      <c r="B2111" s="124" t="s">
        <v>3735</v>
      </c>
      <c r="C2111" s="110">
        <v>13635</v>
      </c>
      <c r="D2111" s="109" t="s">
        <v>120</v>
      </c>
      <c r="E2111" s="109">
        <v>136</v>
      </c>
      <c r="F2111" s="110">
        <v>8187</v>
      </c>
      <c r="G2111" s="109" t="s">
        <v>120</v>
      </c>
      <c r="H2111" s="109">
        <v>60</v>
      </c>
      <c r="I2111" s="109">
        <v>819</v>
      </c>
      <c r="J2111" s="110">
        <v>1096</v>
      </c>
    </row>
    <row r="2112" spans="1:10">
      <c r="A2112" s="103" t="s">
        <v>3736</v>
      </c>
      <c r="B2112" s="124" t="s">
        <v>3737</v>
      </c>
      <c r="C2112" s="110">
        <v>15984</v>
      </c>
      <c r="D2112" s="109" t="s">
        <v>120</v>
      </c>
      <c r="E2112" s="109">
        <v>159</v>
      </c>
      <c r="F2112" s="110">
        <v>8267</v>
      </c>
      <c r="G2112" s="109" t="s">
        <v>120</v>
      </c>
      <c r="H2112" s="109">
        <v>52</v>
      </c>
      <c r="I2112" s="109">
        <v>597</v>
      </c>
      <c r="J2112" s="110">
        <v>1082</v>
      </c>
    </row>
    <row r="2113" spans="1:10">
      <c r="A2113" s="103" t="s">
        <v>3738</v>
      </c>
      <c r="B2113" s="124" t="s">
        <v>3739</v>
      </c>
      <c r="C2113" s="110">
        <v>11693</v>
      </c>
      <c r="D2113" s="109" t="s">
        <v>120</v>
      </c>
      <c r="E2113" s="109">
        <v>117</v>
      </c>
      <c r="F2113" s="110">
        <v>5512</v>
      </c>
      <c r="G2113" s="109" t="s">
        <v>120</v>
      </c>
      <c r="H2113" s="109">
        <v>47</v>
      </c>
      <c r="I2113" s="109">
        <v>1098</v>
      </c>
      <c r="J2113" s="110">
        <v>1612</v>
      </c>
    </row>
    <row r="2114" spans="1:10">
      <c r="A2114" s="103" t="s">
        <v>3740</v>
      </c>
      <c r="B2114" s="124" t="s">
        <v>3741</v>
      </c>
      <c r="C2114" s="110">
        <v>9399</v>
      </c>
      <c r="D2114" s="109" t="s">
        <v>120</v>
      </c>
      <c r="E2114" s="109">
        <v>94</v>
      </c>
      <c r="F2114" s="110">
        <v>5408</v>
      </c>
      <c r="G2114" s="109" t="s">
        <v>120</v>
      </c>
      <c r="H2114" s="109">
        <v>58</v>
      </c>
      <c r="I2114" s="109">
        <v>1487</v>
      </c>
      <c r="J2114" s="110">
        <v>1631</v>
      </c>
    </row>
    <row r="2115" spans="1:10">
      <c r="A2115" s="103" t="s">
        <v>3742</v>
      </c>
      <c r="B2115" s="124" t="s">
        <v>3743</v>
      </c>
      <c r="C2115" s="110">
        <v>10878</v>
      </c>
      <c r="D2115" s="109" t="s">
        <v>120</v>
      </c>
      <c r="E2115" s="109">
        <v>109</v>
      </c>
      <c r="F2115" s="110">
        <v>5968</v>
      </c>
      <c r="G2115" s="109" t="s">
        <v>120</v>
      </c>
      <c r="H2115" s="109">
        <v>55</v>
      </c>
      <c r="I2115" s="109">
        <v>1243</v>
      </c>
      <c r="J2115" s="110">
        <v>1517</v>
      </c>
    </row>
    <row r="2116" spans="1:10">
      <c r="A2116" s="103" t="s">
        <v>3744</v>
      </c>
      <c r="B2116" s="124" t="s">
        <v>3745</v>
      </c>
      <c r="C2116" s="110">
        <v>14623</v>
      </c>
      <c r="D2116" s="109" t="s">
        <v>120</v>
      </c>
      <c r="E2116" s="109">
        <v>146</v>
      </c>
      <c r="F2116" s="110">
        <v>3977</v>
      </c>
      <c r="G2116" s="109" t="s">
        <v>120</v>
      </c>
      <c r="H2116" s="109">
        <v>27</v>
      </c>
      <c r="I2116" s="109">
        <v>715</v>
      </c>
      <c r="J2116" s="110">
        <v>1997</v>
      </c>
    </row>
    <row r="2117" spans="1:10">
      <c r="A2117" s="103" t="s">
        <v>3746</v>
      </c>
      <c r="B2117" s="124" t="s">
        <v>3747</v>
      </c>
      <c r="C2117" s="110">
        <v>10445</v>
      </c>
      <c r="D2117" s="109" t="s">
        <v>120</v>
      </c>
      <c r="E2117" s="109">
        <v>104</v>
      </c>
      <c r="F2117" s="110">
        <v>8500</v>
      </c>
      <c r="G2117" s="109" t="s">
        <v>120</v>
      </c>
      <c r="H2117" s="109">
        <v>81</v>
      </c>
      <c r="I2117" s="109">
        <v>1310</v>
      </c>
      <c r="J2117" s="110">
        <v>1054</v>
      </c>
    </row>
    <row r="2118" spans="1:10">
      <c r="A2118" s="103" t="s">
        <v>3748</v>
      </c>
      <c r="B2118" s="124" t="s">
        <v>2342</v>
      </c>
      <c r="C2118" s="110">
        <v>9582</v>
      </c>
      <c r="D2118" s="109" t="s">
        <v>120</v>
      </c>
      <c r="E2118" s="109">
        <v>96</v>
      </c>
      <c r="F2118" s="110">
        <v>4429</v>
      </c>
      <c r="G2118" s="109" t="s">
        <v>120</v>
      </c>
      <c r="H2118" s="109">
        <v>46</v>
      </c>
      <c r="I2118" s="109">
        <v>1453</v>
      </c>
      <c r="J2118" s="110">
        <v>1884</v>
      </c>
    </row>
    <row r="2119" spans="1:10">
      <c r="A2119" s="103" t="s">
        <v>3749</v>
      </c>
      <c r="B2119" s="124" t="s">
        <v>3750</v>
      </c>
      <c r="C2119" s="110">
        <v>7493</v>
      </c>
      <c r="D2119" s="109" t="s">
        <v>120</v>
      </c>
      <c r="E2119" s="109">
        <v>75</v>
      </c>
      <c r="F2119" s="110">
        <v>7958</v>
      </c>
      <c r="G2119" s="109" t="s">
        <v>120</v>
      </c>
      <c r="H2119" s="109">
        <v>106</v>
      </c>
      <c r="I2119" s="109">
        <v>1780</v>
      </c>
      <c r="J2119" s="110">
        <v>1131</v>
      </c>
    </row>
    <row r="2120" spans="1:10">
      <c r="A2120" s="103" t="s">
        <v>3751</v>
      </c>
      <c r="B2120" s="124" t="s">
        <v>3752</v>
      </c>
      <c r="C2120" s="110">
        <v>11112</v>
      </c>
      <c r="D2120" s="109" t="s">
        <v>120</v>
      </c>
      <c r="E2120" s="109">
        <v>111</v>
      </c>
      <c r="F2120" s="110">
        <v>11968</v>
      </c>
      <c r="G2120" s="109" t="s">
        <v>120</v>
      </c>
      <c r="H2120" s="109">
        <v>108</v>
      </c>
      <c r="I2120" s="109">
        <v>1197</v>
      </c>
      <c r="J2120" s="110">
        <v>700</v>
      </c>
    </row>
    <row r="2121" spans="1:10">
      <c r="A2121" s="103" t="s">
        <v>3753</v>
      </c>
      <c r="B2121" s="124" t="s">
        <v>3754</v>
      </c>
      <c r="C2121" s="110">
        <v>13766</v>
      </c>
      <c r="D2121" s="109" t="s">
        <v>120</v>
      </c>
      <c r="E2121" s="109">
        <v>138</v>
      </c>
      <c r="F2121" s="110">
        <v>7216</v>
      </c>
      <c r="G2121" s="109" t="s">
        <v>120</v>
      </c>
      <c r="H2121" s="109">
        <v>52</v>
      </c>
      <c r="I2121" s="109">
        <v>808</v>
      </c>
      <c r="J2121" s="110">
        <v>1255</v>
      </c>
    </row>
    <row r="2122" spans="1:10" s="119" customFormat="1">
      <c r="A2122" s="123" t="s">
        <v>120</v>
      </c>
      <c r="B2122" s="275" t="s">
        <v>947</v>
      </c>
      <c r="C2122" s="276"/>
      <c r="D2122" s="276"/>
      <c r="E2122" s="276"/>
      <c r="F2122" s="276"/>
      <c r="G2122" s="276"/>
      <c r="H2122" s="276"/>
      <c r="I2122" s="276"/>
      <c r="J2122" s="276"/>
    </row>
    <row r="2123" spans="1:10">
      <c r="A2123" s="103" t="s">
        <v>3755</v>
      </c>
      <c r="B2123" s="124" t="s">
        <v>3756</v>
      </c>
      <c r="C2123" s="110">
        <v>14350</v>
      </c>
      <c r="D2123" s="109" t="s">
        <v>120</v>
      </c>
      <c r="E2123" s="109">
        <v>144</v>
      </c>
      <c r="F2123" s="110">
        <v>7891</v>
      </c>
      <c r="G2123" s="109" t="s">
        <v>120</v>
      </c>
      <c r="H2123" s="109">
        <v>55</v>
      </c>
      <c r="I2123" s="109">
        <v>747</v>
      </c>
      <c r="J2123" s="110">
        <v>1140</v>
      </c>
    </row>
    <row r="2124" spans="1:10">
      <c r="A2124" s="103" t="s">
        <v>3757</v>
      </c>
      <c r="B2124" s="124" t="s">
        <v>932</v>
      </c>
      <c r="C2124" s="110">
        <v>965</v>
      </c>
      <c r="D2124" s="109" t="s">
        <v>120</v>
      </c>
      <c r="E2124" s="109">
        <v>10</v>
      </c>
      <c r="F2124" s="110">
        <v>2861</v>
      </c>
      <c r="G2124" s="109" t="s">
        <v>120</v>
      </c>
      <c r="H2124" s="109">
        <v>296</v>
      </c>
      <c r="I2124" s="109" t="s">
        <v>122</v>
      </c>
      <c r="J2124" s="110" t="s">
        <v>122</v>
      </c>
    </row>
    <row r="2125" spans="1:10">
      <c r="A2125" s="103" t="s">
        <v>3758</v>
      </c>
      <c r="B2125" s="124" t="s">
        <v>934</v>
      </c>
      <c r="C2125" s="110">
        <v>13385</v>
      </c>
      <c r="D2125" s="109" t="s">
        <v>120</v>
      </c>
      <c r="E2125" s="109">
        <v>134</v>
      </c>
      <c r="F2125" s="110">
        <v>5030</v>
      </c>
      <c r="G2125" s="109" t="s">
        <v>120</v>
      </c>
      <c r="H2125" s="109">
        <v>38</v>
      </c>
      <c r="I2125" s="109" t="s">
        <v>122</v>
      </c>
      <c r="J2125" s="110" t="s">
        <v>122</v>
      </c>
    </row>
    <row r="2126" spans="1:10">
      <c r="A2126" s="103" t="s">
        <v>3759</v>
      </c>
      <c r="B2126" s="124" t="s">
        <v>3760</v>
      </c>
      <c r="C2126" s="110">
        <v>14621</v>
      </c>
      <c r="D2126" s="109" t="s">
        <v>120</v>
      </c>
      <c r="E2126" s="109">
        <v>146</v>
      </c>
      <c r="F2126" s="110">
        <v>11025</v>
      </c>
      <c r="G2126" s="109" t="s">
        <v>120</v>
      </c>
      <c r="H2126" s="109">
        <v>75</v>
      </c>
      <c r="I2126" s="109">
        <v>716</v>
      </c>
      <c r="J2126" s="110">
        <v>781</v>
      </c>
    </row>
    <row r="2127" spans="1:10">
      <c r="A2127" s="103" t="s">
        <v>3761</v>
      </c>
      <c r="B2127" s="124" t="s">
        <v>932</v>
      </c>
      <c r="C2127" s="110">
        <v>2795</v>
      </c>
      <c r="D2127" s="109" t="s">
        <v>120</v>
      </c>
      <c r="E2127" s="109">
        <v>28</v>
      </c>
      <c r="F2127" s="110">
        <v>4121</v>
      </c>
      <c r="G2127" s="109" t="s">
        <v>120</v>
      </c>
      <c r="H2127" s="109">
        <v>147</v>
      </c>
      <c r="I2127" s="109" t="s">
        <v>122</v>
      </c>
      <c r="J2127" s="110" t="s">
        <v>122</v>
      </c>
    </row>
    <row r="2128" spans="1:10">
      <c r="A2128" s="103" t="s">
        <v>3762</v>
      </c>
      <c r="B2128" s="124" t="s">
        <v>934</v>
      </c>
      <c r="C2128" s="110">
        <v>11826</v>
      </c>
      <c r="D2128" s="109" t="s">
        <v>120</v>
      </c>
      <c r="E2128" s="109">
        <v>118</v>
      </c>
      <c r="F2128" s="110">
        <v>6904</v>
      </c>
      <c r="G2128" s="109" t="s">
        <v>120</v>
      </c>
      <c r="H2128" s="109">
        <v>58</v>
      </c>
      <c r="I2128" s="109" t="s">
        <v>122</v>
      </c>
      <c r="J2128" s="110" t="s">
        <v>122</v>
      </c>
    </row>
    <row r="2129" spans="1:10">
      <c r="A2129" s="103" t="s">
        <v>3763</v>
      </c>
      <c r="B2129" s="124" t="s">
        <v>3764</v>
      </c>
      <c r="C2129" s="110">
        <v>9565</v>
      </c>
      <c r="D2129" s="109" t="s">
        <v>120</v>
      </c>
      <c r="E2129" s="109">
        <v>96</v>
      </c>
      <c r="F2129" s="110">
        <v>5575</v>
      </c>
      <c r="G2129" s="109" t="s">
        <v>120</v>
      </c>
      <c r="H2129" s="109">
        <v>58</v>
      </c>
      <c r="I2129" s="109">
        <v>1458</v>
      </c>
      <c r="J2129" s="110">
        <v>1598</v>
      </c>
    </row>
    <row r="2130" spans="1:10">
      <c r="A2130" s="103" t="s">
        <v>3765</v>
      </c>
      <c r="B2130" s="124" t="s">
        <v>932</v>
      </c>
      <c r="C2130" s="110">
        <v>1297</v>
      </c>
      <c r="D2130" s="109" t="s">
        <v>120</v>
      </c>
      <c r="E2130" s="109">
        <v>13</v>
      </c>
      <c r="F2130" s="110">
        <v>2601</v>
      </c>
      <c r="G2130" s="109" t="s">
        <v>120</v>
      </c>
      <c r="H2130" s="109">
        <v>201</v>
      </c>
      <c r="I2130" s="109" t="s">
        <v>122</v>
      </c>
      <c r="J2130" s="110" t="s">
        <v>122</v>
      </c>
    </row>
    <row r="2131" spans="1:10">
      <c r="A2131" s="103" t="s">
        <v>3766</v>
      </c>
      <c r="B2131" s="124" t="s">
        <v>934</v>
      </c>
      <c r="C2131" s="110">
        <v>8268</v>
      </c>
      <c r="D2131" s="109" t="s">
        <v>120</v>
      </c>
      <c r="E2131" s="109">
        <v>83</v>
      </c>
      <c r="F2131" s="110">
        <v>2974</v>
      </c>
      <c r="G2131" s="109" t="s">
        <v>120</v>
      </c>
      <c r="H2131" s="109">
        <v>36</v>
      </c>
      <c r="I2131" s="109" t="s">
        <v>122</v>
      </c>
      <c r="J2131" s="110" t="s">
        <v>122</v>
      </c>
    </row>
    <row r="2132" spans="1:10" s="119" customFormat="1">
      <c r="A2132" s="123" t="s">
        <v>120</v>
      </c>
      <c r="B2132" s="273" t="s">
        <v>3767</v>
      </c>
      <c r="C2132" s="274"/>
      <c r="D2132" s="274"/>
      <c r="E2132" s="274"/>
      <c r="F2132" s="274"/>
      <c r="G2132" s="274"/>
      <c r="H2132" s="274"/>
      <c r="I2132" s="274"/>
      <c r="J2132" s="274"/>
    </row>
    <row r="2133" spans="1:10" s="119" customFormat="1">
      <c r="A2133" s="123" t="s">
        <v>120</v>
      </c>
      <c r="B2133" s="275" t="s">
        <v>1032</v>
      </c>
      <c r="C2133" s="276"/>
      <c r="D2133" s="276"/>
      <c r="E2133" s="276"/>
      <c r="F2133" s="276"/>
      <c r="G2133" s="276"/>
      <c r="H2133" s="276"/>
      <c r="I2133" s="276"/>
      <c r="J2133" s="276"/>
    </row>
    <row r="2134" spans="1:10">
      <c r="A2134" s="103" t="s">
        <v>3768</v>
      </c>
      <c r="B2134" s="124" t="s">
        <v>3769</v>
      </c>
      <c r="C2134" s="110">
        <v>1160</v>
      </c>
      <c r="D2134" s="109" t="s">
        <v>120</v>
      </c>
      <c r="E2134" s="109">
        <v>12</v>
      </c>
      <c r="F2134" s="110">
        <v>22107</v>
      </c>
      <c r="G2134" s="109" t="s">
        <v>120</v>
      </c>
      <c r="H2134" s="109">
        <v>1906</v>
      </c>
      <c r="I2134" s="109">
        <v>2308</v>
      </c>
      <c r="J2134" s="110">
        <v>299</v>
      </c>
    </row>
    <row r="2135" spans="1:10">
      <c r="A2135" s="103" t="s">
        <v>3770</v>
      </c>
      <c r="B2135" s="124" t="s">
        <v>3771</v>
      </c>
      <c r="C2135" s="110">
        <v>840</v>
      </c>
      <c r="D2135" s="109" t="s">
        <v>120</v>
      </c>
      <c r="E2135" s="109">
        <v>8</v>
      </c>
      <c r="F2135" s="110">
        <v>4394</v>
      </c>
      <c r="G2135" s="109" t="s">
        <v>120</v>
      </c>
      <c r="H2135" s="109">
        <v>523</v>
      </c>
      <c r="I2135" s="109">
        <v>2330</v>
      </c>
      <c r="J2135" s="110">
        <v>1890</v>
      </c>
    </row>
    <row r="2136" spans="1:10" s="119" customFormat="1">
      <c r="A2136" s="123" t="s">
        <v>120</v>
      </c>
      <c r="B2136" s="275" t="s">
        <v>1022</v>
      </c>
      <c r="C2136" s="276"/>
      <c r="D2136" s="276"/>
      <c r="E2136" s="276"/>
      <c r="F2136" s="276"/>
      <c r="G2136" s="276"/>
      <c r="H2136" s="276"/>
      <c r="I2136" s="276"/>
      <c r="J2136" s="276"/>
    </row>
    <row r="2137" spans="1:10">
      <c r="A2137" s="103" t="s">
        <v>3772</v>
      </c>
      <c r="B2137" s="124" t="s">
        <v>3773</v>
      </c>
      <c r="C2137" s="110">
        <v>16223</v>
      </c>
      <c r="D2137" s="109" t="s">
        <v>120</v>
      </c>
      <c r="E2137" s="109">
        <v>162</v>
      </c>
      <c r="F2137" s="110">
        <v>7955</v>
      </c>
      <c r="G2137" s="109" t="s">
        <v>120</v>
      </c>
      <c r="H2137" s="109">
        <v>49</v>
      </c>
      <c r="I2137" s="109">
        <v>577</v>
      </c>
      <c r="J2137" s="110">
        <v>1133</v>
      </c>
    </row>
    <row r="2138" spans="1:10">
      <c r="A2138" s="103" t="s">
        <v>3774</v>
      </c>
      <c r="B2138" s="124" t="s">
        <v>3775</v>
      </c>
      <c r="C2138" s="110">
        <v>10248</v>
      </c>
      <c r="D2138" s="109" t="s">
        <v>120</v>
      </c>
      <c r="E2138" s="109">
        <v>102</v>
      </c>
      <c r="F2138" s="110">
        <v>3632</v>
      </c>
      <c r="G2138" s="109" t="s">
        <v>120</v>
      </c>
      <c r="H2138" s="109">
        <v>35</v>
      </c>
      <c r="I2138" s="109">
        <v>1348</v>
      </c>
      <c r="J2138" s="110">
        <v>2080</v>
      </c>
    </row>
    <row r="2139" spans="1:10">
      <c r="A2139" s="103" t="s">
        <v>3776</v>
      </c>
      <c r="B2139" s="124" t="s">
        <v>3777</v>
      </c>
      <c r="C2139" s="110">
        <v>7315</v>
      </c>
      <c r="D2139" s="109" t="s">
        <v>120</v>
      </c>
      <c r="E2139" s="109">
        <v>73</v>
      </c>
      <c r="F2139" s="110">
        <v>2655</v>
      </c>
      <c r="G2139" s="109" t="s">
        <v>120</v>
      </c>
      <c r="H2139" s="109">
        <v>36</v>
      </c>
      <c r="I2139" s="109">
        <v>1805</v>
      </c>
      <c r="J2139" s="110">
        <v>2238</v>
      </c>
    </row>
    <row r="2140" spans="1:10">
      <c r="A2140" s="103" t="s">
        <v>3778</v>
      </c>
      <c r="B2140" s="124" t="s">
        <v>3779</v>
      </c>
      <c r="C2140" s="110">
        <v>15950</v>
      </c>
      <c r="D2140" s="109" t="s">
        <v>120</v>
      </c>
      <c r="E2140" s="109">
        <v>160</v>
      </c>
      <c r="F2140" s="110">
        <v>6312</v>
      </c>
      <c r="G2140" s="109" t="s">
        <v>120</v>
      </c>
      <c r="H2140" s="109">
        <v>40</v>
      </c>
      <c r="I2140" s="109">
        <v>604</v>
      </c>
      <c r="J2140" s="110">
        <v>1440</v>
      </c>
    </row>
    <row r="2141" spans="1:10">
      <c r="A2141" s="103" t="s">
        <v>3780</v>
      </c>
      <c r="B2141" s="124" t="s">
        <v>3781</v>
      </c>
      <c r="C2141" s="110">
        <v>11785</v>
      </c>
      <c r="D2141" s="109" t="s">
        <v>120</v>
      </c>
      <c r="E2141" s="109">
        <v>118</v>
      </c>
      <c r="F2141" s="110">
        <v>4655</v>
      </c>
      <c r="G2141" s="109" t="s">
        <v>120</v>
      </c>
      <c r="H2141" s="109">
        <v>39</v>
      </c>
      <c r="I2141" s="109">
        <v>1083</v>
      </c>
      <c r="J2141" s="110">
        <v>1827</v>
      </c>
    </row>
    <row r="2142" spans="1:10">
      <c r="A2142" s="103" t="s">
        <v>3782</v>
      </c>
      <c r="B2142" s="124" t="s">
        <v>3769</v>
      </c>
      <c r="C2142" s="110">
        <v>12691</v>
      </c>
      <c r="D2142" s="109" t="s">
        <v>120</v>
      </c>
      <c r="E2142" s="109">
        <v>127</v>
      </c>
      <c r="F2142" s="110">
        <v>7943</v>
      </c>
      <c r="G2142" s="109" t="s">
        <v>120</v>
      </c>
      <c r="H2142" s="109">
        <v>63</v>
      </c>
      <c r="I2142" s="109">
        <v>958</v>
      </c>
      <c r="J2142" s="110">
        <v>1135</v>
      </c>
    </row>
    <row r="2143" spans="1:10">
      <c r="A2143" s="103" t="s">
        <v>3783</v>
      </c>
      <c r="B2143" s="124" t="s">
        <v>3771</v>
      </c>
      <c r="C2143" s="110">
        <v>24289</v>
      </c>
      <c r="D2143" s="109" t="s">
        <v>120</v>
      </c>
      <c r="E2143" s="109">
        <v>244</v>
      </c>
      <c r="F2143" s="110">
        <v>8283</v>
      </c>
      <c r="G2143" s="109" t="s">
        <v>120</v>
      </c>
      <c r="H2143" s="109">
        <v>34</v>
      </c>
      <c r="I2143" s="109">
        <v>198</v>
      </c>
      <c r="J2143" s="110">
        <v>1077</v>
      </c>
    </row>
    <row r="2144" spans="1:10">
      <c r="A2144" s="103" t="s">
        <v>3784</v>
      </c>
      <c r="B2144" s="124" t="s">
        <v>3785</v>
      </c>
      <c r="C2144" s="110">
        <v>12219</v>
      </c>
      <c r="D2144" s="109" t="s">
        <v>120</v>
      </c>
      <c r="E2144" s="109">
        <v>122</v>
      </c>
      <c r="F2144" s="110">
        <v>5809</v>
      </c>
      <c r="G2144" s="109" t="s">
        <v>120</v>
      </c>
      <c r="H2144" s="109">
        <v>48</v>
      </c>
      <c r="I2144" s="109">
        <v>1022</v>
      </c>
      <c r="J2144" s="110">
        <v>1554</v>
      </c>
    </row>
    <row r="2145" spans="1:10">
      <c r="A2145" s="103" t="s">
        <v>3786</v>
      </c>
      <c r="B2145" s="124" t="s">
        <v>3787</v>
      </c>
      <c r="C2145" s="110">
        <v>10848</v>
      </c>
      <c r="D2145" s="109" t="s">
        <v>120</v>
      </c>
      <c r="E2145" s="109">
        <v>108</v>
      </c>
      <c r="F2145" s="110">
        <v>5669</v>
      </c>
      <c r="G2145" s="109" t="s">
        <v>120</v>
      </c>
      <c r="H2145" s="109">
        <v>52</v>
      </c>
      <c r="I2145" s="109">
        <v>1248</v>
      </c>
      <c r="J2145" s="110">
        <v>1579</v>
      </c>
    </row>
    <row r="2146" spans="1:10" s="119" customFormat="1">
      <c r="A2146" s="123" t="s">
        <v>120</v>
      </c>
      <c r="B2146" s="275" t="s">
        <v>2572</v>
      </c>
      <c r="C2146" s="276"/>
      <c r="D2146" s="276"/>
      <c r="E2146" s="276"/>
      <c r="F2146" s="276"/>
      <c r="G2146" s="276"/>
      <c r="H2146" s="276"/>
      <c r="I2146" s="276"/>
      <c r="J2146" s="276"/>
    </row>
    <row r="2147" spans="1:10">
      <c r="A2147" s="103" t="s">
        <v>3788</v>
      </c>
      <c r="B2147" s="124" t="s">
        <v>3789</v>
      </c>
      <c r="C2147" s="110">
        <v>14411</v>
      </c>
      <c r="D2147" s="109" t="s">
        <v>120</v>
      </c>
      <c r="E2147" s="109">
        <v>144</v>
      </c>
      <c r="F2147" s="110">
        <v>7640</v>
      </c>
      <c r="G2147" s="109" t="s">
        <v>120</v>
      </c>
      <c r="H2147" s="109">
        <v>53</v>
      </c>
      <c r="I2147" s="109">
        <v>740</v>
      </c>
      <c r="J2147" s="110">
        <v>1179</v>
      </c>
    </row>
    <row r="2148" spans="1:10">
      <c r="A2148" s="103" t="s">
        <v>3790</v>
      </c>
      <c r="B2148" s="124" t="s">
        <v>932</v>
      </c>
      <c r="C2148" s="110">
        <v>548</v>
      </c>
      <c r="D2148" s="109" t="s">
        <v>120</v>
      </c>
      <c r="E2148" s="109">
        <v>5</v>
      </c>
      <c r="F2148" s="110">
        <v>1033</v>
      </c>
      <c r="G2148" s="109" t="s">
        <v>120</v>
      </c>
      <c r="H2148" s="109">
        <v>189</v>
      </c>
      <c r="I2148" s="109" t="s">
        <v>122</v>
      </c>
      <c r="J2148" s="110" t="s">
        <v>122</v>
      </c>
    </row>
    <row r="2149" spans="1:10">
      <c r="A2149" s="103" t="s">
        <v>3791</v>
      </c>
      <c r="B2149" s="124" t="s">
        <v>934</v>
      </c>
      <c r="C2149" s="110">
        <v>13863</v>
      </c>
      <c r="D2149" s="109" t="s">
        <v>120</v>
      </c>
      <c r="E2149" s="109">
        <v>139</v>
      </c>
      <c r="F2149" s="110">
        <v>6607</v>
      </c>
      <c r="G2149" s="109" t="s">
        <v>120</v>
      </c>
      <c r="H2149" s="109">
        <v>48</v>
      </c>
      <c r="I2149" s="109" t="s">
        <v>122</v>
      </c>
      <c r="J2149" s="110" t="s">
        <v>122</v>
      </c>
    </row>
    <row r="2150" spans="1:10" s="119" customFormat="1">
      <c r="A2150" s="123" t="s">
        <v>120</v>
      </c>
      <c r="B2150" s="273" t="s">
        <v>3792</v>
      </c>
      <c r="C2150" s="274"/>
      <c r="D2150" s="274"/>
      <c r="E2150" s="274"/>
      <c r="F2150" s="274"/>
      <c r="G2150" s="274"/>
      <c r="H2150" s="274"/>
      <c r="I2150" s="274"/>
      <c r="J2150" s="274"/>
    </row>
    <row r="2151" spans="1:10" s="119" customFormat="1">
      <c r="A2151" s="123" t="s">
        <v>120</v>
      </c>
      <c r="B2151" s="275" t="s">
        <v>936</v>
      </c>
      <c r="C2151" s="276"/>
      <c r="D2151" s="276"/>
      <c r="E2151" s="276"/>
      <c r="F2151" s="276"/>
      <c r="G2151" s="276"/>
      <c r="H2151" s="276"/>
      <c r="I2151" s="276"/>
      <c r="J2151" s="276"/>
    </row>
    <row r="2152" spans="1:10">
      <c r="A2152" s="103" t="s">
        <v>3793</v>
      </c>
      <c r="B2152" s="124" t="s">
        <v>3794</v>
      </c>
      <c r="C2152" s="110">
        <v>576</v>
      </c>
      <c r="D2152" s="105" t="s">
        <v>1075</v>
      </c>
      <c r="E2152" s="109">
        <v>6</v>
      </c>
      <c r="F2152" s="110">
        <v>22679</v>
      </c>
      <c r="G2152" s="109" t="s">
        <v>120</v>
      </c>
      <c r="H2152" s="109">
        <v>3937</v>
      </c>
      <c r="I2152" s="109">
        <v>2336</v>
      </c>
      <c r="J2152" s="110">
        <v>287</v>
      </c>
    </row>
    <row r="2153" spans="1:10">
      <c r="A2153" s="103" t="s">
        <v>3795</v>
      </c>
      <c r="B2153" s="124" t="s">
        <v>3796</v>
      </c>
      <c r="C2153" s="110">
        <v>1919</v>
      </c>
      <c r="D2153" s="109" t="s">
        <v>120</v>
      </c>
      <c r="E2153" s="109">
        <v>19</v>
      </c>
      <c r="F2153" s="110">
        <v>62317</v>
      </c>
      <c r="G2153" s="109" t="s">
        <v>120</v>
      </c>
      <c r="H2153" s="109">
        <v>3247</v>
      </c>
      <c r="I2153" s="109">
        <v>2246</v>
      </c>
      <c r="J2153" s="110">
        <v>66</v>
      </c>
    </row>
    <row r="2154" spans="1:10" s="119" customFormat="1">
      <c r="A2154" s="123" t="s">
        <v>120</v>
      </c>
      <c r="B2154" s="275" t="s">
        <v>943</v>
      </c>
      <c r="C2154" s="276"/>
      <c r="D2154" s="276"/>
      <c r="E2154" s="276"/>
      <c r="F2154" s="276"/>
      <c r="G2154" s="276"/>
      <c r="H2154" s="276"/>
      <c r="I2154" s="276"/>
      <c r="J2154" s="276"/>
    </row>
    <row r="2155" spans="1:10">
      <c r="A2155" s="103" t="s">
        <v>3797</v>
      </c>
      <c r="B2155" s="124" t="s">
        <v>3019</v>
      </c>
      <c r="C2155" s="110">
        <v>3473</v>
      </c>
      <c r="D2155" s="109" t="s">
        <v>120</v>
      </c>
      <c r="E2155" s="109">
        <v>35</v>
      </c>
      <c r="F2155" s="110">
        <v>18321</v>
      </c>
      <c r="G2155" s="109" t="s">
        <v>120</v>
      </c>
      <c r="H2155" s="109">
        <v>528</v>
      </c>
      <c r="I2155" s="109">
        <v>2130</v>
      </c>
      <c r="J2155" s="110">
        <v>389</v>
      </c>
    </row>
    <row r="2156" spans="1:10">
      <c r="A2156" s="103" t="s">
        <v>3798</v>
      </c>
      <c r="B2156" s="124" t="s">
        <v>3799</v>
      </c>
      <c r="C2156" s="110">
        <v>7345</v>
      </c>
      <c r="D2156" s="109" t="s">
        <v>120</v>
      </c>
      <c r="E2156" s="109">
        <v>73</v>
      </c>
      <c r="F2156" s="110">
        <v>14032</v>
      </c>
      <c r="G2156" s="109" t="s">
        <v>120</v>
      </c>
      <c r="H2156" s="109">
        <v>191</v>
      </c>
      <c r="I2156" s="109">
        <v>1800</v>
      </c>
      <c r="J2156" s="110">
        <v>569</v>
      </c>
    </row>
    <row r="2157" spans="1:10">
      <c r="A2157" s="103" t="s">
        <v>3800</v>
      </c>
      <c r="B2157" s="124" t="s">
        <v>3801</v>
      </c>
      <c r="C2157" s="110">
        <v>4391</v>
      </c>
      <c r="D2157" s="109" t="s">
        <v>120</v>
      </c>
      <c r="E2157" s="109">
        <v>44</v>
      </c>
      <c r="F2157" s="110">
        <v>21845</v>
      </c>
      <c r="G2157" s="109" t="s">
        <v>120</v>
      </c>
      <c r="H2157" s="109">
        <v>497</v>
      </c>
      <c r="I2157" s="109">
        <v>2066</v>
      </c>
      <c r="J2157" s="110">
        <v>306</v>
      </c>
    </row>
    <row r="2158" spans="1:10" s="119" customFormat="1">
      <c r="A2158" s="123" t="s">
        <v>120</v>
      </c>
      <c r="B2158" s="275" t="s">
        <v>1026</v>
      </c>
      <c r="C2158" s="276"/>
      <c r="D2158" s="276"/>
      <c r="E2158" s="276"/>
      <c r="F2158" s="276"/>
      <c r="G2158" s="276"/>
      <c r="H2158" s="276"/>
      <c r="I2158" s="276"/>
      <c r="J2158" s="276"/>
    </row>
    <row r="2159" spans="1:10">
      <c r="A2159" s="103" t="s">
        <v>3802</v>
      </c>
      <c r="B2159" s="124" t="s">
        <v>3803</v>
      </c>
      <c r="C2159" s="110">
        <v>6926</v>
      </c>
      <c r="D2159" s="109" t="s">
        <v>120</v>
      </c>
      <c r="E2159" s="109">
        <v>69</v>
      </c>
      <c r="F2159" s="110">
        <v>26718</v>
      </c>
      <c r="G2159" s="109" t="s">
        <v>120</v>
      </c>
      <c r="H2159" s="109">
        <v>386</v>
      </c>
      <c r="I2159" s="109">
        <v>1859</v>
      </c>
      <c r="J2159" s="110">
        <v>224</v>
      </c>
    </row>
    <row r="2160" spans="1:10">
      <c r="A2160" s="103" t="s">
        <v>3804</v>
      </c>
      <c r="B2160" s="124" t="s">
        <v>932</v>
      </c>
      <c r="C2160" s="110">
        <v>1010</v>
      </c>
      <c r="D2160" s="109" t="s">
        <v>120</v>
      </c>
      <c r="E2160" s="109">
        <v>10</v>
      </c>
      <c r="F2160" s="110">
        <v>13698</v>
      </c>
      <c r="G2160" s="109" t="s">
        <v>120</v>
      </c>
      <c r="H2160" s="109">
        <v>1356</v>
      </c>
      <c r="I2160" s="109" t="s">
        <v>122</v>
      </c>
      <c r="J2160" s="110" t="s">
        <v>122</v>
      </c>
    </row>
    <row r="2161" spans="1:11">
      <c r="A2161" s="103" t="s">
        <v>3805</v>
      </c>
      <c r="B2161" s="124" t="s">
        <v>934</v>
      </c>
      <c r="C2161" s="110">
        <v>5916</v>
      </c>
      <c r="D2161" s="109" t="s">
        <v>120</v>
      </c>
      <c r="E2161" s="109">
        <v>59</v>
      </c>
      <c r="F2161" s="110">
        <v>13020</v>
      </c>
      <c r="G2161" s="109" t="s">
        <v>120</v>
      </c>
      <c r="H2161" s="109">
        <v>220</v>
      </c>
      <c r="I2161" s="109" t="s">
        <v>122</v>
      </c>
      <c r="J2161" s="110" t="s">
        <v>122</v>
      </c>
    </row>
    <row r="2162" spans="1:11" s="119" customFormat="1">
      <c r="A2162" s="123" t="s">
        <v>120</v>
      </c>
      <c r="B2162" s="273" t="s">
        <v>3806</v>
      </c>
      <c r="C2162" s="274"/>
      <c r="D2162" s="274"/>
      <c r="E2162" s="274"/>
      <c r="F2162" s="274"/>
      <c r="G2162" s="274"/>
      <c r="H2162" s="274"/>
      <c r="I2162" s="274"/>
      <c r="J2162" s="274"/>
    </row>
    <row r="2163" spans="1:11" s="119" customFormat="1">
      <c r="A2163" s="123" t="s">
        <v>120</v>
      </c>
      <c r="B2163" s="275" t="s">
        <v>922</v>
      </c>
      <c r="C2163" s="276"/>
      <c r="D2163" s="276"/>
      <c r="E2163" s="276"/>
      <c r="F2163" s="276"/>
      <c r="G2163" s="276"/>
      <c r="H2163" s="276"/>
      <c r="I2163" s="276"/>
      <c r="J2163" s="276"/>
    </row>
    <row r="2164" spans="1:11">
      <c r="A2164" s="103" t="s">
        <v>3807</v>
      </c>
      <c r="B2164" s="124" t="s">
        <v>3808</v>
      </c>
      <c r="C2164" s="110">
        <v>2516</v>
      </c>
      <c r="D2164" s="109" t="s">
        <v>120</v>
      </c>
      <c r="E2164" s="109">
        <v>25</v>
      </c>
      <c r="F2164" s="110">
        <v>17177</v>
      </c>
      <c r="G2164" s="109" t="s">
        <v>120</v>
      </c>
      <c r="H2164" s="109">
        <v>683</v>
      </c>
      <c r="I2164" s="109">
        <v>2197</v>
      </c>
      <c r="J2164" s="110">
        <v>426</v>
      </c>
    </row>
    <row r="2165" spans="1:11" s="119" customFormat="1">
      <c r="A2165" s="123" t="s">
        <v>120</v>
      </c>
      <c r="B2165" s="275" t="s">
        <v>924</v>
      </c>
      <c r="C2165" s="276"/>
      <c r="D2165" s="276"/>
      <c r="E2165" s="276"/>
      <c r="F2165" s="276"/>
      <c r="G2165" s="276"/>
      <c r="H2165" s="276"/>
      <c r="I2165" s="276"/>
      <c r="J2165" s="276"/>
    </row>
    <row r="2166" spans="1:11">
      <c r="A2166" s="103" t="s">
        <v>3809</v>
      </c>
      <c r="B2166" s="124" t="s">
        <v>3810</v>
      </c>
      <c r="C2166" s="110">
        <v>12018</v>
      </c>
      <c r="D2166" s="109" t="s">
        <v>120</v>
      </c>
      <c r="E2166" s="109">
        <v>120</v>
      </c>
      <c r="F2166" s="110">
        <v>3801</v>
      </c>
      <c r="G2166" s="109" t="s">
        <v>120</v>
      </c>
      <c r="H2166" s="109">
        <v>32</v>
      </c>
      <c r="I2166" s="109">
        <v>1051</v>
      </c>
      <c r="J2166" s="110">
        <v>2043</v>
      </c>
    </row>
    <row r="2167" spans="1:11">
      <c r="A2167" s="103" t="s">
        <v>3811</v>
      </c>
      <c r="B2167" s="124" t="s">
        <v>3812</v>
      </c>
      <c r="C2167" s="110">
        <v>23224</v>
      </c>
      <c r="D2167" s="109" t="s">
        <v>120</v>
      </c>
      <c r="E2167" s="109">
        <v>233</v>
      </c>
      <c r="F2167" s="110">
        <v>7081</v>
      </c>
      <c r="G2167" s="109" t="s">
        <v>120</v>
      </c>
      <c r="H2167" s="109">
        <v>30</v>
      </c>
      <c r="I2167" s="109">
        <v>224</v>
      </c>
      <c r="J2167" s="110">
        <v>1281</v>
      </c>
    </row>
    <row r="2168" spans="1:11">
      <c r="A2168" s="103" t="s">
        <v>3813</v>
      </c>
      <c r="B2168" s="124" t="s">
        <v>3814</v>
      </c>
      <c r="C2168" s="110">
        <v>10135</v>
      </c>
      <c r="D2168" s="109" t="s">
        <v>120</v>
      </c>
      <c r="E2168" s="109">
        <v>101</v>
      </c>
      <c r="F2168" s="110">
        <v>3610</v>
      </c>
      <c r="G2168" s="109" t="s">
        <v>120</v>
      </c>
      <c r="H2168" s="109">
        <v>36</v>
      </c>
      <c r="I2168" s="109">
        <v>1363</v>
      </c>
      <c r="J2168" s="110">
        <v>2087</v>
      </c>
    </row>
    <row r="2169" spans="1:11">
      <c r="A2169" s="103" t="s">
        <v>3815</v>
      </c>
      <c r="B2169" s="124" t="s">
        <v>3816</v>
      </c>
      <c r="C2169" s="110">
        <v>18487</v>
      </c>
      <c r="D2169" s="109" t="s">
        <v>120</v>
      </c>
      <c r="E2169" s="109">
        <v>185</v>
      </c>
      <c r="F2169" s="110">
        <v>3439</v>
      </c>
      <c r="G2169" s="109" t="s">
        <v>120</v>
      </c>
      <c r="H2169" s="109">
        <v>19</v>
      </c>
      <c r="I2169" s="109">
        <v>423</v>
      </c>
      <c r="J2169" s="110">
        <v>2119</v>
      </c>
    </row>
    <row r="2170" spans="1:11">
      <c r="A2170" s="103" t="s">
        <v>3817</v>
      </c>
      <c r="B2170" s="124" t="s">
        <v>3808</v>
      </c>
      <c r="C2170" s="110">
        <v>18413</v>
      </c>
      <c r="D2170" s="109" t="s">
        <v>120</v>
      </c>
      <c r="E2170" s="109">
        <v>184</v>
      </c>
      <c r="F2170" s="110">
        <v>7228</v>
      </c>
      <c r="G2170" s="109" t="s">
        <v>120</v>
      </c>
      <c r="H2170" s="109">
        <v>39</v>
      </c>
      <c r="I2170" s="109">
        <v>430</v>
      </c>
      <c r="J2170" s="110">
        <v>1254</v>
      </c>
    </row>
    <row r="2171" spans="1:11" s="119" customFormat="1">
      <c r="A2171" s="123" t="s">
        <v>120</v>
      </c>
      <c r="B2171" s="275" t="s">
        <v>1026</v>
      </c>
      <c r="C2171" s="276"/>
      <c r="D2171" s="276"/>
      <c r="E2171" s="276"/>
      <c r="F2171" s="276"/>
      <c r="G2171" s="276"/>
      <c r="H2171" s="276"/>
      <c r="I2171" s="276"/>
      <c r="J2171" s="276"/>
    </row>
    <row r="2172" spans="1:11">
      <c r="A2172" s="103" t="s">
        <v>3818</v>
      </c>
      <c r="B2172" s="124" t="s">
        <v>3819</v>
      </c>
      <c r="C2172" s="110">
        <v>37069</v>
      </c>
      <c r="D2172" s="109" t="s">
        <v>120</v>
      </c>
      <c r="E2172" s="109">
        <v>371</v>
      </c>
      <c r="F2172" s="110">
        <v>10175</v>
      </c>
      <c r="G2172" s="109" t="s">
        <v>120</v>
      </c>
      <c r="H2172" s="109">
        <v>27</v>
      </c>
      <c r="I2172" s="109">
        <v>39</v>
      </c>
      <c r="J2172" s="110">
        <v>857</v>
      </c>
    </row>
    <row r="2173" spans="1:11">
      <c r="A2173" s="103" t="s">
        <v>3820</v>
      </c>
      <c r="B2173" s="124" t="s">
        <v>932</v>
      </c>
      <c r="C2173" s="110">
        <v>1751</v>
      </c>
      <c r="D2173" s="109" t="s">
        <v>120</v>
      </c>
      <c r="E2173" s="109">
        <v>18</v>
      </c>
      <c r="F2173" s="110">
        <v>3113</v>
      </c>
      <c r="G2173" s="109" t="s">
        <v>120</v>
      </c>
      <c r="H2173" s="109">
        <v>178</v>
      </c>
      <c r="I2173" s="109" t="s">
        <v>122</v>
      </c>
      <c r="J2173" s="110" t="s">
        <v>122</v>
      </c>
    </row>
    <row r="2174" spans="1:11">
      <c r="A2174" s="103" t="s">
        <v>3821</v>
      </c>
      <c r="B2174" s="124" t="s">
        <v>934</v>
      </c>
      <c r="C2174" s="110">
        <v>35318</v>
      </c>
      <c r="D2174" s="109" t="s">
        <v>120</v>
      </c>
      <c r="E2174" s="109">
        <v>353</v>
      </c>
      <c r="F2174" s="110">
        <v>7062</v>
      </c>
      <c r="G2174" s="109" t="s">
        <v>120</v>
      </c>
      <c r="H2174" s="109">
        <v>20</v>
      </c>
      <c r="I2174" s="109" t="s">
        <v>122</v>
      </c>
      <c r="J2174" s="110" t="s">
        <v>122</v>
      </c>
    </row>
    <row r="2175" spans="1:11" s="119" customFormat="1">
      <c r="A2175" s="123" t="s">
        <v>120</v>
      </c>
      <c r="B2175" s="273" t="s">
        <v>3822</v>
      </c>
      <c r="C2175" s="274"/>
      <c r="D2175" s="274"/>
      <c r="E2175" s="274"/>
      <c r="F2175" s="274"/>
      <c r="G2175" s="274"/>
      <c r="H2175" s="274"/>
      <c r="I2175" s="274"/>
      <c r="J2175" s="274"/>
      <c r="K2175" s="126"/>
    </row>
    <row r="2176" spans="1:11" s="119" customFormat="1">
      <c r="A2176" s="123" t="s">
        <v>120</v>
      </c>
      <c r="B2176" s="275" t="s">
        <v>924</v>
      </c>
      <c r="C2176" s="276"/>
      <c r="D2176" s="276"/>
      <c r="E2176" s="276"/>
      <c r="F2176" s="276"/>
      <c r="G2176" s="276"/>
      <c r="H2176" s="276"/>
      <c r="I2176" s="276"/>
      <c r="J2176" s="276"/>
    </row>
    <row r="2177" spans="1:10">
      <c r="A2177" s="103" t="s">
        <v>3823</v>
      </c>
      <c r="B2177" s="124" t="s">
        <v>3824</v>
      </c>
      <c r="C2177" s="110">
        <v>8580</v>
      </c>
      <c r="D2177" s="109" t="s">
        <v>120</v>
      </c>
      <c r="E2177" s="109">
        <v>86</v>
      </c>
      <c r="F2177" s="110">
        <v>4261</v>
      </c>
      <c r="G2177" s="109" t="s">
        <v>120</v>
      </c>
      <c r="H2177" s="109">
        <v>50</v>
      </c>
      <c r="I2177" s="109">
        <v>1601</v>
      </c>
      <c r="J2177" s="110">
        <v>1938</v>
      </c>
    </row>
    <row r="2178" spans="1:10">
      <c r="A2178" s="103" t="s">
        <v>3825</v>
      </c>
      <c r="B2178" s="124" t="s">
        <v>3826</v>
      </c>
      <c r="C2178" s="110">
        <v>7922</v>
      </c>
      <c r="D2178" s="109" t="s">
        <v>120</v>
      </c>
      <c r="E2178" s="109">
        <v>79</v>
      </c>
      <c r="F2178" s="110">
        <v>4542</v>
      </c>
      <c r="G2178" s="109" t="s">
        <v>120</v>
      </c>
      <c r="H2178" s="109">
        <v>57</v>
      </c>
      <c r="I2178" s="109">
        <v>1713</v>
      </c>
      <c r="J2178" s="110">
        <v>1861</v>
      </c>
    </row>
    <row r="2179" spans="1:10">
      <c r="A2179" s="103" t="s">
        <v>3827</v>
      </c>
      <c r="B2179" s="124" t="s">
        <v>3828</v>
      </c>
      <c r="C2179" s="110">
        <v>8675</v>
      </c>
      <c r="D2179" s="109" t="s">
        <v>120</v>
      </c>
      <c r="E2179" s="109">
        <v>87</v>
      </c>
      <c r="F2179" s="110">
        <v>3380</v>
      </c>
      <c r="G2179" s="109" t="s">
        <v>120</v>
      </c>
      <c r="H2179" s="109">
        <v>39</v>
      </c>
      <c r="I2179" s="109">
        <v>1581</v>
      </c>
      <c r="J2179" s="110">
        <v>2128</v>
      </c>
    </row>
    <row r="2180" spans="1:10">
      <c r="A2180" s="103" t="s">
        <v>3829</v>
      </c>
      <c r="B2180" s="124" t="s">
        <v>3830</v>
      </c>
      <c r="C2180" s="110">
        <v>9913</v>
      </c>
      <c r="D2180" s="109" t="s">
        <v>120</v>
      </c>
      <c r="E2180" s="109">
        <v>99</v>
      </c>
      <c r="F2180" s="110">
        <v>3752</v>
      </c>
      <c r="G2180" s="109" t="s">
        <v>120</v>
      </c>
      <c r="H2180" s="109">
        <v>38</v>
      </c>
      <c r="I2180" s="109">
        <v>1404</v>
      </c>
      <c r="J2180" s="110">
        <v>2056</v>
      </c>
    </row>
    <row r="2181" spans="1:10">
      <c r="A2181" s="103" t="s">
        <v>3831</v>
      </c>
      <c r="B2181" s="124" t="s">
        <v>3832</v>
      </c>
      <c r="C2181" s="110">
        <v>8170</v>
      </c>
      <c r="D2181" s="109" t="s">
        <v>120</v>
      </c>
      <c r="E2181" s="109">
        <v>82</v>
      </c>
      <c r="F2181" s="110">
        <v>4187</v>
      </c>
      <c r="G2181" s="109" t="s">
        <v>120</v>
      </c>
      <c r="H2181" s="109">
        <v>51</v>
      </c>
      <c r="I2181" s="109">
        <v>1677</v>
      </c>
      <c r="J2181" s="110">
        <v>1953</v>
      </c>
    </row>
    <row r="2182" spans="1:10">
      <c r="A2182" s="103" t="s">
        <v>3833</v>
      </c>
      <c r="B2182" s="124" t="s">
        <v>3834</v>
      </c>
      <c r="C2182" s="110">
        <v>8276</v>
      </c>
      <c r="D2182" s="109" t="s">
        <v>120</v>
      </c>
      <c r="E2182" s="109">
        <v>83</v>
      </c>
      <c r="F2182" s="110">
        <v>4274</v>
      </c>
      <c r="G2182" s="109" t="s">
        <v>120</v>
      </c>
      <c r="H2182" s="109">
        <v>52</v>
      </c>
      <c r="I2182" s="109">
        <v>1659</v>
      </c>
      <c r="J2182" s="110">
        <v>1934</v>
      </c>
    </row>
    <row r="2183" spans="1:10">
      <c r="A2183" s="103" t="s">
        <v>3835</v>
      </c>
      <c r="B2183" s="124" t="s">
        <v>3836</v>
      </c>
      <c r="C2183" s="110">
        <v>10397</v>
      </c>
      <c r="D2183" s="109" t="s">
        <v>120</v>
      </c>
      <c r="E2183" s="109">
        <v>103</v>
      </c>
      <c r="F2183" s="110">
        <v>5276</v>
      </c>
      <c r="G2183" s="109" t="s">
        <v>120</v>
      </c>
      <c r="H2183" s="109">
        <v>51</v>
      </c>
      <c r="I2183" s="109">
        <v>1317</v>
      </c>
      <c r="J2183" s="110">
        <v>1670</v>
      </c>
    </row>
    <row r="2184" spans="1:10" s="119" customFormat="1">
      <c r="A2184" s="123" t="s">
        <v>120</v>
      </c>
      <c r="B2184" s="275" t="s">
        <v>2572</v>
      </c>
      <c r="C2184" s="276"/>
      <c r="D2184" s="276"/>
      <c r="E2184" s="276"/>
      <c r="F2184" s="276"/>
      <c r="G2184" s="276"/>
      <c r="H2184" s="276"/>
      <c r="I2184" s="276"/>
      <c r="J2184" s="276"/>
    </row>
    <row r="2185" spans="1:10">
      <c r="A2185" s="103" t="s">
        <v>3837</v>
      </c>
      <c r="B2185" s="124" t="s">
        <v>3838</v>
      </c>
      <c r="C2185" s="110">
        <v>18186</v>
      </c>
      <c r="D2185" s="109" t="s">
        <v>120</v>
      </c>
      <c r="E2185" s="109">
        <v>182</v>
      </c>
      <c r="F2185" s="110">
        <v>11783</v>
      </c>
      <c r="G2185" s="109" t="s">
        <v>120</v>
      </c>
      <c r="H2185" s="109">
        <v>65</v>
      </c>
      <c r="I2185" s="109">
        <v>439</v>
      </c>
      <c r="J2185" s="110">
        <v>720</v>
      </c>
    </row>
    <row r="2186" spans="1:10">
      <c r="A2186" s="103" t="s">
        <v>3839</v>
      </c>
      <c r="B2186" s="124" t="s">
        <v>932</v>
      </c>
      <c r="C2186" s="110">
        <v>702</v>
      </c>
      <c r="D2186" s="109" t="s">
        <v>120</v>
      </c>
      <c r="E2186" s="109">
        <v>7</v>
      </c>
      <c r="F2186" s="110">
        <v>5801</v>
      </c>
      <c r="G2186" s="109" t="s">
        <v>120</v>
      </c>
      <c r="H2186" s="109">
        <v>826</v>
      </c>
      <c r="I2186" s="109" t="s">
        <v>122</v>
      </c>
      <c r="J2186" s="110" t="s">
        <v>122</v>
      </c>
    </row>
    <row r="2187" spans="1:10">
      <c r="A2187" s="103" t="s">
        <v>3840</v>
      </c>
      <c r="B2187" s="124" t="s">
        <v>934</v>
      </c>
      <c r="C2187" s="110">
        <v>17484</v>
      </c>
      <c r="D2187" s="109" t="s">
        <v>120</v>
      </c>
      <c r="E2187" s="109">
        <v>175</v>
      </c>
      <c r="F2187" s="110">
        <v>5982</v>
      </c>
      <c r="G2187" s="109" t="s">
        <v>120</v>
      </c>
      <c r="H2187" s="109">
        <v>34</v>
      </c>
      <c r="I2187" s="109" t="s">
        <v>122</v>
      </c>
      <c r="J2187" s="110" t="s">
        <v>122</v>
      </c>
    </row>
    <row r="2188" spans="1:10" s="119" customFormat="1">
      <c r="A2188" s="123" t="s">
        <v>120</v>
      </c>
      <c r="B2188" s="273" t="s">
        <v>3841</v>
      </c>
      <c r="C2188" s="274"/>
      <c r="D2188" s="274"/>
      <c r="E2188" s="274"/>
      <c r="F2188" s="274"/>
      <c r="G2188" s="274"/>
      <c r="H2188" s="274"/>
      <c r="I2188" s="274"/>
      <c r="J2188" s="274"/>
    </row>
    <row r="2189" spans="1:10" s="119" customFormat="1">
      <c r="A2189" s="123" t="s">
        <v>120</v>
      </c>
      <c r="B2189" s="275" t="s">
        <v>943</v>
      </c>
      <c r="C2189" s="276"/>
      <c r="D2189" s="276"/>
      <c r="E2189" s="276"/>
      <c r="F2189" s="276"/>
      <c r="G2189" s="276"/>
      <c r="H2189" s="276"/>
      <c r="I2189" s="276"/>
      <c r="J2189" s="276"/>
    </row>
    <row r="2190" spans="1:10">
      <c r="A2190" s="103" t="s">
        <v>3842</v>
      </c>
      <c r="B2190" s="124" t="s">
        <v>3843</v>
      </c>
      <c r="C2190" s="110">
        <v>10446</v>
      </c>
      <c r="D2190" s="109" t="s">
        <v>120</v>
      </c>
      <c r="E2190" s="109">
        <v>104</v>
      </c>
      <c r="F2190" s="110">
        <v>3754</v>
      </c>
      <c r="G2190" s="109" t="s">
        <v>120</v>
      </c>
      <c r="H2190" s="109">
        <v>36</v>
      </c>
      <c r="I2190" s="109">
        <v>1309</v>
      </c>
      <c r="J2190" s="110">
        <v>2054</v>
      </c>
    </row>
    <row r="2191" spans="1:10">
      <c r="A2191" s="103" t="s">
        <v>3844</v>
      </c>
      <c r="B2191" s="124" t="s">
        <v>3845</v>
      </c>
      <c r="C2191" s="110">
        <v>13976</v>
      </c>
      <c r="D2191" s="109" t="s">
        <v>120</v>
      </c>
      <c r="E2191" s="109">
        <v>140</v>
      </c>
      <c r="F2191" s="110">
        <v>4805</v>
      </c>
      <c r="G2191" s="109" t="s">
        <v>120</v>
      </c>
      <c r="H2191" s="109">
        <v>34</v>
      </c>
      <c r="I2191" s="109">
        <v>788</v>
      </c>
      <c r="J2191" s="110">
        <v>1793</v>
      </c>
    </row>
    <row r="2192" spans="1:10">
      <c r="A2192" s="103" t="s">
        <v>3846</v>
      </c>
      <c r="B2192" s="124" t="s">
        <v>3847</v>
      </c>
      <c r="C2192" s="110">
        <v>12054</v>
      </c>
      <c r="D2192" s="109" t="s">
        <v>120</v>
      </c>
      <c r="E2192" s="109">
        <v>121</v>
      </c>
      <c r="F2192" s="110">
        <v>5029</v>
      </c>
      <c r="G2192" s="109" t="s">
        <v>120</v>
      </c>
      <c r="H2192" s="109">
        <v>42</v>
      </c>
      <c r="I2192" s="109">
        <v>1045</v>
      </c>
      <c r="J2192" s="110">
        <v>1737</v>
      </c>
    </row>
    <row r="2193" spans="1:10">
      <c r="A2193" s="103" t="s">
        <v>3848</v>
      </c>
      <c r="B2193" s="124" t="s">
        <v>3849</v>
      </c>
      <c r="C2193" s="110">
        <v>9337</v>
      </c>
      <c r="D2193" s="109" t="s">
        <v>120</v>
      </c>
      <c r="E2193" s="109">
        <v>93</v>
      </c>
      <c r="F2193" s="110">
        <v>4613</v>
      </c>
      <c r="G2193" s="109" t="s">
        <v>120</v>
      </c>
      <c r="H2193" s="109">
        <v>49</v>
      </c>
      <c r="I2193" s="109">
        <v>1496</v>
      </c>
      <c r="J2193" s="110">
        <v>1838</v>
      </c>
    </row>
    <row r="2194" spans="1:10">
      <c r="A2194" s="103" t="s">
        <v>3850</v>
      </c>
      <c r="B2194" s="124" t="s">
        <v>3851</v>
      </c>
      <c r="C2194" s="110">
        <v>11504</v>
      </c>
      <c r="D2194" s="109" t="s">
        <v>120</v>
      </c>
      <c r="E2194" s="109">
        <v>115</v>
      </c>
      <c r="F2194" s="110">
        <v>4091</v>
      </c>
      <c r="G2194" s="109" t="s">
        <v>120</v>
      </c>
      <c r="H2194" s="109">
        <v>36</v>
      </c>
      <c r="I2194" s="109">
        <v>1125</v>
      </c>
      <c r="J2194" s="110">
        <v>1975</v>
      </c>
    </row>
    <row r="2195" spans="1:10">
      <c r="A2195" s="103" t="s">
        <v>3852</v>
      </c>
      <c r="B2195" s="124" t="s">
        <v>3853</v>
      </c>
      <c r="C2195" s="110">
        <v>12012</v>
      </c>
      <c r="D2195" s="109" t="s">
        <v>120</v>
      </c>
      <c r="E2195" s="109">
        <v>120</v>
      </c>
      <c r="F2195" s="110">
        <v>4849</v>
      </c>
      <c r="G2195" s="109" t="s">
        <v>120</v>
      </c>
      <c r="H2195" s="109">
        <v>40</v>
      </c>
      <c r="I2195" s="109">
        <v>1052</v>
      </c>
      <c r="J2195" s="110">
        <v>1780</v>
      </c>
    </row>
    <row r="2196" spans="1:10" s="119" customFormat="1">
      <c r="A2196" s="123" t="s">
        <v>120</v>
      </c>
      <c r="B2196" s="275" t="s">
        <v>1026</v>
      </c>
      <c r="C2196" s="276"/>
      <c r="D2196" s="276"/>
      <c r="E2196" s="276"/>
      <c r="F2196" s="276"/>
      <c r="G2196" s="276"/>
      <c r="H2196" s="276"/>
      <c r="I2196" s="276"/>
      <c r="J2196" s="276"/>
    </row>
    <row r="2197" spans="1:10">
      <c r="A2197" s="103" t="s">
        <v>3854</v>
      </c>
      <c r="B2197" s="124" t="s">
        <v>3855</v>
      </c>
      <c r="C2197" s="110">
        <v>13413</v>
      </c>
      <c r="D2197" s="109" t="s">
        <v>120</v>
      </c>
      <c r="E2197" s="109">
        <v>134</v>
      </c>
      <c r="F2197" s="110">
        <v>24683</v>
      </c>
      <c r="G2197" s="109" t="s">
        <v>120</v>
      </c>
      <c r="H2197" s="109">
        <v>184</v>
      </c>
      <c r="I2197" s="109">
        <v>852</v>
      </c>
      <c r="J2197" s="110">
        <v>252</v>
      </c>
    </row>
    <row r="2198" spans="1:10">
      <c r="A2198" s="103" t="s">
        <v>3856</v>
      </c>
      <c r="B2198" s="124" t="s">
        <v>932</v>
      </c>
      <c r="C2198" s="110">
        <v>2307</v>
      </c>
      <c r="D2198" s="109" t="s">
        <v>120</v>
      </c>
      <c r="E2198" s="109">
        <v>23</v>
      </c>
      <c r="F2198" s="110">
        <v>19414</v>
      </c>
      <c r="G2198" s="109" t="s">
        <v>120</v>
      </c>
      <c r="H2198" s="109">
        <v>842</v>
      </c>
      <c r="I2198" s="109" t="s">
        <v>122</v>
      </c>
      <c r="J2198" s="110" t="s">
        <v>122</v>
      </c>
    </row>
    <row r="2199" spans="1:10">
      <c r="A2199" s="103" t="s">
        <v>3857</v>
      </c>
      <c r="B2199" s="124" t="s">
        <v>934</v>
      </c>
      <c r="C2199" s="110">
        <v>11106</v>
      </c>
      <c r="D2199" s="109" t="s">
        <v>120</v>
      </c>
      <c r="E2199" s="109">
        <v>111</v>
      </c>
      <c r="F2199" s="110">
        <v>5269</v>
      </c>
      <c r="G2199" s="109" t="s">
        <v>120</v>
      </c>
      <c r="H2199" s="109">
        <v>47</v>
      </c>
      <c r="I2199" s="109" t="s">
        <v>122</v>
      </c>
      <c r="J2199" s="110" t="s">
        <v>122</v>
      </c>
    </row>
    <row r="2200" spans="1:10" s="119" customFormat="1">
      <c r="A2200" s="123" t="s">
        <v>120</v>
      </c>
      <c r="B2200" s="273" t="s">
        <v>3858</v>
      </c>
      <c r="C2200" s="274"/>
      <c r="D2200" s="274"/>
      <c r="E2200" s="274"/>
      <c r="F2200" s="274"/>
      <c r="G2200" s="274"/>
      <c r="H2200" s="274"/>
      <c r="I2200" s="274"/>
      <c r="J2200" s="274"/>
    </row>
    <row r="2201" spans="1:10" s="119" customFormat="1">
      <c r="A2201" s="123" t="s">
        <v>120</v>
      </c>
      <c r="B2201" s="275" t="s">
        <v>922</v>
      </c>
      <c r="C2201" s="276"/>
      <c r="D2201" s="276"/>
      <c r="E2201" s="276"/>
      <c r="F2201" s="276"/>
      <c r="G2201" s="276"/>
      <c r="H2201" s="276"/>
      <c r="I2201" s="276"/>
      <c r="J2201" s="276"/>
    </row>
    <row r="2202" spans="1:10">
      <c r="A2202" s="103" t="s">
        <v>3859</v>
      </c>
      <c r="B2202" s="124" t="s">
        <v>3860</v>
      </c>
      <c r="C2202" s="110">
        <v>1840</v>
      </c>
      <c r="D2202" s="109" t="s">
        <v>120</v>
      </c>
      <c r="E2202" s="109">
        <v>18</v>
      </c>
      <c r="F2202" s="110">
        <v>18159</v>
      </c>
      <c r="G2202" s="109" t="s">
        <v>120</v>
      </c>
      <c r="H2202" s="109">
        <v>987</v>
      </c>
      <c r="I2202" s="109">
        <v>2252</v>
      </c>
      <c r="J2202" s="110">
        <v>397</v>
      </c>
    </row>
    <row r="2203" spans="1:10" s="119" customFormat="1">
      <c r="A2203" s="123" t="s">
        <v>120</v>
      </c>
      <c r="B2203" s="275" t="s">
        <v>943</v>
      </c>
      <c r="C2203" s="276"/>
      <c r="D2203" s="276"/>
      <c r="E2203" s="276"/>
      <c r="F2203" s="276"/>
      <c r="G2203" s="276"/>
      <c r="H2203" s="276"/>
      <c r="I2203" s="276"/>
      <c r="J2203" s="276"/>
    </row>
    <row r="2204" spans="1:10">
      <c r="A2204" s="103" t="s">
        <v>3861</v>
      </c>
      <c r="B2204" s="124" t="s">
        <v>3862</v>
      </c>
      <c r="C2204" s="110">
        <v>7795</v>
      </c>
      <c r="D2204" s="109" t="s">
        <v>120</v>
      </c>
      <c r="E2204" s="109">
        <v>78</v>
      </c>
      <c r="F2204" s="110">
        <v>8978</v>
      </c>
      <c r="G2204" s="109" t="s">
        <v>120</v>
      </c>
      <c r="H2204" s="109">
        <v>115</v>
      </c>
      <c r="I2204" s="109">
        <v>1729</v>
      </c>
      <c r="J2204" s="110">
        <v>989</v>
      </c>
    </row>
    <row r="2205" spans="1:10">
      <c r="A2205" s="103" t="s">
        <v>3863</v>
      </c>
      <c r="B2205" s="124" t="s">
        <v>3864</v>
      </c>
      <c r="C2205" s="110">
        <v>8976</v>
      </c>
      <c r="D2205" s="109" t="s">
        <v>120</v>
      </c>
      <c r="E2205" s="109">
        <v>90</v>
      </c>
      <c r="F2205" s="110">
        <v>6996</v>
      </c>
      <c r="G2205" s="109" t="s">
        <v>120</v>
      </c>
      <c r="H2205" s="109">
        <v>78</v>
      </c>
      <c r="I2205" s="109">
        <v>1536</v>
      </c>
      <c r="J2205" s="110">
        <v>1298</v>
      </c>
    </row>
    <row r="2206" spans="1:10">
      <c r="A2206" s="103" t="s">
        <v>3865</v>
      </c>
      <c r="B2206" s="124" t="s">
        <v>3866</v>
      </c>
      <c r="C2206" s="110">
        <v>13872</v>
      </c>
      <c r="D2206" s="109" t="s">
        <v>120</v>
      </c>
      <c r="E2206" s="109">
        <v>139</v>
      </c>
      <c r="F2206" s="110">
        <v>14548</v>
      </c>
      <c r="G2206" s="109" t="s">
        <v>120</v>
      </c>
      <c r="H2206" s="109">
        <v>105</v>
      </c>
      <c r="I2206" s="109">
        <v>795</v>
      </c>
      <c r="J2206" s="110">
        <v>540</v>
      </c>
    </row>
    <row r="2207" spans="1:10">
      <c r="A2207" s="103" t="s">
        <v>3867</v>
      </c>
      <c r="B2207" s="124" t="s">
        <v>3868</v>
      </c>
      <c r="C2207" s="110">
        <v>6558</v>
      </c>
      <c r="D2207" s="109" t="s">
        <v>120</v>
      </c>
      <c r="E2207" s="109">
        <v>66</v>
      </c>
      <c r="F2207" s="110">
        <v>12838</v>
      </c>
      <c r="G2207" s="109" t="s">
        <v>120</v>
      </c>
      <c r="H2207" s="109">
        <v>196</v>
      </c>
      <c r="I2207" s="109">
        <v>1898</v>
      </c>
      <c r="J2207" s="110">
        <v>643</v>
      </c>
    </row>
    <row r="2208" spans="1:10">
      <c r="A2208" s="103" t="s">
        <v>3869</v>
      </c>
      <c r="B2208" s="124" t="s">
        <v>3870</v>
      </c>
      <c r="C2208" s="110">
        <v>7468</v>
      </c>
      <c r="D2208" s="109" t="s">
        <v>120</v>
      </c>
      <c r="E2208" s="109">
        <v>75</v>
      </c>
      <c r="F2208" s="110">
        <v>12247</v>
      </c>
      <c r="G2208" s="109" t="s">
        <v>120</v>
      </c>
      <c r="H2208" s="109">
        <v>164</v>
      </c>
      <c r="I2208" s="109">
        <v>1784</v>
      </c>
      <c r="J2208" s="110">
        <v>682</v>
      </c>
    </row>
    <row r="2209" spans="1:10">
      <c r="A2209" s="103" t="s">
        <v>3871</v>
      </c>
      <c r="B2209" s="124" t="s">
        <v>3860</v>
      </c>
      <c r="C2209" s="110">
        <v>22973</v>
      </c>
      <c r="D2209" s="109" t="s">
        <v>120</v>
      </c>
      <c r="E2209" s="109">
        <v>230</v>
      </c>
      <c r="F2209" s="110">
        <v>9979</v>
      </c>
      <c r="G2209" s="109" t="s">
        <v>120</v>
      </c>
      <c r="H2209" s="109">
        <v>43</v>
      </c>
      <c r="I2209" s="109">
        <v>230</v>
      </c>
      <c r="J2209" s="110">
        <v>874</v>
      </c>
    </row>
    <row r="2210" spans="1:10">
      <c r="A2210" s="103" t="s">
        <v>3872</v>
      </c>
      <c r="B2210" s="124" t="s">
        <v>3873</v>
      </c>
      <c r="C2210" s="110">
        <v>13437</v>
      </c>
      <c r="D2210" s="109" t="s">
        <v>120</v>
      </c>
      <c r="E2210" s="109">
        <v>134</v>
      </c>
      <c r="F2210" s="110">
        <v>7308</v>
      </c>
      <c r="G2210" s="109" t="s">
        <v>120</v>
      </c>
      <c r="H2210" s="109">
        <v>54</v>
      </c>
      <c r="I2210" s="109">
        <v>846</v>
      </c>
      <c r="J2210" s="110">
        <v>1243</v>
      </c>
    </row>
    <row r="2211" spans="1:10">
      <c r="A2211" s="103" t="s">
        <v>3874</v>
      </c>
      <c r="B2211" s="124" t="s">
        <v>1856</v>
      </c>
      <c r="C2211" s="110">
        <v>9410</v>
      </c>
      <c r="D2211" s="109" t="s">
        <v>120</v>
      </c>
      <c r="E2211" s="109">
        <v>94</v>
      </c>
      <c r="F2211" s="110">
        <v>9672</v>
      </c>
      <c r="G2211" s="109" t="s">
        <v>120</v>
      </c>
      <c r="H2211" s="109">
        <v>103</v>
      </c>
      <c r="I2211" s="109">
        <v>1485</v>
      </c>
      <c r="J2211" s="110">
        <v>907</v>
      </c>
    </row>
    <row r="2212" spans="1:10">
      <c r="A2212" s="103" t="s">
        <v>3875</v>
      </c>
      <c r="B2212" s="124" t="s">
        <v>3876</v>
      </c>
      <c r="C2212" s="110">
        <v>8290</v>
      </c>
      <c r="D2212" s="109" t="s">
        <v>120</v>
      </c>
      <c r="E2212" s="109">
        <v>83</v>
      </c>
      <c r="F2212" s="110">
        <v>8906</v>
      </c>
      <c r="G2212" s="109" t="s">
        <v>120</v>
      </c>
      <c r="H2212" s="109">
        <v>107</v>
      </c>
      <c r="I2212" s="109">
        <v>1656</v>
      </c>
      <c r="J2212" s="110">
        <v>996</v>
      </c>
    </row>
    <row r="2213" spans="1:10">
      <c r="A2213" s="103" t="s">
        <v>3877</v>
      </c>
      <c r="B2213" s="124" t="s">
        <v>2007</v>
      </c>
      <c r="C2213" s="110">
        <v>9630</v>
      </c>
      <c r="D2213" s="109" t="s">
        <v>120</v>
      </c>
      <c r="E2213" s="109">
        <v>96</v>
      </c>
      <c r="F2213" s="110">
        <v>13222</v>
      </c>
      <c r="G2213" s="109" t="s">
        <v>120</v>
      </c>
      <c r="H2213" s="109">
        <v>137</v>
      </c>
      <c r="I2213" s="109">
        <v>1443</v>
      </c>
      <c r="J2213" s="110">
        <v>611</v>
      </c>
    </row>
    <row r="2214" spans="1:10" s="119" customFormat="1">
      <c r="A2214" s="123" t="s">
        <v>120</v>
      </c>
      <c r="B2214" s="275" t="s">
        <v>1101</v>
      </c>
      <c r="C2214" s="276"/>
      <c r="D2214" s="276"/>
      <c r="E2214" s="276"/>
      <c r="F2214" s="276"/>
      <c r="G2214" s="276"/>
      <c r="H2214" s="276"/>
      <c r="I2214" s="276"/>
      <c r="J2214" s="276"/>
    </row>
    <row r="2215" spans="1:10">
      <c r="A2215" s="103" t="s">
        <v>3878</v>
      </c>
      <c r="B2215" s="124" t="s">
        <v>3879</v>
      </c>
      <c r="C2215" s="110">
        <v>25602</v>
      </c>
      <c r="D2215" s="109" t="s">
        <v>120</v>
      </c>
      <c r="E2215" s="109">
        <v>256</v>
      </c>
      <c r="F2215" s="110">
        <v>14656</v>
      </c>
      <c r="G2215" s="109" t="s">
        <v>120</v>
      </c>
      <c r="H2215" s="109">
        <v>57</v>
      </c>
      <c r="I2215" s="109">
        <v>166</v>
      </c>
      <c r="J2215" s="110">
        <v>534</v>
      </c>
    </row>
    <row r="2216" spans="1:10">
      <c r="A2216" s="103" t="s">
        <v>3880</v>
      </c>
      <c r="B2216" s="124" t="s">
        <v>932</v>
      </c>
      <c r="C2216" s="110">
        <v>1583</v>
      </c>
      <c r="D2216" s="109" t="s">
        <v>120</v>
      </c>
      <c r="E2216" s="109">
        <v>17</v>
      </c>
      <c r="F2216" s="110">
        <v>4727</v>
      </c>
      <c r="G2216" s="109" t="s">
        <v>120</v>
      </c>
      <c r="H2216" s="109">
        <v>299</v>
      </c>
      <c r="I2216" s="109" t="s">
        <v>122</v>
      </c>
      <c r="J2216" s="110" t="s">
        <v>122</v>
      </c>
    </row>
    <row r="2217" spans="1:10">
      <c r="A2217" s="103" t="s">
        <v>3881</v>
      </c>
      <c r="B2217" s="124" t="s">
        <v>934</v>
      </c>
      <c r="C2217" s="110">
        <v>24019</v>
      </c>
      <c r="D2217" s="109" t="s">
        <v>120</v>
      </c>
      <c r="E2217" s="109">
        <v>239</v>
      </c>
      <c r="F2217" s="110">
        <v>9929</v>
      </c>
      <c r="G2217" s="109" t="s">
        <v>120</v>
      </c>
      <c r="H2217" s="109">
        <v>41</v>
      </c>
      <c r="I2217" s="109" t="s">
        <v>122</v>
      </c>
      <c r="J2217" s="110" t="s">
        <v>122</v>
      </c>
    </row>
    <row r="2218" spans="1:10">
      <c r="A2218" s="103" t="s">
        <v>3882</v>
      </c>
      <c r="B2218" s="124" t="s">
        <v>3883</v>
      </c>
      <c r="C2218" s="110">
        <v>17127</v>
      </c>
      <c r="D2218" s="109" t="s">
        <v>120</v>
      </c>
      <c r="E2218" s="109">
        <v>171</v>
      </c>
      <c r="F2218" s="110">
        <v>14782</v>
      </c>
      <c r="G2218" s="109" t="s">
        <v>120</v>
      </c>
      <c r="H2218" s="109">
        <v>86</v>
      </c>
      <c r="I2218" s="109">
        <v>507</v>
      </c>
      <c r="J2218" s="110">
        <v>525</v>
      </c>
    </row>
    <row r="2219" spans="1:10">
      <c r="A2219" s="103" t="s">
        <v>3884</v>
      </c>
      <c r="B2219" s="124" t="s">
        <v>932</v>
      </c>
      <c r="C2219" s="110">
        <v>2749</v>
      </c>
      <c r="D2219" s="109" t="s">
        <v>120</v>
      </c>
      <c r="E2219" s="109">
        <v>27</v>
      </c>
      <c r="F2219" s="110">
        <v>4354</v>
      </c>
      <c r="G2219" s="109" t="s">
        <v>120</v>
      </c>
      <c r="H2219" s="109">
        <v>158</v>
      </c>
      <c r="I2219" s="109" t="s">
        <v>122</v>
      </c>
      <c r="J2219" s="110" t="s">
        <v>122</v>
      </c>
    </row>
    <row r="2220" spans="1:10">
      <c r="A2220" s="103" t="s">
        <v>3885</v>
      </c>
      <c r="B2220" s="124" t="s">
        <v>934</v>
      </c>
      <c r="C2220" s="110">
        <v>14378</v>
      </c>
      <c r="D2220" s="109" t="s">
        <v>120</v>
      </c>
      <c r="E2220" s="109">
        <v>144</v>
      </c>
      <c r="F2220" s="110">
        <v>10428</v>
      </c>
      <c r="G2220" s="109" t="s">
        <v>120</v>
      </c>
      <c r="H2220" s="109">
        <v>73</v>
      </c>
      <c r="I2220" s="109" t="s">
        <v>122</v>
      </c>
      <c r="J2220" s="110" t="s">
        <v>122</v>
      </c>
    </row>
    <row r="2221" spans="1:10" s="119" customFormat="1">
      <c r="A2221" s="123" t="s">
        <v>120</v>
      </c>
      <c r="B2221" s="273" t="s">
        <v>3886</v>
      </c>
      <c r="C2221" s="274"/>
      <c r="D2221" s="274"/>
      <c r="E2221" s="274"/>
      <c r="F2221" s="274"/>
      <c r="G2221" s="274"/>
      <c r="H2221" s="274"/>
      <c r="I2221" s="274"/>
      <c r="J2221" s="274"/>
    </row>
    <row r="2222" spans="1:10" s="119" customFormat="1">
      <c r="A2222" s="123" t="s">
        <v>120</v>
      </c>
      <c r="B2222" s="275" t="s">
        <v>924</v>
      </c>
      <c r="C2222" s="276"/>
      <c r="D2222" s="276"/>
      <c r="E2222" s="276"/>
      <c r="F2222" s="276"/>
      <c r="G2222" s="276"/>
      <c r="H2222" s="276"/>
      <c r="I2222" s="276"/>
      <c r="J2222" s="276"/>
    </row>
    <row r="2223" spans="1:10">
      <c r="A2223" s="103" t="s">
        <v>3887</v>
      </c>
      <c r="B2223" s="124" t="s">
        <v>3888</v>
      </c>
      <c r="C2223" s="110">
        <v>4697</v>
      </c>
      <c r="D2223" s="109" t="s">
        <v>120</v>
      </c>
      <c r="E2223" s="109">
        <v>47</v>
      </c>
      <c r="F2223" s="110">
        <v>2610</v>
      </c>
      <c r="G2223" s="109" t="s">
        <v>120</v>
      </c>
      <c r="H2223" s="109">
        <v>56</v>
      </c>
      <c r="I2223" s="109">
        <v>2045</v>
      </c>
      <c r="J2223" s="110">
        <v>2246</v>
      </c>
    </row>
    <row r="2224" spans="1:10">
      <c r="A2224" s="103" t="s">
        <v>3889</v>
      </c>
      <c r="B2224" s="124" t="s">
        <v>3890</v>
      </c>
      <c r="C2224" s="110">
        <v>10495</v>
      </c>
      <c r="D2224" s="109" t="s">
        <v>120</v>
      </c>
      <c r="E2224" s="109">
        <v>105</v>
      </c>
      <c r="F2224" s="110">
        <v>2599</v>
      </c>
      <c r="G2224" s="109" t="s">
        <v>120</v>
      </c>
      <c r="H2224" s="109">
        <v>25</v>
      </c>
      <c r="I2224" s="109">
        <v>1300</v>
      </c>
      <c r="J2224" s="110">
        <v>2249</v>
      </c>
    </row>
    <row r="2225" spans="1:10">
      <c r="A2225" s="103" t="s">
        <v>3891</v>
      </c>
      <c r="B2225" s="124" t="s">
        <v>3892</v>
      </c>
      <c r="C2225" s="110">
        <v>15047</v>
      </c>
      <c r="D2225" s="109" t="s">
        <v>120</v>
      </c>
      <c r="E2225" s="109">
        <v>151</v>
      </c>
      <c r="F2225" s="110">
        <v>8501</v>
      </c>
      <c r="G2225" s="109" t="s">
        <v>120</v>
      </c>
      <c r="H2225" s="109">
        <v>56</v>
      </c>
      <c r="I2225" s="109">
        <v>676</v>
      </c>
      <c r="J2225" s="110">
        <v>1053</v>
      </c>
    </row>
    <row r="2226" spans="1:10">
      <c r="A2226" s="103" t="s">
        <v>3893</v>
      </c>
      <c r="B2226" s="124" t="s">
        <v>3894</v>
      </c>
      <c r="C2226" s="110">
        <v>11931</v>
      </c>
      <c r="D2226" s="109" t="s">
        <v>120</v>
      </c>
      <c r="E2226" s="109">
        <v>119</v>
      </c>
      <c r="F2226" s="110">
        <v>4939</v>
      </c>
      <c r="G2226" s="109" t="s">
        <v>120</v>
      </c>
      <c r="H2226" s="109">
        <v>41</v>
      </c>
      <c r="I2226" s="109">
        <v>1065</v>
      </c>
      <c r="J2226" s="110">
        <v>1751</v>
      </c>
    </row>
    <row r="2227" spans="1:10">
      <c r="A2227" s="103" t="s">
        <v>3895</v>
      </c>
      <c r="B2227" s="124" t="s">
        <v>3896</v>
      </c>
      <c r="C2227" s="110">
        <v>8143</v>
      </c>
      <c r="D2227" s="109" t="s">
        <v>120</v>
      </c>
      <c r="E2227" s="109">
        <v>81</v>
      </c>
      <c r="F2227" s="110">
        <v>2549</v>
      </c>
      <c r="G2227" s="109" t="s">
        <v>120</v>
      </c>
      <c r="H2227" s="109">
        <v>31</v>
      </c>
      <c r="I2227" s="109">
        <v>1683</v>
      </c>
      <c r="J2227" s="110">
        <v>2255</v>
      </c>
    </row>
    <row r="2228" spans="1:10">
      <c r="A2228" s="103" t="s">
        <v>3897</v>
      </c>
      <c r="B2228" s="124" t="s">
        <v>3898</v>
      </c>
      <c r="C2228" s="110">
        <v>11725</v>
      </c>
      <c r="D2228" s="109" t="s">
        <v>120</v>
      </c>
      <c r="E2228" s="109">
        <v>117</v>
      </c>
      <c r="F2228" s="110">
        <v>3169</v>
      </c>
      <c r="G2228" s="109" t="s">
        <v>120</v>
      </c>
      <c r="H2228" s="109">
        <v>27</v>
      </c>
      <c r="I2228" s="109">
        <v>1095</v>
      </c>
      <c r="J2228" s="110">
        <v>2169</v>
      </c>
    </row>
    <row r="2229" spans="1:10">
      <c r="A2229" s="103" t="s">
        <v>3899</v>
      </c>
      <c r="B2229" s="124" t="s">
        <v>3900</v>
      </c>
      <c r="C2229" s="110">
        <v>14135</v>
      </c>
      <c r="D2229" s="109" t="s">
        <v>120</v>
      </c>
      <c r="E2229" s="109">
        <v>141</v>
      </c>
      <c r="F2229" s="110">
        <v>18406</v>
      </c>
      <c r="G2229" s="109" t="s">
        <v>120</v>
      </c>
      <c r="H2229" s="109">
        <v>130</v>
      </c>
      <c r="I2229" s="109">
        <v>766</v>
      </c>
      <c r="J2229" s="110">
        <v>385</v>
      </c>
    </row>
    <row r="2230" spans="1:10">
      <c r="A2230" s="103" t="s">
        <v>3901</v>
      </c>
      <c r="B2230" s="124" t="s">
        <v>3902</v>
      </c>
      <c r="C2230" s="110">
        <v>11904</v>
      </c>
      <c r="D2230" s="109" t="s">
        <v>120</v>
      </c>
      <c r="E2230" s="109">
        <v>119</v>
      </c>
      <c r="F2230" s="110">
        <v>7872</v>
      </c>
      <c r="G2230" s="109" t="s">
        <v>120</v>
      </c>
      <c r="H2230" s="109">
        <v>66</v>
      </c>
      <c r="I2230" s="109">
        <v>1067</v>
      </c>
      <c r="J2230" s="110">
        <v>1142</v>
      </c>
    </row>
    <row r="2231" spans="1:10">
      <c r="A2231" s="103" t="s">
        <v>3903</v>
      </c>
      <c r="B2231" s="124" t="s">
        <v>3904</v>
      </c>
      <c r="C2231" s="110">
        <v>10054</v>
      </c>
      <c r="D2231" s="109" t="s">
        <v>120</v>
      </c>
      <c r="E2231" s="109">
        <v>101</v>
      </c>
      <c r="F2231" s="110">
        <v>4693</v>
      </c>
      <c r="G2231" s="109" t="s">
        <v>120</v>
      </c>
      <c r="H2231" s="109">
        <v>47</v>
      </c>
      <c r="I2231" s="109">
        <v>1380</v>
      </c>
      <c r="J2231" s="110">
        <v>1819</v>
      </c>
    </row>
    <row r="2232" spans="1:10">
      <c r="A2232" s="103" t="s">
        <v>3905</v>
      </c>
      <c r="B2232" s="124" t="s">
        <v>3906</v>
      </c>
      <c r="C2232" s="110">
        <v>12600</v>
      </c>
      <c r="D2232" s="109" t="s">
        <v>120</v>
      </c>
      <c r="E2232" s="109">
        <v>126</v>
      </c>
      <c r="F2232" s="110">
        <v>5747</v>
      </c>
      <c r="G2232" s="109" t="s">
        <v>120</v>
      </c>
      <c r="H2232" s="109">
        <v>46</v>
      </c>
      <c r="I2232" s="109">
        <v>969</v>
      </c>
      <c r="J2232" s="110">
        <v>1568</v>
      </c>
    </row>
    <row r="2233" spans="1:10">
      <c r="A2233" s="103" t="s">
        <v>3907</v>
      </c>
      <c r="B2233" s="124" t="s">
        <v>3908</v>
      </c>
      <c r="C2233" s="110">
        <v>11540</v>
      </c>
      <c r="D2233" s="109" t="s">
        <v>120</v>
      </c>
      <c r="E2233" s="109">
        <v>115</v>
      </c>
      <c r="F2233" s="110">
        <v>4391</v>
      </c>
      <c r="G2233" s="109" t="s">
        <v>120</v>
      </c>
      <c r="H2233" s="109">
        <v>38</v>
      </c>
      <c r="I2233" s="109">
        <v>1122</v>
      </c>
      <c r="J2233" s="110">
        <v>1893</v>
      </c>
    </row>
    <row r="2234" spans="1:10">
      <c r="A2234" s="103" t="s">
        <v>3909</v>
      </c>
      <c r="B2234" s="124" t="s">
        <v>3910</v>
      </c>
      <c r="C2234" s="110">
        <v>21075</v>
      </c>
      <c r="D2234" s="109" t="s">
        <v>120</v>
      </c>
      <c r="E2234" s="109">
        <v>211</v>
      </c>
      <c r="F2234" s="110">
        <v>10106</v>
      </c>
      <c r="G2234" s="109" t="s">
        <v>120</v>
      </c>
      <c r="H2234" s="109">
        <v>48</v>
      </c>
      <c r="I2234" s="109">
        <v>288</v>
      </c>
      <c r="J2234" s="110">
        <v>863</v>
      </c>
    </row>
    <row r="2235" spans="1:10" s="119" customFormat="1">
      <c r="A2235" s="123" t="s">
        <v>120</v>
      </c>
      <c r="B2235" s="275" t="s">
        <v>1026</v>
      </c>
      <c r="C2235" s="276"/>
      <c r="D2235" s="276"/>
      <c r="E2235" s="276"/>
      <c r="F2235" s="276"/>
      <c r="G2235" s="276"/>
      <c r="H2235" s="276"/>
      <c r="I2235" s="276"/>
      <c r="J2235" s="276"/>
    </row>
    <row r="2236" spans="1:10">
      <c r="A2236" s="103" t="s">
        <v>3911</v>
      </c>
      <c r="B2236" s="124" t="s">
        <v>3912</v>
      </c>
      <c r="C2236" s="110">
        <v>17002</v>
      </c>
      <c r="D2236" s="109" t="s">
        <v>120</v>
      </c>
      <c r="E2236" s="109">
        <v>170</v>
      </c>
      <c r="F2236" s="110">
        <v>5780</v>
      </c>
      <c r="G2236" s="109" t="s">
        <v>120</v>
      </c>
      <c r="H2236" s="109">
        <v>34</v>
      </c>
      <c r="I2236" s="109">
        <v>520</v>
      </c>
      <c r="J2236" s="110">
        <v>1561</v>
      </c>
    </row>
    <row r="2237" spans="1:10">
      <c r="A2237" s="103" t="s">
        <v>3913</v>
      </c>
      <c r="B2237" s="124" t="s">
        <v>932</v>
      </c>
      <c r="C2237" s="110">
        <v>454</v>
      </c>
      <c r="D2237" s="109" t="s">
        <v>120</v>
      </c>
      <c r="E2237" s="109">
        <v>5</v>
      </c>
      <c r="F2237" s="110">
        <v>1750</v>
      </c>
      <c r="G2237" s="109" t="s">
        <v>120</v>
      </c>
      <c r="H2237" s="109">
        <v>385</v>
      </c>
      <c r="I2237" s="109" t="s">
        <v>122</v>
      </c>
      <c r="J2237" s="110" t="s">
        <v>122</v>
      </c>
    </row>
    <row r="2238" spans="1:10">
      <c r="A2238" s="103" t="s">
        <v>3914</v>
      </c>
      <c r="B2238" s="124" t="s">
        <v>934</v>
      </c>
      <c r="C2238" s="110">
        <v>16548</v>
      </c>
      <c r="D2238" s="109" t="s">
        <v>120</v>
      </c>
      <c r="E2238" s="109">
        <v>165</v>
      </c>
      <c r="F2238" s="110">
        <v>4030</v>
      </c>
      <c r="G2238" s="109" t="s">
        <v>120</v>
      </c>
      <c r="H2238" s="109">
        <v>24</v>
      </c>
      <c r="I2238" s="109" t="s">
        <v>122</v>
      </c>
      <c r="J2238" s="110" t="s">
        <v>122</v>
      </c>
    </row>
    <row r="2239" spans="1:10" s="119" customFormat="1">
      <c r="A2239" s="123" t="s">
        <v>120</v>
      </c>
      <c r="B2239" s="273" t="s">
        <v>3915</v>
      </c>
      <c r="C2239" s="274"/>
      <c r="D2239" s="274"/>
      <c r="E2239" s="274"/>
      <c r="F2239" s="274"/>
      <c r="G2239" s="274"/>
      <c r="H2239" s="274"/>
      <c r="I2239" s="274"/>
      <c r="J2239" s="274"/>
    </row>
    <row r="2240" spans="1:10" s="119" customFormat="1" ht="15" customHeight="1">
      <c r="A2240" s="123" t="s">
        <v>120</v>
      </c>
      <c r="B2240" s="275" t="s">
        <v>922</v>
      </c>
      <c r="C2240" s="276"/>
      <c r="D2240" s="276"/>
      <c r="E2240" s="276"/>
      <c r="F2240" s="276"/>
      <c r="G2240" s="276"/>
      <c r="H2240" s="276"/>
      <c r="I2240" s="276"/>
      <c r="J2240" s="276"/>
    </row>
    <row r="2241" spans="1:10" ht="15" customHeight="1">
      <c r="A2241" s="103" t="s">
        <v>3916</v>
      </c>
      <c r="B2241" s="124" t="s">
        <v>3917</v>
      </c>
      <c r="C2241" s="110">
        <v>1859</v>
      </c>
      <c r="D2241" s="109" t="s">
        <v>120</v>
      </c>
      <c r="E2241" s="109">
        <v>19</v>
      </c>
      <c r="F2241" s="110">
        <v>17933</v>
      </c>
      <c r="G2241" s="109" t="s">
        <v>120</v>
      </c>
      <c r="H2241" s="109">
        <v>965</v>
      </c>
      <c r="I2241" s="109">
        <v>2251</v>
      </c>
      <c r="J2241" s="110">
        <v>402</v>
      </c>
    </row>
    <row r="2242" spans="1:10" s="119" customFormat="1" ht="15" customHeight="1">
      <c r="A2242" s="123" t="s">
        <v>120</v>
      </c>
      <c r="B2242" s="275" t="s">
        <v>924</v>
      </c>
      <c r="C2242" s="276"/>
      <c r="D2242" s="276"/>
      <c r="E2242" s="276"/>
      <c r="F2242" s="276"/>
      <c r="G2242" s="276"/>
      <c r="H2242" s="276"/>
      <c r="I2242" s="276"/>
      <c r="J2242" s="276"/>
    </row>
    <row r="2243" spans="1:10" ht="15" customHeight="1">
      <c r="A2243" s="103" t="s">
        <v>3918</v>
      </c>
      <c r="B2243" s="124" t="s">
        <v>3919</v>
      </c>
      <c r="C2243" s="110">
        <v>12635</v>
      </c>
      <c r="D2243" s="109" t="s">
        <v>120</v>
      </c>
      <c r="E2243" s="109">
        <v>126</v>
      </c>
      <c r="F2243" s="110">
        <v>5943</v>
      </c>
      <c r="G2243" s="109" t="s">
        <v>120</v>
      </c>
      <c r="H2243" s="109">
        <v>47</v>
      </c>
      <c r="I2243" s="109">
        <v>966</v>
      </c>
      <c r="J2243" s="110">
        <v>1525</v>
      </c>
    </row>
    <row r="2244" spans="1:10" ht="15" customHeight="1">
      <c r="A2244" s="103" t="s">
        <v>3920</v>
      </c>
      <c r="B2244" s="124" t="s">
        <v>3921</v>
      </c>
      <c r="C2244" s="110">
        <v>14371</v>
      </c>
      <c r="D2244" s="109" t="s">
        <v>120</v>
      </c>
      <c r="E2244" s="109">
        <v>144</v>
      </c>
      <c r="F2244" s="110">
        <v>6009</v>
      </c>
      <c r="G2244" s="109" t="s">
        <v>120</v>
      </c>
      <c r="H2244" s="109">
        <v>42</v>
      </c>
      <c r="I2244" s="109">
        <v>746</v>
      </c>
      <c r="J2244" s="110">
        <v>1501</v>
      </c>
    </row>
    <row r="2245" spans="1:10" ht="15" customHeight="1">
      <c r="A2245" s="103" t="s">
        <v>3922</v>
      </c>
      <c r="B2245" s="124" t="s">
        <v>3923</v>
      </c>
      <c r="C2245" s="110">
        <v>11479</v>
      </c>
      <c r="D2245" s="109" t="s">
        <v>120</v>
      </c>
      <c r="E2245" s="109">
        <v>115</v>
      </c>
      <c r="F2245" s="110">
        <v>4139</v>
      </c>
      <c r="G2245" s="109" t="s">
        <v>120</v>
      </c>
      <c r="H2245" s="109">
        <v>36</v>
      </c>
      <c r="I2245" s="109">
        <v>1128</v>
      </c>
      <c r="J2245" s="110">
        <v>1964</v>
      </c>
    </row>
    <row r="2246" spans="1:10" ht="15" customHeight="1">
      <c r="A2246" s="103" t="s">
        <v>3924</v>
      </c>
      <c r="B2246" s="124" t="s">
        <v>3917</v>
      </c>
      <c r="C2246" s="110">
        <v>15009</v>
      </c>
      <c r="D2246" s="109" t="s">
        <v>120</v>
      </c>
      <c r="E2246" s="109">
        <v>150</v>
      </c>
      <c r="F2246" s="110">
        <v>7042</v>
      </c>
      <c r="G2246" s="109" t="s">
        <v>120</v>
      </c>
      <c r="H2246" s="109">
        <v>47</v>
      </c>
      <c r="I2246" s="109">
        <v>678</v>
      </c>
      <c r="J2246" s="110">
        <v>1287</v>
      </c>
    </row>
    <row r="2247" spans="1:10" ht="15" customHeight="1">
      <c r="A2247" s="103" t="s">
        <v>3925</v>
      </c>
      <c r="B2247" s="124" t="s">
        <v>3926</v>
      </c>
      <c r="C2247" s="110">
        <v>11268</v>
      </c>
      <c r="D2247" s="109" t="s">
        <v>120</v>
      </c>
      <c r="E2247" s="109">
        <v>113</v>
      </c>
      <c r="F2247" s="110">
        <v>4310</v>
      </c>
      <c r="G2247" s="109" t="s">
        <v>120</v>
      </c>
      <c r="H2247" s="109">
        <v>38</v>
      </c>
      <c r="I2247" s="109">
        <v>1164</v>
      </c>
      <c r="J2247" s="110">
        <v>1920</v>
      </c>
    </row>
    <row r="2248" spans="1:10" ht="15" customHeight="1">
      <c r="A2248" s="103" t="s">
        <v>3927</v>
      </c>
      <c r="B2248" s="124" t="s">
        <v>3928</v>
      </c>
      <c r="C2248" s="110">
        <v>18583</v>
      </c>
      <c r="D2248" s="109" t="s">
        <v>120</v>
      </c>
      <c r="E2248" s="109">
        <v>185</v>
      </c>
      <c r="F2248" s="110">
        <v>6578</v>
      </c>
      <c r="G2248" s="109" t="s">
        <v>120</v>
      </c>
      <c r="H2248" s="109">
        <v>35</v>
      </c>
      <c r="I2248" s="109">
        <v>417</v>
      </c>
      <c r="J2248" s="110">
        <v>1384</v>
      </c>
    </row>
    <row r="2249" spans="1:10" s="119" customFormat="1">
      <c r="A2249" s="123" t="s">
        <v>120</v>
      </c>
      <c r="B2249" s="273" t="s">
        <v>3929</v>
      </c>
      <c r="C2249" s="274"/>
      <c r="D2249" s="274"/>
      <c r="E2249" s="274"/>
      <c r="F2249" s="274"/>
      <c r="G2249" s="274"/>
      <c r="H2249" s="274"/>
      <c r="I2249" s="274"/>
      <c r="J2249" s="274"/>
    </row>
    <row r="2250" spans="1:10" s="119" customFormat="1">
      <c r="A2250" s="123" t="s">
        <v>120</v>
      </c>
      <c r="B2250" s="275" t="s">
        <v>957</v>
      </c>
      <c r="C2250" s="276"/>
      <c r="D2250" s="276"/>
      <c r="E2250" s="276"/>
      <c r="F2250" s="276"/>
      <c r="G2250" s="276"/>
      <c r="H2250" s="276"/>
      <c r="I2250" s="276"/>
      <c r="J2250" s="276"/>
    </row>
    <row r="2251" spans="1:10">
      <c r="A2251" s="103" t="s">
        <v>3930</v>
      </c>
      <c r="B2251" s="124" t="s">
        <v>3931</v>
      </c>
      <c r="C2251" s="110">
        <v>2619</v>
      </c>
      <c r="D2251" s="109" t="s">
        <v>120</v>
      </c>
      <c r="E2251" s="109">
        <v>26</v>
      </c>
      <c r="F2251" s="110">
        <v>36282</v>
      </c>
      <c r="G2251" s="109" t="s">
        <v>120</v>
      </c>
      <c r="H2251" s="109">
        <v>1385</v>
      </c>
      <c r="I2251" s="109">
        <v>2189</v>
      </c>
      <c r="J2251" s="110">
        <v>145</v>
      </c>
    </row>
    <row r="2252" spans="1:10" s="119" customFormat="1">
      <c r="A2252" s="123" t="s">
        <v>120</v>
      </c>
      <c r="B2252" s="275" t="s">
        <v>1022</v>
      </c>
      <c r="C2252" s="276"/>
      <c r="D2252" s="276"/>
      <c r="E2252" s="276"/>
      <c r="F2252" s="276"/>
      <c r="G2252" s="276"/>
      <c r="H2252" s="276"/>
      <c r="I2252" s="276"/>
      <c r="J2252" s="276"/>
    </row>
    <row r="2253" spans="1:10">
      <c r="A2253" s="103" t="s">
        <v>3932</v>
      </c>
      <c r="B2253" s="124" t="s">
        <v>3933</v>
      </c>
      <c r="C2253" s="110">
        <v>11981</v>
      </c>
      <c r="D2253" s="109" t="s">
        <v>120</v>
      </c>
      <c r="E2253" s="109">
        <v>120</v>
      </c>
      <c r="F2253" s="110">
        <v>4371</v>
      </c>
      <c r="G2253" s="109" t="s">
        <v>120</v>
      </c>
      <c r="H2253" s="109">
        <v>36</v>
      </c>
      <c r="I2253" s="109">
        <v>1055</v>
      </c>
      <c r="J2253" s="110">
        <v>1900</v>
      </c>
    </row>
    <row r="2254" spans="1:10">
      <c r="A2254" s="103" t="s">
        <v>3934</v>
      </c>
      <c r="B2254" s="124" t="s">
        <v>3935</v>
      </c>
      <c r="C2254" s="110">
        <v>12907</v>
      </c>
      <c r="D2254" s="109" t="s">
        <v>120</v>
      </c>
      <c r="E2254" s="109">
        <v>129</v>
      </c>
      <c r="F2254" s="110">
        <v>6132</v>
      </c>
      <c r="G2254" s="109" t="s">
        <v>120</v>
      </c>
      <c r="H2254" s="109">
        <v>48</v>
      </c>
      <c r="I2254" s="109">
        <v>924</v>
      </c>
      <c r="J2254" s="110">
        <v>1474</v>
      </c>
    </row>
    <row r="2255" spans="1:10">
      <c r="A2255" s="103" t="s">
        <v>3936</v>
      </c>
      <c r="B2255" s="124" t="s">
        <v>3937</v>
      </c>
      <c r="C2255" s="110">
        <v>11749</v>
      </c>
      <c r="D2255" s="109" t="s">
        <v>120</v>
      </c>
      <c r="E2255" s="109">
        <v>118</v>
      </c>
      <c r="F2255" s="110">
        <v>5575</v>
      </c>
      <c r="G2255" s="109" t="s">
        <v>120</v>
      </c>
      <c r="H2255" s="109">
        <v>47</v>
      </c>
      <c r="I2255" s="109">
        <v>1088</v>
      </c>
      <c r="J2255" s="110">
        <v>1598</v>
      </c>
    </row>
    <row r="2256" spans="1:10">
      <c r="A2256" s="103" t="s">
        <v>3938</v>
      </c>
      <c r="B2256" s="124" t="s">
        <v>3939</v>
      </c>
      <c r="C2256" s="110">
        <v>9015</v>
      </c>
      <c r="D2256" s="109" t="s">
        <v>120</v>
      </c>
      <c r="E2256" s="109">
        <v>90</v>
      </c>
      <c r="F2256" s="110">
        <v>6686</v>
      </c>
      <c r="G2256" s="109" t="s">
        <v>120</v>
      </c>
      <c r="H2256" s="109">
        <v>74</v>
      </c>
      <c r="I2256" s="109">
        <v>1530</v>
      </c>
      <c r="J2256" s="110">
        <v>1365</v>
      </c>
    </row>
    <row r="2257" spans="1:10">
      <c r="A2257" s="103" t="s">
        <v>3940</v>
      </c>
      <c r="B2257" s="124" t="s">
        <v>3941</v>
      </c>
      <c r="C2257" s="110">
        <v>7275</v>
      </c>
      <c r="D2257" s="109" t="s">
        <v>120</v>
      </c>
      <c r="E2257" s="109">
        <v>73</v>
      </c>
      <c r="F2257" s="110">
        <v>3478</v>
      </c>
      <c r="G2257" s="109" t="s">
        <v>120</v>
      </c>
      <c r="H2257" s="109">
        <v>48</v>
      </c>
      <c r="I2257" s="109">
        <v>1810</v>
      </c>
      <c r="J2257" s="110">
        <v>2111</v>
      </c>
    </row>
    <row r="2258" spans="1:10">
      <c r="A2258" s="103" t="s">
        <v>3942</v>
      </c>
      <c r="B2258" s="124" t="s">
        <v>3931</v>
      </c>
      <c r="C2258" s="110">
        <v>9138</v>
      </c>
      <c r="D2258" s="109" t="s">
        <v>120</v>
      </c>
      <c r="E2258" s="109">
        <v>91</v>
      </c>
      <c r="F2258" s="110">
        <v>10976</v>
      </c>
      <c r="G2258" s="109" t="s">
        <v>120</v>
      </c>
      <c r="H2258" s="109">
        <v>120</v>
      </c>
      <c r="I2258" s="109">
        <v>1517</v>
      </c>
      <c r="J2258" s="110">
        <v>783</v>
      </c>
    </row>
    <row r="2259" spans="1:10">
      <c r="A2259" s="103" t="s">
        <v>3943</v>
      </c>
      <c r="B2259" s="124" t="s">
        <v>3944</v>
      </c>
      <c r="C2259" s="110">
        <v>8796</v>
      </c>
      <c r="D2259" s="109" t="s">
        <v>120</v>
      </c>
      <c r="E2259" s="109">
        <v>88</v>
      </c>
      <c r="F2259" s="110">
        <v>11545</v>
      </c>
      <c r="G2259" s="109" t="s">
        <v>120</v>
      </c>
      <c r="H2259" s="109">
        <v>131</v>
      </c>
      <c r="I2259" s="109">
        <v>1562</v>
      </c>
      <c r="J2259" s="110">
        <v>739</v>
      </c>
    </row>
    <row r="2260" spans="1:10" s="119" customFormat="1">
      <c r="A2260" s="123" t="s">
        <v>120</v>
      </c>
      <c r="B2260" s="273" t="s">
        <v>3945</v>
      </c>
      <c r="C2260" s="274"/>
      <c r="D2260" s="274"/>
      <c r="E2260" s="274"/>
      <c r="F2260" s="274"/>
      <c r="G2260" s="274"/>
      <c r="H2260" s="274"/>
      <c r="I2260" s="274"/>
      <c r="J2260" s="274"/>
    </row>
    <row r="2261" spans="1:10" s="119" customFormat="1">
      <c r="A2261" s="123" t="s">
        <v>120</v>
      </c>
      <c r="B2261" s="275" t="s">
        <v>1019</v>
      </c>
      <c r="C2261" s="276"/>
      <c r="D2261" s="276"/>
      <c r="E2261" s="276"/>
      <c r="F2261" s="276"/>
      <c r="G2261" s="276"/>
      <c r="H2261" s="276"/>
      <c r="I2261" s="276"/>
      <c r="J2261" s="276"/>
    </row>
    <row r="2262" spans="1:10">
      <c r="A2262" s="103" t="s">
        <v>3946</v>
      </c>
      <c r="B2262" s="124" t="s">
        <v>3947</v>
      </c>
      <c r="C2262" s="110">
        <v>1751</v>
      </c>
      <c r="D2262" s="109" t="s">
        <v>120</v>
      </c>
      <c r="E2262" s="109">
        <v>18</v>
      </c>
      <c r="F2262" s="110">
        <v>18945</v>
      </c>
      <c r="G2262" s="109" t="s">
        <v>120</v>
      </c>
      <c r="H2262" s="109">
        <v>1082</v>
      </c>
      <c r="I2262" s="109">
        <v>2257</v>
      </c>
      <c r="J2262" s="110">
        <v>371</v>
      </c>
    </row>
    <row r="2263" spans="1:10" s="119" customFormat="1">
      <c r="A2263" s="123" t="s">
        <v>120</v>
      </c>
      <c r="B2263" s="275" t="s">
        <v>924</v>
      </c>
      <c r="C2263" s="276"/>
      <c r="D2263" s="276"/>
      <c r="E2263" s="276"/>
      <c r="F2263" s="276"/>
      <c r="G2263" s="276"/>
      <c r="H2263" s="276"/>
      <c r="I2263" s="276"/>
      <c r="J2263" s="276"/>
    </row>
    <row r="2264" spans="1:10">
      <c r="A2264" s="103" t="s">
        <v>3948</v>
      </c>
      <c r="B2264" s="124" t="s">
        <v>3949</v>
      </c>
      <c r="C2264" s="110">
        <v>11007</v>
      </c>
      <c r="D2264" s="109" t="s">
        <v>120</v>
      </c>
      <c r="E2264" s="109">
        <v>110</v>
      </c>
      <c r="F2264" s="110">
        <v>3609</v>
      </c>
      <c r="G2264" s="109" t="s">
        <v>120</v>
      </c>
      <c r="H2264" s="109">
        <v>33</v>
      </c>
      <c r="I2264" s="109">
        <v>1224</v>
      </c>
      <c r="J2264" s="110">
        <v>2088</v>
      </c>
    </row>
    <row r="2265" spans="1:10">
      <c r="A2265" s="103" t="s">
        <v>3950</v>
      </c>
      <c r="B2265" s="124" t="s">
        <v>3951</v>
      </c>
      <c r="C2265" s="110">
        <v>11105</v>
      </c>
      <c r="D2265" s="109" t="s">
        <v>120</v>
      </c>
      <c r="E2265" s="109">
        <v>111</v>
      </c>
      <c r="F2265" s="110">
        <v>2169</v>
      </c>
      <c r="G2265" s="109" t="s">
        <v>120</v>
      </c>
      <c r="H2265" s="109">
        <v>20</v>
      </c>
      <c r="I2265" s="109">
        <v>1199</v>
      </c>
      <c r="J2265" s="110">
        <v>2287</v>
      </c>
    </row>
    <row r="2266" spans="1:10">
      <c r="A2266" s="103" t="s">
        <v>3952</v>
      </c>
      <c r="B2266" s="124" t="s">
        <v>3953</v>
      </c>
      <c r="C2266" s="110">
        <v>14927</v>
      </c>
      <c r="D2266" s="109" t="s">
        <v>120</v>
      </c>
      <c r="E2266" s="109">
        <v>149</v>
      </c>
      <c r="F2266" s="110">
        <v>4417</v>
      </c>
      <c r="G2266" s="109" t="s">
        <v>120</v>
      </c>
      <c r="H2266" s="109">
        <v>30</v>
      </c>
      <c r="I2266" s="109">
        <v>681</v>
      </c>
      <c r="J2266" s="110">
        <v>1886</v>
      </c>
    </row>
    <row r="2267" spans="1:10">
      <c r="A2267" s="103" t="s">
        <v>3954</v>
      </c>
      <c r="B2267" s="124" t="s">
        <v>3955</v>
      </c>
      <c r="C2267" s="110">
        <v>16858</v>
      </c>
      <c r="D2267" s="109" t="s">
        <v>120</v>
      </c>
      <c r="E2267" s="109">
        <v>168</v>
      </c>
      <c r="F2267" s="110">
        <v>5173</v>
      </c>
      <c r="G2267" s="109" t="s">
        <v>120</v>
      </c>
      <c r="H2267" s="109">
        <v>31</v>
      </c>
      <c r="I2267" s="109">
        <v>530</v>
      </c>
      <c r="J2267" s="110">
        <v>1698</v>
      </c>
    </row>
    <row r="2268" spans="1:10">
      <c r="A2268" s="103" t="s">
        <v>3956</v>
      </c>
      <c r="B2268" s="124" t="s">
        <v>3957</v>
      </c>
      <c r="C2268" s="110">
        <v>10798</v>
      </c>
      <c r="D2268" s="109" t="s">
        <v>120</v>
      </c>
      <c r="E2268" s="109">
        <v>108</v>
      </c>
      <c r="F2268" s="110">
        <v>3636</v>
      </c>
      <c r="G2268" s="109" t="s">
        <v>120</v>
      </c>
      <c r="H2268" s="109">
        <v>34</v>
      </c>
      <c r="I2268" s="109">
        <v>1257</v>
      </c>
      <c r="J2268" s="110">
        <v>2078</v>
      </c>
    </row>
    <row r="2269" spans="1:10">
      <c r="A2269" s="103" t="s">
        <v>3958</v>
      </c>
      <c r="B2269" s="124" t="s">
        <v>3947</v>
      </c>
      <c r="C2269" s="110">
        <v>13661</v>
      </c>
      <c r="D2269" s="109" t="s">
        <v>120</v>
      </c>
      <c r="E2269" s="109">
        <v>137</v>
      </c>
      <c r="F2269" s="110">
        <v>6019</v>
      </c>
      <c r="G2269" s="109" t="s">
        <v>120</v>
      </c>
      <c r="H2269" s="109">
        <v>44</v>
      </c>
      <c r="I2269" s="109">
        <v>816</v>
      </c>
      <c r="J2269" s="110">
        <v>1498</v>
      </c>
    </row>
    <row r="2270" spans="1:10">
      <c r="A2270" s="103" t="s">
        <v>3959</v>
      </c>
      <c r="B2270" s="124" t="s">
        <v>3960</v>
      </c>
      <c r="C2270" s="110">
        <v>12997</v>
      </c>
      <c r="D2270" s="109" t="s">
        <v>120</v>
      </c>
      <c r="E2270" s="109">
        <v>130</v>
      </c>
      <c r="F2270" s="110">
        <v>3889</v>
      </c>
      <c r="G2270" s="109" t="s">
        <v>120</v>
      </c>
      <c r="H2270" s="109">
        <v>30</v>
      </c>
      <c r="I2270" s="109">
        <v>910</v>
      </c>
      <c r="J2270" s="110">
        <v>2018</v>
      </c>
    </row>
    <row r="2271" spans="1:10" s="119" customFormat="1">
      <c r="A2271" s="123" t="s">
        <v>120</v>
      </c>
      <c r="B2271" s="275" t="s">
        <v>1026</v>
      </c>
      <c r="C2271" s="276"/>
      <c r="D2271" s="276"/>
      <c r="E2271" s="276"/>
      <c r="F2271" s="276"/>
      <c r="G2271" s="276"/>
      <c r="H2271" s="276"/>
      <c r="I2271" s="276"/>
      <c r="J2271" s="276"/>
    </row>
    <row r="2272" spans="1:10">
      <c r="A2272" s="103" t="s">
        <v>3961</v>
      </c>
      <c r="B2272" s="124" t="s">
        <v>3962</v>
      </c>
      <c r="C2272" s="110">
        <v>20013</v>
      </c>
      <c r="D2272" s="109" t="s">
        <v>120</v>
      </c>
      <c r="E2272" s="109">
        <v>200</v>
      </c>
      <c r="F2272" s="110">
        <v>5947</v>
      </c>
      <c r="G2272" s="109" t="s">
        <v>120</v>
      </c>
      <c r="H2272" s="109">
        <v>30</v>
      </c>
      <c r="I2272" s="109">
        <v>345</v>
      </c>
      <c r="J2272" s="110">
        <v>1524</v>
      </c>
    </row>
    <row r="2273" spans="1:10">
      <c r="A2273" s="103" t="s">
        <v>3963</v>
      </c>
      <c r="B2273" s="124" t="s">
        <v>932</v>
      </c>
      <c r="C2273" s="110">
        <v>1157</v>
      </c>
      <c r="D2273" s="109" t="s">
        <v>120</v>
      </c>
      <c r="E2273" s="109">
        <v>11</v>
      </c>
      <c r="F2273" s="110">
        <v>2087</v>
      </c>
      <c r="G2273" s="109" t="s">
        <v>120</v>
      </c>
      <c r="H2273" s="109">
        <v>180</v>
      </c>
      <c r="I2273" s="109" t="s">
        <v>122</v>
      </c>
      <c r="J2273" s="110" t="s">
        <v>122</v>
      </c>
    </row>
    <row r="2274" spans="1:10">
      <c r="A2274" s="103" t="s">
        <v>3964</v>
      </c>
      <c r="B2274" s="124" t="s">
        <v>934</v>
      </c>
      <c r="C2274" s="110">
        <v>18856</v>
      </c>
      <c r="D2274" s="109" t="s">
        <v>120</v>
      </c>
      <c r="E2274" s="109">
        <v>189</v>
      </c>
      <c r="F2274" s="110">
        <v>3860</v>
      </c>
      <c r="G2274" s="109" t="s">
        <v>120</v>
      </c>
      <c r="H2274" s="109">
        <v>20</v>
      </c>
      <c r="I2274" s="109" t="s">
        <v>122</v>
      </c>
      <c r="J2274" s="110" t="s">
        <v>122</v>
      </c>
    </row>
    <row r="2275" spans="1:10" s="119" customFormat="1">
      <c r="A2275" s="123" t="s">
        <v>120</v>
      </c>
      <c r="B2275" s="273" t="s">
        <v>3965</v>
      </c>
      <c r="C2275" s="274"/>
      <c r="D2275" s="274"/>
      <c r="E2275" s="274"/>
      <c r="F2275" s="274"/>
      <c r="G2275" s="274"/>
      <c r="H2275" s="274"/>
      <c r="I2275" s="274"/>
      <c r="J2275" s="274"/>
    </row>
    <row r="2276" spans="1:10" s="119" customFormat="1">
      <c r="A2276" s="123" t="s">
        <v>120</v>
      </c>
      <c r="B2276" s="275" t="s">
        <v>943</v>
      </c>
      <c r="C2276" s="276"/>
      <c r="D2276" s="276"/>
      <c r="E2276" s="276"/>
      <c r="F2276" s="276"/>
      <c r="G2276" s="276"/>
      <c r="H2276" s="276"/>
      <c r="I2276" s="276"/>
      <c r="J2276" s="276"/>
    </row>
    <row r="2277" spans="1:10">
      <c r="A2277" s="103" t="s">
        <v>3966</v>
      </c>
      <c r="B2277" s="124" t="s">
        <v>3967</v>
      </c>
      <c r="C2277" s="110">
        <v>12398</v>
      </c>
      <c r="D2277" s="109" t="s">
        <v>120</v>
      </c>
      <c r="E2277" s="109">
        <v>124</v>
      </c>
      <c r="F2277" s="110">
        <v>5911</v>
      </c>
      <c r="G2277" s="109" t="s">
        <v>120</v>
      </c>
      <c r="H2277" s="109">
        <v>48</v>
      </c>
      <c r="I2277" s="109">
        <v>994</v>
      </c>
      <c r="J2277" s="110">
        <v>1529</v>
      </c>
    </row>
    <row r="2278" spans="1:10">
      <c r="A2278" s="103" t="s">
        <v>3968</v>
      </c>
      <c r="B2278" s="124" t="s">
        <v>3969</v>
      </c>
      <c r="C2278" s="110">
        <v>5453</v>
      </c>
      <c r="D2278" s="109" t="s">
        <v>120</v>
      </c>
      <c r="E2278" s="109">
        <v>55</v>
      </c>
      <c r="F2278" s="110">
        <v>5196</v>
      </c>
      <c r="G2278" s="109" t="s">
        <v>120</v>
      </c>
      <c r="H2278" s="109">
        <v>95</v>
      </c>
      <c r="I2278" s="109">
        <v>1989</v>
      </c>
      <c r="J2278" s="110">
        <v>1690</v>
      </c>
    </row>
    <row r="2279" spans="1:10">
      <c r="A2279" s="103" t="s">
        <v>3970</v>
      </c>
      <c r="B2279" s="124" t="s">
        <v>3971</v>
      </c>
      <c r="C2279" s="110">
        <v>5305</v>
      </c>
      <c r="D2279" s="109" t="s">
        <v>120</v>
      </c>
      <c r="E2279" s="109">
        <v>53</v>
      </c>
      <c r="F2279" s="110">
        <v>3898</v>
      </c>
      <c r="G2279" s="109" t="s">
        <v>120</v>
      </c>
      <c r="H2279" s="109">
        <v>73</v>
      </c>
      <c r="I2279" s="109">
        <v>1999</v>
      </c>
      <c r="J2279" s="110">
        <v>2014</v>
      </c>
    </row>
    <row r="2280" spans="1:10">
      <c r="A2280" s="103" t="s">
        <v>3972</v>
      </c>
      <c r="B2280" s="124" t="s">
        <v>3973</v>
      </c>
      <c r="C2280" s="110">
        <v>8195</v>
      </c>
      <c r="D2280" s="109" t="s">
        <v>120</v>
      </c>
      <c r="E2280" s="109">
        <v>82</v>
      </c>
      <c r="F2280" s="110">
        <v>5969</v>
      </c>
      <c r="G2280" s="109" t="s">
        <v>120</v>
      </c>
      <c r="H2280" s="109">
        <v>73</v>
      </c>
      <c r="I2280" s="109">
        <v>1673</v>
      </c>
      <c r="J2280" s="110">
        <v>1516</v>
      </c>
    </row>
    <row r="2281" spans="1:10" s="119" customFormat="1">
      <c r="A2281" s="123" t="s">
        <v>120</v>
      </c>
      <c r="B2281" s="275" t="s">
        <v>929</v>
      </c>
      <c r="C2281" s="276"/>
      <c r="D2281" s="276"/>
      <c r="E2281" s="276"/>
      <c r="F2281" s="276"/>
      <c r="G2281" s="276"/>
      <c r="H2281" s="276"/>
      <c r="I2281" s="276"/>
      <c r="J2281" s="276"/>
    </row>
    <row r="2282" spans="1:10">
      <c r="A2282" s="103" t="s">
        <v>3974</v>
      </c>
      <c r="B2282" s="124" t="s">
        <v>3975</v>
      </c>
      <c r="C2282" s="110">
        <v>13830</v>
      </c>
      <c r="D2282" s="109" t="s">
        <v>120</v>
      </c>
      <c r="E2282" s="109">
        <v>138</v>
      </c>
      <c r="F2282" s="110">
        <v>18698</v>
      </c>
      <c r="G2282" s="109" t="s">
        <v>120</v>
      </c>
      <c r="H2282" s="109">
        <v>135</v>
      </c>
      <c r="I2282" s="109">
        <v>799</v>
      </c>
      <c r="J2282" s="110">
        <v>375</v>
      </c>
    </row>
    <row r="2283" spans="1:10">
      <c r="A2283" s="103" t="s">
        <v>3976</v>
      </c>
      <c r="B2283" s="124" t="s">
        <v>932</v>
      </c>
      <c r="C2283" s="110">
        <v>2189</v>
      </c>
      <c r="D2283" s="109" t="s">
        <v>120</v>
      </c>
      <c r="E2283" s="109">
        <v>22</v>
      </c>
      <c r="F2283" s="110">
        <v>11687</v>
      </c>
      <c r="G2283" s="109" t="s">
        <v>120</v>
      </c>
      <c r="H2283" s="109">
        <v>534</v>
      </c>
      <c r="I2283" s="109" t="s">
        <v>122</v>
      </c>
      <c r="J2283" s="110" t="s">
        <v>122</v>
      </c>
    </row>
    <row r="2284" spans="1:10">
      <c r="A2284" s="103" t="s">
        <v>3977</v>
      </c>
      <c r="B2284" s="124" t="s">
        <v>934</v>
      </c>
      <c r="C2284" s="110">
        <v>11641</v>
      </c>
      <c r="D2284" s="109" t="s">
        <v>120</v>
      </c>
      <c r="E2284" s="109">
        <v>116</v>
      </c>
      <c r="F2284" s="110">
        <v>7011</v>
      </c>
      <c r="G2284" s="109" t="s">
        <v>120</v>
      </c>
      <c r="H2284" s="109">
        <v>60</v>
      </c>
      <c r="I2284" s="109" t="s">
        <v>122</v>
      </c>
      <c r="J2284" s="110" t="s">
        <v>122</v>
      </c>
    </row>
    <row r="2285" spans="1:10" s="119" customFormat="1">
      <c r="A2285" s="123" t="s">
        <v>120</v>
      </c>
      <c r="B2285" s="273" t="s">
        <v>3978</v>
      </c>
      <c r="C2285" s="274"/>
      <c r="D2285" s="274"/>
      <c r="E2285" s="274"/>
      <c r="F2285" s="274"/>
      <c r="G2285" s="274"/>
      <c r="H2285" s="274"/>
      <c r="I2285" s="274"/>
      <c r="J2285" s="274"/>
    </row>
    <row r="2286" spans="1:10" s="119" customFormat="1">
      <c r="A2286" s="123" t="s">
        <v>120</v>
      </c>
      <c r="B2286" s="275" t="s">
        <v>943</v>
      </c>
      <c r="C2286" s="276"/>
      <c r="D2286" s="276"/>
      <c r="E2286" s="276"/>
      <c r="F2286" s="276"/>
      <c r="G2286" s="276"/>
      <c r="H2286" s="276"/>
      <c r="I2286" s="276"/>
      <c r="J2286" s="276"/>
    </row>
    <row r="2287" spans="1:10">
      <c r="A2287" s="103" t="s">
        <v>3979</v>
      </c>
      <c r="B2287" s="124" t="s">
        <v>3980</v>
      </c>
      <c r="C2287" s="110">
        <v>6501</v>
      </c>
      <c r="D2287" s="109" t="s">
        <v>120</v>
      </c>
      <c r="E2287" s="109">
        <v>65</v>
      </c>
      <c r="F2287" s="110">
        <v>10572</v>
      </c>
      <c r="G2287" s="109" t="s">
        <v>120</v>
      </c>
      <c r="H2287" s="109">
        <v>163</v>
      </c>
      <c r="I2287" s="109">
        <v>1901</v>
      </c>
      <c r="J2287" s="110">
        <v>824</v>
      </c>
    </row>
    <row r="2288" spans="1:10">
      <c r="A2288" s="103" t="s">
        <v>3981</v>
      </c>
      <c r="B2288" s="124" t="s">
        <v>3982</v>
      </c>
      <c r="C2288" s="110">
        <v>8460</v>
      </c>
      <c r="D2288" s="109" t="s">
        <v>120</v>
      </c>
      <c r="E2288" s="109">
        <v>85</v>
      </c>
      <c r="F2288" s="110">
        <v>4347</v>
      </c>
      <c r="G2288" s="109" t="s">
        <v>120</v>
      </c>
      <c r="H2288" s="109">
        <v>51</v>
      </c>
      <c r="I2288" s="109">
        <v>1625</v>
      </c>
      <c r="J2288" s="110">
        <v>1908</v>
      </c>
    </row>
    <row r="2289" spans="1:10">
      <c r="A2289" s="103" t="s">
        <v>3983</v>
      </c>
      <c r="B2289" s="124" t="s">
        <v>3984</v>
      </c>
      <c r="C2289" s="110">
        <v>12508</v>
      </c>
      <c r="D2289" s="109" t="s">
        <v>120</v>
      </c>
      <c r="E2289" s="109">
        <v>125</v>
      </c>
      <c r="F2289" s="110">
        <v>10207</v>
      </c>
      <c r="G2289" s="109" t="s">
        <v>120</v>
      </c>
      <c r="H2289" s="109">
        <v>82</v>
      </c>
      <c r="I2289" s="109">
        <v>976</v>
      </c>
      <c r="J2289" s="110">
        <v>852</v>
      </c>
    </row>
    <row r="2290" spans="1:10">
      <c r="A2290" s="103" t="s">
        <v>3985</v>
      </c>
      <c r="B2290" s="124" t="s">
        <v>3986</v>
      </c>
      <c r="C2290" s="110">
        <v>6342</v>
      </c>
      <c r="D2290" s="109" t="s">
        <v>120</v>
      </c>
      <c r="E2290" s="109">
        <v>63</v>
      </c>
      <c r="F2290" s="110">
        <v>19279</v>
      </c>
      <c r="G2290" s="109" t="s">
        <v>120</v>
      </c>
      <c r="H2290" s="109">
        <v>304</v>
      </c>
      <c r="I2290" s="109">
        <v>1920</v>
      </c>
      <c r="J2290" s="110">
        <v>362</v>
      </c>
    </row>
    <row r="2291" spans="1:10" s="119" customFormat="1">
      <c r="A2291" s="123" t="s">
        <v>120</v>
      </c>
      <c r="B2291" s="275" t="s">
        <v>947</v>
      </c>
      <c r="C2291" s="276"/>
      <c r="D2291" s="276"/>
      <c r="E2291" s="276"/>
      <c r="F2291" s="276"/>
      <c r="G2291" s="276"/>
      <c r="H2291" s="276"/>
      <c r="I2291" s="276"/>
      <c r="J2291" s="276"/>
    </row>
    <row r="2292" spans="1:10">
      <c r="A2292" s="103" t="s">
        <v>3987</v>
      </c>
      <c r="B2292" s="124" t="s">
        <v>3988</v>
      </c>
      <c r="C2292" s="110">
        <v>8558</v>
      </c>
      <c r="D2292" s="109" t="s">
        <v>120</v>
      </c>
      <c r="E2292" s="109">
        <v>86</v>
      </c>
      <c r="F2292" s="110">
        <v>21565</v>
      </c>
      <c r="G2292" s="109" t="s">
        <v>120</v>
      </c>
      <c r="H2292" s="109">
        <v>252</v>
      </c>
      <c r="I2292" s="109">
        <v>1607</v>
      </c>
      <c r="J2292" s="110">
        <v>314</v>
      </c>
    </row>
    <row r="2293" spans="1:10">
      <c r="A2293" s="103" t="s">
        <v>3989</v>
      </c>
      <c r="B2293" s="124" t="s">
        <v>932</v>
      </c>
      <c r="C2293" s="110">
        <v>909</v>
      </c>
      <c r="D2293" s="109" t="s">
        <v>120</v>
      </c>
      <c r="E2293" s="109">
        <v>9</v>
      </c>
      <c r="F2293" s="110">
        <v>12195</v>
      </c>
      <c r="G2293" s="109" t="s">
        <v>120</v>
      </c>
      <c r="H2293" s="109">
        <v>1342</v>
      </c>
      <c r="I2293" s="109" t="s">
        <v>122</v>
      </c>
      <c r="J2293" s="110" t="s">
        <v>122</v>
      </c>
    </row>
    <row r="2294" spans="1:10">
      <c r="A2294" s="103" t="s">
        <v>3990</v>
      </c>
      <c r="B2294" s="124" t="s">
        <v>934</v>
      </c>
      <c r="C2294" s="110">
        <v>7649</v>
      </c>
      <c r="D2294" s="109" t="s">
        <v>120</v>
      </c>
      <c r="E2294" s="109">
        <v>77</v>
      </c>
      <c r="F2294" s="110">
        <v>9370</v>
      </c>
      <c r="G2294" s="109" t="s">
        <v>120</v>
      </c>
      <c r="H2294" s="109">
        <v>122</v>
      </c>
      <c r="I2294" s="109" t="s">
        <v>122</v>
      </c>
      <c r="J2294" s="110" t="s">
        <v>122</v>
      </c>
    </row>
    <row r="2295" spans="1:10">
      <c r="A2295" s="103" t="s">
        <v>3991</v>
      </c>
      <c r="B2295" s="124" t="s">
        <v>3992</v>
      </c>
      <c r="C2295" s="110">
        <v>3883</v>
      </c>
      <c r="D2295" s="109" t="s">
        <v>120</v>
      </c>
      <c r="E2295" s="109">
        <v>39</v>
      </c>
      <c r="F2295" s="110">
        <v>27203</v>
      </c>
      <c r="G2295" s="109" t="s">
        <v>120</v>
      </c>
      <c r="H2295" s="109">
        <v>701</v>
      </c>
      <c r="I2295" s="109">
        <v>2102</v>
      </c>
      <c r="J2295" s="110">
        <v>215</v>
      </c>
    </row>
    <row r="2296" spans="1:10">
      <c r="A2296" s="103" t="s">
        <v>3993</v>
      </c>
      <c r="B2296" s="124" t="s">
        <v>932</v>
      </c>
      <c r="C2296" s="110">
        <v>840</v>
      </c>
      <c r="D2296" s="109" t="s">
        <v>120</v>
      </c>
      <c r="E2296" s="109">
        <v>8</v>
      </c>
      <c r="F2296" s="110">
        <v>17042</v>
      </c>
      <c r="G2296" s="109" t="s">
        <v>120</v>
      </c>
      <c r="H2296" s="109">
        <v>2029</v>
      </c>
      <c r="I2296" s="109" t="s">
        <v>122</v>
      </c>
      <c r="J2296" s="110" t="s">
        <v>122</v>
      </c>
    </row>
    <row r="2297" spans="1:10">
      <c r="A2297" s="103" t="s">
        <v>3994</v>
      </c>
      <c r="B2297" s="124" t="s">
        <v>934</v>
      </c>
      <c r="C2297" s="110">
        <v>3043</v>
      </c>
      <c r="D2297" s="109" t="s">
        <v>120</v>
      </c>
      <c r="E2297" s="109">
        <v>31</v>
      </c>
      <c r="F2297" s="110">
        <v>10161</v>
      </c>
      <c r="G2297" s="109" t="s">
        <v>120</v>
      </c>
      <c r="H2297" s="109">
        <v>334</v>
      </c>
      <c r="I2297" s="109" t="s">
        <v>122</v>
      </c>
      <c r="J2297" s="110" t="s">
        <v>122</v>
      </c>
    </row>
    <row r="2298" spans="1:10">
      <c r="A2298" s="103" t="s">
        <v>3995</v>
      </c>
      <c r="B2298" s="124" t="s">
        <v>3996</v>
      </c>
      <c r="C2298" s="110">
        <v>7127</v>
      </c>
      <c r="D2298" s="109" t="s">
        <v>120</v>
      </c>
      <c r="E2298" s="109">
        <v>71</v>
      </c>
      <c r="F2298" s="110">
        <v>25440</v>
      </c>
      <c r="G2298" s="109" t="s">
        <v>120</v>
      </c>
      <c r="H2298" s="109">
        <v>357</v>
      </c>
      <c r="I2298" s="109">
        <v>1830</v>
      </c>
      <c r="J2298" s="110">
        <v>242</v>
      </c>
    </row>
    <row r="2299" spans="1:10">
      <c r="A2299" s="103" t="s">
        <v>3997</v>
      </c>
      <c r="B2299" s="124" t="s">
        <v>932</v>
      </c>
      <c r="C2299" s="110">
        <v>813</v>
      </c>
      <c r="D2299" s="109" t="s">
        <v>120</v>
      </c>
      <c r="E2299" s="109">
        <v>8</v>
      </c>
      <c r="F2299" s="110">
        <v>11938</v>
      </c>
      <c r="G2299" s="109" t="s">
        <v>120</v>
      </c>
      <c r="H2299" s="109">
        <v>1468</v>
      </c>
      <c r="I2299" s="109" t="s">
        <v>122</v>
      </c>
      <c r="J2299" s="110" t="s">
        <v>122</v>
      </c>
    </row>
    <row r="2300" spans="1:10">
      <c r="A2300" s="103" t="s">
        <v>3998</v>
      </c>
      <c r="B2300" s="124" t="s">
        <v>934</v>
      </c>
      <c r="C2300" s="110">
        <v>6314</v>
      </c>
      <c r="D2300" s="109" t="s">
        <v>120</v>
      </c>
      <c r="E2300" s="109">
        <v>63</v>
      </c>
      <c r="F2300" s="110">
        <v>13502</v>
      </c>
      <c r="G2300" s="109" t="s">
        <v>120</v>
      </c>
      <c r="H2300" s="109">
        <v>214</v>
      </c>
      <c r="I2300" s="109" t="s">
        <v>122</v>
      </c>
      <c r="J2300" s="110" t="s">
        <v>122</v>
      </c>
    </row>
    <row r="2301" spans="1:10" s="119" customFormat="1">
      <c r="A2301" s="123" t="s">
        <v>120</v>
      </c>
      <c r="B2301" s="273" t="s">
        <v>3999</v>
      </c>
      <c r="C2301" s="274"/>
      <c r="D2301" s="274"/>
      <c r="E2301" s="274"/>
      <c r="F2301" s="274"/>
      <c r="G2301" s="274"/>
      <c r="H2301" s="274"/>
      <c r="I2301" s="274"/>
      <c r="J2301" s="274"/>
    </row>
    <row r="2302" spans="1:10" s="119" customFormat="1">
      <c r="A2302" s="123" t="s">
        <v>120</v>
      </c>
      <c r="B2302" s="275" t="s">
        <v>957</v>
      </c>
      <c r="C2302" s="276"/>
      <c r="D2302" s="276"/>
      <c r="E2302" s="276"/>
      <c r="F2302" s="276"/>
      <c r="G2302" s="276"/>
      <c r="H2302" s="276"/>
      <c r="I2302" s="276"/>
      <c r="J2302" s="276"/>
    </row>
    <row r="2303" spans="1:10">
      <c r="A2303" s="103" t="s">
        <v>4000</v>
      </c>
      <c r="B2303" s="124" t="s">
        <v>4001</v>
      </c>
      <c r="C2303" s="110">
        <v>3551</v>
      </c>
      <c r="D2303" s="109" t="s">
        <v>120</v>
      </c>
      <c r="E2303" s="109">
        <v>36</v>
      </c>
      <c r="F2303" s="110">
        <v>12583</v>
      </c>
      <c r="G2303" s="109" t="s">
        <v>120</v>
      </c>
      <c r="H2303" s="109">
        <v>354</v>
      </c>
      <c r="I2303" s="109">
        <v>2123</v>
      </c>
      <c r="J2303" s="110">
        <v>657</v>
      </c>
    </row>
    <row r="2304" spans="1:10" s="119" customFormat="1">
      <c r="A2304" s="123" t="s">
        <v>120</v>
      </c>
      <c r="B2304" s="275" t="s">
        <v>943</v>
      </c>
      <c r="C2304" s="276"/>
      <c r="D2304" s="276"/>
      <c r="E2304" s="276"/>
      <c r="F2304" s="276"/>
      <c r="G2304" s="276"/>
      <c r="H2304" s="276"/>
      <c r="I2304" s="276"/>
      <c r="J2304" s="276"/>
    </row>
    <row r="2305" spans="1:10">
      <c r="A2305" s="103" t="s">
        <v>4002</v>
      </c>
      <c r="B2305" s="124" t="s">
        <v>4003</v>
      </c>
      <c r="C2305" s="110">
        <v>13076</v>
      </c>
      <c r="D2305" s="109" t="s">
        <v>120</v>
      </c>
      <c r="E2305" s="109">
        <v>131</v>
      </c>
      <c r="F2305" s="110">
        <v>4443</v>
      </c>
      <c r="G2305" s="109" t="s">
        <v>120</v>
      </c>
      <c r="H2305" s="109">
        <v>34</v>
      </c>
      <c r="I2305" s="109">
        <v>899</v>
      </c>
      <c r="J2305" s="110">
        <v>1882</v>
      </c>
    </row>
    <row r="2306" spans="1:10">
      <c r="A2306" s="103" t="s">
        <v>4004</v>
      </c>
      <c r="B2306" s="124" t="s">
        <v>4005</v>
      </c>
      <c r="C2306" s="110">
        <v>18032</v>
      </c>
      <c r="D2306" s="109" t="s">
        <v>120</v>
      </c>
      <c r="E2306" s="109">
        <v>180</v>
      </c>
      <c r="F2306" s="110">
        <v>6218</v>
      </c>
      <c r="G2306" s="109" t="s">
        <v>120</v>
      </c>
      <c r="H2306" s="109">
        <v>34</v>
      </c>
      <c r="I2306" s="109">
        <v>448</v>
      </c>
      <c r="J2306" s="110">
        <v>1459</v>
      </c>
    </row>
    <row r="2307" spans="1:10">
      <c r="A2307" s="103" t="s">
        <v>4006</v>
      </c>
      <c r="B2307" s="124" t="s">
        <v>4007</v>
      </c>
      <c r="C2307" s="110">
        <v>16947</v>
      </c>
      <c r="D2307" s="109" t="s">
        <v>120</v>
      </c>
      <c r="E2307" s="109">
        <v>169</v>
      </c>
      <c r="F2307" s="110">
        <v>7344</v>
      </c>
      <c r="G2307" s="109" t="s">
        <v>120</v>
      </c>
      <c r="H2307" s="109">
        <v>43</v>
      </c>
      <c r="I2307" s="109">
        <v>526</v>
      </c>
      <c r="J2307" s="110">
        <v>1233</v>
      </c>
    </row>
    <row r="2308" spans="1:10">
      <c r="A2308" s="103" t="s">
        <v>4008</v>
      </c>
      <c r="B2308" s="124" t="s">
        <v>4009</v>
      </c>
      <c r="C2308" s="110">
        <v>11601</v>
      </c>
      <c r="D2308" s="109" t="s">
        <v>120</v>
      </c>
      <c r="E2308" s="109">
        <v>116</v>
      </c>
      <c r="F2308" s="110">
        <v>3812</v>
      </c>
      <c r="G2308" s="109" t="s">
        <v>120</v>
      </c>
      <c r="H2308" s="109">
        <v>33</v>
      </c>
      <c r="I2308" s="109">
        <v>1114</v>
      </c>
      <c r="J2308" s="110">
        <v>2041</v>
      </c>
    </row>
    <row r="2309" spans="1:10">
      <c r="A2309" s="103" t="s">
        <v>4010</v>
      </c>
      <c r="B2309" s="124" t="s">
        <v>4011</v>
      </c>
      <c r="C2309" s="110">
        <v>14473</v>
      </c>
      <c r="D2309" s="109" t="s">
        <v>120</v>
      </c>
      <c r="E2309" s="109">
        <v>145</v>
      </c>
      <c r="F2309" s="110">
        <v>5828</v>
      </c>
      <c r="G2309" s="109" t="s">
        <v>120</v>
      </c>
      <c r="H2309" s="109">
        <v>40</v>
      </c>
      <c r="I2309" s="109">
        <v>735</v>
      </c>
      <c r="J2309" s="110">
        <v>1549</v>
      </c>
    </row>
    <row r="2310" spans="1:10">
      <c r="A2310" s="103" t="s">
        <v>4012</v>
      </c>
      <c r="B2310" s="124" t="s">
        <v>4013</v>
      </c>
      <c r="C2310" s="110">
        <v>14454</v>
      </c>
      <c r="D2310" s="109" t="s">
        <v>120</v>
      </c>
      <c r="E2310" s="109">
        <v>145</v>
      </c>
      <c r="F2310" s="110">
        <v>4945</v>
      </c>
      <c r="G2310" s="109" t="s">
        <v>120</v>
      </c>
      <c r="H2310" s="109">
        <v>34</v>
      </c>
      <c r="I2310" s="109">
        <v>737</v>
      </c>
      <c r="J2310" s="110">
        <v>1750</v>
      </c>
    </row>
    <row r="2311" spans="1:10">
      <c r="A2311" s="103" t="s">
        <v>4014</v>
      </c>
      <c r="B2311" s="124" t="s">
        <v>4015</v>
      </c>
      <c r="C2311" s="110">
        <v>10320</v>
      </c>
      <c r="D2311" s="109" t="s">
        <v>120</v>
      </c>
      <c r="E2311" s="109">
        <v>103</v>
      </c>
      <c r="F2311" s="110">
        <v>2750</v>
      </c>
      <c r="G2311" s="109" t="s">
        <v>120</v>
      </c>
      <c r="H2311" s="109">
        <v>27</v>
      </c>
      <c r="I2311" s="109">
        <v>1334</v>
      </c>
      <c r="J2311" s="110">
        <v>2230</v>
      </c>
    </row>
    <row r="2312" spans="1:10" s="119" customFormat="1">
      <c r="A2312" s="123" t="s">
        <v>120</v>
      </c>
      <c r="B2312" s="275" t="s">
        <v>1026</v>
      </c>
      <c r="C2312" s="276"/>
      <c r="D2312" s="276"/>
      <c r="E2312" s="276"/>
      <c r="F2312" s="276"/>
      <c r="G2312" s="276"/>
      <c r="H2312" s="276"/>
      <c r="I2312" s="276"/>
      <c r="J2312" s="276"/>
    </row>
    <row r="2313" spans="1:10">
      <c r="A2313" s="103" t="s">
        <v>4016</v>
      </c>
      <c r="B2313" s="124" t="s">
        <v>4017</v>
      </c>
      <c r="C2313" s="110">
        <v>19622</v>
      </c>
      <c r="D2313" s="109" t="s">
        <v>120</v>
      </c>
      <c r="E2313" s="109">
        <v>196</v>
      </c>
      <c r="F2313" s="110">
        <v>17899</v>
      </c>
      <c r="G2313" s="109" t="s">
        <v>120</v>
      </c>
      <c r="H2313" s="109">
        <v>91</v>
      </c>
      <c r="I2313" s="109">
        <v>370</v>
      </c>
      <c r="J2313" s="110">
        <v>404</v>
      </c>
    </row>
    <row r="2314" spans="1:10">
      <c r="A2314" s="103" t="s">
        <v>4018</v>
      </c>
      <c r="B2314" s="124" t="s">
        <v>932</v>
      </c>
      <c r="C2314" s="110">
        <v>1339</v>
      </c>
      <c r="D2314" s="109" t="s">
        <v>120</v>
      </c>
      <c r="E2314" s="109">
        <v>13</v>
      </c>
      <c r="F2314" s="110">
        <v>6838</v>
      </c>
      <c r="G2314" s="109" t="s">
        <v>120</v>
      </c>
      <c r="H2314" s="109">
        <v>511</v>
      </c>
      <c r="I2314" s="109" t="s">
        <v>122</v>
      </c>
      <c r="J2314" s="110" t="s">
        <v>122</v>
      </c>
    </row>
    <row r="2315" spans="1:10">
      <c r="A2315" s="103" t="s">
        <v>4019</v>
      </c>
      <c r="B2315" s="124" t="s">
        <v>934</v>
      </c>
      <c r="C2315" s="110">
        <v>18283</v>
      </c>
      <c r="D2315" s="109" t="s">
        <v>120</v>
      </c>
      <c r="E2315" s="109">
        <v>183</v>
      </c>
      <c r="F2315" s="110">
        <v>11061</v>
      </c>
      <c r="G2315" s="109" t="s">
        <v>120</v>
      </c>
      <c r="H2315" s="109">
        <v>60</v>
      </c>
      <c r="I2315" s="109" t="s">
        <v>122</v>
      </c>
      <c r="J2315" s="110" t="s">
        <v>122</v>
      </c>
    </row>
    <row r="2316" spans="1:10" s="119" customFormat="1">
      <c r="A2316" s="123" t="s">
        <v>120</v>
      </c>
      <c r="B2316" s="273" t="s">
        <v>4020</v>
      </c>
      <c r="C2316" s="274"/>
      <c r="D2316" s="274"/>
      <c r="E2316" s="274"/>
      <c r="F2316" s="274"/>
      <c r="G2316" s="274"/>
      <c r="H2316" s="274"/>
      <c r="I2316" s="274"/>
      <c r="J2316" s="274"/>
    </row>
    <row r="2317" spans="1:10" s="119" customFormat="1">
      <c r="A2317" s="123" t="s">
        <v>120</v>
      </c>
      <c r="B2317" s="275" t="s">
        <v>1032</v>
      </c>
      <c r="C2317" s="276"/>
      <c r="D2317" s="276"/>
      <c r="E2317" s="276"/>
      <c r="F2317" s="276"/>
      <c r="G2317" s="276"/>
      <c r="H2317" s="276"/>
      <c r="I2317" s="276"/>
      <c r="J2317" s="276"/>
    </row>
    <row r="2318" spans="1:10">
      <c r="A2318" s="103" t="s">
        <v>4021</v>
      </c>
      <c r="B2318" s="124" t="s">
        <v>4022</v>
      </c>
      <c r="C2318" s="110">
        <v>1964</v>
      </c>
      <c r="D2318" s="109" t="s">
        <v>120</v>
      </c>
      <c r="E2318" s="109">
        <v>20</v>
      </c>
      <c r="F2318" s="110">
        <v>24414</v>
      </c>
      <c r="G2318" s="109" t="s">
        <v>120</v>
      </c>
      <c r="H2318" s="109">
        <v>1243</v>
      </c>
      <c r="I2318" s="109">
        <v>2242</v>
      </c>
      <c r="J2318" s="110">
        <v>258</v>
      </c>
    </row>
    <row r="2319" spans="1:10">
      <c r="A2319" s="103" t="s">
        <v>4023</v>
      </c>
      <c r="B2319" s="124" t="s">
        <v>4024</v>
      </c>
      <c r="C2319" s="110">
        <v>2615</v>
      </c>
      <c r="D2319" s="109" t="s">
        <v>120</v>
      </c>
      <c r="E2319" s="109">
        <v>26</v>
      </c>
      <c r="F2319" s="110">
        <v>35461</v>
      </c>
      <c r="G2319" s="109" t="s">
        <v>120</v>
      </c>
      <c r="H2319" s="109">
        <v>1356</v>
      </c>
      <c r="I2319" s="109">
        <v>2190</v>
      </c>
      <c r="J2319" s="110">
        <v>150</v>
      </c>
    </row>
    <row r="2320" spans="1:10">
      <c r="A2320" s="103" t="s">
        <v>4025</v>
      </c>
      <c r="B2320" s="124" t="s">
        <v>4026</v>
      </c>
      <c r="C2320" s="110">
        <v>1098</v>
      </c>
      <c r="D2320" s="109" t="s">
        <v>120</v>
      </c>
      <c r="E2320" s="109">
        <v>11</v>
      </c>
      <c r="F2320" s="110">
        <v>37818</v>
      </c>
      <c r="G2320" s="109" t="s">
        <v>120</v>
      </c>
      <c r="H2320" s="109">
        <v>3444</v>
      </c>
      <c r="I2320" s="109">
        <v>2314</v>
      </c>
      <c r="J2320" s="110">
        <v>139</v>
      </c>
    </row>
    <row r="2321" spans="1:10">
      <c r="A2321" s="103" t="s">
        <v>4027</v>
      </c>
      <c r="B2321" s="124" t="s">
        <v>4028</v>
      </c>
      <c r="C2321" s="110">
        <v>7948</v>
      </c>
      <c r="D2321" s="109" t="s">
        <v>120</v>
      </c>
      <c r="E2321" s="109">
        <v>79</v>
      </c>
      <c r="F2321" s="110">
        <v>17560</v>
      </c>
      <c r="G2321" s="109" t="s">
        <v>120</v>
      </c>
      <c r="H2321" s="109">
        <v>221</v>
      </c>
      <c r="I2321" s="109">
        <v>1708</v>
      </c>
      <c r="J2321" s="110">
        <v>417</v>
      </c>
    </row>
    <row r="2322" spans="1:10" s="119" customFormat="1">
      <c r="A2322" s="123" t="s">
        <v>120</v>
      </c>
      <c r="B2322" s="275" t="s">
        <v>943</v>
      </c>
      <c r="C2322" s="276"/>
      <c r="D2322" s="276"/>
      <c r="E2322" s="276"/>
      <c r="F2322" s="276"/>
      <c r="G2322" s="276"/>
      <c r="H2322" s="276"/>
      <c r="I2322" s="276"/>
      <c r="J2322" s="276"/>
    </row>
    <row r="2323" spans="1:10">
      <c r="A2323" s="103" t="s">
        <v>4029</v>
      </c>
      <c r="B2323" s="124" t="s">
        <v>4030</v>
      </c>
      <c r="C2323" s="110">
        <v>10922</v>
      </c>
      <c r="D2323" s="109" t="s">
        <v>120</v>
      </c>
      <c r="E2323" s="109">
        <v>109</v>
      </c>
      <c r="F2323" s="110">
        <v>8150</v>
      </c>
      <c r="G2323" s="109" t="s">
        <v>120</v>
      </c>
      <c r="H2323" s="109">
        <v>75</v>
      </c>
      <c r="I2323" s="109">
        <v>1237</v>
      </c>
      <c r="J2323" s="110">
        <v>1100</v>
      </c>
    </row>
    <row r="2324" spans="1:10">
      <c r="A2324" s="103" t="s">
        <v>4031</v>
      </c>
      <c r="B2324" s="124" t="s">
        <v>4032</v>
      </c>
      <c r="C2324" s="110">
        <v>11658</v>
      </c>
      <c r="D2324" s="109" t="s">
        <v>120</v>
      </c>
      <c r="E2324" s="109">
        <v>117</v>
      </c>
      <c r="F2324" s="110">
        <v>7462</v>
      </c>
      <c r="G2324" s="109" t="s">
        <v>120</v>
      </c>
      <c r="H2324" s="109">
        <v>64</v>
      </c>
      <c r="I2324" s="109">
        <v>1104</v>
      </c>
      <c r="J2324" s="110">
        <v>1208</v>
      </c>
    </row>
    <row r="2325" spans="1:10">
      <c r="A2325" s="103" t="s">
        <v>4033</v>
      </c>
      <c r="B2325" s="124" t="s">
        <v>4034</v>
      </c>
      <c r="C2325" s="110">
        <v>8570</v>
      </c>
      <c r="D2325" s="109" t="s">
        <v>120</v>
      </c>
      <c r="E2325" s="109">
        <v>86</v>
      </c>
      <c r="F2325" s="110">
        <v>9968</v>
      </c>
      <c r="G2325" s="109" t="s">
        <v>120</v>
      </c>
      <c r="H2325" s="109">
        <v>116</v>
      </c>
      <c r="I2325" s="109">
        <v>1605</v>
      </c>
      <c r="J2325" s="110">
        <v>876</v>
      </c>
    </row>
    <row r="2326" spans="1:10">
      <c r="A2326" s="103" t="s">
        <v>4035</v>
      </c>
      <c r="B2326" s="124" t="s">
        <v>2624</v>
      </c>
      <c r="C2326" s="110">
        <v>10395</v>
      </c>
      <c r="D2326" s="109" t="s">
        <v>120</v>
      </c>
      <c r="E2326" s="109">
        <v>104</v>
      </c>
      <c r="F2326" s="110">
        <v>6249</v>
      </c>
      <c r="G2326" s="109" t="s">
        <v>120</v>
      </c>
      <c r="H2326" s="109">
        <v>60</v>
      </c>
      <c r="I2326" s="109">
        <v>1318</v>
      </c>
      <c r="J2326" s="110">
        <v>1448</v>
      </c>
    </row>
    <row r="2327" spans="1:10">
      <c r="A2327" s="103" t="s">
        <v>4036</v>
      </c>
      <c r="B2327" s="124" t="s">
        <v>4037</v>
      </c>
      <c r="C2327" s="110">
        <v>10773</v>
      </c>
      <c r="D2327" s="109" t="s">
        <v>120</v>
      </c>
      <c r="E2327" s="109">
        <v>108</v>
      </c>
      <c r="F2327" s="110">
        <v>2720</v>
      </c>
      <c r="G2327" s="109" t="s">
        <v>120</v>
      </c>
      <c r="H2327" s="109">
        <v>25</v>
      </c>
      <c r="I2327" s="109">
        <v>1260</v>
      </c>
      <c r="J2327" s="110">
        <v>2233</v>
      </c>
    </row>
    <row r="2328" spans="1:10" s="119" customFormat="1">
      <c r="A2328" s="123" t="s">
        <v>120</v>
      </c>
      <c r="B2328" s="275" t="s">
        <v>1101</v>
      </c>
      <c r="C2328" s="276"/>
      <c r="D2328" s="276"/>
      <c r="E2328" s="276"/>
      <c r="F2328" s="276"/>
      <c r="G2328" s="276"/>
      <c r="H2328" s="276"/>
      <c r="I2328" s="276"/>
      <c r="J2328" s="276"/>
    </row>
    <row r="2329" spans="1:10">
      <c r="A2329" s="103" t="s">
        <v>4038</v>
      </c>
      <c r="B2329" s="124" t="s">
        <v>4039</v>
      </c>
      <c r="C2329" s="110">
        <v>12946</v>
      </c>
      <c r="D2329" s="109" t="s">
        <v>120</v>
      </c>
      <c r="E2329" s="109">
        <v>129</v>
      </c>
      <c r="F2329" s="110">
        <v>27504</v>
      </c>
      <c r="G2329" s="109" t="s">
        <v>120</v>
      </c>
      <c r="H2329" s="109">
        <v>212</v>
      </c>
      <c r="I2329" s="109">
        <v>917</v>
      </c>
      <c r="J2329" s="110">
        <v>212</v>
      </c>
    </row>
    <row r="2330" spans="1:10">
      <c r="A2330" s="103" t="s">
        <v>4040</v>
      </c>
      <c r="B2330" s="124" t="s">
        <v>932</v>
      </c>
      <c r="C2330" s="110">
        <v>2339</v>
      </c>
      <c r="D2330" s="109" t="s">
        <v>120</v>
      </c>
      <c r="E2330" s="109">
        <v>23</v>
      </c>
      <c r="F2330" s="110">
        <v>13118</v>
      </c>
      <c r="G2330" s="109" t="s">
        <v>120</v>
      </c>
      <c r="H2330" s="109">
        <v>561</v>
      </c>
      <c r="I2330" s="109" t="s">
        <v>122</v>
      </c>
      <c r="J2330" s="110" t="s">
        <v>122</v>
      </c>
    </row>
    <row r="2331" spans="1:10">
      <c r="A2331" s="103" t="s">
        <v>4041</v>
      </c>
      <c r="B2331" s="124" t="s">
        <v>934</v>
      </c>
      <c r="C2331" s="110">
        <v>10607</v>
      </c>
      <c r="D2331" s="109" t="s">
        <v>120</v>
      </c>
      <c r="E2331" s="109">
        <v>106</v>
      </c>
      <c r="F2331" s="110">
        <v>14386</v>
      </c>
      <c r="G2331" s="109" t="s">
        <v>120</v>
      </c>
      <c r="H2331" s="109">
        <v>136</v>
      </c>
      <c r="I2331" s="109" t="s">
        <v>122</v>
      </c>
      <c r="J2331" s="110" t="s">
        <v>122</v>
      </c>
    </row>
    <row r="2332" spans="1:10">
      <c r="A2332" s="103" t="s">
        <v>4042</v>
      </c>
      <c r="B2332" s="124" t="s">
        <v>4043</v>
      </c>
      <c r="C2332" s="110">
        <v>10301</v>
      </c>
      <c r="D2332" s="109" t="s">
        <v>120</v>
      </c>
      <c r="E2332" s="109">
        <v>103</v>
      </c>
      <c r="F2332" s="110">
        <v>20109</v>
      </c>
      <c r="G2332" s="109" t="s">
        <v>120</v>
      </c>
      <c r="H2332" s="109">
        <v>195</v>
      </c>
      <c r="I2332" s="109">
        <v>1338</v>
      </c>
      <c r="J2332" s="110">
        <v>339</v>
      </c>
    </row>
    <row r="2333" spans="1:10">
      <c r="A2333" s="103" t="s">
        <v>4044</v>
      </c>
      <c r="B2333" s="124" t="s">
        <v>932</v>
      </c>
      <c r="C2333" s="110">
        <v>791</v>
      </c>
      <c r="D2333" s="109" t="s">
        <v>120</v>
      </c>
      <c r="E2333" s="109">
        <v>8</v>
      </c>
      <c r="F2333" s="110">
        <v>8196</v>
      </c>
      <c r="G2333" s="109" t="s">
        <v>120</v>
      </c>
      <c r="H2333" s="109">
        <v>1036</v>
      </c>
      <c r="I2333" s="109" t="s">
        <v>122</v>
      </c>
      <c r="J2333" s="110" t="s">
        <v>122</v>
      </c>
    </row>
    <row r="2334" spans="1:10">
      <c r="A2334" s="103" t="s">
        <v>4045</v>
      </c>
      <c r="B2334" s="124" t="s">
        <v>934</v>
      </c>
      <c r="C2334" s="110">
        <v>9510</v>
      </c>
      <c r="D2334" s="109" t="s">
        <v>120</v>
      </c>
      <c r="E2334" s="109">
        <v>95</v>
      </c>
      <c r="F2334" s="110">
        <v>11913</v>
      </c>
      <c r="G2334" s="109" t="s">
        <v>120</v>
      </c>
      <c r="H2334" s="109">
        <v>125</v>
      </c>
      <c r="I2334" s="109" t="s">
        <v>122</v>
      </c>
      <c r="J2334" s="110" t="s">
        <v>122</v>
      </c>
    </row>
    <row r="2335" spans="1:10">
      <c r="A2335" s="103" t="s">
        <v>4046</v>
      </c>
      <c r="B2335" s="124" t="s">
        <v>4047</v>
      </c>
      <c r="C2335" s="110">
        <v>6166</v>
      </c>
      <c r="D2335" s="109" t="s">
        <v>120</v>
      </c>
      <c r="E2335" s="109">
        <v>62</v>
      </c>
      <c r="F2335" s="110">
        <v>51884</v>
      </c>
      <c r="G2335" s="109" t="s">
        <v>120</v>
      </c>
      <c r="H2335" s="109">
        <v>841</v>
      </c>
      <c r="I2335" s="109">
        <v>1938</v>
      </c>
      <c r="J2335" s="110">
        <v>88</v>
      </c>
    </row>
    <row r="2336" spans="1:10">
      <c r="A2336" s="103" t="s">
        <v>4048</v>
      </c>
      <c r="B2336" s="124" t="s">
        <v>932</v>
      </c>
      <c r="C2336" s="110">
        <v>1724</v>
      </c>
      <c r="D2336" s="109" t="s">
        <v>120</v>
      </c>
      <c r="E2336" s="109">
        <v>17</v>
      </c>
      <c r="F2336" s="110">
        <v>37056</v>
      </c>
      <c r="G2336" s="109" t="s">
        <v>120</v>
      </c>
      <c r="H2336" s="109">
        <v>2149</v>
      </c>
      <c r="I2336" s="109" t="s">
        <v>122</v>
      </c>
      <c r="J2336" s="110" t="s">
        <v>122</v>
      </c>
    </row>
    <row r="2337" spans="1:10">
      <c r="A2337" s="103" t="s">
        <v>4049</v>
      </c>
      <c r="B2337" s="124" t="s">
        <v>934</v>
      </c>
      <c r="C2337" s="110">
        <v>4442</v>
      </c>
      <c r="D2337" s="109" t="s">
        <v>120</v>
      </c>
      <c r="E2337" s="109">
        <v>45</v>
      </c>
      <c r="F2337" s="110">
        <v>14828</v>
      </c>
      <c r="G2337" s="109" t="s">
        <v>120</v>
      </c>
      <c r="H2337" s="109">
        <v>334</v>
      </c>
      <c r="I2337" s="109" t="s">
        <v>122</v>
      </c>
      <c r="J2337" s="110" t="s">
        <v>122</v>
      </c>
    </row>
    <row r="2338" spans="1:10" s="119" customFormat="1">
      <c r="A2338" s="123" t="s">
        <v>120</v>
      </c>
      <c r="B2338" s="273" t="s">
        <v>4050</v>
      </c>
      <c r="C2338" s="274"/>
      <c r="D2338" s="274"/>
      <c r="E2338" s="274"/>
      <c r="F2338" s="274"/>
      <c r="G2338" s="274"/>
      <c r="H2338" s="274"/>
      <c r="I2338" s="274"/>
      <c r="J2338" s="274"/>
    </row>
    <row r="2339" spans="1:10" s="119" customFormat="1">
      <c r="A2339" s="123" t="s">
        <v>120</v>
      </c>
      <c r="B2339" s="275" t="s">
        <v>943</v>
      </c>
      <c r="C2339" s="276"/>
      <c r="D2339" s="276"/>
      <c r="E2339" s="276"/>
      <c r="F2339" s="276"/>
      <c r="G2339" s="276"/>
      <c r="H2339" s="276"/>
      <c r="I2339" s="276"/>
      <c r="J2339" s="276"/>
    </row>
    <row r="2340" spans="1:10">
      <c r="A2340" s="103" t="s">
        <v>4051</v>
      </c>
      <c r="B2340" s="124" t="s">
        <v>4052</v>
      </c>
      <c r="C2340" s="110">
        <v>16651</v>
      </c>
      <c r="D2340" s="109" t="s">
        <v>120</v>
      </c>
      <c r="E2340" s="109">
        <v>167</v>
      </c>
      <c r="F2340" s="110">
        <v>8252</v>
      </c>
      <c r="G2340" s="109" t="s">
        <v>120</v>
      </c>
      <c r="H2340" s="109">
        <v>50</v>
      </c>
      <c r="I2340" s="109">
        <v>546</v>
      </c>
      <c r="J2340" s="110">
        <v>1085</v>
      </c>
    </row>
    <row r="2341" spans="1:10">
      <c r="A2341" s="103" t="s">
        <v>4053</v>
      </c>
      <c r="B2341" s="124" t="s">
        <v>4054</v>
      </c>
      <c r="C2341" s="110">
        <v>16762</v>
      </c>
      <c r="D2341" s="109" t="s">
        <v>120</v>
      </c>
      <c r="E2341" s="109">
        <v>167</v>
      </c>
      <c r="F2341" s="110">
        <v>7779</v>
      </c>
      <c r="G2341" s="109" t="s">
        <v>120</v>
      </c>
      <c r="H2341" s="109">
        <v>46</v>
      </c>
      <c r="I2341" s="109">
        <v>538</v>
      </c>
      <c r="J2341" s="110">
        <v>1158</v>
      </c>
    </row>
    <row r="2342" spans="1:10">
      <c r="A2342" s="103" t="s">
        <v>4055</v>
      </c>
      <c r="B2342" s="124" t="s">
        <v>4056</v>
      </c>
      <c r="C2342" s="110">
        <v>16743</v>
      </c>
      <c r="D2342" s="109" t="s">
        <v>120</v>
      </c>
      <c r="E2342" s="109">
        <v>167</v>
      </c>
      <c r="F2342" s="110">
        <v>7004</v>
      </c>
      <c r="G2342" s="109" t="s">
        <v>120</v>
      </c>
      <c r="H2342" s="109">
        <v>42</v>
      </c>
      <c r="I2342" s="109">
        <v>539</v>
      </c>
      <c r="J2342" s="110">
        <v>1297</v>
      </c>
    </row>
    <row r="2343" spans="1:10">
      <c r="A2343" s="103" t="s">
        <v>4057</v>
      </c>
      <c r="B2343" s="124" t="s">
        <v>4058</v>
      </c>
      <c r="C2343" s="110">
        <v>11769</v>
      </c>
      <c r="D2343" s="109" t="s">
        <v>120</v>
      </c>
      <c r="E2343" s="109">
        <v>118</v>
      </c>
      <c r="F2343" s="110">
        <v>5605</v>
      </c>
      <c r="G2343" s="109" t="s">
        <v>120</v>
      </c>
      <c r="H2343" s="109">
        <v>48</v>
      </c>
      <c r="I2343" s="109">
        <v>1086</v>
      </c>
      <c r="J2343" s="110">
        <v>1591</v>
      </c>
    </row>
    <row r="2344" spans="1:10">
      <c r="A2344" s="103" t="s">
        <v>4059</v>
      </c>
      <c r="B2344" s="124" t="s">
        <v>4060</v>
      </c>
      <c r="C2344" s="110">
        <v>9200</v>
      </c>
      <c r="D2344" s="109" t="s">
        <v>120</v>
      </c>
      <c r="E2344" s="109">
        <v>92</v>
      </c>
      <c r="F2344" s="110">
        <v>5943</v>
      </c>
      <c r="G2344" s="109" t="s">
        <v>120</v>
      </c>
      <c r="H2344" s="109">
        <v>65</v>
      </c>
      <c r="I2344" s="109">
        <v>1511</v>
      </c>
      <c r="J2344" s="110">
        <v>1525</v>
      </c>
    </row>
    <row r="2345" spans="1:10" s="119" customFormat="1">
      <c r="A2345" s="123" t="s">
        <v>120</v>
      </c>
      <c r="B2345" s="275" t="s">
        <v>929</v>
      </c>
      <c r="C2345" s="276"/>
      <c r="D2345" s="276"/>
      <c r="E2345" s="276"/>
      <c r="F2345" s="276"/>
      <c r="G2345" s="276"/>
      <c r="H2345" s="276"/>
      <c r="I2345" s="276"/>
      <c r="J2345" s="276"/>
    </row>
    <row r="2346" spans="1:10">
      <c r="A2346" s="103" t="s">
        <v>4061</v>
      </c>
      <c r="B2346" s="124" t="s">
        <v>4062</v>
      </c>
      <c r="C2346" s="110">
        <v>16518</v>
      </c>
      <c r="D2346" s="109" t="s">
        <v>120</v>
      </c>
      <c r="E2346" s="109">
        <v>165</v>
      </c>
      <c r="F2346" s="110">
        <v>39637</v>
      </c>
      <c r="G2346" s="109" t="s">
        <v>120</v>
      </c>
      <c r="H2346" s="109">
        <v>240</v>
      </c>
      <c r="I2346" s="109">
        <v>555</v>
      </c>
      <c r="J2346" s="110">
        <v>130</v>
      </c>
    </row>
    <row r="2347" spans="1:10">
      <c r="A2347" s="103" t="s">
        <v>4063</v>
      </c>
      <c r="B2347" s="124" t="s">
        <v>932</v>
      </c>
      <c r="C2347" s="110">
        <v>2078</v>
      </c>
      <c r="D2347" s="109" t="s">
        <v>120</v>
      </c>
      <c r="E2347" s="109">
        <v>21</v>
      </c>
      <c r="F2347" s="110">
        <v>26997</v>
      </c>
      <c r="G2347" s="109" t="s">
        <v>120</v>
      </c>
      <c r="H2347" s="109">
        <v>1299</v>
      </c>
      <c r="I2347" s="109" t="s">
        <v>122</v>
      </c>
      <c r="J2347" s="110" t="s">
        <v>122</v>
      </c>
    </row>
    <row r="2348" spans="1:10">
      <c r="A2348" s="103" t="s">
        <v>4064</v>
      </c>
      <c r="B2348" s="124" t="s">
        <v>934</v>
      </c>
      <c r="C2348" s="110">
        <v>14440</v>
      </c>
      <c r="D2348" s="109" t="s">
        <v>120</v>
      </c>
      <c r="E2348" s="109">
        <v>144</v>
      </c>
      <c r="F2348" s="110">
        <v>12640</v>
      </c>
      <c r="G2348" s="109" t="s">
        <v>120</v>
      </c>
      <c r="H2348" s="109">
        <v>88</v>
      </c>
      <c r="I2348" s="109" t="s">
        <v>122</v>
      </c>
      <c r="J2348" s="110" t="s">
        <v>122</v>
      </c>
    </row>
    <row r="2349" spans="1:10" s="119" customFormat="1">
      <c r="A2349" s="123" t="s">
        <v>120</v>
      </c>
      <c r="B2349" s="273" t="s">
        <v>4065</v>
      </c>
      <c r="C2349" s="274"/>
      <c r="D2349" s="274"/>
      <c r="E2349" s="274"/>
      <c r="F2349" s="274"/>
      <c r="G2349" s="274"/>
      <c r="H2349" s="274"/>
      <c r="I2349" s="274"/>
      <c r="J2349" s="274"/>
    </row>
    <row r="2350" spans="1:10" s="119" customFormat="1">
      <c r="A2350" s="123" t="s">
        <v>120</v>
      </c>
      <c r="B2350" s="275" t="s">
        <v>1022</v>
      </c>
      <c r="C2350" s="276"/>
      <c r="D2350" s="276"/>
      <c r="E2350" s="276"/>
      <c r="F2350" s="276"/>
      <c r="G2350" s="276"/>
      <c r="H2350" s="276"/>
      <c r="I2350" s="276"/>
      <c r="J2350" s="276"/>
    </row>
    <row r="2351" spans="1:10">
      <c r="A2351" s="103" t="s">
        <v>4066</v>
      </c>
      <c r="B2351" s="124" t="s">
        <v>4067</v>
      </c>
      <c r="C2351" s="110">
        <v>9492</v>
      </c>
      <c r="D2351" s="109" t="s">
        <v>120</v>
      </c>
      <c r="E2351" s="109">
        <v>95</v>
      </c>
      <c r="F2351" s="110">
        <v>4504</v>
      </c>
      <c r="G2351" s="109" t="s">
        <v>120</v>
      </c>
      <c r="H2351" s="109">
        <v>47</v>
      </c>
      <c r="I2351" s="109">
        <v>1469</v>
      </c>
      <c r="J2351" s="110">
        <v>1870</v>
      </c>
    </row>
    <row r="2352" spans="1:10">
      <c r="A2352" s="103" t="s">
        <v>4068</v>
      </c>
      <c r="B2352" s="124" t="s">
        <v>4069</v>
      </c>
      <c r="C2352" s="110">
        <v>11252</v>
      </c>
      <c r="D2352" s="109" t="s">
        <v>120</v>
      </c>
      <c r="E2352" s="109">
        <v>113</v>
      </c>
      <c r="F2352" s="110">
        <v>5473</v>
      </c>
      <c r="G2352" s="109" t="s">
        <v>120</v>
      </c>
      <c r="H2352" s="109">
        <v>49</v>
      </c>
      <c r="I2352" s="109">
        <v>1168</v>
      </c>
      <c r="J2352" s="110">
        <v>1621</v>
      </c>
    </row>
    <row r="2353" spans="1:10">
      <c r="A2353" s="103" t="s">
        <v>4070</v>
      </c>
      <c r="B2353" s="124" t="s">
        <v>4071</v>
      </c>
      <c r="C2353" s="110">
        <v>13157</v>
      </c>
      <c r="D2353" s="109" t="s">
        <v>120</v>
      </c>
      <c r="E2353" s="109">
        <v>131</v>
      </c>
      <c r="F2353" s="110">
        <v>6154</v>
      </c>
      <c r="G2353" s="109" t="s">
        <v>120</v>
      </c>
      <c r="H2353" s="109">
        <v>47</v>
      </c>
      <c r="I2353" s="109">
        <v>889</v>
      </c>
      <c r="J2353" s="110">
        <v>1471</v>
      </c>
    </row>
    <row r="2354" spans="1:10">
      <c r="A2354" s="103" t="s">
        <v>4072</v>
      </c>
      <c r="B2354" s="124" t="s">
        <v>4073</v>
      </c>
      <c r="C2354" s="110">
        <v>7215</v>
      </c>
      <c r="D2354" s="109" t="s">
        <v>120</v>
      </c>
      <c r="E2354" s="109">
        <v>72</v>
      </c>
      <c r="F2354" s="110">
        <v>4910</v>
      </c>
      <c r="G2354" s="109" t="s">
        <v>120</v>
      </c>
      <c r="H2354" s="109">
        <v>68</v>
      </c>
      <c r="I2354" s="109">
        <v>1816</v>
      </c>
      <c r="J2354" s="110">
        <v>1761</v>
      </c>
    </row>
    <row r="2355" spans="1:10" s="119" customFormat="1">
      <c r="A2355" s="123" t="s">
        <v>120</v>
      </c>
      <c r="B2355" s="275" t="s">
        <v>1026</v>
      </c>
      <c r="C2355" s="276"/>
      <c r="D2355" s="276"/>
      <c r="E2355" s="276"/>
      <c r="F2355" s="276"/>
      <c r="G2355" s="276"/>
      <c r="H2355" s="276"/>
      <c r="I2355" s="276"/>
      <c r="J2355" s="276"/>
    </row>
    <row r="2356" spans="1:10">
      <c r="A2356" s="103" t="s">
        <v>4074</v>
      </c>
      <c r="B2356" s="124" t="s">
        <v>4075</v>
      </c>
      <c r="C2356" s="110">
        <v>16214</v>
      </c>
      <c r="D2356" s="109" t="s">
        <v>120</v>
      </c>
      <c r="E2356" s="109">
        <v>162</v>
      </c>
      <c r="F2356" s="110">
        <v>15125</v>
      </c>
      <c r="G2356" s="109" t="s">
        <v>120</v>
      </c>
      <c r="H2356" s="109">
        <v>93</v>
      </c>
      <c r="I2356" s="109">
        <v>580</v>
      </c>
      <c r="J2356" s="110">
        <v>512</v>
      </c>
    </row>
    <row r="2357" spans="1:10">
      <c r="A2357" s="103" t="s">
        <v>4076</v>
      </c>
      <c r="B2357" s="124" t="s">
        <v>932</v>
      </c>
      <c r="C2357" s="110">
        <v>1591</v>
      </c>
      <c r="D2357" s="109" t="s">
        <v>120</v>
      </c>
      <c r="E2357" s="109">
        <v>16</v>
      </c>
      <c r="F2357" s="110">
        <v>7715</v>
      </c>
      <c r="G2357" s="109" t="s">
        <v>120</v>
      </c>
      <c r="H2357" s="109">
        <v>485</v>
      </c>
      <c r="I2357" s="109" t="s">
        <v>122</v>
      </c>
      <c r="J2357" s="110" t="s">
        <v>122</v>
      </c>
    </row>
    <row r="2358" spans="1:10">
      <c r="A2358" s="103" t="s">
        <v>4077</v>
      </c>
      <c r="B2358" s="124" t="s">
        <v>934</v>
      </c>
      <c r="C2358" s="110">
        <v>14623</v>
      </c>
      <c r="D2358" s="109" t="s">
        <v>120</v>
      </c>
      <c r="E2358" s="109">
        <v>146</v>
      </c>
      <c r="F2358" s="110">
        <v>7410</v>
      </c>
      <c r="G2358" s="109" t="s">
        <v>120</v>
      </c>
      <c r="H2358" s="109">
        <v>51</v>
      </c>
      <c r="I2358" s="109" t="s">
        <v>122</v>
      </c>
      <c r="J2358" s="110" t="s">
        <v>122</v>
      </c>
    </row>
    <row r="2359" spans="1:10" s="119" customFormat="1">
      <c r="A2359" s="123" t="s">
        <v>120</v>
      </c>
      <c r="B2359" s="273" t="s">
        <v>4078</v>
      </c>
      <c r="C2359" s="274"/>
      <c r="D2359" s="274"/>
      <c r="E2359" s="274"/>
      <c r="F2359" s="274"/>
      <c r="G2359" s="274"/>
      <c r="H2359" s="274"/>
      <c r="I2359" s="274"/>
      <c r="J2359" s="274"/>
    </row>
    <row r="2360" spans="1:10" s="119" customFormat="1">
      <c r="A2360" s="123" t="s">
        <v>120</v>
      </c>
      <c r="B2360" s="275" t="s">
        <v>924</v>
      </c>
      <c r="C2360" s="276"/>
      <c r="D2360" s="276"/>
      <c r="E2360" s="276"/>
      <c r="F2360" s="276"/>
      <c r="G2360" s="276"/>
      <c r="H2360" s="276"/>
      <c r="I2360" s="276"/>
      <c r="J2360" s="276"/>
    </row>
    <row r="2361" spans="1:10">
      <c r="A2361" s="103" t="s">
        <v>4079</v>
      </c>
      <c r="B2361" s="124" t="s">
        <v>4080</v>
      </c>
      <c r="C2361" s="110">
        <v>12159</v>
      </c>
      <c r="D2361" s="109" t="s">
        <v>120</v>
      </c>
      <c r="E2361" s="109">
        <v>122</v>
      </c>
      <c r="F2361" s="110">
        <v>4714</v>
      </c>
      <c r="G2361" s="109" t="s">
        <v>120</v>
      </c>
      <c r="H2361" s="109">
        <v>39</v>
      </c>
      <c r="I2361" s="109">
        <v>1030</v>
      </c>
      <c r="J2361" s="110">
        <v>1815</v>
      </c>
    </row>
    <row r="2362" spans="1:10">
      <c r="A2362" s="103" t="s">
        <v>4081</v>
      </c>
      <c r="B2362" s="124" t="s">
        <v>4082</v>
      </c>
      <c r="C2362" s="110">
        <v>12645</v>
      </c>
      <c r="D2362" s="109" t="s">
        <v>120</v>
      </c>
      <c r="E2362" s="109">
        <v>126</v>
      </c>
      <c r="F2362" s="110">
        <v>4236</v>
      </c>
      <c r="G2362" s="109" t="s">
        <v>120</v>
      </c>
      <c r="H2362" s="109">
        <v>33</v>
      </c>
      <c r="I2362" s="109">
        <v>965</v>
      </c>
      <c r="J2362" s="110">
        <v>1943</v>
      </c>
    </row>
    <row r="2363" spans="1:10">
      <c r="A2363" s="103" t="s">
        <v>4083</v>
      </c>
      <c r="B2363" s="124" t="s">
        <v>4084</v>
      </c>
      <c r="C2363" s="110">
        <v>11340</v>
      </c>
      <c r="D2363" s="109" t="s">
        <v>120</v>
      </c>
      <c r="E2363" s="109">
        <v>113</v>
      </c>
      <c r="F2363" s="110">
        <v>3439</v>
      </c>
      <c r="G2363" s="109" t="s">
        <v>120</v>
      </c>
      <c r="H2363" s="109">
        <v>30</v>
      </c>
      <c r="I2363" s="109">
        <v>1153</v>
      </c>
      <c r="J2363" s="110">
        <v>2119</v>
      </c>
    </row>
    <row r="2364" spans="1:10" s="119" customFormat="1">
      <c r="A2364" s="123" t="s">
        <v>120</v>
      </c>
      <c r="B2364" s="275" t="s">
        <v>1047</v>
      </c>
      <c r="C2364" s="276"/>
      <c r="D2364" s="276"/>
      <c r="E2364" s="276"/>
      <c r="F2364" s="276"/>
      <c r="G2364" s="276"/>
      <c r="H2364" s="276"/>
      <c r="I2364" s="276"/>
      <c r="J2364" s="276"/>
    </row>
    <row r="2365" spans="1:10">
      <c r="A2365" s="103" t="s">
        <v>4085</v>
      </c>
      <c r="B2365" s="124" t="s">
        <v>4086</v>
      </c>
      <c r="C2365" s="110">
        <v>12146</v>
      </c>
      <c r="D2365" s="109" t="s">
        <v>120</v>
      </c>
      <c r="E2365" s="109">
        <v>121</v>
      </c>
      <c r="F2365" s="110">
        <v>4973</v>
      </c>
      <c r="G2365" s="109" t="s">
        <v>120</v>
      </c>
      <c r="H2365" s="109">
        <v>41</v>
      </c>
      <c r="I2365" s="109">
        <v>1035</v>
      </c>
      <c r="J2365" s="110">
        <v>1746</v>
      </c>
    </row>
    <row r="2366" spans="1:10">
      <c r="A2366" s="103" t="s">
        <v>4087</v>
      </c>
      <c r="B2366" s="124" t="s">
        <v>932</v>
      </c>
      <c r="C2366" s="110">
        <v>1207</v>
      </c>
      <c r="D2366" s="109" t="s">
        <v>120</v>
      </c>
      <c r="E2366" s="109">
        <v>12</v>
      </c>
      <c r="F2366" s="110">
        <v>1850</v>
      </c>
      <c r="G2366" s="109" t="s">
        <v>120</v>
      </c>
      <c r="H2366" s="109">
        <v>153</v>
      </c>
      <c r="I2366" s="109" t="s">
        <v>122</v>
      </c>
      <c r="J2366" s="110" t="s">
        <v>122</v>
      </c>
    </row>
    <row r="2367" spans="1:10">
      <c r="A2367" s="103" t="s">
        <v>4088</v>
      </c>
      <c r="B2367" s="124" t="s">
        <v>934</v>
      </c>
      <c r="C2367" s="110">
        <v>10939</v>
      </c>
      <c r="D2367" s="109" t="s">
        <v>120</v>
      </c>
      <c r="E2367" s="109">
        <v>109</v>
      </c>
      <c r="F2367" s="110">
        <v>3123</v>
      </c>
      <c r="G2367" s="109" t="s">
        <v>120</v>
      </c>
      <c r="H2367" s="109">
        <v>29</v>
      </c>
      <c r="I2367" s="109" t="s">
        <v>122</v>
      </c>
      <c r="J2367" s="110" t="s">
        <v>122</v>
      </c>
    </row>
    <row r="2368" spans="1:10">
      <c r="A2368" s="103" t="s">
        <v>4089</v>
      </c>
      <c r="B2368" s="124" t="s">
        <v>4090</v>
      </c>
      <c r="C2368" s="110">
        <v>19078</v>
      </c>
      <c r="D2368" s="109" t="s">
        <v>120</v>
      </c>
      <c r="E2368" s="109">
        <v>192</v>
      </c>
      <c r="F2368" s="110">
        <v>6849</v>
      </c>
      <c r="G2368" s="109" t="s">
        <v>120</v>
      </c>
      <c r="H2368" s="109">
        <v>36</v>
      </c>
      <c r="I2368" s="109">
        <v>388</v>
      </c>
      <c r="J2368" s="110">
        <v>1330</v>
      </c>
    </row>
    <row r="2369" spans="1:10">
      <c r="A2369" s="103" t="s">
        <v>4091</v>
      </c>
      <c r="B2369" s="124" t="s">
        <v>932</v>
      </c>
      <c r="C2369" s="110">
        <v>527</v>
      </c>
      <c r="D2369" s="109" t="s">
        <v>120</v>
      </c>
      <c r="E2369" s="109">
        <v>6</v>
      </c>
      <c r="F2369" s="110">
        <v>1651</v>
      </c>
      <c r="G2369" s="109" t="s">
        <v>120</v>
      </c>
      <c r="H2369" s="109">
        <v>313</v>
      </c>
      <c r="I2369" s="109" t="s">
        <v>122</v>
      </c>
      <c r="J2369" s="110" t="s">
        <v>122</v>
      </c>
    </row>
    <row r="2370" spans="1:10">
      <c r="A2370" s="103" t="s">
        <v>4092</v>
      </c>
      <c r="B2370" s="124" t="s">
        <v>934</v>
      </c>
      <c r="C2370" s="110">
        <v>18551</v>
      </c>
      <c r="D2370" s="109" t="s">
        <v>120</v>
      </c>
      <c r="E2370" s="109">
        <v>186</v>
      </c>
      <c r="F2370" s="110">
        <v>5198</v>
      </c>
      <c r="G2370" s="109" t="s">
        <v>120</v>
      </c>
      <c r="H2370" s="109">
        <v>28</v>
      </c>
      <c r="I2370" s="109" t="s">
        <v>122</v>
      </c>
      <c r="J2370" s="110" t="s">
        <v>122</v>
      </c>
    </row>
    <row r="2371" spans="1:10">
      <c r="A2371" s="103" t="s">
        <v>4093</v>
      </c>
      <c r="B2371" s="124" t="s">
        <v>4094</v>
      </c>
      <c r="C2371" s="110">
        <v>13292</v>
      </c>
      <c r="D2371" s="109" t="s">
        <v>120</v>
      </c>
      <c r="E2371" s="109">
        <v>133</v>
      </c>
      <c r="F2371" s="110">
        <v>14304</v>
      </c>
      <c r="G2371" s="109" t="s">
        <v>120</v>
      </c>
      <c r="H2371" s="109">
        <v>108</v>
      </c>
      <c r="I2371" s="109">
        <v>873</v>
      </c>
      <c r="J2371" s="110">
        <v>553</v>
      </c>
    </row>
    <row r="2372" spans="1:10">
      <c r="A2372" s="103" t="s">
        <v>4095</v>
      </c>
      <c r="B2372" s="124" t="s">
        <v>932</v>
      </c>
      <c r="C2372" s="110">
        <v>1118</v>
      </c>
      <c r="D2372" s="109" t="s">
        <v>120</v>
      </c>
      <c r="E2372" s="109">
        <v>11</v>
      </c>
      <c r="F2372" s="110">
        <v>8816</v>
      </c>
      <c r="G2372" s="109" t="s">
        <v>120</v>
      </c>
      <c r="H2372" s="109">
        <v>789</v>
      </c>
      <c r="I2372" s="109" t="s">
        <v>122</v>
      </c>
      <c r="J2372" s="110" t="s">
        <v>122</v>
      </c>
    </row>
    <row r="2373" spans="1:10">
      <c r="A2373" s="103" t="s">
        <v>4096</v>
      </c>
      <c r="B2373" s="124" t="s">
        <v>934</v>
      </c>
      <c r="C2373" s="110">
        <v>12174</v>
      </c>
      <c r="D2373" s="109" t="s">
        <v>120</v>
      </c>
      <c r="E2373" s="109">
        <v>122</v>
      </c>
      <c r="F2373" s="110">
        <v>5488</v>
      </c>
      <c r="G2373" s="109" t="s">
        <v>120</v>
      </c>
      <c r="H2373" s="109">
        <v>45</v>
      </c>
      <c r="I2373" s="109" t="s">
        <v>122</v>
      </c>
      <c r="J2373" s="110" t="s">
        <v>122</v>
      </c>
    </row>
    <row r="2374" spans="1:10" s="119" customFormat="1">
      <c r="A2374" s="123" t="s">
        <v>120</v>
      </c>
      <c r="B2374" s="273" t="s">
        <v>4097</v>
      </c>
      <c r="C2374" s="274"/>
      <c r="D2374" s="274"/>
      <c r="E2374" s="274"/>
      <c r="F2374" s="274"/>
      <c r="G2374" s="274"/>
      <c r="H2374" s="274"/>
      <c r="I2374" s="274"/>
      <c r="J2374" s="274"/>
    </row>
    <row r="2375" spans="1:10" s="119" customFormat="1">
      <c r="A2375" s="123" t="s">
        <v>120</v>
      </c>
      <c r="B2375" s="275" t="s">
        <v>1019</v>
      </c>
      <c r="C2375" s="276"/>
      <c r="D2375" s="276"/>
      <c r="E2375" s="276"/>
      <c r="F2375" s="276"/>
      <c r="G2375" s="276"/>
      <c r="H2375" s="276"/>
      <c r="I2375" s="276"/>
      <c r="J2375" s="276"/>
    </row>
    <row r="2376" spans="1:10">
      <c r="A2376" s="103" t="s">
        <v>4098</v>
      </c>
      <c r="B2376" s="124" t="s">
        <v>4099</v>
      </c>
      <c r="C2376" s="110">
        <v>1435</v>
      </c>
      <c r="D2376" s="109" t="s">
        <v>120</v>
      </c>
      <c r="E2376" s="109">
        <v>14</v>
      </c>
      <c r="F2376" s="110">
        <v>39828</v>
      </c>
      <c r="G2376" s="109" t="s">
        <v>120</v>
      </c>
      <c r="H2376" s="109">
        <v>2775</v>
      </c>
      <c r="I2376" s="109">
        <v>2284</v>
      </c>
      <c r="J2376" s="110">
        <v>128</v>
      </c>
    </row>
    <row r="2377" spans="1:10" s="119" customFormat="1">
      <c r="A2377" s="123" t="s">
        <v>120</v>
      </c>
      <c r="B2377" s="279" t="s">
        <v>4100</v>
      </c>
      <c r="C2377" s="276"/>
      <c r="D2377" s="276"/>
      <c r="E2377" s="276"/>
      <c r="F2377" s="276"/>
      <c r="G2377" s="276"/>
      <c r="H2377" s="276"/>
      <c r="I2377" s="276"/>
      <c r="J2377" s="276"/>
    </row>
    <row r="2378" spans="1:10">
      <c r="A2378" s="103" t="s">
        <v>4101</v>
      </c>
      <c r="B2378" s="124" t="s">
        <v>4102</v>
      </c>
      <c r="C2378" s="110">
        <v>14318</v>
      </c>
      <c r="D2378" s="109" t="s">
        <v>120</v>
      </c>
      <c r="E2378" s="109">
        <v>143</v>
      </c>
      <c r="F2378" s="110">
        <v>8661</v>
      </c>
      <c r="G2378" s="109" t="s">
        <v>120</v>
      </c>
      <c r="H2378" s="109">
        <v>60</v>
      </c>
      <c r="I2378" s="109">
        <v>749</v>
      </c>
      <c r="J2378" s="110">
        <v>1028</v>
      </c>
    </row>
    <row r="2379" spans="1:10">
      <c r="A2379" s="103" t="s">
        <v>4103</v>
      </c>
      <c r="B2379" s="124" t="s">
        <v>4104</v>
      </c>
      <c r="C2379" s="110">
        <v>7301</v>
      </c>
      <c r="D2379" s="109" t="s">
        <v>120</v>
      </c>
      <c r="E2379" s="109">
        <v>73</v>
      </c>
      <c r="F2379" s="110">
        <v>5855</v>
      </c>
      <c r="G2379" s="109" t="s">
        <v>120</v>
      </c>
      <c r="H2379" s="109">
        <v>80</v>
      </c>
      <c r="I2379" s="109">
        <v>1807</v>
      </c>
      <c r="J2379" s="110">
        <v>1542</v>
      </c>
    </row>
    <row r="2380" spans="1:10">
      <c r="A2380" s="103" t="s">
        <v>4105</v>
      </c>
      <c r="B2380" s="124" t="s">
        <v>4106</v>
      </c>
      <c r="C2380" s="110">
        <v>15015</v>
      </c>
      <c r="D2380" s="109" t="s">
        <v>120</v>
      </c>
      <c r="E2380" s="109">
        <v>151</v>
      </c>
      <c r="F2380" s="110">
        <v>9880</v>
      </c>
      <c r="G2380" s="109" t="s">
        <v>120</v>
      </c>
      <c r="H2380" s="109">
        <v>66</v>
      </c>
      <c r="I2380" s="109">
        <v>677</v>
      </c>
      <c r="J2380" s="110">
        <v>886</v>
      </c>
    </row>
    <row r="2381" spans="1:10" s="119" customFormat="1">
      <c r="A2381" s="123" t="s">
        <v>120</v>
      </c>
      <c r="B2381" s="275" t="s">
        <v>929</v>
      </c>
      <c r="C2381" s="276"/>
      <c r="D2381" s="276"/>
      <c r="E2381" s="276"/>
      <c r="F2381" s="276"/>
      <c r="G2381" s="276"/>
      <c r="H2381" s="276"/>
      <c r="I2381" s="276"/>
      <c r="J2381" s="276"/>
    </row>
    <row r="2382" spans="1:10">
      <c r="A2382" s="103" t="s">
        <v>4107</v>
      </c>
      <c r="B2382" s="124" t="s">
        <v>4108</v>
      </c>
      <c r="C2382" s="110">
        <v>15185</v>
      </c>
      <c r="D2382" s="109" t="s">
        <v>120</v>
      </c>
      <c r="E2382" s="109">
        <v>152</v>
      </c>
      <c r="F2382" s="110">
        <v>11525</v>
      </c>
      <c r="G2382" s="109" t="s">
        <v>120</v>
      </c>
      <c r="H2382" s="109">
        <v>76</v>
      </c>
      <c r="I2382" s="109">
        <v>655</v>
      </c>
      <c r="J2382" s="110">
        <v>741</v>
      </c>
    </row>
    <row r="2383" spans="1:10">
      <c r="A2383" s="103" t="s">
        <v>4109</v>
      </c>
      <c r="B2383" s="124" t="s">
        <v>932</v>
      </c>
      <c r="C2383" s="110">
        <v>856</v>
      </c>
      <c r="D2383" s="109" t="s">
        <v>120</v>
      </c>
      <c r="E2383" s="109">
        <v>9</v>
      </c>
      <c r="F2383" s="110">
        <v>6343</v>
      </c>
      <c r="G2383" s="109" t="s">
        <v>120</v>
      </c>
      <c r="H2383" s="109">
        <v>741</v>
      </c>
      <c r="I2383" s="109" t="s">
        <v>122</v>
      </c>
      <c r="J2383" s="110" t="s">
        <v>122</v>
      </c>
    </row>
    <row r="2384" spans="1:10">
      <c r="A2384" s="103" t="s">
        <v>4110</v>
      </c>
      <c r="B2384" s="124" t="s">
        <v>934</v>
      </c>
      <c r="C2384" s="110">
        <v>14329</v>
      </c>
      <c r="D2384" s="109" t="s">
        <v>120</v>
      </c>
      <c r="E2384" s="109">
        <v>143</v>
      </c>
      <c r="F2384" s="110">
        <v>5182</v>
      </c>
      <c r="G2384" s="109" t="s">
        <v>120</v>
      </c>
      <c r="H2384" s="109">
        <v>36</v>
      </c>
      <c r="I2384" s="109" t="s">
        <v>122</v>
      </c>
      <c r="J2384" s="110" t="s">
        <v>122</v>
      </c>
    </row>
    <row r="2385" spans="1:10" s="119" customFormat="1">
      <c r="A2385" s="123" t="s">
        <v>120</v>
      </c>
      <c r="B2385" s="273" t="s">
        <v>4111</v>
      </c>
      <c r="C2385" s="274"/>
      <c r="D2385" s="274"/>
      <c r="E2385" s="274"/>
      <c r="F2385" s="274"/>
      <c r="G2385" s="274"/>
      <c r="H2385" s="274"/>
      <c r="I2385" s="274"/>
      <c r="J2385" s="274"/>
    </row>
    <row r="2386" spans="1:10">
      <c r="A2386" s="103" t="s">
        <v>4112</v>
      </c>
      <c r="B2386" s="124" t="s">
        <v>4113</v>
      </c>
      <c r="C2386" s="110">
        <v>3346</v>
      </c>
      <c r="D2386" s="109" t="s">
        <v>120</v>
      </c>
      <c r="E2386" s="109">
        <v>33</v>
      </c>
      <c r="F2386" s="110">
        <v>52055</v>
      </c>
      <c r="G2386" s="109" t="s">
        <v>120</v>
      </c>
      <c r="H2386" s="109">
        <v>1556</v>
      </c>
      <c r="I2386" s="109">
        <v>2144</v>
      </c>
      <c r="J2386" s="110">
        <v>87</v>
      </c>
    </row>
    <row r="2387" spans="1:10">
      <c r="A2387" s="103" t="s">
        <v>4114</v>
      </c>
      <c r="B2387" s="124" t="s">
        <v>4115</v>
      </c>
      <c r="C2387" s="110">
        <v>8804</v>
      </c>
      <c r="D2387" s="109" t="s">
        <v>120</v>
      </c>
      <c r="E2387" s="109">
        <v>88</v>
      </c>
      <c r="F2387" s="110">
        <v>119425</v>
      </c>
      <c r="G2387" s="109" t="s">
        <v>120</v>
      </c>
      <c r="H2387" s="109">
        <v>1356</v>
      </c>
      <c r="I2387" s="109">
        <v>1560</v>
      </c>
      <c r="J2387" s="110">
        <v>30</v>
      </c>
    </row>
    <row r="2388" spans="1:10">
      <c r="A2388" s="103" t="s">
        <v>4116</v>
      </c>
      <c r="B2388" s="124" t="s">
        <v>4117</v>
      </c>
      <c r="C2388" s="110">
        <v>11180</v>
      </c>
      <c r="D2388" s="109" t="s">
        <v>120</v>
      </c>
      <c r="E2388" s="109">
        <v>112</v>
      </c>
      <c r="F2388" s="110">
        <v>211371</v>
      </c>
      <c r="G2388" s="109" t="s">
        <v>120</v>
      </c>
      <c r="H2388" s="109">
        <v>1891</v>
      </c>
      <c r="I2388" s="109">
        <v>1182</v>
      </c>
      <c r="J2388" s="110">
        <v>14</v>
      </c>
    </row>
    <row r="2389" spans="1:10">
      <c r="A2389" s="103" t="s">
        <v>4118</v>
      </c>
      <c r="B2389" s="124" t="s">
        <v>3900</v>
      </c>
      <c r="C2389" s="110">
        <v>3186</v>
      </c>
      <c r="D2389" s="109" t="s">
        <v>120</v>
      </c>
      <c r="E2389" s="109">
        <v>32</v>
      </c>
      <c r="F2389" s="110">
        <v>78185</v>
      </c>
      <c r="G2389" s="109" t="s">
        <v>120</v>
      </c>
      <c r="H2389" s="109">
        <v>2454</v>
      </c>
      <c r="I2389" s="109">
        <v>2156</v>
      </c>
      <c r="J2389" s="110">
        <v>47</v>
      </c>
    </row>
    <row r="2390" spans="1:10">
      <c r="A2390" s="103" t="s">
        <v>4119</v>
      </c>
      <c r="B2390" s="124" t="s">
        <v>4120</v>
      </c>
      <c r="C2390" s="110">
        <v>51724</v>
      </c>
      <c r="D2390" s="105" t="s">
        <v>927</v>
      </c>
      <c r="E2390" s="109">
        <v>517</v>
      </c>
      <c r="F2390" s="110">
        <v>1790658</v>
      </c>
      <c r="G2390" s="105" t="s">
        <v>927</v>
      </c>
      <c r="H2390" s="109">
        <v>3462</v>
      </c>
      <c r="I2390" s="109">
        <v>3</v>
      </c>
      <c r="J2390" s="110">
        <v>1</v>
      </c>
    </row>
    <row r="2391" spans="1:10" s="119" customFormat="1">
      <c r="A2391" s="123" t="s">
        <v>120</v>
      </c>
      <c r="B2391" s="275" t="s">
        <v>4121</v>
      </c>
      <c r="C2391" s="276"/>
      <c r="D2391" s="276"/>
      <c r="E2391" s="276"/>
      <c r="F2391" s="276"/>
      <c r="G2391" s="276"/>
      <c r="H2391" s="276"/>
      <c r="I2391" s="276"/>
      <c r="J2391" s="276"/>
    </row>
    <row r="2392" spans="1:10">
      <c r="A2392" s="103" t="s">
        <v>4122</v>
      </c>
      <c r="B2392" s="124" t="s">
        <v>4123</v>
      </c>
      <c r="C2392" s="110">
        <v>2495</v>
      </c>
      <c r="D2392" s="109" t="s">
        <v>120</v>
      </c>
      <c r="E2392" s="109">
        <v>25</v>
      </c>
      <c r="F2392" s="110">
        <v>125119</v>
      </c>
      <c r="G2392" s="109" t="s">
        <v>120</v>
      </c>
      <c r="H2392" s="109">
        <v>5015</v>
      </c>
      <c r="I2392" s="109"/>
      <c r="J2392" s="110"/>
    </row>
    <row r="2393" spans="1:10">
      <c r="A2393" s="103" t="s">
        <v>4124</v>
      </c>
      <c r="B2393" s="124" t="s">
        <v>4125</v>
      </c>
      <c r="C2393" s="110">
        <v>7304</v>
      </c>
      <c r="D2393" s="109" t="s">
        <v>120</v>
      </c>
      <c r="E2393" s="109">
        <v>73</v>
      </c>
      <c r="F2393" s="110">
        <v>129106</v>
      </c>
      <c r="G2393" s="109" t="s">
        <v>120</v>
      </c>
      <c r="H2393" s="109">
        <v>1768</v>
      </c>
      <c r="I2393" s="109"/>
      <c r="J2393" s="110"/>
    </row>
    <row r="2394" spans="1:10">
      <c r="A2394" s="103" t="s">
        <v>4126</v>
      </c>
      <c r="B2394" s="124" t="s">
        <v>3949</v>
      </c>
      <c r="C2394" s="110">
        <v>3234</v>
      </c>
      <c r="D2394" s="109" t="s">
        <v>120</v>
      </c>
      <c r="E2394" s="109">
        <v>32</v>
      </c>
      <c r="F2394" s="110">
        <v>131592</v>
      </c>
      <c r="G2394" s="109" t="s">
        <v>120</v>
      </c>
      <c r="H2394" s="109">
        <v>4069</v>
      </c>
      <c r="I2394" s="109"/>
      <c r="J2394" s="110"/>
    </row>
    <row r="2395" spans="1:10">
      <c r="A2395" s="103" t="s">
        <v>4127</v>
      </c>
      <c r="B2395" s="124" t="s">
        <v>4128</v>
      </c>
      <c r="C2395" s="110">
        <v>3542</v>
      </c>
      <c r="D2395" s="109" t="s">
        <v>120</v>
      </c>
      <c r="E2395" s="109">
        <v>35</v>
      </c>
      <c r="F2395" s="110">
        <v>218265</v>
      </c>
      <c r="G2395" s="109" t="s">
        <v>120</v>
      </c>
      <c r="H2395" s="109">
        <v>6162</v>
      </c>
      <c r="I2395" s="109"/>
      <c r="J2395" s="110"/>
    </row>
    <row r="2396" spans="1:10">
      <c r="A2396" s="103" t="s">
        <v>4129</v>
      </c>
      <c r="B2396" s="124" t="s">
        <v>4130</v>
      </c>
      <c r="C2396" s="110">
        <v>972</v>
      </c>
      <c r="D2396" s="109" t="s">
        <v>120</v>
      </c>
      <c r="E2396" s="109">
        <v>10</v>
      </c>
      <c r="F2396" s="110">
        <v>82484</v>
      </c>
      <c r="G2396" s="109" t="s">
        <v>120</v>
      </c>
      <c r="H2396" s="109">
        <v>8486</v>
      </c>
      <c r="I2396" s="109"/>
      <c r="J2396" s="110"/>
    </row>
    <row r="2397" spans="1:10">
      <c r="A2397" s="103" t="s">
        <v>4131</v>
      </c>
      <c r="B2397" s="124" t="s">
        <v>4132</v>
      </c>
      <c r="C2397" s="110">
        <v>2238</v>
      </c>
      <c r="D2397" s="109" t="s">
        <v>120</v>
      </c>
      <c r="E2397" s="109">
        <v>22</v>
      </c>
      <c r="F2397" s="110">
        <v>180789</v>
      </c>
      <c r="G2397" s="109" t="s">
        <v>120</v>
      </c>
      <c r="H2397" s="109">
        <v>8078</v>
      </c>
      <c r="I2397" s="109"/>
      <c r="J2397" s="110"/>
    </row>
    <row r="2398" spans="1:10">
      <c r="A2398" s="103" t="s">
        <v>4133</v>
      </c>
      <c r="B2398" s="124" t="s">
        <v>4134</v>
      </c>
      <c r="C2398" s="110">
        <v>1142</v>
      </c>
      <c r="D2398" s="109" t="s">
        <v>120</v>
      </c>
      <c r="E2398" s="109">
        <v>11</v>
      </c>
      <c r="F2398" s="110">
        <v>63481</v>
      </c>
      <c r="G2398" s="109" t="s">
        <v>120</v>
      </c>
      <c r="H2398" s="109">
        <v>5559</v>
      </c>
      <c r="I2398" s="109"/>
      <c r="J2398" s="110"/>
    </row>
    <row r="2399" spans="1:10">
      <c r="A2399" s="103" t="s">
        <v>4135</v>
      </c>
      <c r="B2399" s="124" t="s">
        <v>4136</v>
      </c>
      <c r="C2399" s="110">
        <v>1930</v>
      </c>
      <c r="D2399" s="109" t="s">
        <v>120</v>
      </c>
      <c r="E2399" s="109">
        <v>19</v>
      </c>
      <c r="F2399" s="110">
        <v>24513</v>
      </c>
      <c r="G2399" s="109" t="s">
        <v>120</v>
      </c>
      <c r="H2399" s="109">
        <v>1270</v>
      </c>
      <c r="I2399" s="109"/>
      <c r="J2399" s="110"/>
    </row>
    <row r="2400" spans="1:10">
      <c r="A2400" s="103" t="s">
        <v>4137</v>
      </c>
      <c r="B2400" s="124" t="s">
        <v>4138</v>
      </c>
      <c r="C2400" s="110">
        <v>1557</v>
      </c>
      <c r="D2400" s="109" t="s">
        <v>120</v>
      </c>
      <c r="E2400" s="109">
        <v>16</v>
      </c>
      <c r="F2400" s="110">
        <v>113713</v>
      </c>
      <c r="G2400" s="109" t="s">
        <v>120</v>
      </c>
      <c r="H2400" s="109">
        <v>7303</v>
      </c>
      <c r="I2400" s="109"/>
      <c r="J2400" s="110"/>
    </row>
    <row r="2401" spans="1:10">
      <c r="A2401" s="103" t="s">
        <v>4139</v>
      </c>
      <c r="B2401" s="124" t="s">
        <v>4140</v>
      </c>
      <c r="C2401" s="110">
        <v>2422</v>
      </c>
      <c r="D2401" s="109" t="s">
        <v>120</v>
      </c>
      <c r="E2401" s="109">
        <v>24</v>
      </c>
      <c r="F2401" s="110">
        <v>124992</v>
      </c>
      <c r="G2401" s="109" t="s">
        <v>120</v>
      </c>
      <c r="H2401" s="109">
        <v>5161</v>
      </c>
      <c r="I2401" s="109"/>
      <c r="J2401" s="110"/>
    </row>
    <row r="2402" spans="1:10">
      <c r="A2402" s="103" t="s">
        <v>4141</v>
      </c>
      <c r="B2402" s="124" t="s">
        <v>4142</v>
      </c>
      <c r="C2402" s="110">
        <v>936</v>
      </c>
      <c r="D2402" s="109" t="s">
        <v>120</v>
      </c>
      <c r="E2402" s="109">
        <v>9</v>
      </c>
      <c r="F2402" s="110">
        <v>61312</v>
      </c>
      <c r="G2402" s="109" t="s">
        <v>120</v>
      </c>
      <c r="H2402" s="109">
        <v>6550</v>
      </c>
      <c r="I2402" s="109"/>
      <c r="J2402" s="110"/>
    </row>
    <row r="2403" spans="1:10">
      <c r="A2403" s="103" t="s">
        <v>4143</v>
      </c>
      <c r="B2403" s="124" t="s">
        <v>4144</v>
      </c>
      <c r="C2403" s="110">
        <v>4379</v>
      </c>
      <c r="D2403" s="109" t="s">
        <v>120</v>
      </c>
      <c r="E2403" s="109">
        <v>44</v>
      </c>
      <c r="F2403" s="110">
        <v>151304</v>
      </c>
      <c r="G2403" s="109" t="s">
        <v>120</v>
      </c>
      <c r="H2403" s="109">
        <v>3455</v>
      </c>
      <c r="I2403" s="109"/>
      <c r="J2403" s="110"/>
    </row>
    <row r="2404" spans="1:10">
      <c r="A2404" s="103" t="s">
        <v>4145</v>
      </c>
      <c r="B2404" s="124" t="s">
        <v>4146</v>
      </c>
      <c r="C2404" s="110">
        <v>7970</v>
      </c>
      <c r="D2404" s="109" t="s">
        <v>120</v>
      </c>
      <c r="E2404" s="109">
        <v>80</v>
      </c>
      <c r="F2404" s="110">
        <v>78244</v>
      </c>
      <c r="G2404" s="109" t="s">
        <v>120</v>
      </c>
      <c r="H2404" s="109">
        <v>982</v>
      </c>
      <c r="I2404" s="109"/>
      <c r="J2404" s="110"/>
    </row>
    <row r="2405" spans="1:10">
      <c r="A2405" s="103" t="s">
        <v>4147</v>
      </c>
      <c r="B2405" s="124" t="s">
        <v>4148</v>
      </c>
      <c r="C2405" s="110">
        <v>2294</v>
      </c>
      <c r="D2405" s="109" t="s">
        <v>120</v>
      </c>
      <c r="E2405" s="109">
        <v>23</v>
      </c>
      <c r="F2405" s="110">
        <v>25798</v>
      </c>
      <c r="G2405" s="109" t="s">
        <v>120</v>
      </c>
      <c r="H2405" s="109">
        <v>1125</v>
      </c>
      <c r="I2405" s="109"/>
      <c r="J2405" s="110"/>
    </row>
    <row r="2406" spans="1:10">
      <c r="A2406" s="103" t="s">
        <v>4149</v>
      </c>
      <c r="B2406" s="124" t="s">
        <v>4150</v>
      </c>
      <c r="C2406" s="110">
        <v>3673</v>
      </c>
      <c r="D2406" s="109" t="s">
        <v>120</v>
      </c>
      <c r="E2406" s="109">
        <v>37</v>
      </c>
      <c r="F2406" s="110">
        <v>42134</v>
      </c>
      <c r="G2406" s="109" t="s">
        <v>120</v>
      </c>
      <c r="H2406" s="109">
        <v>1147</v>
      </c>
      <c r="I2406" s="109"/>
      <c r="J2406" s="110"/>
    </row>
    <row r="2407" spans="1:10">
      <c r="A2407" s="103" t="s">
        <v>4151</v>
      </c>
      <c r="B2407" s="124" t="s">
        <v>4152</v>
      </c>
      <c r="C2407" s="110">
        <v>2863</v>
      </c>
      <c r="D2407" s="109" t="s">
        <v>120</v>
      </c>
      <c r="E2407" s="109">
        <v>29</v>
      </c>
      <c r="F2407" s="110">
        <v>43613</v>
      </c>
      <c r="G2407" s="109" t="s">
        <v>120</v>
      </c>
      <c r="H2407" s="109">
        <v>1523</v>
      </c>
      <c r="I2407" s="109"/>
      <c r="J2407" s="110"/>
    </row>
    <row r="2408" spans="1:10">
      <c r="A2408" s="103" t="s">
        <v>4153</v>
      </c>
      <c r="B2408" s="124" t="s">
        <v>4154</v>
      </c>
      <c r="C2408" s="110">
        <v>1926</v>
      </c>
      <c r="D2408" s="109" t="s">
        <v>120</v>
      </c>
      <c r="E2408" s="109">
        <v>19</v>
      </c>
      <c r="F2408" s="110">
        <v>141407</v>
      </c>
      <c r="G2408" s="109" t="s">
        <v>120</v>
      </c>
      <c r="H2408" s="109">
        <v>7342</v>
      </c>
      <c r="I2408" s="109"/>
      <c r="J2408" s="110"/>
    </row>
    <row r="2409" spans="1:10">
      <c r="A2409" s="103" t="s">
        <v>4155</v>
      </c>
      <c r="B2409" s="124" t="s">
        <v>4156</v>
      </c>
      <c r="C2409" s="110">
        <v>847</v>
      </c>
      <c r="D2409" s="109" t="s">
        <v>120</v>
      </c>
      <c r="E2409" s="109">
        <v>9</v>
      </c>
      <c r="F2409" s="110">
        <v>52792</v>
      </c>
      <c r="G2409" s="109" t="s">
        <v>120</v>
      </c>
      <c r="H2409" s="109">
        <v>6233</v>
      </c>
      <c r="I2409" s="109"/>
      <c r="J2409" s="110"/>
    </row>
    <row r="2410" spans="1:10" s="119" customFormat="1">
      <c r="A2410" s="123" t="s">
        <v>120</v>
      </c>
      <c r="B2410" s="273" t="s">
        <v>13</v>
      </c>
      <c r="C2410" s="274"/>
      <c r="D2410" s="274"/>
      <c r="E2410" s="274"/>
      <c r="F2410" s="274"/>
      <c r="G2410" s="274"/>
      <c r="H2410" s="274"/>
      <c r="I2410" s="274"/>
      <c r="J2410" s="274"/>
    </row>
    <row r="2411" spans="1:10" s="119" customFormat="1">
      <c r="A2411" s="123" t="s">
        <v>120</v>
      </c>
      <c r="B2411" s="273" t="s">
        <v>4157</v>
      </c>
      <c r="C2411" s="274"/>
      <c r="D2411" s="274"/>
      <c r="E2411" s="274"/>
      <c r="F2411" s="274"/>
      <c r="G2411" s="274"/>
      <c r="H2411" s="274"/>
      <c r="I2411" s="274"/>
      <c r="J2411" s="274"/>
    </row>
    <row r="2412" spans="1:10" s="119" customFormat="1">
      <c r="A2412" s="123" t="s">
        <v>120</v>
      </c>
      <c r="B2412" s="275" t="s">
        <v>1019</v>
      </c>
      <c r="C2412" s="276"/>
      <c r="D2412" s="276"/>
      <c r="E2412" s="276"/>
      <c r="F2412" s="276"/>
      <c r="G2412" s="276"/>
      <c r="H2412" s="276"/>
      <c r="I2412" s="276"/>
      <c r="J2412" s="276"/>
    </row>
    <row r="2413" spans="1:10">
      <c r="A2413" s="103" t="s">
        <v>4158</v>
      </c>
      <c r="B2413" s="124" t="s">
        <v>4159</v>
      </c>
      <c r="C2413" s="110">
        <v>1461</v>
      </c>
      <c r="D2413" s="105" t="s">
        <v>1075</v>
      </c>
      <c r="E2413" s="109">
        <v>15</v>
      </c>
      <c r="F2413" s="110">
        <v>35709</v>
      </c>
      <c r="G2413" s="109" t="s">
        <v>120</v>
      </c>
      <c r="H2413" s="109">
        <v>2444</v>
      </c>
      <c r="I2413" s="109">
        <v>2283</v>
      </c>
      <c r="J2413" s="110">
        <v>149</v>
      </c>
    </row>
    <row r="2414" spans="1:10" s="119" customFormat="1">
      <c r="A2414" s="123" t="s">
        <v>120</v>
      </c>
      <c r="B2414" s="275" t="s">
        <v>943</v>
      </c>
      <c r="C2414" s="276"/>
      <c r="D2414" s="276"/>
      <c r="E2414" s="276"/>
      <c r="F2414" s="276"/>
      <c r="G2414" s="276"/>
      <c r="H2414" s="276"/>
      <c r="I2414" s="276"/>
      <c r="J2414" s="276"/>
    </row>
    <row r="2415" spans="1:10">
      <c r="A2415" s="103" t="s">
        <v>4160</v>
      </c>
      <c r="B2415" s="124" t="s">
        <v>4161</v>
      </c>
      <c r="C2415" s="110">
        <v>21270</v>
      </c>
      <c r="D2415" s="109" t="s">
        <v>120</v>
      </c>
      <c r="E2415" s="109">
        <v>212</v>
      </c>
      <c r="F2415" s="110">
        <v>8984</v>
      </c>
      <c r="G2415" s="109" t="s">
        <v>120</v>
      </c>
      <c r="H2415" s="109">
        <v>42</v>
      </c>
      <c r="I2415" s="109">
        <v>283</v>
      </c>
      <c r="J2415" s="110">
        <v>987</v>
      </c>
    </row>
    <row r="2416" spans="1:10">
      <c r="A2416" s="103" t="s">
        <v>4162</v>
      </c>
      <c r="B2416" s="124" t="s">
        <v>3541</v>
      </c>
      <c r="C2416" s="110">
        <v>9276</v>
      </c>
      <c r="D2416" s="109" t="s">
        <v>120</v>
      </c>
      <c r="E2416" s="109">
        <v>93</v>
      </c>
      <c r="F2416" s="110">
        <v>4867</v>
      </c>
      <c r="G2416" s="109" t="s">
        <v>120</v>
      </c>
      <c r="H2416" s="109">
        <v>52</v>
      </c>
      <c r="I2416" s="109">
        <v>1503</v>
      </c>
      <c r="J2416" s="110">
        <v>1776</v>
      </c>
    </row>
    <row r="2417" spans="1:10">
      <c r="A2417" s="103" t="s">
        <v>4163</v>
      </c>
      <c r="B2417" s="124" t="s">
        <v>4164</v>
      </c>
      <c r="C2417" s="110">
        <v>11031</v>
      </c>
      <c r="D2417" s="109" t="s">
        <v>120</v>
      </c>
      <c r="E2417" s="109">
        <v>110</v>
      </c>
      <c r="F2417" s="110">
        <v>8217</v>
      </c>
      <c r="G2417" s="109" t="s">
        <v>120</v>
      </c>
      <c r="H2417" s="109">
        <v>74</v>
      </c>
      <c r="I2417" s="109">
        <v>1218</v>
      </c>
      <c r="J2417" s="110">
        <v>1092</v>
      </c>
    </row>
    <row r="2418" spans="1:10" s="119" customFormat="1">
      <c r="A2418" s="123" t="s">
        <v>120</v>
      </c>
      <c r="B2418" s="275" t="s">
        <v>947</v>
      </c>
      <c r="C2418" s="276"/>
      <c r="D2418" s="276"/>
      <c r="E2418" s="276"/>
      <c r="F2418" s="276"/>
      <c r="G2418" s="276"/>
      <c r="H2418" s="276"/>
      <c r="I2418" s="276"/>
      <c r="J2418" s="276"/>
    </row>
    <row r="2419" spans="1:10">
      <c r="A2419" s="103" t="s">
        <v>4165</v>
      </c>
      <c r="B2419" s="124" t="s">
        <v>4166</v>
      </c>
      <c r="C2419" s="110">
        <v>28595</v>
      </c>
      <c r="D2419" s="109" t="s">
        <v>120</v>
      </c>
      <c r="E2419" s="109">
        <v>286</v>
      </c>
      <c r="F2419" s="110">
        <v>19087</v>
      </c>
      <c r="G2419" s="109" t="s">
        <v>120</v>
      </c>
      <c r="H2419" s="109">
        <v>67</v>
      </c>
      <c r="I2419" s="109">
        <v>119</v>
      </c>
      <c r="J2419" s="110">
        <v>367</v>
      </c>
    </row>
    <row r="2420" spans="1:10">
      <c r="A2420" s="103" t="s">
        <v>4167</v>
      </c>
      <c r="B2420" s="124" t="s">
        <v>932</v>
      </c>
      <c r="C2420" s="110">
        <v>988</v>
      </c>
      <c r="D2420" s="109" t="s">
        <v>120</v>
      </c>
      <c r="E2420" s="109">
        <v>9</v>
      </c>
      <c r="F2420" s="110">
        <v>8570</v>
      </c>
      <c r="G2420" s="109" t="s">
        <v>120</v>
      </c>
      <c r="H2420" s="109">
        <v>867</v>
      </c>
      <c r="I2420" s="109" t="s">
        <v>122</v>
      </c>
      <c r="J2420" s="110" t="s">
        <v>122</v>
      </c>
    </row>
    <row r="2421" spans="1:10">
      <c r="A2421" s="103" t="s">
        <v>4168</v>
      </c>
      <c r="B2421" s="124" t="s">
        <v>934</v>
      </c>
      <c r="C2421" s="110">
        <v>27607</v>
      </c>
      <c r="D2421" s="109" t="s">
        <v>120</v>
      </c>
      <c r="E2421" s="109">
        <v>277</v>
      </c>
      <c r="F2421" s="110">
        <v>10517</v>
      </c>
      <c r="G2421" s="109" t="s">
        <v>120</v>
      </c>
      <c r="H2421" s="109">
        <v>38</v>
      </c>
      <c r="I2421" s="109" t="s">
        <v>122</v>
      </c>
      <c r="J2421" s="110" t="s">
        <v>122</v>
      </c>
    </row>
    <row r="2422" spans="1:10">
      <c r="A2422" s="103" t="s">
        <v>4169</v>
      </c>
      <c r="B2422" s="124" t="s">
        <v>4170</v>
      </c>
      <c r="C2422" s="110">
        <v>15963</v>
      </c>
      <c r="D2422" s="109" t="s">
        <v>120</v>
      </c>
      <c r="E2422" s="109">
        <v>160</v>
      </c>
      <c r="F2422" s="110">
        <v>12940</v>
      </c>
      <c r="G2422" s="109" t="s">
        <v>120</v>
      </c>
      <c r="H2422" s="109">
        <v>81</v>
      </c>
      <c r="I2422" s="109">
        <v>602</v>
      </c>
      <c r="J2422" s="110">
        <v>637</v>
      </c>
    </row>
    <row r="2423" spans="1:10">
      <c r="A2423" s="103" t="s">
        <v>4171</v>
      </c>
      <c r="B2423" s="124" t="s">
        <v>932</v>
      </c>
      <c r="C2423" s="110">
        <v>1164</v>
      </c>
      <c r="D2423" s="109" t="s">
        <v>120</v>
      </c>
      <c r="E2423" s="109">
        <v>12</v>
      </c>
      <c r="F2423" s="110">
        <v>5722</v>
      </c>
      <c r="G2423" s="109" t="s">
        <v>120</v>
      </c>
      <c r="H2423" s="109">
        <v>492</v>
      </c>
      <c r="I2423" s="109" t="s">
        <v>122</v>
      </c>
      <c r="J2423" s="110" t="s">
        <v>122</v>
      </c>
    </row>
    <row r="2424" spans="1:10">
      <c r="A2424" s="103" t="s">
        <v>4172</v>
      </c>
      <c r="B2424" s="124" t="s">
        <v>934</v>
      </c>
      <c r="C2424" s="110">
        <v>14799</v>
      </c>
      <c r="D2424" s="109" t="s">
        <v>120</v>
      </c>
      <c r="E2424" s="109">
        <v>148</v>
      </c>
      <c r="F2424" s="110">
        <v>7218</v>
      </c>
      <c r="G2424" s="109" t="s">
        <v>120</v>
      </c>
      <c r="H2424" s="109">
        <v>49</v>
      </c>
      <c r="I2424" s="109" t="s">
        <v>122</v>
      </c>
      <c r="J2424" s="110" t="s">
        <v>122</v>
      </c>
    </row>
    <row r="2425" spans="1:10" s="119" customFormat="1">
      <c r="A2425" s="123" t="s">
        <v>120</v>
      </c>
      <c r="B2425" s="273" t="s">
        <v>4173</v>
      </c>
      <c r="C2425" s="274"/>
      <c r="D2425" s="274"/>
      <c r="E2425" s="274"/>
      <c r="F2425" s="274"/>
      <c r="G2425" s="274"/>
      <c r="H2425" s="274"/>
      <c r="I2425" s="274"/>
      <c r="J2425" s="274"/>
    </row>
    <row r="2426" spans="1:10" s="119" customFormat="1">
      <c r="A2426" s="123" t="s">
        <v>120</v>
      </c>
      <c r="B2426" s="275" t="s">
        <v>1296</v>
      </c>
      <c r="C2426" s="276"/>
      <c r="D2426" s="276"/>
      <c r="E2426" s="276"/>
      <c r="F2426" s="276"/>
      <c r="G2426" s="276"/>
      <c r="H2426" s="276"/>
      <c r="I2426" s="276"/>
      <c r="J2426" s="276"/>
    </row>
    <row r="2427" spans="1:10">
      <c r="A2427" s="103" t="s">
        <v>4174</v>
      </c>
      <c r="B2427" s="124" t="s">
        <v>4175</v>
      </c>
      <c r="C2427" s="110">
        <v>12163</v>
      </c>
      <c r="D2427" s="109" t="s">
        <v>120</v>
      </c>
      <c r="E2427" s="109">
        <v>122</v>
      </c>
      <c r="F2427" s="110">
        <v>6474</v>
      </c>
      <c r="G2427" s="109" t="s">
        <v>120</v>
      </c>
      <c r="H2427" s="109">
        <v>53</v>
      </c>
      <c r="I2427" s="109">
        <v>1029</v>
      </c>
      <c r="J2427" s="110">
        <v>1407</v>
      </c>
    </row>
    <row r="2428" spans="1:10" s="119" customFormat="1">
      <c r="A2428" s="123" t="s">
        <v>120</v>
      </c>
      <c r="B2428" s="275" t="s">
        <v>947</v>
      </c>
      <c r="C2428" s="276"/>
      <c r="D2428" s="276"/>
      <c r="E2428" s="276"/>
      <c r="F2428" s="276"/>
      <c r="G2428" s="276"/>
      <c r="H2428" s="276"/>
      <c r="I2428" s="276"/>
      <c r="J2428" s="276"/>
    </row>
    <row r="2429" spans="1:10">
      <c r="A2429" s="103" t="s">
        <v>4176</v>
      </c>
      <c r="B2429" s="124" t="s">
        <v>4177</v>
      </c>
      <c r="C2429" s="110">
        <v>11703</v>
      </c>
      <c r="D2429" s="109" t="s">
        <v>120</v>
      </c>
      <c r="E2429" s="109">
        <v>117</v>
      </c>
      <c r="F2429" s="110">
        <v>5976</v>
      </c>
      <c r="G2429" s="109" t="s">
        <v>120</v>
      </c>
      <c r="H2429" s="109">
        <v>51</v>
      </c>
      <c r="I2429" s="109">
        <v>1097</v>
      </c>
      <c r="J2429" s="110">
        <v>1513</v>
      </c>
    </row>
    <row r="2430" spans="1:10">
      <c r="A2430" s="103" t="s">
        <v>4178</v>
      </c>
      <c r="B2430" s="124" t="s">
        <v>932</v>
      </c>
      <c r="C2430" s="110">
        <v>1186</v>
      </c>
      <c r="D2430" s="109" t="s">
        <v>120</v>
      </c>
      <c r="E2430" s="109">
        <v>12</v>
      </c>
      <c r="F2430" s="110">
        <v>2920</v>
      </c>
      <c r="G2430" s="109" t="s">
        <v>120</v>
      </c>
      <c r="H2430" s="109">
        <v>246</v>
      </c>
      <c r="I2430" s="109" t="s">
        <v>122</v>
      </c>
      <c r="J2430" s="110" t="s">
        <v>122</v>
      </c>
    </row>
    <row r="2431" spans="1:10">
      <c r="A2431" s="103" t="s">
        <v>4179</v>
      </c>
      <c r="B2431" s="124" t="s">
        <v>934</v>
      </c>
      <c r="C2431" s="110">
        <v>10517</v>
      </c>
      <c r="D2431" s="109" t="s">
        <v>120</v>
      </c>
      <c r="E2431" s="109">
        <v>105</v>
      </c>
      <c r="F2431" s="110">
        <v>3056</v>
      </c>
      <c r="G2431" s="109" t="s">
        <v>120</v>
      </c>
      <c r="H2431" s="109">
        <v>29</v>
      </c>
      <c r="I2431" s="109" t="s">
        <v>122</v>
      </c>
      <c r="J2431" s="110" t="s">
        <v>122</v>
      </c>
    </row>
    <row r="2432" spans="1:10">
      <c r="A2432" s="103" t="s">
        <v>4180</v>
      </c>
      <c r="B2432" s="124" t="s">
        <v>4181</v>
      </c>
      <c r="C2432" s="110">
        <v>29434</v>
      </c>
      <c r="D2432" s="105" t="s">
        <v>927</v>
      </c>
      <c r="E2432" s="109">
        <v>294</v>
      </c>
      <c r="F2432" s="110">
        <v>22280</v>
      </c>
      <c r="G2432" s="109" t="s">
        <v>120</v>
      </c>
      <c r="H2432" s="109">
        <v>76</v>
      </c>
      <c r="I2432" s="109">
        <v>103</v>
      </c>
      <c r="J2432" s="110">
        <v>296</v>
      </c>
    </row>
    <row r="2433" spans="1:10">
      <c r="A2433" s="103" t="s">
        <v>4182</v>
      </c>
      <c r="B2433" s="124" t="s">
        <v>932</v>
      </c>
      <c r="C2433" s="110">
        <v>1254</v>
      </c>
      <c r="D2433" s="109" t="s">
        <v>120</v>
      </c>
      <c r="E2433" s="109">
        <v>13</v>
      </c>
      <c r="F2433" s="110">
        <v>12521</v>
      </c>
      <c r="G2433" s="109" t="s">
        <v>120</v>
      </c>
      <c r="H2433" s="109">
        <v>998</v>
      </c>
      <c r="I2433" s="109" t="s">
        <v>122</v>
      </c>
      <c r="J2433" s="110" t="s">
        <v>122</v>
      </c>
    </row>
    <row r="2434" spans="1:10">
      <c r="A2434" s="103" t="s">
        <v>4183</v>
      </c>
      <c r="B2434" s="124" t="s">
        <v>934</v>
      </c>
      <c r="C2434" s="110">
        <v>28180</v>
      </c>
      <c r="D2434" s="109" t="s">
        <v>120</v>
      </c>
      <c r="E2434" s="109">
        <v>281</v>
      </c>
      <c r="F2434" s="110">
        <v>9759</v>
      </c>
      <c r="G2434" s="109" t="s">
        <v>120</v>
      </c>
      <c r="H2434" s="109">
        <v>35</v>
      </c>
      <c r="I2434" s="109" t="s">
        <v>122</v>
      </c>
      <c r="J2434" s="110" t="s">
        <v>122</v>
      </c>
    </row>
    <row r="2435" spans="1:10">
      <c r="A2435" s="103" t="s">
        <v>4184</v>
      </c>
      <c r="B2435" s="124" t="s">
        <v>4185</v>
      </c>
      <c r="C2435" s="110">
        <v>13963</v>
      </c>
      <c r="D2435" s="109" t="s">
        <v>120</v>
      </c>
      <c r="E2435" s="109">
        <v>140</v>
      </c>
      <c r="F2435" s="110">
        <v>10822</v>
      </c>
      <c r="G2435" s="109" t="s">
        <v>120</v>
      </c>
      <c r="H2435" s="109">
        <v>78</v>
      </c>
      <c r="I2435" s="109">
        <v>790</v>
      </c>
      <c r="J2435" s="110">
        <v>800</v>
      </c>
    </row>
    <row r="2436" spans="1:10">
      <c r="A2436" s="103" t="s">
        <v>4186</v>
      </c>
      <c r="B2436" s="124" t="s">
        <v>932</v>
      </c>
      <c r="C2436" s="110">
        <v>1874</v>
      </c>
      <c r="D2436" s="109" t="s">
        <v>120</v>
      </c>
      <c r="E2436" s="109">
        <v>19</v>
      </c>
      <c r="F2436" s="110">
        <v>5951</v>
      </c>
      <c r="G2436" s="109" t="s">
        <v>120</v>
      </c>
      <c r="H2436" s="109">
        <v>318</v>
      </c>
      <c r="I2436" s="109" t="s">
        <v>122</v>
      </c>
      <c r="J2436" s="110" t="s">
        <v>122</v>
      </c>
    </row>
    <row r="2437" spans="1:10">
      <c r="A2437" s="103" t="s">
        <v>4187</v>
      </c>
      <c r="B2437" s="124" t="s">
        <v>934</v>
      </c>
      <c r="C2437" s="110">
        <v>12089</v>
      </c>
      <c r="D2437" s="109" t="s">
        <v>120</v>
      </c>
      <c r="E2437" s="109">
        <v>121</v>
      </c>
      <c r="F2437" s="110">
        <v>4871</v>
      </c>
      <c r="G2437" s="109" t="s">
        <v>120</v>
      </c>
      <c r="H2437" s="109">
        <v>40</v>
      </c>
      <c r="I2437" s="109" t="s">
        <v>122</v>
      </c>
      <c r="J2437" s="110" t="s">
        <v>122</v>
      </c>
    </row>
    <row r="2438" spans="1:10" s="119" customFormat="1">
      <c r="A2438" s="123" t="s">
        <v>120</v>
      </c>
      <c r="B2438" s="273" t="s">
        <v>4188</v>
      </c>
      <c r="C2438" s="274"/>
      <c r="D2438" s="274"/>
      <c r="E2438" s="274"/>
      <c r="F2438" s="274"/>
      <c r="G2438" s="274"/>
      <c r="H2438" s="274"/>
      <c r="I2438" s="274"/>
      <c r="J2438" s="274"/>
    </row>
    <row r="2439" spans="1:10" s="119" customFormat="1">
      <c r="A2439" s="123" t="s">
        <v>120</v>
      </c>
      <c r="B2439" s="275" t="s">
        <v>1019</v>
      </c>
      <c r="C2439" s="276"/>
      <c r="D2439" s="276"/>
      <c r="E2439" s="276"/>
      <c r="F2439" s="276"/>
      <c r="G2439" s="276"/>
      <c r="H2439" s="276"/>
      <c r="I2439" s="276"/>
      <c r="J2439" s="276"/>
    </row>
    <row r="2440" spans="1:10">
      <c r="A2440" s="103" t="s">
        <v>4189</v>
      </c>
      <c r="B2440" s="124" t="s">
        <v>4190</v>
      </c>
      <c r="C2440" s="110">
        <v>12371</v>
      </c>
      <c r="D2440" s="109" t="s">
        <v>120</v>
      </c>
      <c r="E2440" s="109">
        <v>124</v>
      </c>
      <c r="F2440" s="110">
        <v>60641</v>
      </c>
      <c r="G2440" s="109" t="s">
        <v>120</v>
      </c>
      <c r="H2440" s="109">
        <v>490</v>
      </c>
      <c r="I2440" s="109">
        <v>1002</v>
      </c>
      <c r="J2440" s="110">
        <v>72</v>
      </c>
    </row>
    <row r="2441" spans="1:10" s="119" customFormat="1">
      <c r="A2441" s="123" t="s">
        <v>120</v>
      </c>
      <c r="B2441" s="275" t="s">
        <v>943</v>
      </c>
      <c r="C2441" s="276"/>
      <c r="D2441" s="276"/>
      <c r="E2441" s="276"/>
      <c r="F2441" s="276"/>
      <c r="G2441" s="276"/>
      <c r="H2441" s="276"/>
      <c r="I2441" s="276"/>
      <c r="J2441" s="276"/>
    </row>
    <row r="2442" spans="1:10">
      <c r="A2442" s="103" t="s">
        <v>4191</v>
      </c>
      <c r="B2442" s="124" t="s">
        <v>4192</v>
      </c>
      <c r="C2442" s="110">
        <v>11856</v>
      </c>
      <c r="D2442" s="109" t="s">
        <v>120</v>
      </c>
      <c r="E2442" s="109">
        <v>119</v>
      </c>
      <c r="F2442" s="110">
        <v>7912</v>
      </c>
      <c r="G2442" s="109" t="s">
        <v>120</v>
      </c>
      <c r="H2442" s="109">
        <v>67</v>
      </c>
      <c r="I2442" s="109">
        <v>1073</v>
      </c>
      <c r="J2442" s="110">
        <v>1138</v>
      </c>
    </row>
    <row r="2443" spans="1:10">
      <c r="A2443" s="103" t="s">
        <v>4193</v>
      </c>
      <c r="B2443" s="124" t="s">
        <v>4194</v>
      </c>
      <c r="C2443" s="110">
        <v>7108</v>
      </c>
      <c r="D2443" s="109" t="s">
        <v>120</v>
      </c>
      <c r="E2443" s="109">
        <v>71</v>
      </c>
      <c r="F2443" s="110">
        <v>5593</v>
      </c>
      <c r="G2443" s="109" t="s">
        <v>120</v>
      </c>
      <c r="H2443" s="109">
        <v>79</v>
      </c>
      <c r="I2443" s="109">
        <v>1835</v>
      </c>
      <c r="J2443" s="110">
        <v>1595</v>
      </c>
    </row>
    <row r="2444" spans="1:10">
      <c r="A2444" s="103" t="s">
        <v>4195</v>
      </c>
      <c r="B2444" s="124" t="s">
        <v>4196</v>
      </c>
      <c r="C2444" s="110">
        <v>15353</v>
      </c>
      <c r="D2444" s="109" t="s">
        <v>120</v>
      </c>
      <c r="E2444" s="109">
        <v>153</v>
      </c>
      <c r="F2444" s="110">
        <v>7426</v>
      </c>
      <c r="G2444" s="109" t="s">
        <v>120</v>
      </c>
      <c r="H2444" s="109">
        <v>48</v>
      </c>
      <c r="I2444" s="109">
        <v>645</v>
      </c>
      <c r="J2444" s="110">
        <v>1220</v>
      </c>
    </row>
    <row r="2445" spans="1:10">
      <c r="A2445" s="103" t="s">
        <v>4197</v>
      </c>
      <c r="B2445" s="124" t="s">
        <v>4198</v>
      </c>
      <c r="C2445" s="110">
        <v>6012</v>
      </c>
      <c r="D2445" s="109" t="s">
        <v>120</v>
      </c>
      <c r="E2445" s="109">
        <v>60</v>
      </c>
      <c r="F2445" s="110">
        <v>4013</v>
      </c>
      <c r="G2445" s="109" t="s">
        <v>120</v>
      </c>
      <c r="H2445" s="109">
        <v>67</v>
      </c>
      <c r="I2445" s="109">
        <v>1949</v>
      </c>
      <c r="J2445" s="110">
        <v>1990</v>
      </c>
    </row>
    <row r="2446" spans="1:10">
      <c r="A2446" s="103" t="s">
        <v>4199</v>
      </c>
      <c r="B2446" s="124" t="s">
        <v>4200</v>
      </c>
      <c r="C2446" s="110">
        <v>9813</v>
      </c>
      <c r="D2446" s="109" t="s">
        <v>120</v>
      </c>
      <c r="E2446" s="109">
        <v>98</v>
      </c>
      <c r="F2446" s="110">
        <v>8295</v>
      </c>
      <c r="G2446" s="109" t="s">
        <v>120</v>
      </c>
      <c r="H2446" s="109">
        <v>85</v>
      </c>
      <c r="I2446" s="109">
        <v>1421</v>
      </c>
      <c r="J2446" s="110">
        <v>1074</v>
      </c>
    </row>
    <row r="2447" spans="1:10" s="119" customFormat="1">
      <c r="A2447" s="123" t="s">
        <v>120</v>
      </c>
      <c r="B2447" s="273" t="s">
        <v>4201</v>
      </c>
      <c r="C2447" s="274"/>
      <c r="D2447" s="274"/>
      <c r="E2447" s="274"/>
      <c r="F2447" s="274"/>
      <c r="G2447" s="274"/>
      <c r="H2447" s="274"/>
      <c r="I2447" s="274"/>
      <c r="J2447" s="274"/>
    </row>
    <row r="2448" spans="1:10" s="119" customFormat="1">
      <c r="A2448" s="123" t="s">
        <v>120</v>
      </c>
      <c r="B2448" s="275" t="s">
        <v>4202</v>
      </c>
      <c r="C2448" s="276"/>
      <c r="D2448" s="276"/>
      <c r="E2448" s="276"/>
      <c r="F2448" s="276"/>
      <c r="G2448" s="276"/>
      <c r="H2448" s="276"/>
      <c r="I2448" s="276"/>
      <c r="J2448" s="276"/>
    </row>
    <row r="2449" spans="1:10">
      <c r="A2449" s="103" t="s">
        <v>4203</v>
      </c>
      <c r="B2449" s="124" t="s">
        <v>4204</v>
      </c>
      <c r="C2449" s="110">
        <v>21104</v>
      </c>
      <c r="D2449" s="109" t="s">
        <v>120</v>
      </c>
      <c r="E2449" s="109">
        <v>211</v>
      </c>
      <c r="F2449" s="110">
        <v>6827</v>
      </c>
      <c r="G2449" s="109" t="s">
        <v>120</v>
      </c>
      <c r="H2449" s="109">
        <v>32</v>
      </c>
      <c r="I2449" s="109">
        <v>287</v>
      </c>
      <c r="J2449" s="110">
        <v>1335</v>
      </c>
    </row>
    <row r="2450" spans="1:10" s="119" customFormat="1">
      <c r="A2450" s="123" t="s">
        <v>120</v>
      </c>
      <c r="B2450" s="275" t="s">
        <v>1101</v>
      </c>
      <c r="C2450" s="276"/>
      <c r="D2450" s="276"/>
      <c r="E2450" s="276"/>
      <c r="F2450" s="276"/>
      <c r="G2450" s="276"/>
      <c r="H2450" s="276"/>
      <c r="I2450" s="276"/>
      <c r="J2450" s="276"/>
    </row>
    <row r="2451" spans="1:10">
      <c r="A2451" s="103" t="s">
        <v>4205</v>
      </c>
      <c r="B2451" s="124" t="s">
        <v>4206</v>
      </c>
      <c r="C2451" s="110">
        <v>18294</v>
      </c>
      <c r="D2451" s="109" t="s">
        <v>120</v>
      </c>
      <c r="E2451" s="109">
        <v>183</v>
      </c>
      <c r="F2451" s="110">
        <v>9221</v>
      </c>
      <c r="G2451" s="109" t="s">
        <v>120</v>
      </c>
      <c r="H2451" s="109">
        <v>50</v>
      </c>
      <c r="I2451" s="109">
        <v>435</v>
      </c>
      <c r="J2451" s="110">
        <v>951</v>
      </c>
    </row>
    <row r="2452" spans="1:10">
      <c r="A2452" s="103" t="s">
        <v>4207</v>
      </c>
      <c r="B2452" s="124" t="s">
        <v>932</v>
      </c>
      <c r="C2452" s="110">
        <v>579</v>
      </c>
      <c r="D2452" s="109" t="s">
        <v>120</v>
      </c>
      <c r="E2452" s="109">
        <v>6</v>
      </c>
      <c r="F2452" s="110">
        <v>3534</v>
      </c>
      <c r="G2452" s="109" t="s">
        <v>120</v>
      </c>
      <c r="H2452" s="109">
        <v>610</v>
      </c>
      <c r="I2452" s="109" t="s">
        <v>122</v>
      </c>
      <c r="J2452" s="110" t="s">
        <v>122</v>
      </c>
    </row>
    <row r="2453" spans="1:10">
      <c r="A2453" s="103" t="s">
        <v>4208</v>
      </c>
      <c r="B2453" s="124" t="s">
        <v>934</v>
      </c>
      <c r="C2453" s="110">
        <v>17715</v>
      </c>
      <c r="D2453" s="109" t="s">
        <v>120</v>
      </c>
      <c r="E2453" s="109">
        <v>177</v>
      </c>
      <c r="F2453" s="110">
        <v>5687</v>
      </c>
      <c r="G2453" s="109" t="s">
        <v>120</v>
      </c>
      <c r="H2453" s="109">
        <v>32</v>
      </c>
      <c r="I2453" s="109" t="s">
        <v>122</v>
      </c>
      <c r="J2453" s="110" t="s">
        <v>122</v>
      </c>
    </row>
    <row r="2454" spans="1:10">
      <c r="A2454" s="103" t="s">
        <v>4209</v>
      </c>
      <c r="B2454" s="124" t="s">
        <v>4210</v>
      </c>
      <c r="C2454" s="110">
        <v>21696</v>
      </c>
      <c r="D2454" s="109" t="s">
        <v>120</v>
      </c>
      <c r="E2454" s="109">
        <v>217</v>
      </c>
      <c r="F2454" s="110">
        <v>35938</v>
      </c>
      <c r="G2454" s="109" t="s">
        <v>120</v>
      </c>
      <c r="H2454" s="109">
        <v>166</v>
      </c>
      <c r="I2454" s="109">
        <v>267</v>
      </c>
      <c r="J2454" s="110">
        <v>147</v>
      </c>
    </row>
    <row r="2455" spans="1:10">
      <c r="A2455" s="103" t="s">
        <v>4211</v>
      </c>
      <c r="B2455" s="124" t="s">
        <v>932</v>
      </c>
      <c r="C2455" s="110">
        <v>1235</v>
      </c>
      <c r="D2455" s="109" t="s">
        <v>120</v>
      </c>
      <c r="E2455" s="109">
        <v>12</v>
      </c>
      <c r="F2455" s="110">
        <v>23480</v>
      </c>
      <c r="G2455" s="109" t="s">
        <v>120</v>
      </c>
      <c r="H2455" s="109">
        <v>1901</v>
      </c>
      <c r="I2455" s="109" t="s">
        <v>122</v>
      </c>
      <c r="J2455" s="110" t="s">
        <v>122</v>
      </c>
    </row>
    <row r="2456" spans="1:10">
      <c r="A2456" s="103" t="s">
        <v>4212</v>
      </c>
      <c r="B2456" s="124" t="s">
        <v>934</v>
      </c>
      <c r="C2456" s="110">
        <v>20461</v>
      </c>
      <c r="D2456" s="109" t="s">
        <v>120</v>
      </c>
      <c r="E2456" s="109">
        <v>205</v>
      </c>
      <c r="F2456" s="110">
        <v>12458</v>
      </c>
      <c r="G2456" s="109" t="s">
        <v>120</v>
      </c>
      <c r="H2456" s="109">
        <v>61</v>
      </c>
      <c r="I2456" s="109" t="s">
        <v>122</v>
      </c>
      <c r="J2456" s="110" t="s">
        <v>122</v>
      </c>
    </row>
    <row r="2457" spans="1:10">
      <c r="A2457" s="103" t="s">
        <v>4213</v>
      </c>
      <c r="B2457" s="124" t="s">
        <v>4214</v>
      </c>
      <c r="C2457" s="110">
        <v>24097</v>
      </c>
      <c r="D2457" s="109" t="s">
        <v>120</v>
      </c>
      <c r="E2457" s="109">
        <v>241</v>
      </c>
      <c r="F2457" s="110">
        <v>13484</v>
      </c>
      <c r="G2457" s="109" t="s">
        <v>120</v>
      </c>
      <c r="H2457" s="109">
        <v>56</v>
      </c>
      <c r="I2457" s="109">
        <v>201</v>
      </c>
      <c r="J2457" s="110">
        <v>591</v>
      </c>
    </row>
    <row r="2458" spans="1:10">
      <c r="A2458" s="103" t="s">
        <v>4215</v>
      </c>
      <c r="B2458" s="124" t="s">
        <v>932</v>
      </c>
      <c r="C2458" s="110">
        <v>747</v>
      </c>
      <c r="D2458" s="109" t="s">
        <v>120</v>
      </c>
      <c r="E2458" s="109">
        <v>7</v>
      </c>
      <c r="F2458" s="110">
        <v>5884</v>
      </c>
      <c r="G2458" s="109" t="s">
        <v>120</v>
      </c>
      <c r="H2458" s="109">
        <v>788</v>
      </c>
      <c r="I2458" s="109" t="s">
        <v>122</v>
      </c>
      <c r="J2458" s="110" t="s">
        <v>122</v>
      </c>
    </row>
    <row r="2459" spans="1:10">
      <c r="A2459" s="103" t="s">
        <v>4216</v>
      </c>
      <c r="B2459" s="124" t="s">
        <v>934</v>
      </c>
      <c r="C2459" s="110">
        <v>23350</v>
      </c>
      <c r="D2459" s="109" t="s">
        <v>120</v>
      </c>
      <c r="E2459" s="109">
        <v>234</v>
      </c>
      <c r="F2459" s="110">
        <v>7600</v>
      </c>
      <c r="G2459" s="109" t="s">
        <v>120</v>
      </c>
      <c r="H2459" s="109">
        <v>33</v>
      </c>
      <c r="I2459" s="109" t="s">
        <v>122</v>
      </c>
      <c r="J2459" s="110" t="s">
        <v>122</v>
      </c>
    </row>
    <row r="2460" spans="1:10" s="119" customFormat="1">
      <c r="A2460" s="123" t="s">
        <v>120</v>
      </c>
      <c r="B2460" s="273" t="s">
        <v>4217</v>
      </c>
      <c r="C2460" s="274"/>
      <c r="D2460" s="274"/>
      <c r="E2460" s="274"/>
      <c r="F2460" s="274"/>
      <c r="G2460" s="274"/>
      <c r="H2460" s="274"/>
      <c r="I2460" s="274"/>
      <c r="J2460" s="274"/>
    </row>
    <row r="2461" spans="1:10" s="119" customFormat="1">
      <c r="A2461" s="123" t="s">
        <v>120</v>
      </c>
      <c r="B2461" s="275" t="s">
        <v>943</v>
      </c>
      <c r="C2461" s="276"/>
      <c r="D2461" s="276"/>
      <c r="E2461" s="276"/>
      <c r="F2461" s="276"/>
      <c r="G2461" s="276"/>
      <c r="H2461" s="276"/>
      <c r="I2461" s="276"/>
      <c r="J2461" s="276"/>
    </row>
    <row r="2462" spans="1:10">
      <c r="A2462" s="103" t="s">
        <v>4218</v>
      </c>
      <c r="B2462" s="124" t="s">
        <v>4219</v>
      </c>
      <c r="C2462" s="110">
        <v>11737</v>
      </c>
      <c r="D2462" s="109" t="s">
        <v>120</v>
      </c>
      <c r="E2462" s="109">
        <v>118</v>
      </c>
      <c r="F2462" s="110">
        <v>7398</v>
      </c>
      <c r="G2462" s="109" t="s">
        <v>120</v>
      </c>
      <c r="H2462" s="109">
        <v>63</v>
      </c>
      <c r="I2462" s="109">
        <v>1090</v>
      </c>
      <c r="J2462" s="110">
        <v>1226</v>
      </c>
    </row>
    <row r="2463" spans="1:10">
      <c r="A2463" s="103" t="s">
        <v>4220</v>
      </c>
      <c r="B2463" s="124" t="s">
        <v>4221</v>
      </c>
      <c r="C2463" s="110">
        <v>6911</v>
      </c>
      <c r="D2463" s="109" t="s">
        <v>120</v>
      </c>
      <c r="E2463" s="109">
        <v>69</v>
      </c>
      <c r="F2463" s="110">
        <v>5397</v>
      </c>
      <c r="G2463" s="109" t="s">
        <v>120</v>
      </c>
      <c r="H2463" s="109">
        <v>78</v>
      </c>
      <c r="I2463" s="109">
        <v>1862</v>
      </c>
      <c r="J2463" s="110">
        <v>1639</v>
      </c>
    </row>
    <row r="2464" spans="1:10" s="119" customFormat="1">
      <c r="A2464" s="123" t="s">
        <v>120</v>
      </c>
      <c r="B2464" s="275" t="s">
        <v>1047</v>
      </c>
      <c r="C2464" s="276"/>
      <c r="D2464" s="276"/>
      <c r="E2464" s="276"/>
      <c r="F2464" s="276"/>
      <c r="G2464" s="276"/>
      <c r="H2464" s="276"/>
      <c r="I2464" s="276"/>
      <c r="J2464" s="276"/>
    </row>
    <row r="2465" spans="1:10">
      <c r="A2465" s="103" t="s">
        <v>4222</v>
      </c>
      <c r="B2465" s="124" t="s">
        <v>4223</v>
      </c>
      <c r="C2465" s="110">
        <v>10057</v>
      </c>
      <c r="D2465" s="109" t="s">
        <v>120</v>
      </c>
      <c r="E2465" s="109">
        <v>101</v>
      </c>
      <c r="F2465" s="110">
        <v>12662</v>
      </c>
      <c r="G2465" s="109" t="s">
        <v>120</v>
      </c>
      <c r="H2465" s="109">
        <v>126</v>
      </c>
      <c r="I2465" s="109">
        <v>1379</v>
      </c>
      <c r="J2465" s="110">
        <v>654</v>
      </c>
    </row>
    <row r="2466" spans="1:10">
      <c r="A2466" s="103" t="s">
        <v>4224</v>
      </c>
      <c r="B2466" s="124" t="s">
        <v>932</v>
      </c>
      <c r="C2466" s="110">
        <v>2035</v>
      </c>
      <c r="D2466" s="109" t="s">
        <v>120</v>
      </c>
      <c r="E2466" s="109">
        <v>21</v>
      </c>
      <c r="F2466" s="110">
        <v>6734</v>
      </c>
      <c r="G2466" s="109" t="s">
        <v>120</v>
      </c>
      <c r="H2466" s="109">
        <v>331</v>
      </c>
      <c r="I2466" s="109" t="s">
        <v>122</v>
      </c>
      <c r="J2466" s="110" t="s">
        <v>122</v>
      </c>
    </row>
    <row r="2467" spans="1:10">
      <c r="A2467" s="103" t="s">
        <v>4225</v>
      </c>
      <c r="B2467" s="124" t="s">
        <v>934</v>
      </c>
      <c r="C2467" s="110">
        <v>8022</v>
      </c>
      <c r="D2467" s="109" t="s">
        <v>120</v>
      </c>
      <c r="E2467" s="109">
        <v>80</v>
      </c>
      <c r="F2467" s="110">
        <v>5928</v>
      </c>
      <c r="G2467" s="109" t="s">
        <v>120</v>
      </c>
      <c r="H2467" s="109">
        <v>74</v>
      </c>
      <c r="I2467" s="109" t="s">
        <v>122</v>
      </c>
      <c r="J2467" s="110" t="s">
        <v>122</v>
      </c>
    </row>
    <row r="2468" spans="1:10">
      <c r="A2468" s="103" t="s">
        <v>4226</v>
      </c>
      <c r="B2468" s="124" t="s">
        <v>4227</v>
      </c>
      <c r="C2468" s="110">
        <v>9731</v>
      </c>
      <c r="D2468" s="109" t="s">
        <v>120</v>
      </c>
      <c r="E2468" s="109">
        <v>97</v>
      </c>
      <c r="F2468" s="110">
        <v>22568</v>
      </c>
      <c r="G2468" s="109" t="s">
        <v>120</v>
      </c>
      <c r="H2468" s="109">
        <v>232</v>
      </c>
      <c r="I2468" s="109">
        <v>1428</v>
      </c>
      <c r="J2468" s="110">
        <v>289</v>
      </c>
    </row>
    <row r="2469" spans="1:10">
      <c r="A2469" s="103" t="s">
        <v>4228</v>
      </c>
      <c r="B2469" s="124" t="s">
        <v>932</v>
      </c>
      <c r="C2469" s="110">
        <v>2101</v>
      </c>
      <c r="D2469" s="109" t="s">
        <v>120</v>
      </c>
      <c r="E2469" s="109">
        <v>21</v>
      </c>
      <c r="F2469" s="110">
        <v>16222</v>
      </c>
      <c r="G2469" s="109" t="s">
        <v>120</v>
      </c>
      <c r="H2469" s="109">
        <v>772</v>
      </c>
      <c r="I2469" s="109" t="s">
        <v>122</v>
      </c>
      <c r="J2469" s="110" t="s">
        <v>122</v>
      </c>
    </row>
    <row r="2470" spans="1:10">
      <c r="A2470" s="103" t="s">
        <v>4229</v>
      </c>
      <c r="B2470" s="124" t="s">
        <v>934</v>
      </c>
      <c r="C2470" s="110">
        <v>7630</v>
      </c>
      <c r="D2470" s="109" t="s">
        <v>120</v>
      </c>
      <c r="E2470" s="109">
        <v>76</v>
      </c>
      <c r="F2470" s="110">
        <v>6346</v>
      </c>
      <c r="G2470" s="109" t="s">
        <v>120</v>
      </c>
      <c r="H2470" s="109">
        <v>83</v>
      </c>
      <c r="I2470" s="109" t="s">
        <v>122</v>
      </c>
      <c r="J2470" s="110" t="s">
        <v>122</v>
      </c>
    </row>
    <row r="2471" spans="1:10">
      <c r="A2471" s="103" t="s">
        <v>4230</v>
      </c>
      <c r="B2471" s="124" t="s">
        <v>4231</v>
      </c>
      <c r="C2471" s="110">
        <v>5744</v>
      </c>
      <c r="D2471" s="109" t="s">
        <v>120</v>
      </c>
      <c r="E2471" s="109">
        <v>57</v>
      </c>
      <c r="F2471" s="110">
        <v>15722</v>
      </c>
      <c r="G2471" s="109" t="s">
        <v>120</v>
      </c>
      <c r="H2471" s="109">
        <v>274</v>
      </c>
      <c r="I2471" s="109">
        <v>1964</v>
      </c>
      <c r="J2471" s="110">
        <v>486</v>
      </c>
    </row>
    <row r="2472" spans="1:10">
      <c r="A2472" s="103" t="s">
        <v>4232</v>
      </c>
      <c r="B2472" s="124" t="s">
        <v>932</v>
      </c>
      <c r="C2472" s="110">
        <v>1235</v>
      </c>
      <c r="D2472" s="109" t="s">
        <v>120</v>
      </c>
      <c r="E2472" s="109">
        <v>12</v>
      </c>
      <c r="F2472" s="110">
        <v>11449</v>
      </c>
      <c r="G2472" s="109" t="s">
        <v>120</v>
      </c>
      <c r="H2472" s="109">
        <v>927</v>
      </c>
      <c r="I2472" s="109" t="s">
        <v>122</v>
      </c>
      <c r="J2472" s="110" t="s">
        <v>122</v>
      </c>
    </row>
    <row r="2473" spans="1:10">
      <c r="A2473" s="103" t="s">
        <v>4233</v>
      </c>
      <c r="B2473" s="124" t="s">
        <v>934</v>
      </c>
      <c r="C2473" s="110">
        <v>4509</v>
      </c>
      <c r="D2473" s="109" t="s">
        <v>120</v>
      </c>
      <c r="E2473" s="109">
        <v>45</v>
      </c>
      <c r="F2473" s="110">
        <v>4273</v>
      </c>
      <c r="G2473" s="109" t="s">
        <v>120</v>
      </c>
      <c r="H2473" s="109">
        <v>95</v>
      </c>
      <c r="I2473" s="109" t="s">
        <v>122</v>
      </c>
      <c r="J2473" s="110" t="s">
        <v>122</v>
      </c>
    </row>
    <row r="2474" spans="1:10" s="119" customFormat="1">
      <c r="A2474" s="123" t="s">
        <v>120</v>
      </c>
      <c r="B2474" s="273" t="s">
        <v>4234</v>
      </c>
      <c r="C2474" s="274"/>
      <c r="D2474" s="274"/>
      <c r="E2474" s="274"/>
      <c r="F2474" s="274"/>
      <c r="G2474" s="274"/>
      <c r="H2474" s="274"/>
      <c r="I2474" s="274"/>
      <c r="J2474" s="274"/>
    </row>
    <row r="2475" spans="1:10" s="119" customFormat="1">
      <c r="A2475" s="123" t="s">
        <v>120</v>
      </c>
      <c r="B2475" s="275" t="s">
        <v>943</v>
      </c>
      <c r="C2475" s="276"/>
      <c r="D2475" s="276"/>
      <c r="E2475" s="276"/>
      <c r="F2475" s="276"/>
      <c r="G2475" s="276"/>
      <c r="H2475" s="276"/>
      <c r="I2475" s="276"/>
      <c r="J2475" s="276"/>
    </row>
    <row r="2476" spans="1:10">
      <c r="A2476" s="103" t="s">
        <v>4235</v>
      </c>
      <c r="B2476" s="124" t="s">
        <v>4236</v>
      </c>
      <c r="C2476" s="110">
        <v>11403</v>
      </c>
      <c r="D2476" s="109" t="s">
        <v>120</v>
      </c>
      <c r="E2476" s="109">
        <v>114</v>
      </c>
      <c r="F2476" s="110">
        <v>3569</v>
      </c>
      <c r="G2476" s="109" t="s">
        <v>120</v>
      </c>
      <c r="H2476" s="109">
        <v>31</v>
      </c>
      <c r="I2476" s="109">
        <v>1141</v>
      </c>
      <c r="J2476" s="110">
        <v>2097</v>
      </c>
    </row>
    <row r="2477" spans="1:10">
      <c r="A2477" s="103" t="s">
        <v>4237</v>
      </c>
      <c r="B2477" s="124" t="s">
        <v>4238</v>
      </c>
      <c r="C2477" s="110">
        <v>13291</v>
      </c>
      <c r="D2477" s="109" t="s">
        <v>120</v>
      </c>
      <c r="E2477" s="109">
        <v>133</v>
      </c>
      <c r="F2477" s="110">
        <v>5178</v>
      </c>
      <c r="G2477" s="109" t="s">
        <v>120</v>
      </c>
      <c r="H2477" s="109">
        <v>39</v>
      </c>
      <c r="I2477" s="109">
        <v>874</v>
      </c>
      <c r="J2477" s="110">
        <v>1695</v>
      </c>
    </row>
    <row r="2478" spans="1:10">
      <c r="A2478" s="103" t="s">
        <v>4239</v>
      </c>
      <c r="B2478" s="124" t="s">
        <v>4240</v>
      </c>
      <c r="C2478" s="110">
        <v>11035</v>
      </c>
      <c r="D2478" s="109" t="s">
        <v>120</v>
      </c>
      <c r="E2478" s="109">
        <v>110</v>
      </c>
      <c r="F2478" s="110">
        <v>3330</v>
      </c>
      <c r="G2478" s="105" t="s">
        <v>1075</v>
      </c>
      <c r="H2478" s="109">
        <v>30</v>
      </c>
      <c r="I2478" s="109">
        <v>1216</v>
      </c>
      <c r="J2478" s="110">
        <v>2141</v>
      </c>
    </row>
    <row r="2479" spans="1:10">
      <c r="A2479" s="103" t="s">
        <v>4241</v>
      </c>
      <c r="B2479" s="124" t="s">
        <v>2060</v>
      </c>
      <c r="C2479" s="110">
        <v>10074</v>
      </c>
      <c r="D2479" s="109" t="s">
        <v>120</v>
      </c>
      <c r="E2479" s="109">
        <v>101</v>
      </c>
      <c r="F2479" s="110">
        <v>4385</v>
      </c>
      <c r="G2479" s="109" t="s">
        <v>120</v>
      </c>
      <c r="H2479" s="109">
        <v>44</v>
      </c>
      <c r="I2479" s="109">
        <v>1376</v>
      </c>
      <c r="J2479" s="110">
        <v>1895</v>
      </c>
    </row>
    <row r="2480" spans="1:10" s="119" customFormat="1">
      <c r="A2480" s="123" t="s">
        <v>120</v>
      </c>
      <c r="B2480" s="275" t="s">
        <v>2572</v>
      </c>
      <c r="C2480" s="276"/>
      <c r="D2480" s="276"/>
      <c r="E2480" s="276"/>
      <c r="F2480" s="276"/>
      <c r="G2480" s="276"/>
      <c r="H2480" s="276"/>
      <c r="I2480" s="276"/>
      <c r="J2480" s="276"/>
    </row>
    <row r="2481" spans="1:10">
      <c r="A2481" s="103" t="s">
        <v>4242</v>
      </c>
      <c r="B2481" s="124" t="s">
        <v>4243</v>
      </c>
      <c r="C2481" s="110">
        <v>29015</v>
      </c>
      <c r="D2481" s="109" t="s">
        <v>120</v>
      </c>
      <c r="E2481" s="109">
        <v>290</v>
      </c>
      <c r="F2481" s="110">
        <v>26172</v>
      </c>
      <c r="G2481" s="109" t="s">
        <v>120</v>
      </c>
      <c r="H2481" s="109">
        <v>90</v>
      </c>
      <c r="I2481" s="109">
        <v>114</v>
      </c>
      <c r="J2481" s="110">
        <v>233</v>
      </c>
    </row>
    <row r="2482" spans="1:10">
      <c r="A2482" s="103" t="s">
        <v>4244</v>
      </c>
      <c r="B2482" s="124" t="s">
        <v>932</v>
      </c>
      <c r="C2482" s="110">
        <v>2261</v>
      </c>
      <c r="D2482" s="109" t="s">
        <v>120</v>
      </c>
      <c r="E2482" s="109">
        <v>23</v>
      </c>
      <c r="F2482" s="110">
        <v>16596</v>
      </c>
      <c r="G2482" s="109" t="s">
        <v>120</v>
      </c>
      <c r="H2482" s="109">
        <v>734</v>
      </c>
      <c r="I2482" s="109" t="s">
        <v>122</v>
      </c>
      <c r="J2482" s="110" t="s">
        <v>122</v>
      </c>
    </row>
    <row r="2483" spans="1:10">
      <c r="A2483" s="103" t="s">
        <v>4245</v>
      </c>
      <c r="B2483" s="124" t="s">
        <v>934</v>
      </c>
      <c r="C2483" s="110">
        <v>26754</v>
      </c>
      <c r="D2483" s="109" t="s">
        <v>120</v>
      </c>
      <c r="E2483" s="109">
        <v>267</v>
      </c>
      <c r="F2483" s="110">
        <v>9576</v>
      </c>
      <c r="G2483" s="109" t="s">
        <v>120</v>
      </c>
      <c r="H2483" s="109">
        <v>36</v>
      </c>
      <c r="I2483" s="109" t="s">
        <v>122</v>
      </c>
      <c r="J2483" s="110" t="s">
        <v>122</v>
      </c>
    </row>
    <row r="2484" spans="1:10" s="119" customFormat="1">
      <c r="A2484" s="123" t="s">
        <v>120</v>
      </c>
      <c r="B2484" s="273" t="s">
        <v>4246</v>
      </c>
      <c r="C2484" s="274"/>
      <c r="D2484" s="274"/>
      <c r="E2484" s="274"/>
      <c r="F2484" s="274"/>
      <c r="G2484" s="274"/>
      <c r="H2484" s="274"/>
      <c r="I2484" s="274"/>
      <c r="J2484" s="274"/>
    </row>
    <row r="2485" spans="1:10" s="119" customFormat="1">
      <c r="A2485" s="123" t="s">
        <v>120</v>
      </c>
      <c r="B2485" s="275" t="s">
        <v>943</v>
      </c>
      <c r="C2485" s="276"/>
      <c r="D2485" s="276"/>
      <c r="E2485" s="276"/>
      <c r="F2485" s="276"/>
      <c r="G2485" s="276"/>
      <c r="H2485" s="276"/>
      <c r="I2485" s="276"/>
      <c r="J2485" s="276"/>
    </row>
    <row r="2486" spans="1:10">
      <c r="A2486" s="103" t="s">
        <v>4247</v>
      </c>
      <c r="B2486" s="124" t="s">
        <v>4248</v>
      </c>
      <c r="C2486" s="110">
        <v>8937</v>
      </c>
      <c r="D2486" s="109" t="s">
        <v>120</v>
      </c>
      <c r="E2486" s="109">
        <v>89</v>
      </c>
      <c r="F2486" s="110">
        <v>3444</v>
      </c>
      <c r="G2486" s="109" t="s">
        <v>120</v>
      </c>
      <c r="H2486" s="109">
        <v>39</v>
      </c>
      <c r="I2486" s="109">
        <v>1537</v>
      </c>
      <c r="J2486" s="110">
        <v>2117</v>
      </c>
    </row>
    <row r="2487" spans="1:10">
      <c r="A2487" s="103" t="s">
        <v>4249</v>
      </c>
      <c r="B2487" s="124" t="s">
        <v>4250</v>
      </c>
      <c r="C2487" s="110">
        <v>12395</v>
      </c>
      <c r="D2487" s="109" t="s">
        <v>120</v>
      </c>
      <c r="E2487" s="109">
        <v>124</v>
      </c>
      <c r="F2487" s="110">
        <v>7441</v>
      </c>
      <c r="G2487" s="109" t="s">
        <v>120</v>
      </c>
      <c r="H2487" s="109">
        <v>60</v>
      </c>
      <c r="I2487" s="109">
        <v>995</v>
      </c>
      <c r="J2487" s="110">
        <v>1215</v>
      </c>
    </row>
    <row r="2488" spans="1:10">
      <c r="A2488" s="103" t="s">
        <v>4251</v>
      </c>
      <c r="B2488" s="124" t="s">
        <v>4252</v>
      </c>
      <c r="C2488" s="110">
        <v>7405</v>
      </c>
      <c r="D2488" s="109" t="s">
        <v>120</v>
      </c>
      <c r="E2488" s="109">
        <v>74</v>
      </c>
      <c r="F2488" s="110">
        <v>3500</v>
      </c>
      <c r="G2488" s="109" t="s">
        <v>120</v>
      </c>
      <c r="H2488" s="109">
        <v>47</v>
      </c>
      <c r="I2488" s="109">
        <v>1792</v>
      </c>
      <c r="J2488" s="110">
        <v>2109</v>
      </c>
    </row>
    <row r="2489" spans="1:10">
      <c r="A2489" s="103" t="s">
        <v>4253</v>
      </c>
      <c r="B2489" s="124" t="s">
        <v>4254</v>
      </c>
      <c r="C2489" s="110">
        <v>10386</v>
      </c>
      <c r="D2489" s="109" t="s">
        <v>120</v>
      </c>
      <c r="E2489" s="109">
        <v>104</v>
      </c>
      <c r="F2489" s="110">
        <v>6199</v>
      </c>
      <c r="G2489" s="109" t="s">
        <v>120</v>
      </c>
      <c r="H2489" s="109">
        <v>60</v>
      </c>
      <c r="I2489" s="109">
        <v>1321</v>
      </c>
      <c r="J2489" s="110">
        <v>1461</v>
      </c>
    </row>
    <row r="2490" spans="1:10" s="119" customFormat="1">
      <c r="A2490" s="123" t="s">
        <v>120</v>
      </c>
      <c r="B2490" s="275" t="s">
        <v>947</v>
      </c>
      <c r="C2490" s="276"/>
      <c r="D2490" s="276"/>
      <c r="E2490" s="276"/>
      <c r="F2490" s="276"/>
      <c r="G2490" s="276"/>
      <c r="H2490" s="276"/>
      <c r="I2490" s="276"/>
      <c r="J2490" s="276"/>
    </row>
    <row r="2491" spans="1:10">
      <c r="A2491" s="103" t="s">
        <v>4255</v>
      </c>
      <c r="B2491" s="124" t="s">
        <v>4256</v>
      </c>
      <c r="C2491" s="110">
        <v>16807</v>
      </c>
      <c r="D2491" s="109" t="s">
        <v>120</v>
      </c>
      <c r="E2491" s="109">
        <v>168</v>
      </c>
      <c r="F2491" s="110">
        <v>23643</v>
      </c>
      <c r="G2491" s="109" t="s">
        <v>120</v>
      </c>
      <c r="H2491" s="109">
        <v>141</v>
      </c>
      <c r="I2491" s="109">
        <v>533</v>
      </c>
      <c r="J2491" s="110">
        <v>273</v>
      </c>
    </row>
    <row r="2492" spans="1:10">
      <c r="A2492" s="103" t="s">
        <v>4257</v>
      </c>
      <c r="B2492" s="124" t="s">
        <v>932</v>
      </c>
      <c r="C2492" s="110">
        <v>683</v>
      </c>
      <c r="D2492" s="109" t="s">
        <v>120</v>
      </c>
      <c r="E2492" s="109">
        <v>6</v>
      </c>
      <c r="F2492" s="110">
        <v>13503</v>
      </c>
      <c r="G2492" s="109" t="s">
        <v>120</v>
      </c>
      <c r="H2492" s="109">
        <v>1977</v>
      </c>
      <c r="I2492" s="109" t="s">
        <v>122</v>
      </c>
      <c r="J2492" s="110" t="s">
        <v>122</v>
      </c>
    </row>
    <row r="2493" spans="1:10">
      <c r="A2493" s="103" t="s">
        <v>4258</v>
      </c>
      <c r="B2493" s="124" t="s">
        <v>934</v>
      </c>
      <c r="C2493" s="110">
        <v>16124</v>
      </c>
      <c r="D2493" s="109" t="s">
        <v>120</v>
      </c>
      <c r="E2493" s="109">
        <v>162</v>
      </c>
      <c r="F2493" s="110">
        <v>10140</v>
      </c>
      <c r="G2493" s="109" t="s">
        <v>120</v>
      </c>
      <c r="H2493" s="109">
        <v>63</v>
      </c>
      <c r="I2493" s="109" t="s">
        <v>122</v>
      </c>
      <c r="J2493" s="110" t="s">
        <v>122</v>
      </c>
    </row>
    <row r="2494" spans="1:10">
      <c r="A2494" s="103" t="s">
        <v>4259</v>
      </c>
      <c r="B2494" s="124" t="s">
        <v>4260</v>
      </c>
      <c r="C2494" s="110">
        <v>17953</v>
      </c>
      <c r="D2494" s="109" t="s">
        <v>120</v>
      </c>
      <c r="E2494" s="109">
        <v>180</v>
      </c>
      <c r="F2494" s="110">
        <v>8734</v>
      </c>
      <c r="G2494" s="109" t="s">
        <v>120</v>
      </c>
      <c r="H2494" s="109">
        <v>49</v>
      </c>
      <c r="I2494" s="109">
        <v>453</v>
      </c>
      <c r="J2494" s="110">
        <v>1016</v>
      </c>
    </row>
    <row r="2495" spans="1:10">
      <c r="A2495" s="103" t="s">
        <v>4261</v>
      </c>
      <c r="B2495" s="124" t="s">
        <v>932</v>
      </c>
      <c r="C2495" s="110">
        <v>1023</v>
      </c>
      <c r="D2495" s="109" t="s">
        <v>120</v>
      </c>
      <c r="E2495" s="109">
        <v>10</v>
      </c>
      <c r="F2495" s="110">
        <v>1793</v>
      </c>
      <c r="G2495" s="109" t="s">
        <v>120</v>
      </c>
      <c r="H2495" s="109">
        <v>175</v>
      </c>
      <c r="I2495" s="109" t="s">
        <v>122</v>
      </c>
      <c r="J2495" s="110" t="s">
        <v>122</v>
      </c>
    </row>
    <row r="2496" spans="1:10">
      <c r="A2496" s="103" t="s">
        <v>4262</v>
      </c>
      <c r="B2496" s="124" t="s">
        <v>934</v>
      </c>
      <c r="C2496" s="110">
        <v>16930</v>
      </c>
      <c r="D2496" s="109" t="s">
        <v>120</v>
      </c>
      <c r="E2496" s="109">
        <v>170</v>
      </c>
      <c r="F2496" s="110">
        <v>6941</v>
      </c>
      <c r="G2496" s="109" t="s">
        <v>120</v>
      </c>
      <c r="H2496" s="109">
        <v>41</v>
      </c>
      <c r="I2496" s="109" t="s">
        <v>122</v>
      </c>
      <c r="J2496" s="110" t="s">
        <v>122</v>
      </c>
    </row>
    <row r="2497" spans="1:10">
      <c r="A2497" s="103" t="s">
        <v>4263</v>
      </c>
      <c r="B2497" s="124" t="s">
        <v>4264</v>
      </c>
      <c r="C2497" s="110">
        <v>21767</v>
      </c>
      <c r="D2497" s="109" t="s">
        <v>120</v>
      </c>
      <c r="E2497" s="109">
        <v>218</v>
      </c>
      <c r="F2497" s="110">
        <v>56951</v>
      </c>
      <c r="G2497" s="109" t="s">
        <v>120</v>
      </c>
      <c r="H2497" s="109">
        <v>262</v>
      </c>
      <c r="I2497" s="109">
        <v>263</v>
      </c>
      <c r="J2497" s="110">
        <v>79</v>
      </c>
    </row>
    <row r="2498" spans="1:10">
      <c r="A2498" s="103" t="s">
        <v>4265</v>
      </c>
      <c r="B2498" s="124" t="s">
        <v>932</v>
      </c>
      <c r="C2498" s="110">
        <v>2751</v>
      </c>
      <c r="D2498" s="109" t="s">
        <v>120</v>
      </c>
      <c r="E2498" s="109">
        <v>28</v>
      </c>
      <c r="F2498" s="110">
        <v>43681</v>
      </c>
      <c r="G2498" s="109" t="s">
        <v>120</v>
      </c>
      <c r="H2498" s="109">
        <v>1588</v>
      </c>
      <c r="I2498" s="109" t="s">
        <v>122</v>
      </c>
      <c r="J2498" s="110" t="s">
        <v>122</v>
      </c>
    </row>
    <row r="2499" spans="1:10">
      <c r="A2499" s="103" t="s">
        <v>4266</v>
      </c>
      <c r="B2499" s="124" t="s">
        <v>934</v>
      </c>
      <c r="C2499" s="110">
        <v>19016</v>
      </c>
      <c r="D2499" s="109" t="s">
        <v>120</v>
      </c>
      <c r="E2499" s="109">
        <v>190</v>
      </c>
      <c r="F2499" s="110">
        <v>13270</v>
      </c>
      <c r="G2499" s="109" t="s">
        <v>120</v>
      </c>
      <c r="H2499" s="109">
        <v>70</v>
      </c>
      <c r="I2499" s="109" t="s">
        <v>122</v>
      </c>
      <c r="J2499" s="110" t="s">
        <v>122</v>
      </c>
    </row>
    <row r="2500" spans="1:10">
      <c r="A2500" s="103" t="s">
        <v>4267</v>
      </c>
      <c r="B2500" s="124" t="s">
        <v>4268</v>
      </c>
      <c r="C2500" s="110">
        <v>18740</v>
      </c>
      <c r="D2500" s="109" t="s">
        <v>120</v>
      </c>
      <c r="E2500" s="109">
        <v>187</v>
      </c>
      <c r="F2500" s="110">
        <v>13501</v>
      </c>
      <c r="G2500" s="109" t="s">
        <v>120</v>
      </c>
      <c r="H2500" s="109">
        <v>72</v>
      </c>
      <c r="I2500" s="109">
        <v>407</v>
      </c>
      <c r="J2500" s="110">
        <v>590</v>
      </c>
    </row>
    <row r="2501" spans="1:10">
      <c r="A2501" s="103" t="s">
        <v>4269</v>
      </c>
      <c r="B2501" s="124" t="s">
        <v>932</v>
      </c>
      <c r="C2501" s="110">
        <v>4954</v>
      </c>
      <c r="D2501" s="109" t="s">
        <v>120</v>
      </c>
      <c r="E2501" s="109">
        <v>50</v>
      </c>
      <c r="F2501" s="110">
        <v>6552</v>
      </c>
      <c r="G2501" s="109" t="s">
        <v>120</v>
      </c>
      <c r="H2501" s="109">
        <v>132</v>
      </c>
      <c r="I2501" s="109" t="s">
        <v>122</v>
      </c>
      <c r="J2501" s="110" t="s">
        <v>122</v>
      </c>
    </row>
    <row r="2502" spans="1:10">
      <c r="A2502" s="103" t="s">
        <v>4270</v>
      </c>
      <c r="B2502" s="124" t="s">
        <v>934</v>
      </c>
      <c r="C2502" s="110">
        <v>13786</v>
      </c>
      <c r="D2502" s="109" t="s">
        <v>120</v>
      </c>
      <c r="E2502" s="109">
        <v>137</v>
      </c>
      <c r="F2502" s="110">
        <v>6949</v>
      </c>
      <c r="G2502" s="109" t="s">
        <v>120</v>
      </c>
      <c r="H2502" s="109">
        <v>50</v>
      </c>
      <c r="I2502" s="109" t="s">
        <v>122</v>
      </c>
      <c r="J2502" s="110" t="s">
        <v>122</v>
      </c>
    </row>
    <row r="2503" spans="1:10">
      <c r="A2503" s="103" t="s">
        <v>4271</v>
      </c>
      <c r="B2503" s="124" t="s">
        <v>4272</v>
      </c>
      <c r="C2503" s="110">
        <v>7998</v>
      </c>
      <c r="D2503" s="109" t="s">
        <v>120</v>
      </c>
      <c r="E2503" s="109">
        <v>80</v>
      </c>
      <c r="F2503" s="110">
        <v>12535</v>
      </c>
      <c r="G2503" s="109" t="s">
        <v>120</v>
      </c>
      <c r="H2503" s="109">
        <v>157</v>
      </c>
      <c r="I2503" s="109">
        <v>1703</v>
      </c>
      <c r="J2503" s="110">
        <v>660</v>
      </c>
    </row>
    <row r="2504" spans="1:10">
      <c r="A2504" s="103" t="s">
        <v>4273</v>
      </c>
      <c r="B2504" s="124" t="s">
        <v>932</v>
      </c>
      <c r="C2504" s="110">
        <v>660</v>
      </c>
      <c r="D2504" s="109" t="s">
        <v>120</v>
      </c>
      <c r="E2504" s="109">
        <v>7</v>
      </c>
      <c r="F2504" s="110">
        <v>7464</v>
      </c>
      <c r="G2504" s="109" t="s">
        <v>120</v>
      </c>
      <c r="H2504" s="109">
        <v>1131</v>
      </c>
      <c r="I2504" s="109" t="s">
        <v>122</v>
      </c>
      <c r="J2504" s="110" t="s">
        <v>122</v>
      </c>
    </row>
    <row r="2505" spans="1:10">
      <c r="A2505" s="103" t="s">
        <v>4274</v>
      </c>
      <c r="B2505" s="124" t="s">
        <v>934</v>
      </c>
      <c r="C2505" s="110">
        <v>7338</v>
      </c>
      <c r="D2505" s="109" t="s">
        <v>120</v>
      </c>
      <c r="E2505" s="109">
        <v>73</v>
      </c>
      <c r="F2505" s="110">
        <v>5071</v>
      </c>
      <c r="G2505" s="109" t="s">
        <v>120</v>
      </c>
      <c r="H2505" s="109">
        <v>69</v>
      </c>
      <c r="I2505" s="109" t="s">
        <v>122</v>
      </c>
      <c r="J2505" s="110" t="s">
        <v>122</v>
      </c>
    </row>
    <row r="2506" spans="1:10" s="119" customFormat="1">
      <c r="A2506" s="123" t="s">
        <v>120</v>
      </c>
      <c r="B2506" s="273" t="s">
        <v>4275</v>
      </c>
      <c r="C2506" s="274"/>
      <c r="D2506" s="274"/>
      <c r="E2506" s="274"/>
      <c r="F2506" s="274"/>
      <c r="G2506" s="274"/>
      <c r="H2506" s="274"/>
      <c r="I2506" s="274"/>
      <c r="J2506" s="274"/>
    </row>
    <row r="2507" spans="1:10" s="119" customFormat="1">
      <c r="A2507" s="123" t="s">
        <v>120</v>
      </c>
      <c r="B2507" s="275" t="s">
        <v>943</v>
      </c>
      <c r="C2507" s="276"/>
      <c r="D2507" s="276"/>
      <c r="E2507" s="276"/>
      <c r="F2507" s="276"/>
      <c r="G2507" s="276"/>
      <c r="H2507" s="276"/>
      <c r="I2507" s="276"/>
      <c r="J2507" s="276"/>
    </row>
    <row r="2508" spans="1:10">
      <c r="A2508" s="103" t="s">
        <v>4276</v>
      </c>
      <c r="B2508" s="124" t="s">
        <v>3291</v>
      </c>
      <c r="C2508" s="110">
        <v>11687</v>
      </c>
      <c r="D2508" s="109" t="s">
        <v>120</v>
      </c>
      <c r="E2508" s="109">
        <v>116</v>
      </c>
      <c r="F2508" s="110">
        <v>4299</v>
      </c>
      <c r="G2508" s="109" t="s">
        <v>120</v>
      </c>
      <c r="H2508" s="109">
        <v>37</v>
      </c>
      <c r="I2508" s="109">
        <v>1099</v>
      </c>
      <c r="J2508" s="110">
        <v>1923</v>
      </c>
    </row>
    <row r="2509" spans="1:10">
      <c r="A2509" s="103" t="s">
        <v>4277</v>
      </c>
      <c r="B2509" s="124" t="s">
        <v>4278</v>
      </c>
      <c r="C2509" s="110">
        <v>10040</v>
      </c>
      <c r="D2509" s="109" t="s">
        <v>120</v>
      </c>
      <c r="E2509" s="109">
        <v>100</v>
      </c>
      <c r="F2509" s="110">
        <v>8159</v>
      </c>
      <c r="G2509" s="109" t="s">
        <v>120</v>
      </c>
      <c r="H2509" s="109">
        <v>81</v>
      </c>
      <c r="I2509" s="109">
        <v>1381</v>
      </c>
      <c r="J2509" s="110">
        <v>1098</v>
      </c>
    </row>
    <row r="2510" spans="1:10">
      <c r="A2510" s="103" t="s">
        <v>4279</v>
      </c>
      <c r="B2510" s="124" t="s">
        <v>4280</v>
      </c>
      <c r="C2510" s="110">
        <v>9565</v>
      </c>
      <c r="D2510" s="109" t="s">
        <v>120</v>
      </c>
      <c r="E2510" s="109">
        <v>96</v>
      </c>
      <c r="F2510" s="110">
        <v>3631</v>
      </c>
      <c r="G2510" s="109" t="s">
        <v>120</v>
      </c>
      <c r="H2510" s="109">
        <v>38</v>
      </c>
      <c r="I2510" s="109">
        <v>1458</v>
      </c>
      <c r="J2510" s="110">
        <v>2081</v>
      </c>
    </row>
    <row r="2511" spans="1:10" s="119" customFormat="1">
      <c r="A2511" s="123" t="s">
        <v>120</v>
      </c>
      <c r="B2511" s="275" t="s">
        <v>1101</v>
      </c>
      <c r="C2511" s="276"/>
      <c r="D2511" s="276"/>
      <c r="E2511" s="276"/>
      <c r="F2511" s="276"/>
      <c r="G2511" s="276"/>
      <c r="H2511" s="276"/>
      <c r="I2511" s="276"/>
      <c r="J2511" s="276"/>
    </row>
    <row r="2512" spans="1:10">
      <c r="A2512" s="103" t="s">
        <v>4281</v>
      </c>
      <c r="B2512" s="124" t="s">
        <v>4282</v>
      </c>
      <c r="C2512" s="110">
        <v>16282</v>
      </c>
      <c r="D2512" s="109" t="s">
        <v>120</v>
      </c>
      <c r="E2512" s="109">
        <v>163</v>
      </c>
      <c r="F2512" s="110">
        <v>9838</v>
      </c>
      <c r="G2512" s="109" t="s">
        <v>120</v>
      </c>
      <c r="H2512" s="109">
        <v>60</v>
      </c>
      <c r="I2512" s="109">
        <v>571</v>
      </c>
      <c r="J2512" s="110">
        <v>890</v>
      </c>
    </row>
    <row r="2513" spans="1:10">
      <c r="A2513" s="103" t="s">
        <v>4283</v>
      </c>
      <c r="B2513" s="124" t="s">
        <v>932</v>
      </c>
      <c r="C2513" s="110">
        <v>1953</v>
      </c>
      <c r="D2513" s="109" t="s">
        <v>120</v>
      </c>
      <c r="E2513" s="109">
        <v>19</v>
      </c>
      <c r="F2513" s="110">
        <v>3690</v>
      </c>
      <c r="G2513" s="109" t="s">
        <v>120</v>
      </c>
      <c r="H2513" s="109">
        <v>189</v>
      </c>
      <c r="I2513" s="109" t="s">
        <v>122</v>
      </c>
      <c r="J2513" s="110" t="s">
        <v>122</v>
      </c>
    </row>
    <row r="2514" spans="1:10">
      <c r="A2514" s="103" t="s">
        <v>4284</v>
      </c>
      <c r="B2514" s="124" t="s">
        <v>934</v>
      </c>
      <c r="C2514" s="110">
        <v>14329</v>
      </c>
      <c r="D2514" s="109" t="s">
        <v>120</v>
      </c>
      <c r="E2514" s="109">
        <v>144</v>
      </c>
      <c r="F2514" s="110">
        <v>6148</v>
      </c>
      <c r="G2514" s="109" t="s">
        <v>120</v>
      </c>
      <c r="H2514" s="109">
        <v>43</v>
      </c>
      <c r="I2514" s="109" t="s">
        <v>122</v>
      </c>
      <c r="J2514" s="110" t="s">
        <v>122</v>
      </c>
    </row>
    <row r="2515" spans="1:10">
      <c r="A2515" s="103" t="s">
        <v>4285</v>
      </c>
      <c r="B2515" s="124" t="s">
        <v>4286</v>
      </c>
      <c r="C2515" s="110">
        <v>15371</v>
      </c>
      <c r="D2515" s="109" t="s">
        <v>120</v>
      </c>
      <c r="E2515" s="109">
        <v>154</v>
      </c>
      <c r="F2515" s="110">
        <v>7131</v>
      </c>
      <c r="G2515" s="109" t="s">
        <v>120</v>
      </c>
      <c r="H2515" s="109">
        <v>46</v>
      </c>
      <c r="I2515" s="109">
        <v>643</v>
      </c>
      <c r="J2515" s="110">
        <v>1273</v>
      </c>
    </row>
    <row r="2516" spans="1:10">
      <c r="A2516" s="103" t="s">
        <v>4287</v>
      </c>
      <c r="B2516" s="124" t="s">
        <v>932</v>
      </c>
      <c r="C2516" s="110">
        <v>1854</v>
      </c>
      <c r="D2516" s="109" t="s">
        <v>120</v>
      </c>
      <c r="E2516" s="109">
        <v>19</v>
      </c>
      <c r="F2516" s="110">
        <v>2467</v>
      </c>
      <c r="G2516" s="109" t="s">
        <v>120</v>
      </c>
      <c r="H2516" s="109">
        <v>133</v>
      </c>
      <c r="I2516" s="109" t="s">
        <v>122</v>
      </c>
      <c r="J2516" s="110" t="s">
        <v>122</v>
      </c>
    </row>
    <row r="2517" spans="1:10">
      <c r="A2517" s="103" t="s">
        <v>4288</v>
      </c>
      <c r="B2517" s="124" t="s">
        <v>934</v>
      </c>
      <c r="C2517" s="110">
        <v>13517</v>
      </c>
      <c r="D2517" s="109" t="s">
        <v>120</v>
      </c>
      <c r="E2517" s="109">
        <v>135</v>
      </c>
      <c r="F2517" s="110">
        <v>4664</v>
      </c>
      <c r="G2517" s="109" t="s">
        <v>120</v>
      </c>
      <c r="H2517" s="109">
        <v>35</v>
      </c>
      <c r="I2517" s="109" t="s">
        <v>122</v>
      </c>
      <c r="J2517" s="110" t="s">
        <v>122</v>
      </c>
    </row>
    <row r="2518" spans="1:10">
      <c r="A2518" s="103" t="s">
        <v>4289</v>
      </c>
      <c r="B2518" s="124" t="s">
        <v>2971</v>
      </c>
      <c r="C2518" s="110">
        <v>24090</v>
      </c>
      <c r="D2518" s="109" t="s">
        <v>120</v>
      </c>
      <c r="E2518" s="109">
        <v>241</v>
      </c>
      <c r="F2518" s="110">
        <v>17763</v>
      </c>
      <c r="G2518" s="109" t="s">
        <v>120</v>
      </c>
      <c r="H2518" s="109">
        <v>74</v>
      </c>
      <c r="I2518" s="109">
        <v>202</v>
      </c>
      <c r="J2518" s="110">
        <v>407</v>
      </c>
    </row>
    <row r="2519" spans="1:10">
      <c r="A2519" s="103" t="s">
        <v>4290</v>
      </c>
      <c r="B2519" s="124" t="s">
        <v>932</v>
      </c>
      <c r="C2519" s="110">
        <v>1508</v>
      </c>
      <c r="D2519" s="109" t="s">
        <v>120</v>
      </c>
      <c r="E2519" s="109">
        <v>15</v>
      </c>
      <c r="F2519" s="110">
        <v>9407</v>
      </c>
      <c r="G2519" s="109" t="s">
        <v>120</v>
      </c>
      <c r="H2519" s="109">
        <v>624</v>
      </c>
      <c r="I2519" s="109" t="s">
        <v>122</v>
      </c>
      <c r="J2519" s="110" t="s">
        <v>122</v>
      </c>
    </row>
    <row r="2520" spans="1:10">
      <c r="A2520" s="103" t="s">
        <v>4291</v>
      </c>
      <c r="B2520" s="124" t="s">
        <v>934</v>
      </c>
      <c r="C2520" s="110">
        <v>22582</v>
      </c>
      <c r="D2520" s="109" t="s">
        <v>120</v>
      </c>
      <c r="E2520" s="109">
        <v>226</v>
      </c>
      <c r="F2520" s="110">
        <v>8356</v>
      </c>
      <c r="G2520" s="109" t="s">
        <v>120</v>
      </c>
      <c r="H2520" s="109">
        <v>37</v>
      </c>
      <c r="I2520" s="109" t="s">
        <v>122</v>
      </c>
      <c r="J2520" s="110" t="s">
        <v>122</v>
      </c>
    </row>
    <row r="2521" spans="1:10">
      <c r="A2521" s="103" t="s">
        <v>4292</v>
      </c>
      <c r="B2521" s="124" t="s">
        <v>4293</v>
      </c>
      <c r="C2521" s="110">
        <v>10303</v>
      </c>
      <c r="D2521" s="109" t="s">
        <v>120</v>
      </c>
      <c r="E2521" s="109">
        <v>103</v>
      </c>
      <c r="F2521" s="110">
        <v>13472</v>
      </c>
      <c r="G2521" s="109" t="s">
        <v>120</v>
      </c>
      <c r="H2521" s="109">
        <v>131</v>
      </c>
      <c r="I2521" s="109">
        <v>1337</v>
      </c>
      <c r="J2521" s="110">
        <v>592</v>
      </c>
    </row>
    <row r="2522" spans="1:10">
      <c r="A2522" s="103" t="s">
        <v>4294</v>
      </c>
      <c r="B2522" s="124" t="s">
        <v>932</v>
      </c>
      <c r="C2522" s="110">
        <v>935</v>
      </c>
      <c r="D2522" s="109" t="s">
        <v>120</v>
      </c>
      <c r="E2522" s="109">
        <v>9</v>
      </c>
      <c r="F2522" s="110">
        <v>7602</v>
      </c>
      <c r="G2522" s="109" t="s">
        <v>120</v>
      </c>
      <c r="H2522" s="109">
        <v>813</v>
      </c>
      <c r="I2522" s="109" t="s">
        <v>122</v>
      </c>
      <c r="J2522" s="110" t="s">
        <v>122</v>
      </c>
    </row>
    <row r="2523" spans="1:10">
      <c r="A2523" s="103" t="s">
        <v>4295</v>
      </c>
      <c r="B2523" s="124" t="s">
        <v>934</v>
      </c>
      <c r="C2523" s="110">
        <v>9368</v>
      </c>
      <c r="D2523" s="109" t="s">
        <v>120</v>
      </c>
      <c r="E2523" s="109">
        <v>94</v>
      </c>
      <c r="F2523" s="110">
        <v>5870</v>
      </c>
      <c r="G2523" s="109" t="s">
        <v>120</v>
      </c>
      <c r="H2523" s="109">
        <v>63</v>
      </c>
      <c r="I2523" s="109" t="s">
        <v>122</v>
      </c>
      <c r="J2523" s="110" t="s">
        <v>122</v>
      </c>
    </row>
    <row r="2524" spans="1:10" s="119" customFormat="1">
      <c r="A2524" s="123" t="s">
        <v>120</v>
      </c>
      <c r="B2524" s="273" t="s">
        <v>4296</v>
      </c>
      <c r="C2524" s="274"/>
      <c r="D2524" s="274"/>
      <c r="E2524" s="274"/>
      <c r="F2524" s="274"/>
      <c r="G2524" s="274"/>
      <c r="H2524" s="274"/>
      <c r="I2524" s="274"/>
      <c r="J2524" s="274"/>
    </row>
    <row r="2525" spans="1:10" s="119" customFormat="1">
      <c r="A2525" s="123" t="s">
        <v>120</v>
      </c>
      <c r="B2525" s="275" t="s">
        <v>943</v>
      </c>
      <c r="C2525" s="276"/>
      <c r="D2525" s="276"/>
      <c r="E2525" s="276"/>
      <c r="F2525" s="276"/>
      <c r="G2525" s="276"/>
      <c r="H2525" s="276"/>
      <c r="I2525" s="276"/>
      <c r="J2525" s="276"/>
    </row>
    <row r="2526" spans="1:10">
      <c r="A2526" s="103" t="s">
        <v>4297</v>
      </c>
      <c r="B2526" s="124" t="s">
        <v>4298</v>
      </c>
      <c r="C2526" s="110">
        <v>8235</v>
      </c>
      <c r="D2526" s="109" t="s">
        <v>120</v>
      </c>
      <c r="E2526" s="109">
        <v>82</v>
      </c>
      <c r="F2526" s="110">
        <v>7013</v>
      </c>
      <c r="G2526" s="109" t="s">
        <v>120</v>
      </c>
      <c r="H2526" s="109">
        <v>85</v>
      </c>
      <c r="I2526" s="109">
        <v>1666</v>
      </c>
      <c r="J2526" s="110">
        <v>1293</v>
      </c>
    </row>
    <row r="2527" spans="1:10">
      <c r="A2527" s="103" t="s">
        <v>4299</v>
      </c>
      <c r="B2527" s="124" t="s">
        <v>1556</v>
      </c>
      <c r="C2527" s="110">
        <v>11411</v>
      </c>
      <c r="D2527" s="109" t="s">
        <v>120</v>
      </c>
      <c r="E2527" s="109">
        <v>114</v>
      </c>
      <c r="F2527" s="110">
        <v>8269</v>
      </c>
      <c r="G2527" s="109" t="s">
        <v>120</v>
      </c>
      <c r="H2527" s="109">
        <v>72</v>
      </c>
      <c r="I2527" s="109">
        <v>1139</v>
      </c>
      <c r="J2527" s="110">
        <v>1081</v>
      </c>
    </row>
    <row r="2528" spans="1:10">
      <c r="A2528" s="103" t="s">
        <v>4300</v>
      </c>
      <c r="B2528" s="124" t="s">
        <v>4301</v>
      </c>
      <c r="C2528" s="110">
        <v>6347</v>
      </c>
      <c r="D2528" s="109" t="s">
        <v>120</v>
      </c>
      <c r="E2528" s="109">
        <v>64</v>
      </c>
      <c r="F2528" s="110">
        <v>9478</v>
      </c>
      <c r="G2528" s="109" t="s">
        <v>120</v>
      </c>
      <c r="H2528" s="109">
        <v>149</v>
      </c>
      <c r="I2528" s="109">
        <v>1919</v>
      </c>
      <c r="J2528" s="110">
        <v>925</v>
      </c>
    </row>
    <row r="2529" spans="1:10">
      <c r="A2529" s="103" t="s">
        <v>4302</v>
      </c>
      <c r="B2529" s="124" t="s">
        <v>4303</v>
      </c>
      <c r="C2529" s="110">
        <v>5059</v>
      </c>
      <c r="D2529" s="109" t="s">
        <v>120</v>
      </c>
      <c r="E2529" s="109">
        <v>51</v>
      </c>
      <c r="F2529" s="110">
        <v>9120</v>
      </c>
      <c r="G2529" s="109" t="s">
        <v>120</v>
      </c>
      <c r="H2529" s="109">
        <v>180</v>
      </c>
      <c r="I2529" s="109">
        <v>2014</v>
      </c>
      <c r="J2529" s="110">
        <v>961</v>
      </c>
    </row>
    <row r="2530" spans="1:10">
      <c r="A2530" s="103" t="s">
        <v>4304</v>
      </c>
      <c r="B2530" s="124" t="s">
        <v>4305</v>
      </c>
      <c r="C2530" s="110">
        <v>12605</v>
      </c>
      <c r="D2530" s="109" t="s">
        <v>120</v>
      </c>
      <c r="E2530" s="109">
        <v>126</v>
      </c>
      <c r="F2530" s="110">
        <v>9872</v>
      </c>
      <c r="G2530" s="109" t="s">
        <v>120</v>
      </c>
      <c r="H2530" s="109">
        <v>78</v>
      </c>
      <c r="I2530" s="109">
        <v>967</v>
      </c>
      <c r="J2530" s="110">
        <v>887</v>
      </c>
    </row>
    <row r="2531" spans="1:10">
      <c r="A2531" s="103" t="s">
        <v>4306</v>
      </c>
      <c r="B2531" s="124" t="s">
        <v>4307</v>
      </c>
      <c r="C2531" s="110">
        <v>16002</v>
      </c>
      <c r="D2531" s="109" t="s">
        <v>120</v>
      </c>
      <c r="E2531" s="109">
        <v>160</v>
      </c>
      <c r="F2531" s="110">
        <v>5298</v>
      </c>
      <c r="G2531" s="109" t="s">
        <v>120</v>
      </c>
      <c r="H2531" s="109">
        <v>33</v>
      </c>
      <c r="I2531" s="109">
        <v>593</v>
      </c>
      <c r="J2531" s="110">
        <v>1663</v>
      </c>
    </row>
    <row r="2532" spans="1:10">
      <c r="A2532" s="103" t="s">
        <v>4308</v>
      </c>
      <c r="B2532" s="124" t="s">
        <v>4309</v>
      </c>
      <c r="C2532" s="110">
        <v>17549</v>
      </c>
      <c r="D2532" s="109" t="s">
        <v>120</v>
      </c>
      <c r="E2532" s="109">
        <v>176</v>
      </c>
      <c r="F2532" s="110">
        <v>8029</v>
      </c>
      <c r="G2532" s="109" t="s">
        <v>120</v>
      </c>
      <c r="H2532" s="109">
        <v>46</v>
      </c>
      <c r="I2532" s="109">
        <v>482</v>
      </c>
      <c r="J2532" s="110">
        <v>1118</v>
      </c>
    </row>
    <row r="2533" spans="1:10">
      <c r="A2533" s="103" t="s">
        <v>4310</v>
      </c>
      <c r="B2533" s="124" t="s">
        <v>4311</v>
      </c>
      <c r="C2533" s="110">
        <v>8180</v>
      </c>
      <c r="D2533" s="109" t="s">
        <v>120</v>
      </c>
      <c r="E2533" s="109">
        <v>82</v>
      </c>
      <c r="F2533" s="110">
        <v>9628</v>
      </c>
      <c r="G2533" s="109" t="s">
        <v>120</v>
      </c>
      <c r="H2533" s="109">
        <v>118</v>
      </c>
      <c r="I2533" s="109">
        <v>1676</v>
      </c>
      <c r="J2533" s="110">
        <v>916</v>
      </c>
    </row>
    <row r="2534" spans="1:10">
      <c r="A2534" s="103" t="s">
        <v>4312</v>
      </c>
      <c r="B2534" s="124" t="s">
        <v>4313</v>
      </c>
      <c r="C2534" s="110">
        <v>17210</v>
      </c>
      <c r="D2534" s="109" t="s">
        <v>120</v>
      </c>
      <c r="E2534" s="109">
        <v>171</v>
      </c>
      <c r="F2534" s="110">
        <v>10018</v>
      </c>
      <c r="G2534" s="109" t="s">
        <v>120</v>
      </c>
      <c r="H2534" s="109">
        <v>58</v>
      </c>
      <c r="I2534" s="109">
        <v>500</v>
      </c>
      <c r="J2534" s="110">
        <v>869</v>
      </c>
    </row>
    <row r="2535" spans="1:10" s="119" customFormat="1">
      <c r="A2535" s="123" t="s">
        <v>120</v>
      </c>
      <c r="B2535" s="275" t="s">
        <v>947</v>
      </c>
      <c r="C2535" s="276"/>
      <c r="D2535" s="276"/>
      <c r="E2535" s="276"/>
      <c r="F2535" s="276"/>
      <c r="G2535" s="276"/>
      <c r="H2535" s="276"/>
      <c r="I2535" s="276"/>
      <c r="J2535" s="276"/>
    </row>
    <row r="2536" spans="1:10">
      <c r="A2536" s="103" t="s">
        <v>4314</v>
      </c>
      <c r="B2536" s="124" t="s">
        <v>4315</v>
      </c>
      <c r="C2536" s="110">
        <v>18314</v>
      </c>
      <c r="D2536" s="109" t="s">
        <v>120</v>
      </c>
      <c r="E2536" s="109">
        <v>183</v>
      </c>
      <c r="F2536" s="110">
        <v>13162</v>
      </c>
      <c r="G2536" s="109" t="s">
        <v>120</v>
      </c>
      <c r="H2536" s="109">
        <v>72</v>
      </c>
      <c r="I2536" s="109">
        <v>433</v>
      </c>
      <c r="J2536" s="110">
        <v>616</v>
      </c>
    </row>
    <row r="2537" spans="1:10">
      <c r="A2537" s="103" t="s">
        <v>4316</v>
      </c>
      <c r="B2537" s="124" t="s">
        <v>932</v>
      </c>
      <c r="C2537" s="110">
        <v>1311</v>
      </c>
      <c r="D2537" s="109" t="s">
        <v>120</v>
      </c>
      <c r="E2537" s="109">
        <v>13</v>
      </c>
      <c r="F2537" s="110">
        <v>6279</v>
      </c>
      <c r="G2537" s="109" t="s">
        <v>120</v>
      </c>
      <c r="H2537" s="109">
        <v>479</v>
      </c>
      <c r="I2537" s="109" t="s">
        <v>122</v>
      </c>
      <c r="J2537" s="110" t="s">
        <v>122</v>
      </c>
    </row>
    <row r="2538" spans="1:10">
      <c r="A2538" s="103" t="s">
        <v>4317</v>
      </c>
      <c r="B2538" s="124" t="s">
        <v>934</v>
      </c>
      <c r="C2538" s="110">
        <v>17003</v>
      </c>
      <c r="D2538" s="109" t="s">
        <v>120</v>
      </c>
      <c r="E2538" s="109">
        <v>170</v>
      </c>
      <c r="F2538" s="110">
        <v>6883</v>
      </c>
      <c r="G2538" s="109" t="s">
        <v>120</v>
      </c>
      <c r="H2538" s="109">
        <v>40</v>
      </c>
      <c r="I2538" s="109" t="s">
        <v>122</v>
      </c>
      <c r="J2538" s="110" t="s">
        <v>122</v>
      </c>
    </row>
    <row r="2539" spans="1:10">
      <c r="A2539" s="103" t="s">
        <v>4318</v>
      </c>
      <c r="B2539" s="124" t="s">
        <v>4319</v>
      </c>
      <c r="C2539" s="110">
        <v>12567</v>
      </c>
      <c r="D2539" s="109" t="s">
        <v>120</v>
      </c>
      <c r="E2539" s="109">
        <v>126</v>
      </c>
      <c r="F2539" s="110">
        <v>19543</v>
      </c>
      <c r="G2539" s="109" t="s">
        <v>120</v>
      </c>
      <c r="H2539" s="109">
        <v>156</v>
      </c>
      <c r="I2539" s="109">
        <v>972</v>
      </c>
      <c r="J2539" s="110">
        <v>355</v>
      </c>
    </row>
    <row r="2540" spans="1:10">
      <c r="A2540" s="103" t="s">
        <v>4320</v>
      </c>
      <c r="B2540" s="124" t="s">
        <v>932</v>
      </c>
      <c r="C2540" s="110">
        <v>325</v>
      </c>
      <c r="D2540" s="109" t="s">
        <v>120</v>
      </c>
      <c r="E2540" s="109">
        <v>3</v>
      </c>
      <c r="F2540" s="110">
        <v>8603</v>
      </c>
      <c r="G2540" s="109" t="s">
        <v>120</v>
      </c>
      <c r="H2540" s="109">
        <v>2647</v>
      </c>
      <c r="I2540" s="109" t="s">
        <v>122</v>
      </c>
      <c r="J2540" s="110" t="s">
        <v>122</v>
      </c>
    </row>
    <row r="2541" spans="1:10">
      <c r="A2541" s="103" t="s">
        <v>4321</v>
      </c>
      <c r="B2541" s="124" t="s">
        <v>934</v>
      </c>
      <c r="C2541" s="110">
        <v>12242</v>
      </c>
      <c r="D2541" s="109" t="s">
        <v>120</v>
      </c>
      <c r="E2541" s="109">
        <v>123</v>
      </c>
      <c r="F2541" s="110">
        <v>10940</v>
      </c>
      <c r="G2541" s="109" t="s">
        <v>120</v>
      </c>
      <c r="H2541" s="109">
        <v>89</v>
      </c>
      <c r="I2541" s="109" t="s">
        <v>122</v>
      </c>
      <c r="J2541" s="110" t="s">
        <v>122</v>
      </c>
    </row>
    <row r="2542" spans="1:10">
      <c r="A2542" s="103" t="s">
        <v>4322</v>
      </c>
      <c r="B2542" s="124" t="s">
        <v>4323</v>
      </c>
      <c r="C2542" s="110">
        <v>11826</v>
      </c>
      <c r="D2542" s="109" t="s">
        <v>120</v>
      </c>
      <c r="E2542" s="109">
        <v>118</v>
      </c>
      <c r="F2542" s="110">
        <v>9091</v>
      </c>
      <c r="G2542" s="109" t="s">
        <v>120</v>
      </c>
      <c r="H2542" s="109">
        <v>77</v>
      </c>
      <c r="I2542" s="109">
        <v>1076</v>
      </c>
      <c r="J2542" s="110">
        <v>967</v>
      </c>
    </row>
    <row r="2543" spans="1:10">
      <c r="A2543" s="103" t="s">
        <v>4324</v>
      </c>
      <c r="B2543" s="124" t="s">
        <v>932</v>
      </c>
      <c r="C2543" s="110">
        <v>1622</v>
      </c>
      <c r="D2543" s="109" t="s">
        <v>120</v>
      </c>
      <c r="E2543" s="109">
        <v>16</v>
      </c>
      <c r="F2543" s="110">
        <v>2596</v>
      </c>
      <c r="G2543" s="109" t="s">
        <v>120</v>
      </c>
      <c r="H2543" s="109">
        <v>160</v>
      </c>
      <c r="I2543" s="109" t="s">
        <v>122</v>
      </c>
      <c r="J2543" s="110" t="s">
        <v>122</v>
      </c>
    </row>
    <row r="2544" spans="1:10">
      <c r="A2544" s="103" t="s">
        <v>4325</v>
      </c>
      <c r="B2544" s="124" t="s">
        <v>934</v>
      </c>
      <c r="C2544" s="110">
        <v>10204</v>
      </c>
      <c r="D2544" s="109" t="s">
        <v>120</v>
      </c>
      <c r="E2544" s="109">
        <v>102</v>
      </c>
      <c r="F2544" s="110">
        <v>6495</v>
      </c>
      <c r="G2544" s="109" t="s">
        <v>120</v>
      </c>
      <c r="H2544" s="109">
        <v>64</v>
      </c>
      <c r="I2544" s="109" t="s">
        <v>122</v>
      </c>
      <c r="J2544" s="110" t="s">
        <v>122</v>
      </c>
    </row>
    <row r="2545" spans="1:10">
      <c r="A2545" s="103" t="s">
        <v>4326</v>
      </c>
      <c r="B2545" s="124" t="s">
        <v>4327</v>
      </c>
      <c r="C2545" s="110">
        <v>8125</v>
      </c>
      <c r="D2545" s="109" t="s">
        <v>120</v>
      </c>
      <c r="E2545" s="109">
        <v>81</v>
      </c>
      <c r="F2545" s="110">
        <v>5205</v>
      </c>
      <c r="G2545" s="109" t="s">
        <v>120</v>
      </c>
      <c r="H2545" s="109">
        <v>64</v>
      </c>
      <c r="I2545" s="109">
        <v>1686</v>
      </c>
      <c r="J2545" s="110">
        <v>1686</v>
      </c>
    </row>
    <row r="2546" spans="1:10">
      <c r="A2546" s="103" t="s">
        <v>4328</v>
      </c>
      <c r="B2546" s="124" t="s">
        <v>932</v>
      </c>
      <c r="C2546" s="110">
        <v>923</v>
      </c>
      <c r="D2546" s="109" t="s">
        <v>120</v>
      </c>
      <c r="E2546" s="109">
        <v>9</v>
      </c>
      <c r="F2546" s="110">
        <v>4027</v>
      </c>
      <c r="G2546" s="109" t="s">
        <v>120</v>
      </c>
      <c r="H2546" s="109">
        <v>436</v>
      </c>
      <c r="I2546" s="109" t="s">
        <v>122</v>
      </c>
      <c r="J2546" s="110" t="s">
        <v>122</v>
      </c>
    </row>
    <row r="2547" spans="1:10">
      <c r="A2547" s="103" t="s">
        <v>4329</v>
      </c>
      <c r="B2547" s="124" t="s">
        <v>934</v>
      </c>
      <c r="C2547" s="110">
        <v>7202</v>
      </c>
      <c r="D2547" s="109" t="s">
        <v>120</v>
      </c>
      <c r="E2547" s="109">
        <v>72</v>
      </c>
      <c r="F2547" s="110">
        <v>1178</v>
      </c>
      <c r="G2547" s="109" t="s">
        <v>120</v>
      </c>
      <c r="H2547" s="109">
        <v>16</v>
      </c>
      <c r="I2547" s="109" t="s">
        <v>122</v>
      </c>
      <c r="J2547" s="110" t="s">
        <v>122</v>
      </c>
    </row>
    <row r="2548" spans="1:10" s="119" customFormat="1">
      <c r="A2548" s="123" t="s">
        <v>120</v>
      </c>
      <c r="B2548" s="273" t="s">
        <v>4330</v>
      </c>
      <c r="C2548" s="274"/>
      <c r="D2548" s="274"/>
      <c r="E2548" s="274"/>
      <c r="F2548" s="274"/>
      <c r="G2548" s="274"/>
      <c r="H2548" s="274"/>
      <c r="I2548" s="274"/>
      <c r="J2548" s="274"/>
    </row>
    <row r="2549" spans="1:10" s="119" customFormat="1">
      <c r="A2549" s="123" t="s">
        <v>120</v>
      </c>
      <c r="B2549" s="275" t="s">
        <v>1568</v>
      </c>
      <c r="C2549" s="276"/>
      <c r="D2549" s="276"/>
      <c r="E2549" s="276"/>
      <c r="F2549" s="276"/>
      <c r="G2549" s="276"/>
      <c r="H2549" s="276"/>
      <c r="I2549" s="276"/>
      <c r="J2549" s="276"/>
    </row>
    <row r="2550" spans="1:10">
      <c r="A2550" s="103" t="s">
        <v>4331</v>
      </c>
      <c r="B2550" s="124" t="s">
        <v>2382</v>
      </c>
      <c r="C2550" s="110">
        <v>8311</v>
      </c>
      <c r="D2550" s="109" t="s">
        <v>120</v>
      </c>
      <c r="E2550" s="109">
        <v>84</v>
      </c>
      <c r="F2550" s="110">
        <v>4342</v>
      </c>
      <c r="G2550" s="109" t="s">
        <v>120</v>
      </c>
      <c r="H2550" s="109">
        <v>52</v>
      </c>
      <c r="I2550" s="109">
        <v>1654</v>
      </c>
      <c r="J2550" s="110">
        <v>1913</v>
      </c>
    </row>
    <row r="2551" spans="1:10" s="119" customFormat="1">
      <c r="A2551" s="123" t="s">
        <v>120</v>
      </c>
      <c r="B2551" s="275" t="s">
        <v>1101</v>
      </c>
      <c r="C2551" s="276"/>
      <c r="D2551" s="276"/>
      <c r="E2551" s="276"/>
      <c r="F2551" s="276"/>
      <c r="G2551" s="276"/>
      <c r="H2551" s="276"/>
      <c r="I2551" s="276"/>
      <c r="J2551" s="276"/>
    </row>
    <row r="2552" spans="1:10">
      <c r="A2552" s="103" t="s">
        <v>4332</v>
      </c>
      <c r="B2552" s="124" t="s">
        <v>2832</v>
      </c>
      <c r="C2552" s="110">
        <v>19625</v>
      </c>
      <c r="D2552" s="109" t="s">
        <v>120</v>
      </c>
      <c r="E2552" s="109">
        <v>196</v>
      </c>
      <c r="F2552" s="110">
        <v>10565</v>
      </c>
      <c r="G2552" s="109" t="s">
        <v>120</v>
      </c>
      <c r="H2552" s="109">
        <v>54</v>
      </c>
      <c r="I2552" s="109">
        <v>369</v>
      </c>
      <c r="J2552" s="110">
        <v>825</v>
      </c>
    </row>
    <row r="2553" spans="1:10">
      <c r="A2553" s="103" t="s">
        <v>4333</v>
      </c>
      <c r="B2553" s="124" t="s">
        <v>932</v>
      </c>
      <c r="C2553" s="110">
        <v>1472</v>
      </c>
      <c r="D2553" s="109" t="s">
        <v>120</v>
      </c>
      <c r="E2553" s="109">
        <v>15</v>
      </c>
      <c r="F2553" s="110">
        <v>2414</v>
      </c>
      <c r="G2553" s="109" t="s">
        <v>120</v>
      </c>
      <c r="H2553" s="109">
        <v>164</v>
      </c>
      <c r="I2553" s="109" t="s">
        <v>122</v>
      </c>
      <c r="J2553" s="110" t="s">
        <v>122</v>
      </c>
    </row>
    <row r="2554" spans="1:10">
      <c r="A2554" s="103" t="s">
        <v>4334</v>
      </c>
      <c r="B2554" s="124" t="s">
        <v>934</v>
      </c>
      <c r="C2554" s="110">
        <v>18153</v>
      </c>
      <c r="D2554" s="109" t="s">
        <v>120</v>
      </c>
      <c r="E2554" s="109">
        <v>181</v>
      </c>
      <c r="F2554" s="110">
        <v>8151</v>
      </c>
      <c r="G2554" s="109" t="s">
        <v>120</v>
      </c>
      <c r="H2554" s="109">
        <v>45</v>
      </c>
      <c r="I2554" s="109" t="s">
        <v>122</v>
      </c>
      <c r="J2554" s="110" t="s">
        <v>122</v>
      </c>
    </row>
    <row r="2555" spans="1:10">
      <c r="A2555" s="103" t="s">
        <v>4335</v>
      </c>
      <c r="B2555" s="124" t="s">
        <v>4336</v>
      </c>
      <c r="C2555" s="110">
        <v>16993</v>
      </c>
      <c r="D2555" s="109" t="s">
        <v>120</v>
      </c>
      <c r="E2555" s="109">
        <v>170</v>
      </c>
      <c r="F2555" s="110">
        <v>13221</v>
      </c>
      <c r="G2555" s="109" t="s">
        <v>120</v>
      </c>
      <c r="H2555" s="109">
        <v>78</v>
      </c>
      <c r="I2555" s="109">
        <v>521</v>
      </c>
      <c r="J2555" s="110">
        <v>612</v>
      </c>
    </row>
    <row r="2556" spans="1:10">
      <c r="A2556" s="103" t="s">
        <v>4337</v>
      </c>
      <c r="B2556" s="124" t="s">
        <v>932</v>
      </c>
      <c r="C2556" s="110">
        <v>2206</v>
      </c>
      <c r="D2556" s="109" t="s">
        <v>120</v>
      </c>
      <c r="E2556" s="109">
        <v>22</v>
      </c>
      <c r="F2556" s="110">
        <v>5585</v>
      </c>
      <c r="G2556" s="109" t="s">
        <v>120</v>
      </c>
      <c r="H2556" s="109">
        <v>253</v>
      </c>
      <c r="I2556" s="109" t="s">
        <v>122</v>
      </c>
      <c r="J2556" s="110" t="s">
        <v>122</v>
      </c>
    </row>
    <row r="2557" spans="1:10">
      <c r="A2557" s="103" t="s">
        <v>4338</v>
      </c>
      <c r="B2557" s="124" t="s">
        <v>934</v>
      </c>
      <c r="C2557" s="110">
        <v>14787</v>
      </c>
      <c r="D2557" s="109" t="s">
        <v>120</v>
      </c>
      <c r="E2557" s="109">
        <v>148</v>
      </c>
      <c r="F2557" s="110">
        <v>7636</v>
      </c>
      <c r="G2557" s="109" t="s">
        <v>120</v>
      </c>
      <c r="H2557" s="109">
        <v>52</v>
      </c>
      <c r="I2557" s="109" t="s">
        <v>122</v>
      </c>
      <c r="J2557" s="110" t="s">
        <v>122</v>
      </c>
    </row>
    <row r="2558" spans="1:10">
      <c r="A2558" s="103" t="s">
        <v>4339</v>
      </c>
      <c r="B2558" s="124" t="s">
        <v>4340</v>
      </c>
      <c r="C2558" s="110">
        <v>12226</v>
      </c>
      <c r="D2558" s="109" t="s">
        <v>120</v>
      </c>
      <c r="E2558" s="109">
        <v>122</v>
      </c>
      <c r="F2558" s="110">
        <v>27109</v>
      </c>
      <c r="G2558" s="109" t="s">
        <v>120</v>
      </c>
      <c r="H2558" s="109">
        <v>222</v>
      </c>
      <c r="I2558" s="109">
        <v>1020</v>
      </c>
      <c r="J2558" s="110">
        <v>216</v>
      </c>
    </row>
    <row r="2559" spans="1:10">
      <c r="A2559" s="103" t="s">
        <v>4341</v>
      </c>
      <c r="B2559" s="124" t="s">
        <v>932</v>
      </c>
      <c r="C2559" s="110">
        <v>2050</v>
      </c>
      <c r="D2559" s="109" t="s">
        <v>120</v>
      </c>
      <c r="E2559" s="109">
        <v>20</v>
      </c>
      <c r="F2559" s="110">
        <v>20989</v>
      </c>
      <c r="G2559" s="109" t="s">
        <v>120</v>
      </c>
      <c r="H2559" s="109">
        <v>1024</v>
      </c>
      <c r="I2559" s="109" t="s">
        <v>122</v>
      </c>
      <c r="J2559" s="110" t="s">
        <v>122</v>
      </c>
    </row>
    <row r="2560" spans="1:10">
      <c r="A2560" s="103" t="s">
        <v>4342</v>
      </c>
      <c r="B2560" s="124" t="s">
        <v>934</v>
      </c>
      <c r="C2560" s="110">
        <v>10176</v>
      </c>
      <c r="D2560" s="109" t="s">
        <v>120</v>
      </c>
      <c r="E2560" s="109">
        <v>102</v>
      </c>
      <c r="F2560" s="110">
        <v>6120</v>
      </c>
      <c r="G2560" s="109" t="s">
        <v>120</v>
      </c>
      <c r="H2560" s="109">
        <v>60</v>
      </c>
      <c r="I2560" s="109" t="s">
        <v>122</v>
      </c>
      <c r="J2560" s="110" t="s">
        <v>122</v>
      </c>
    </row>
    <row r="2561" spans="1:10" s="119" customFormat="1">
      <c r="A2561" s="123" t="s">
        <v>120</v>
      </c>
      <c r="B2561" s="273" t="s">
        <v>4343</v>
      </c>
      <c r="C2561" s="274"/>
      <c r="D2561" s="274"/>
      <c r="E2561" s="274"/>
      <c r="F2561" s="274"/>
      <c r="G2561" s="274"/>
      <c r="H2561" s="274"/>
      <c r="I2561" s="274"/>
      <c r="J2561" s="274"/>
    </row>
    <row r="2562" spans="1:10" s="119" customFormat="1">
      <c r="A2562" s="123" t="s">
        <v>120</v>
      </c>
      <c r="B2562" s="275" t="s">
        <v>943</v>
      </c>
      <c r="C2562" s="276"/>
      <c r="D2562" s="276"/>
      <c r="E2562" s="276"/>
      <c r="F2562" s="276"/>
      <c r="G2562" s="276"/>
      <c r="H2562" s="276"/>
      <c r="I2562" s="276"/>
      <c r="J2562" s="276"/>
    </row>
    <row r="2563" spans="1:10">
      <c r="A2563" s="103" t="s">
        <v>4344</v>
      </c>
      <c r="B2563" s="124" t="s">
        <v>4345</v>
      </c>
      <c r="C2563" s="110">
        <v>8451</v>
      </c>
      <c r="D2563" s="109" t="s">
        <v>120</v>
      </c>
      <c r="E2563" s="109">
        <v>85</v>
      </c>
      <c r="F2563" s="110">
        <v>5412</v>
      </c>
      <c r="G2563" s="109" t="s">
        <v>120</v>
      </c>
      <c r="H2563" s="109">
        <v>64</v>
      </c>
      <c r="I2563" s="109">
        <v>1629</v>
      </c>
      <c r="J2563" s="110">
        <v>1630</v>
      </c>
    </row>
    <row r="2564" spans="1:10">
      <c r="A2564" s="103" t="s">
        <v>4346</v>
      </c>
      <c r="B2564" s="124" t="s">
        <v>4347</v>
      </c>
      <c r="C2564" s="110">
        <v>11346</v>
      </c>
      <c r="D2564" s="109" t="s">
        <v>120</v>
      </c>
      <c r="E2564" s="109">
        <v>112</v>
      </c>
      <c r="F2564" s="110">
        <v>7236</v>
      </c>
      <c r="G2564" s="109" t="s">
        <v>120</v>
      </c>
      <c r="H2564" s="109">
        <v>64</v>
      </c>
      <c r="I2564" s="109">
        <v>1152</v>
      </c>
      <c r="J2564" s="110">
        <v>1252</v>
      </c>
    </row>
    <row r="2565" spans="1:10" s="119" customFormat="1">
      <c r="A2565" s="123" t="s">
        <v>120</v>
      </c>
      <c r="B2565" s="275" t="s">
        <v>1101</v>
      </c>
      <c r="C2565" s="276"/>
      <c r="D2565" s="276"/>
      <c r="E2565" s="276"/>
      <c r="F2565" s="276"/>
      <c r="G2565" s="276"/>
      <c r="H2565" s="276"/>
      <c r="I2565" s="276"/>
      <c r="J2565" s="276"/>
    </row>
    <row r="2566" spans="1:10">
      <c r="A2566" s="103" t="s">
        <v>4348</v>
      </c>
      <c r="B2566" s="124" t="s">
        <v>4349</v>
      </c>
      <c r="C2566" s="110">
        <v>8357</v>
      </c>
      <c r="D2566" s="109" t="s">
        <v>120</v>
      </c>
      <c r="E2566" s="109">
        <v>84</v>
      </c>
      <c r="F2566" s="110">
        <v>5874</v>
      </c>
      <c r="G2566" s="109" t="s">
        <v>120</v>
      </c>
      <c r="H2566" s="109">
        <v>70</v>
      </c>
      <c r="I2566" s="109">
        <v>1644</v>
      </c>
      <c r="J2566" s="110">
        <v>1538</v>
      </c>
    </row>
    <row r="2567" spans="1:10">
      <c r="A2567" s="103" t="s">
        <v>4350</v>
      </c>
      <c r="B2567" s="124" t="s">
        <v>932</v>
      </c>
      <c r="C2567" s="110">
        <v>5570</v>
      </c>
      <c r="D2567" s="109" t="s">
        <v>120</v>
      </c>
      <c r="E2567" s="109">
        <v>56</v>
      </c>
      <c r="F2567" s="110">
        <v>3294</v>
      </c>
      <c r="G2567" s="109" t="s">
        <v>120</v>
      </c>
      <c r="H2567" s="109">
        <v>59</v>
      </c>
      <c r="I2567" s="109" t="s">
        <v>122</v>
      </c>
      <c r="J2567" s="110" t="s">
        <v>122</v>
      </c>
    </row>
    <row r="2568" spans="1:10">
      <c r="A2568" s="103" t="s">
        <v>4351</v>
      </c>
      <c r="B2568" s="124" t="s">
        <v>934</v>
      </c>
      <c r="C2568" s="110">
        <v>2787</v>
      </c>
      <c r="D2568" s="109" t="s">
        <v>120</v>
      </c>
      <c r="E2568" s="109">
        <v>28</v>
      </c>
      <c r="F2568" s="110">
        <v>2580</v>
      </c>
      <c r="G2568" s="109" t="s">
        <v>120</v>
      </c>
      <c r="H2568" s="109">
        <v>93</v>
      </c>
      <c r="I2568" s="109" t="s">
        <v>122</v>
      </c>
      <c r="J2568" s="110" t="s">
        <v>122</v>
      </c>
    </row>
    <row r="2569" spans="1:10">
      <c r="A2569" s="103" t="s">
        <v>4352</v>
      </c>
      <c r="B2569" s="124" t="s">
        <v>4353</v>
      </c>
      <c r="C2569" s="110">
        <v>9475</v>
      </c>
      <c r="D2569" s="109" t="s">
        <v>120</v>
      </c>
      <c r="E2569" s="109">
        <v>95</v>
      </c>
      <c r="F2569" s="110">
        <v>7550</v>
      </c>
      <c r="G2569" s="109" t="s">
        <v>120</v>
      </c>
      <c r="H2569" s="109">
        <v>80</v>
      </c>
      <c r="I2569" s="109">
        <v>1474</v>
      </c>
      <c r="J2569" s="110">
        <v>1193</v>
      </c>
    </row>
    <row r="2570" spans="1:10">
      <c r="A2570" s="103" t="s">
        <v>4354</v>
      </c>
      <c r="B2570" s="124" t="s">
        <v>932</v>
      </c>
      <c r="C2570" s="110">
        <v>1450</v>
      </c>
      <c r="D2570" s="109" t="s">
        <v>120</v>
      </c>
      <c r="E2570" s="109">
        <v>15</v>
      </c>
      <c r="F2570" s="110">
        <v>2555</v>
      </c>
      <c r="G2570" s="109" t="s">
        <v>120</v>
      </c>
      <c r="H2570" s="109">
        <v>176</v>
      </c>
      <c r="I2570" s="109" t="s">
        <v>122</v>
      </c>
      <c r="J2570" s="110" t="s">
        <v>122</v>
      </c>
    </row>
    <row r="2571" spans="1:10">
      <c r="A2571" s="103" t="s">
        <v>4355</v>
      </c>
      <c r="B2571" s="124" t="s">
        <v>934</v>
      </c>
      <c r="C2571" s="110">
        <v>8025</v>
      </c>
      <c r="D2571" s="109" t="s">
        <v>120</v>
      </c>
      <c r="E2571" s="109">
        <v>80</v>
      </c>
      <c r="F2571" s="110">
        <v>4995</v>
      </c>
      <c r="G2571" s="109" t="s">
        <v>120</v>
      </c>
      <c r="H2571" s="109">
        <v>62</v>
      </c>
      <c r="I2571" s="109" t="s">
        <v>122</v>
      </c>
      <c r="J2571" s="110" t="s">
        <v>122</v>
      </c>
    </row>
    <row r="2572" spans="1:10">
      <c r="A2572" s="103" t="s">
        <v>4356</v>
      </c>
      <c r="B2572" s="124" t="s">
        <v>4357</v>
      </c>
      <c r="C2572" s="110">
        <v>20253</v>
      </c>
      <c r="D2572" s="109" t="s">
        <v>120</v>
      </c>
      <c r="E2572" s="109">
        <v>203</v>
      </c>
      <c r="F2572" s="110">
        <v>30515</v>
      </c>
      <c r="G2572" s="109" t="s">
        <v>120</v>
      </c>
      <c r="H2572" s="109">
        <v>151</v>
      </c>
      <c r="I2572" s="109">
        <v>332</v>
      </c>
      <c r="J2572" s="110">
        <v>185</v>
      </c>
    </row>
    <row r="2573" spans="1:10">
      <c r="A2573" s="103" t="s">
        <v>4358</v>
      </c>
      <c r="B2573" s="124" t="s">
        <v>932</v>
      </c>
      <c r="C2573" s="110">
        <v>2997</v>
      </c>
      <c r="D2573" s="109" t="s">
        <v>120</v>
      </c>
      <c r="E2573" s="109">
        <v>30</v>
      </c>
      <c r="F2573" s="110">
        <v>17835</v>
      </c>
      <c r="G2573" s="109" t="s">
        <v>120</v>
      </c>
      <c r="H2573" s="109">
        <v>595</v>
      </c>
      <c r="I2573" s="109" t="s">
        <v>122</v>
      </c>
      <c r="J2573" s="110" t="s">
        <v>122</v>
      </c>
    </row>
    <row r="2574" spans="1:10">
      <c r="A2574" s="103" t="s">
        <v>4359</v>
      </c>
      <c r="B2574" s="124" t="s">
        <v>934</v>
      </c>
      <c r="C2574" s="110">
        <v>17256</v>
      </c>
      <c r="D2574" s="109" t="s">
        <v>120</v>
      </c>
      <c r="E2574" s="109">
        <v>173</v>
      </c>
      <c r="F2574" s="110">
        <v>12680</v>
      </c>
      <c r="G2574" s="109" t="s">
        <v>120</v>
      </c>
      <c r="H2574" s="109">
        <v>73</v>
      </c>
      <c r="I2574" s="109" t="s">
        <v>122</v>
      </c>
      <c r="J2574" s="110" t="s">
        <v>122</v>
      </c>
    </row>
    <row r="2575" spans="1:10">
      <c r="A2575" s="103" t="s">
        <v>4360</v>
      </c>
      <c r="B2575" s="124" t="s">
        <v>2827</v>
      </c>
      <c r="C2575" s="110">
        <v>8331</v>
      </c>
      <c r="D2575" s="109" t="s">
        <v>120</v>
      </c>
      <c r="E2575" s="109">
        <v>83</v>
      </c>
      <c r="F2575" s="110">
        <v>6409</v>
      </c>
      <c r="G2575" s="109" t="s">
        <v>120</v>
      </c>
      <c r="H2575" s="109">
        <v>77</v>
      </c>
      <c r="I2575" s="109">
        <v>1649</v>
      </c>
      <c r="J2575" s="110">
        <v>1419</v>
      </c>
    </row>
    <row r="2576" spans="1:10">
      <c r="A2576" s="103" t="s">
        <v>4361</v>
      </c>
      <c r="B2576" s="124" t="s">
        <v>932</v>
      </c>
      <c r="C2576" s="110">
        <v>1476</v>
      </c>
      <c r="D2576" s="109" t="s">
        <v>120</v>
      </c>
      <c r="E2576" s="109">
        <v>15</v>
      </c>
      <c r="F2576" s="110">
        <v>1737</v>
      </c>
      <c r="G2576" s="109" t="s">
        <v>120</v>
      </c>
      <c r="H2576" s="109">
        <v>118</v>
      </c>
      <c r="I2576" s="109" t="s">
        <v>122</v>
      </c>
      <c r="J2576" s="110" t="s">
        <v>122</v>
      </c>
    </row>
    <row r="2577" spans="1:10">
      <c r="A2577" s="103" t="s">
        <v>4362</v>
      </c>
      <c r="B2577" s="124" t="s">
        <v>934</v>
      </c>
      <c r="C2577" s="110">
        <v>6855</v>
      </c>
      <c r="D2577" s="109" t="s">
        <v>120</v>
      </c>
      <c r="E2577" s="109">
        <v>68</v>
      </c>
      <c r="F2577" s="110">
        <v>4672</v>
      </c>
      <c r="G2577" s="109" t="s">
        <v>120</v>
      </c>
      <c r="H2577" s="109">
        <v>68</v>
      </c>
      <c r="I2577" s="109" t="s">
        <v>122</v>
      </c>
      <c r="J2577" s="110" t="s">
        <v>122</v>
      </c>
    </row>
    <row r="2578" spans="1:10">
      <c r="A2578" s="103" t="s">
        <v>4363</v>
      </c>
      <c r="B2578" s="124" t="s">
        <v>4364</v>
      </c>
      <c r="C2578" s="110">
        <v>8214</v>
      </c>
      <c r="D2578" s="109" t="s">
        <v>120</v>
      </c>
      <c r="E2578" s="109">
        <v>82</v>
      </c>
      <c r="F2578" s="110">
        <v>11304</v>
      </c>
      <c r="G2578" s="109" t="s">
        <v>120</v>
      </c>
      <c r="H2578" s="109">
        <v>138</v>
      </c>
      <c r="I2578" s="109">
        <v>1670</v>
      </c>
      <c r="J2578" s="110">
        <v>758</v>
      </c>
    </row>
    <row r="2579" spans="1:10">
      <c r="A2579" s="103" t="s">
        <v>4365</v>
      </c>
      <c r="B2579" s="124" t="s">
        <v>932</v>
      </c>
      <c r="C2579" s="110">
        <v>1646</v>
      </c>
      <c r="D2579" s="109" t="s">
        <v>120</v>
      </c>
      <c r="E2579" s="109">
        <v>16</v>
      </c>
      <c r="F2579" s="110">
        <v>7107</v>
      </c>
      <c r="G2579" s="109" t="s">
        <v>120</v>
      </c>
      <c r="H2579" s="109">
        <v>432</v>
      </c>
      <c r="I2579" s="109" t="s">
        <v>122</v>
      </c>
      <c r="J2579" s="110" t="s">
        <v>122</v>
      </c>
    </row>
    <row r="2580" spans="1:10">
      <c r="A2580" s="103" t="s">
        <v>4366</v>
      </c>
      <c r="B2580" s="124" t="s">
        <v>934</v>
      </c>
      <c r="C2580" s="110">
        <v>6568</v>
      </c>
      <c r="D2580" s="109" t="s">
        <v>120</v>
      </c>
      <c r="E2580" s="109">
        <v>66</v>
      </c>
      <c r="F2580" s="110">
        <v>4197</v>
      </c>
      <c r="G2580" s="109" t="s">
        <v>120</v>
      </c>
      <c r="H2580" s="109">
        <v>64</v>
      </c>
      <c r="I2580" s="109" t="s">
        <v>122</v>
      </c>
      <c r="J2580" s="110" t="s">
        <v>122</v>
      </c>
    </row>
    <row r="2581" spans="1:10" s="119" customFormat="1">
      <c r="A2581" s="123" t="s">
        <v>120</v>
      </c>
      <c r="B2581" s="273" t="s">
        <v>4367</v>
      </c>
      <c r="C2581" s="274"/>
      <c r="D2581" s="274"/>
      <c r="E2581" s="274"/>
      <c r="F2581" s="274"/>
      <c r="G2581" s="274"/>
      <c r="H2581" s="274"/>
      <c r="I2581" s="274"/>
      <c r="J2581" s="274"/>
    </row>
    <row r="2582" spans="1:10">
      <c r="A2582" s="103" t="s">
        <v>4368</v>
      </c>
      <c r="B2582" s="124" t="s">
        <v>4369</v>
      </c>
      <c r="C2582" s="110">
        <v>14888</v>
      </c>
      <c r="D2582" s="109" t="s">
        <v>120</v>
      </c>
      <c r="E2582" s="109">
        <v>149</v>
      </c>
      <c r="F2582" s="110">
        <v>128035</v>
      </c>
      <c r="G2582" s="105" t="s">
        <v>927</v>
      </c>
      <c r="H2582" s="109">
        <v>860</v>
      </c>
      <c r="I2582" s="109">
        <v>687</v>
      </c>
      <c r="J2582" s="110">
        <v>27</v>
      </c>
    </row>
    <row r="2583" spans="1:10" s="119" customFormat="1">
      <c r="A2583" s="123" t="s">
        <v>120</v>
      </c>
      <c r="B2583" s="273" t="s">
        <v>16</v>
      </c>
      <c r="C2583" s="274"/>
      <c r="D2583" s="274"/>
      <c r="E2583" s="274"/>
      <c r="F2583" s="274"/>
      <c r="G2583" s="274"/>
      <c r="H2583" s="274"/>
      <c r="I2583" s="274"/>
      <c r="J2583" s="274"/>
    </row>
    <row r="2584" spans="1:10" s="119" customFormat="1">
      <c r="A2584" s="123" t="s">
        <v>120</v>
      </c>
      <c r="B2584" s="273" t="s">
        <v>4370</v>
      </c>
      <c r="C2584" s="274"/>
      <c r="D2584" s="274"/>
      <c r="E2584" s="274"/>
      <c r="F2584" s="274"/>
      <c r="G2584" s="274"/>
      <c r="H2584" s="274"/>
      <c r="I2584" s="274"/>
      <c r="J2584" s="274"/>
    </row>
    <row r="2585" spans="1:10" s="119" customFormat="1">
      <c r="A2585" s="123" t="s">
        <v>120</v>
      </c>
      <c r="B2585" s="275" t="s">
        <v>943</v>
      </c>
      <c r="C2585" s="276"/>
      <c r="D2585" s="276"/>
      <c r="E2585" s="276"/>
      <c r="F2585" s="276"/>
      <c r="G2585" s="276"/>
      <c r="H2585" s="276"/>
      <c r="I2585" s="276"/>
      <c r="J2585" s="276"/>
    </row>
    <row r="2586" spans="1:10">
      <c r="A2586" s="103" t="s">
        <v>4371</v>
      </c>
      <c r="B2586" s="124" t="s">
        <v>4372</v>
      </c>
      <c r="C2586" s="110">
        <v>18477</v>
      </c>
      <c r="D2586" s="109" t="s">
        <v>120</v>
      </c>
      <c r="E2586" s="109">
        <v>185</v>
      </c>
      <c r="F2586" s="110">
        <v>2389</v>
      </c>
      <c r="G2586" s="109" t="s">
        <v>120</v>
      </c>
      <c r="H2586" s="109">
        <v>13</v>
      </c>
      <c r="I2586" s="109">
        <v>425</v>
      </c>
      <c r="J2586" s="110">
        <v>2269</v>
      </c>
    </row>
    <row r="2587" spans="1:10">
      <c r="A2587" s="103" t="s">
        <v>4373</v>
      </c>
      <c r="B2587" s="124" t="s">
        <v>4374</v>
      </c>
      <c r="C2587" s="110">
        <v>47563</v>
      </c>
      <c r="D2587" s="109" t="s">
        <v>120</v>
      </c>
      <c r="E2587" s="109">
        <v>475</v>
      </c>
      <c r="F2587" s="110">
        <v>2060</v>
      </c>
      <c r="G2587" s="109" t="s">
        <v>120</v>
      </c>
      <c r="H2587" s="109">
        <v>4</v>
      </c>
      <c r="I2587" s="109">
        <v>8</v>
      </c>
      <c r="J2587" s="110">
        <v>2291</v>
      </c>
    </row>
    <row r="2588" spans="1:10" s="119" customFormat="1">
      <c r="A2588" s="123" t="s">
        <v>120</v>
      </c>
      <c r="B2588" s="275" t="s">
        <v>1026</v>
      </c>
      <c r="C2588" s="276"/>
      <c r="D2588" s="276"/>
      <c r="E2588" s="276"/>
      <c r="F2588" s="276"/>
      <c r="G2588" s="276"/>
      <c r="H2588" s="276"/>
      <c r="I2588" s="276"/>
      <c r="J2588" s="276"/>
    </row>
    <row r="2589" spans="1:10">
      <c r="A2589" s="103" t="s">
        <v>4375</v>
      </c>
      <c r="B2589" s="124" t="s">
        <v>4376</v>
      </c>
      <c r="C2589" s="110">
        <v>47867</v>
      </c>
      <c r="D2589" s="105" t="s">
        <v>927</v>
      </c>
      <c r="E2589" s="109">
        <v>479</v>
      </c>
      <c r="F2589" s="110">
        <v>17215</v>
      </c>
      <c r="G2589" s="109" t="s">
        <v>120</v>
      </c>
      <c r="H2589" s="109">
        <v>36</v>
      </c>
      <c r="I2589" s="109">
        <v>7</v>
      </c>
      <c r="J2589" s="110">
        <v>425</v>
      </c>
    </row>
    <row r="2590" spans="1:10">
      <c r="A2590" s="103" t="s">
        <v>4377</v>
      </c>
      <c r="B2590" s="124" t="s">
        <v>932</v>
      </c>
      <c r="C2590" s="110">
        <v>1679</v>
      </c>
      <c r="D2590" s="109" t="s">
        <v>120</v>
      </c>
      <c r="E2590" s="109">
        <v>17</v>
      </c>
      <c r="F2590" s="110">
        <v>9041</v>
      </c>
      <c r="G2590" s="109" t="s">
        <v>120</v>
      </c>
      <c r="H2590" s="109">
        <v>538</v>
      </c>
      <c r="I2590" s="109" t="s">
        <v>122</v>
      </c>
      <c r="J2590" s="110" t="s">
        <v>122</v>
      </c>
    </row>
    <row r="2591" spans="1:10">
      <c r="A2591" s="103" t="s">
        <v>4378</v>
      </c>
      <c r="B2591" s="124" t="s">
        <v>2184</v>
      </c>
      <c r="C2591" s="110">
        <v>46188</v>
      </c>
      <c r="D2591" s="109" t="s">
        <v>120</v>
      </c>
      <c r="E2591" s="109">
        <v>462</v>
      </c>
      <c r="F2591" s="110">
        <v>8174</v>
      </c>
      <c r="G2591" s="109" t="s">
        <v>120</v>
      </c>
      <c r="H2591" s="109">
        <v>18</v>
      </c>
      <c r="I2591" s="109" t="s">
        <v>122</v>
      </c>
      <c r="J2591" s="110" t="s">
        <v>122</v>
      </c>
    </row>
    <row r="2592" spans="1:10" s="119" customFormat="1">
      <c r="A2592" s="123" t="s">
        <v>120</v>
      </c>
      <c r="B2592" s="273" t="s">
        <v>4379</v>
      </c>
      <c r="C2592" s="274"/>
      <c r="D2592" s="274"/>
      <c r="E2592" s="274"/>
      <c r="F2592" s="274"/>
      <c r="G2592" s="274"/>
      <c r="H2592" s="274"/>
      <c r="I2592" s="274"/>
      <c r="J2592" s="274"/>
    </row>
    <row r="2593" spans="1:10" s="119" customFormat="1">
      <c r="A2593" s="123" t="s">
        <v>120</v>
      </c>
      <c r="B2593" s="275" t="s">
        <v>943</v>
      </c>
      <c r="C2593" s="276"/>
      <c r="D2593" s="276"/>
      <c r="E2593" s="276"/>
      <c r="F2593" s="276"/>
      <c r="G2593" s="276"/>
      <c r="H2593" s="276"/>
      <c r="I2593" s="276"/>
      <c r="J2593" s="276"/>
    </row>
    <row r="2594" spans="1:10">
      <c r="A2594" s="103" t="s">
        <v>4380</v>
      </c>
      <c r="B2594" s="124" t="s">
        <v>4381</v>
      </c>
      <c r="C2594" s="110">
        <v>5650</v>
      </c>
      <c r="D2594" s="109" t="s">
        <v>120</v>
      </c>
      <c r="E2594" s="109">
        <v>56</v>
      </c>
      <c r="F2594" s="110">
        <v>6100</v>
      </c>
      <c r="G2594" s="109" t="s">
        <v>120</v>
      </c>
      <c r="H2594" s="109">
        <v>108</v>
      </c>
      <c r="I2594" s="109">
        <v>1977</v>
      </c>
      <c r="J2594" s="110">
        <v>1479</v>
      </c>
    </row>
    <row r="2595" spans="1:10">
      <c r="A2595" s="103" t="s">
        <v>4382</v>
      </c>
      <c r="B2595" s="124" t="s">
        <v>4383</v>
      </c>
      <c r="C2595" s="110">
        <v>13029</v>
      </c>
      <c r="D2595" s="109" t="s">
        <v>120</v>
      </c>
      <c r="E2595" s="109">
        <v>130</v>
      </c>
      <c r="F2595" s="110">
        <v>7914</v>
      </c>
      <c r="G2595" s="109" t="s">
        <v>120</v>
      </c>
      <c r="H2595" s="109">
        <v>61</v>
      </c>
      <c r="I2595" s="109">
        <v>906</v>
      </c>
      <c r="J2595" s="110">
        <v>1137</v>
      </c>
    </row>
    <row r="2596" spans="1:10">
      <c r="A2596" s="103" t="s">
        <v>4384</v>
      </c>
      <c r="B2596" s="124" t="s">
        <v>4385</v>
      </c>
      <c r="C2596" s="110">
        <v>7165</v>
      </c>
      <c r="D2596" s="109" t="s">
        <v>120</v>
      </c>
      <c r="E2596" s="109">
        <v>72</v>
      </c>
      <c r="F2596" s="110">
        <v>9113</v>
      </c>
      <c r="G2596" s="109" t="s">
        <v>120</v>
      </c>
      <c r="H2596" s="109">
        <v>127</v>
      </c>
      <c r="I2596" s="109">
        <v>1827</v>
      </c>
      <c r="J2596" s="110">
        <v>962</v>
      </c>
    </row>
    <row r="2597" spans="1:10">
      <c r="A2597" s="103" t="s">
        <v>4386</v>
      </c>
      <c r="B2597" s="124" t="s">
        <v>4387</v>
      </c>
      <c r="C2597" s="110">
        <v>5706</v>
      </c>
      <c r="D2597" s="109" t="s">
        <v>120</v>
      </c>
      <c r="E2597" s="109">
        <v>57</v>
      </c>
      <c r="F2597" s="110">
        <v>7845</v>
      </c>
      <c r="G2597" s="109" t="s">
        <v>120</v>
      </c>
      <c r="H2597" s="109">
        <v>137</v>
      </c>
      <c r="I2597" s="109">
        <v>1972</v>
      </c>
      <c r="J2597" s="110">
        <v>1145</v>
      </c>
    </row>
    <row r="2598" spans="1:10">
      <c r="A2598" s="103" t="s">
        <v>4388</v>
      </c>
      <c r="B2598" s="124" t="s">
        <v>4389</v>
      </c>
      <c r="C2598" s="110">
        <v>12077</v>
      </c>
      <c r="D2598" s="109" t="s">
        <v>120</v>
      </c>
      <c r="E2598" s="109">
        <v>121</v>
      </c>
      <c r="F2598" s="110">
        <v>7996</v>
      </c>
      <c r="G2598" s="109" t="s">
        <v>120</v>
      </c>
      <c r="H2598" s="109">
        <v>66</v>
      </c>
      <c r="I2598" s="109">
        <v>1043</v>
      </c>
      <c r="J2598" s="110">
        <v>1122</v>
      </c>
    </row>
    <row r="2599" spans="1:10" s="119" customFormat="1">
      <c r="A2599" s="123" t="s">
        <v>120</v>
      </c>
      <c r="B2599" s="275" t="s">
        <v>1026</v>
      </c>
      <c r="C2599" s="276"/>
      <c r="D2599" s="276"/>
      <c r="E2599" s="276"/>
      <c r="F2599" s="276"/>
      <c r="G2599" s="276"/>
      <c r="H2599" s="276"/>
      <c r="I2599" s="276"/>
      <c r="J2599" s="276"/>
    </row>
    <row r="2600" spans="1:10">
      <c r="A2600" s="103" t="s">
        <v>4390</v>
      </c>
      <c r="B2600" s="124" t="s">
        <v>4391</v>
      </c>
      <c r="C2600" s="110">
        <v>10307</v>
      </c>
      <c r="D2600" s="109" t="s">
        <v>120</v>
      </c>
      <c r="E2600" s="109">
        <v>103</v>
      </c>
      <c r="F2600" s="110">
        <v>26599</v>
      </c>
      <c r="G2600" s="109" t="s">
        <v>120</v>
      </c>
      <c r="H2600" s="109">
        <v>258</v>
      </c>
      <c r="I2600" s="109">
        <v>1335</v>
      </c>
      <c r="J2600" s="110">
        <v>227</v>
      </c>
    </row>
    <row r="2601" spans="1:10">
      <c r="A2601" s="103" t="s">
        <v>4392</v>
      </c>
      <c r="B2601" s="124" t="s">
        <v>932</v>
      </c>
      <c r="C2601" s="110">
        <v>1146</v>
      </c>
      <c r="D2601" s="109" t="s">
        <v>120</v>
      </c>
      <c r="E2601" s="109">
        <v>11</v>
      </c>
      <c r="F2601" s="110">
        <v>7438</v>
      </c>
      <c r="G2601" s="109" t="s">
        <v>120</v>
      </c>
      <c r="H2601" s="109">
        <v>649</v>
      </c>
      <c r="I2601" s="109" t="s">
        <v>122</v>
      </c>
      <c r="J2601" s="110" t="s">
        <v>122</v>
      </c>
    </row>
    <row r="2602" spans="1:10">
      <c r="A2602" s="103" t="s">
        <v>4393</v>
      </c>
      <c r="B2602" s="124" t="s">
        <v>934</v>
      </c>
      <c r="C2602" s="110">
        <v>9161</v>
      </c>
      <c r="D2602" s="109" t="s">
        <v>120</v>
      </c>
      <c r="E2602" s="109">
        <v>92</v>
      </c>
      <c r="F2602" s="110">
        <v>19161</v>
      </c>
      <c r="G2602" s="109" t="s">
        <v>120</v>
      </c>
      <c r="H2602" s="109">
        <v>209</v>
      </c>
      <c r="I2602" s="109" t="s">
        <v>122</v>
      </c>
      <c r="J2602" s="110" t="s">
        <v>122</v>
      </c>
    </row>
    <row r="2603" spans="1:10" s="119" customFormat="1">
      <c r="A2603" s="123" t="s">
        <v>120</v>
      </c>
      <c r="B2603" s="273" t="s">
        <v>4394</v>
      </c>
      <c r="C2603" s="274"/>
      <c r="D2603" s="274"/>
      <c r="E2603" s="274"/>
      <c r="F2603" s="274"/>
      <c r="G2603" s="274"/>
      <c r="H2603" s="274"/>
      <c r="I2603" s="274"/>
      <c r="J2603" s="274"/>
    </row>
    <row r="2604" spans="1:10" s="119" customFormat="1">
      <c r="A2604" s="123" t="s">
        <v>120</v>
      </c>
      <c r="B2604" s="275" t="s">
        <v>922</v>
      </c>
      <c r="C2604" s="276"/>
      <c r="D2604" s="276"/>
      <c r="E2604" s="276"/>
      <c r="F2604" s="276"/>
      <c r="G2604" s="276"/>
      <c r="H2604" s="276"/>
      <c r="I2604" s="276"/>
      <c r="J2604" s="276"/>
    </row>
    <row r="2605" spans="1:10">
      <c r="A2605" s="103" t="s">
        <v>4395</v>
      </c>
      <c r="B2605" s="124" t="s">
        <v>4396</v>
      </c>
      <c r="C2605" s="110">
        <v>3383</v>
      </c>
      <c r="D2605" s="109" t="s">
        <v>120</v>
      </c>
      <c r="E2605" s="109">
        <v>34</v>
      </c>
      <c r="F2605" s="110">
        <v>45504</v>
      </c>
      <c r="G2605" s="109" t="s">
        <v>120</v>
      </c>
      <c r="H2605" s="109">
        <v>1345</v>
      </c>
      <c r="I2605" s="109">
        <v>2140</v>
      </c>
      <c r="J2605" s="110">
        <v>108</v>
      </c>
    </row>
    <row r="2606" spans="1:10" s="119" customFormat="1">
      <c r="A2606" s="123" t="s">
        <v>120</v>
      </c>
      <c r="B2606" s="275" t="s">
        <v>986</v>
      </c>
      <c r="C2606" s="276"/>
      <c r="D2606" s="276"/>
      <c r="E2606" s="276"/>
      <c r="F2606" s="276"/>
      <c r="G2606" s="276"/>
      <c r="H2606" s="276"/>
      <c r="I2606" s="276"/>
      <c r="J2606" s="276"/>
    </row>
    <row r="2607" spans="1:10">
      <c r="A2607" s="103" t="s">
        <v>4397</v>
      </c>
      <c r="B2607" s="124" t="s">
        <v>4372</v>
      </c>
      <c r="C2607" s="110">
        <v>14799</v>
      </c>
      <c r="D2607" s="109" t="s">
        <v>120</v>
      </c>
      <c r="E2607" s="109">
        <v>148</v>
      </c>
      <c r="F2607" s="110">
        <v>13137</v>
      </c>
      <c r="G2607" s="109" t="s">
        <v>120</v>
      </c>
      <c r="H2607" s="109">
        <v>89</v>
      </c>
      <c r="I2607" s="109">
        <v>694</v>
      </c>
      <c r="J2607" s="110">
        <v>619</v>
      </c>
    </row>
    <row r="2608" spans="1:10">
      <c r="A2608" s="103" t="s">
        <v>4398</v>
      </c>
      <c r="B2608" s="124" t="s">
        <v>4396</v>
      </c>
      <c r="C2608" s="110">
        <v>13790</v>
      </c>
      <c r="D2608" s="109" t="s">
        <v>120</v>
      </c>
      <c r="E2608" s="109">
        <v>138</v>
      </c>
      <c r="F2608" s="110">
        <v>25849</v>
      </c>
      <c r="G2608" s="109" t="s">
        <v>120</v>
      </c>
      <c r="H2608" s="109">
        <v>187</v>
      </c>
      <c r="I2608" s="109">
        <v>804</v>
      </c>
      <c r="J2608" s="110">
        <v>235</v>
      </c>
    </row>
    <row r="2609" spans="1:10">
      <c r="A2609" s="103" t="s">
        <v>4399</v>
      </c>
      <c r="B2609" s="124" t="s">
        <v>4400</v>
      </c>
      <c r="C2609" s="110">
        <v>5992</v>
      </c>
      <c r="D2609" s="109" t="s">
        <v>120</v>
      </c>
      <c r="E2609" s="109">
        <v>60</v>
      </c>
      <c r="F2609" s="110">
        <v>5359</v>
      </c>
      <c r="G2609" s="109" t="s">
        <v>120</v>
      </c>
      <c r="H2609" s="109">
        <v>89</v>
      </c>
      <c r="I2609" s="109">
        <v>1951</v>
      </c>
      <c r="J2609" s="110">
        <v>1646</v>
      </c>
    </row>
    <row r="2610" spans="1:10">
      <c r="A2610" s="103" t="s">
        <v>4401</v>
      </c>
      <c r="B2610" s="124" t="s">
        <v>4402</v>
      </c>
      <c r="C2610" s="110">
        <v>11038</v>
      </c>
      <c r="D2610" s="109" t="s">
        <v>120</v>
      </c>
      <c r="E2610" s="109">
        <v>110</v>
      </c>
      <c r="F2610" s="110">
        <v>14190</v>
      </c>
      <c r="G2610" s="109" t="s">
        <v>120</v>
      </c>
      <c r="H2610" s="109">
        <v>129</v>
      </c>
      <c r="I2610" s="109">
        <v>1215</v>
      </c>
      <c r="J2610" s="110">
        <v>560</v>
      </c>
    </row>
    <row r="2611" spans="1:10" s="119" customFormat="1">
      <c r="A2611" s="123" t="s">
        <v>120</v>
      </c>
      <c r="B2611" s="275" t="s">
        <v>1047</v>
      </c>
      <c r="C2611" s="276"/>
      <c r="D2611" s="276"/>
      <c r="E2611" s="276"/>
      <c r="F2611" s="276"/>
      <c r="G2611" s="276"/>
      <c r="H2611" s="276"/>
      <c r="I2611" s="276"/>
      <c r="J2611" s="276"/>
    </row>
    <row r="2612" spans="1:10">
      <c r="A2612" s="103" t="s">
        <v>4403</v>
      </c>
      <c r="B2612" s="124" t="s">
        <v>4404</v>
      </c>
      <c r="C2612" s="110">
        <v>12233</v>
      </c>
      <c r="D2612" s="109" t="s">
        <v>120</v>
      </c>
      <c r="E2612" s="109">
        <v>122</v>
      </c>
      <c r="F2612" s="110">
        <v>13010</v>
      </c>
      <c r="G2612" s="109" t="s">
        <v>120</v>
      </c>
      <c r="H2612" s="109">
        <v>106</v>
      </c>
      <c r="I2612" s="109">
        <v>1018</v>
      </c>
      <c r="J2612" s="110">
        <v>629</v>
      </c>
    </row>
    <row r="2613" spans="1:10">
      <c r="A2613" s="103" t="s">
        <v>4405</v>
      </c>
      <c r="B2613" s="124" t="s">
        <v>932</v>
      </c>
      <c r="C2613" s="110">
        <v>876</v>
      </c>
      <c r="D2613" s="109" t="s">
        <v>120</v>
      </c>
      <c r="E2613" s="109">
        <v>9</v>
      </c>
      <c r="F2613" s="110">
        <v>2746</v>
      </c>
      <c r="G2613" s="109" t="s">
        <v>120</v>
      </c>
      <c r="H2613" s="109">
        <v>313</v>
      </c>
      <c r="I2613" s="109" t="s">
        <v>122</v>
      </c>
      <c r="J2613" s="110" t="s">
        <v>122</v>
      </c>
    </row>
    <row r="2614" spans="1:10">
      <c r="A2614" s="103" t="s">
        <v>4406</v>
      </c>
      <c r="B2614" s="124" t="s">
        <v>934</v>
      </c>
      <c r="C2614" s="110">
        <v>11357</v>
      </c>
      <c r="D2614" s="109" t="s">
        <v>120</v>
      </c>
      <c r="E2614" s="109">
        <v>113</v>
      </c>
      <c r="F2614" s="110">
        <v>10264</v>
      </c>
      <c r="G2614" s="109" t="s">
        <v>120</v>
      </c>
      <c r="H2614" s="109">
        <v>90</v>
      </c>
      <c r="I2614" s="109" t="s">
        <v>122</v>
      </c>
      <c r="J2614" s="110" t="s">
        <v>122</v>
      </c>
    </row>
    <row r="2615" spans="1:10">
      <c r="A2615" s="103" t="s">
        <v>4407</v>
      </c>
      <c r="B2615" s="124" t="s">
        <v>4408</v>
      </c>
      <c r="C2615" s="110">
        <v>16513</v>
      </c>
      <c r="D2615" s="109" t="s">
        <v>120</v>
      </c>
      <c r="E2615" s="109">
        <v>165</v>
      </c>
      <c r="F2615" s="110">
        <v>18250</v>
      </c>
      <c r="G2615" s="109" t="s">
        <v>120</v>
      </c>
      <c r="H2615" s="109">
        <v>111</v>
      </c>
      <c r="I2615" s="109">
        <v>556</v>
      </c>
      <c r="J2615" s="110">
        <v>392</v>
      </c>
    </row>
    <row r="2616" spans="1:10">
      <c r="A2616" s="103" t="s">
        <v>4409</v>
      </c>
      <c r="B2616" s="124" t="s">
        <v>932</v>
      </c>
      <c r="C2616" s="110">
        <v>1604</v>
      </c>
      <c r="D2616" s="109" t="s">
        <v>120</v>
      </c>
      <c r="E2616" s="109">
        <v>16</v>
      </c>
      <c r="F2616" s="110">
        <v>4927</v>
      </c>
      <c r="G2616" s="109" t="s">
        <v>120</v>
      </c>
      <c r="H2616" s="109">
        <v>307</v>
      </c>
      <c r="I2616" s="109" t="s">
        <v>122</v>
      </c>
      <c r="J2616" s="110" t="s">
        <v>122</v>
      </c>
    </row>
    <row r="2617" spans="1:10">
      <c r="A2617" s="103" t="s">
        <v>4410</v>
      </c>
      <c r="B2617" s="124" t="s">
        <v>934</v>
      </c>
      <c r="C2617" s="110">
        <v>14909</v>
      </c>
      <c r="D2617" s="109" t="s">
        <v>120</v>
      </c>
      <c r="E2617" s="109">
        <v>149</v>
      </c>
      <c r="F2617" s="110">
        <v>13323</v>
      </c>
      <c r="G2617" s="109" t="s">
        <v>120</v>
      </c>
      <c r="H2617" s="109">
        <v>89</v>
      </c>
      <c r="I2617" s="109" t="s">
        <v>122</v>
      </c>
      <c r="J2617" s="110" t="s">
        <v>122</v>
      </c>
    </row>
    <row r="2618" spans="1:10" s="119" customFormat="1">
      <c r="A2618" s="123" t="s">
        <v>120</v>
      </c>
      <c r="B2618" s="273" t="s">
        <v>4411</v>
      </c>
      <c r="C2618" s="274"/>
      <c r="D2618" s="274"/>
      <c r="E2618" s="274"/>
      <c r="F2618" s="274"/>
      <c r="G2618" s="274"/>
      <c r="H2618" s="274"/>
      <c r="I2618" s="274"/>
      <c r="J2618" s="274"/>
    </row>
    <row r="2619" spans="1:10" s="119" customFormat="1">
      <c r="A2619" s="123" t="s">
        <v>120</v>
      </c>
      <c r="B2619" s="275" t="s">
        <v>936</v>
      </c>
      <c r="C2619" s="276"/>
      <c r="D2619" s="276"/>
      <c r="E2619" s="276"/>
      <c r="F2619" s="276"/>
      <c r="G2619" s="276"/>
      <c r="H2619" s="276"/>
      <c r="I2619" s="276"/>
      <c r="J2619" s="276"/>
    </row>
    <row r="2620" spans="1:10">
      <c r="A2620" s="103" t="s">
        <v>4412</v>
      </c>
      <c r="B2620" s="124" t="s">
        <v>4413</v>
      </c>
      <c r="C2620" s="110">
        <v>3461</v>
      </c>
      <c r="D2620" s="109" t="s">
        <v>120</v>
      </c>
      <c r="E2620" s="109">
        <v>35</v>
      </c>
      <c r="F2620" s="110">
        <v>37479</v>
      </c>
      <c r="G2620" s="109" t="s">
        <v>120</v>
      </c>
      <c r="H2620" s="109">
        <v>1083</v>
      </c>
      <c r="I2620" s="109">
        <v>2134</v>
      </c>
      <c r="J2620" s="110">
        <v>140</v>
      </c>
    </row>
    <row r="2621" spans="1:10">
      <c r="A2621" s="103" t="s">
        <v>4414</v>
      </c>
      <c r="B2621" s="124" t="s">
        <v>4415</v>
      </c>
      <c r="C2621" s="110">
        <v>1362</v>
      </c>
      <c r="D2621" s="105" t="s">
        <v>1075</v>
      </c>
      <c r="E2621" s="109">
        <v>14</v>
      </c>
      <c r="F2621" s="110">
        <v>5273</v>
      </c>
      <c r="G2621" s="109" t="s">
        <v>120</v>
      </c>
      <c r="H2621" s="109">
        <v>387</v>
      </c>
      <c r="I2621" s="109">
        <v>2293</v>
      </c>
      <c r="J2621" s="110">
        <v>1672</v>
      </c>
    </row>
    <row r="2622" spans="1:10" s="119" customFormat="1">
      <c r="A2622" s="123" t="s">
        <v>120</v>
      </c>
      <c r="B2622" s="275" t="s">
        <v>924</v>
      </c>
      <c r="C2622" s="276"/>
      <c r="D2622" s="276"/>
      <c r="E2622" s="276"/>
      <c r="F2622" s="276"/>
      <c r="G2622" s="276"/>
      <c r="H2622" s="276"/>
      <c r="I2622" s="276"/>
      <c r="J2622" s="276"/>
    </row>
    <row r="2623" spans="1:10">
      <c r="A2623" s="103" t="s">
        <v>4416</v>
      </c>
      <c r="B2623" s="124" t="s">
        <v>4417</v>
      </c>
      <c r="C2623" s="110">
        <v>4920</v>
      </c>
      <c r="D2623" s="109" t="s">
        <v>120</v>
      </c>
      <c r="E2623" s="109">
        <v>49</v>
      </c>
      <c r="F2623" s="110">
        <v>5535</v>
      </c>
      <c r="G2623" s="109" t="s">
        <v>120</v>
      </c>
      <c r="H2623" s="109">
        <v>113</v>
      </c>
      <c r="I2623" s="109">
        <v>2026</v>
      </c>
      <c r="J2623" s="110">
        <v>1606</v>
      </c>
    </row>
    <row r="2624" spans="1:10">
      <c r="A2624" s="103" t="s">
        <v>4418</v>
      </c>
      <c r="B2624" s="124" t="s">
        <v>4413</v>
      </c>
      <c r="C2624" s="110">
        <v>11348</v>
      </c>
      <c r="D2624" s="109" t="s">
        <v>120</v>
      </c>
      <c r="E2624" s="109">
        <v>113</v>
      </c>
      <c r="F2624" s="110">
        <v>13213</v>
      </c>
      <c r="G2624" s="109" t="s">
        <v>120</v>
      </c>
      <c r="H2624" s="109">
        <v>116</v>
      </c>
      <c r="I2624" s="109">
        <v>1151</v>
      </c>
      <c r="J2624" s="110">
        <v>613</v>
      </c>
    </row>
    <row r="2625" spans="1:10">
      <c r="A2625" s="103" t="s">
        <v>4419</v>
      </c>
      <c r="B2625" s="124" t="s">
        <v>4420</v>
      </c>
      <c r="C2625" s="110">
        <v>13800</v>
      </c>
      <c r="D2625" s="109" t="s">
        <v>120</v>
      </c>
      <c r="E2625" s="109">
        <v>138</v>
      </c>
      <c r="F2625" s="110">
        <v>6922</v>
      </c>
      <c r="G2625" s="109" t="s">
        <v>120</v>
      </c>
      <c r="H2625" s="109">
        <v>50</v>
      </c>
      <c r="I2625" s="109">
        <v>802</v>
      </c>
      <c r="J2625" s="110">
        <v>1311</v>
      </c>
    </row>
    <row r="2626" spans="1:10">
      <c r="A2626" s="103" t="s">
        <v>4421</v>
      </c>
      <c r="B2626" s="124" t="s">
        <v>4422</v>
      </c>
      <c r="C2626" s="110">
        <v>4742</v>
      </c>
      <c r="D2626" s="109" t="s">
        <v>120</v>
      </c>
      <c r="E2626" s="109">
        <v>47</v>
      </c>
      <c r="F2626" s="110">
        <v>8450</v>
      </c>
      <c r="G2626" s="109" t="s">
        <v>120</v>
      </c>
      <c r="H2626" s="109">
        <v>178</v>
      </c>
      <c r="I2626" s="109">
        <v>2039</v>
      </c>
      <c r="J2626" s="110">
        <v>1061</v>
      </c>
    </row>
    <row r="2627" spans="1:10">
      <c r="A2627" s="103" t="s">
        <v>4423</v>
      </c>
      <c r="B2627" s="124" t="s">
        <v>4424</v>
      </c>
      <c r="C2627" s="110">
        <v>18218</v>
      </c>
      <c r="D2627" s="109" t="s">
        <v>120</v>
      </c>
      <c r="E2627" s="109">
        <v>182</v>
      </c>
      <c r="F2627" s="110">
        <v>11395</v>
      </c>
      <c r="G2627" s="109" t="s">
        <v>120</v>
      </c>
      <c r="H2627" s="109">
        <v>63</v>
      </c>
      <c r="I2627" s="109">
        <v>438</v>
      </c>
      <c r="J2627" s="110">
        <v>751</v>
      </c>
    </row>
    <row r="2628" spans="1:10">
      <c r="A2628" s="103" t="s">
        <v>4425</v>
      </c>
      <c r="B2628" s="124" t="s">
        <v>4426</v>
      </c>
      <c r="C2628" s="110">
        <v>5708</v>
      </c>
      <c r="D2628" s="109" t="s">
        <v>120</v>
      </c>
      <c r="E2628" s="109">
        <v>57</v>
      </c>
      <c r="F2628" s="110">
        <v>4349</v>
      </c>
      <c r="G2628" s="109" t="s">
        <v>120</v>
      </c>
      <c r="H2628" s="109">
        <v>76</v>
      </c>
      <c r="I2628" s="109">
        <v>1970</v>
      </c>
      <c r="J2628" s="110">
        <v>1907</v>
      </c>
    </row>
    <row r="2629" spans="1:10">
      <c r="A2629" s="103" t="s">
        <v>4427</v>
      </c>
      <c r="B2629" s="124" t="s">
        <v>4428</v>
      </c>
      <c r="C2629" s="110">
        <v>6875</v>
      </c>
      <c r="D2629" s="109" t="s">
        <v>120</v>
      </c>
      <c r="E2629" s="109">
        <v>69</v>
      </c>
      <c r="F2629" s="110">
        <v>6235</v>
      </c>
      <c r="G2629" s="109" t="s">
        <v>120</v>
      </c>
      <c r="H2629" s="109">
        <v>91</v>
      </c>
      <c r="I2629" s="109">
        <v>1865</v>
      </c>
      <c r="J2629" s="110">
        <v>1453</v>
      </c>
    </row>
    <row r="2630" spans="1:10">
      <c r="A2630" s="103" t="s">
        <v>4429</v>
      </c>
      <c r="B2630" s="124" t="s">
        <v>4430</v>
      </c>
      <c r="C2630" s="110">
        <v>24398</v>
      </c>
      <c r="D2630" s="109" t="s">
        <v>120</v>
      </c>
      <c r="E2630" s="109">
        <v>245</v>
      </c>
      <c r="F2630" s="110">
        <v>11715</v>
      </c>
      <c r="G2630" s="109" t="s">
        <v>120</v>
      </c>
      <c r="H2630" s="109">
        <v>48</v>
      </c>
      <c r="I2630" s="109">
        <v>194</v>
      </c>
      <c r="J2630" s="110">
        <v>724</v>
      </c>
    </row>
    <row r="2631" spans="1:10" s="119" customFormat="1">
      <c r="A2631" s="123" t="s">
        <v>120</v>
      </c>
      <c r="B2631" s="275" t="s">
        <v>929</v>
      </c>
      <c r="C2631" s="276"/>
      <c r="D2631" s="276"/>
      <c r="E2631" s="276"/>
      <c r="F2631" s="276"/>
      <c r="G2631" s="276"/>
      <c r="H2631" s="276"/>
      <c r="I2631" s="276"/>
      <c r="J2631" s="276"/>
    </row>
    <row r="2632" spans="1:10">
      <c r="A2632" s="103" t="s">
        <v>4431</v>
      </c>
      <c r="B2632" s="124" t="s">
        <v>4432</v>
      </c>
      <c r="C2632" s="110">
        <v>8034</v>
      </c>
      <c r="D2632" s="109" t="s">
        <v>120</v>
      </c>
      <c r="E2632" s="109">
        <v>80</v>
      </c>
      <c r="F2632" s="110">
        <v>9681</v>
      </c>
      <c r="G2632" s="109" t="s">
        <v>120</v>
      </c>
      <c r="H2632" s="109">
        <v>121</v>
      </c>
      <c r="I2632" s="109">
        <v>1697</v>
      </c>
      <c r="J2632" s="110">
        <v>906</v>
      </c>
    </row>
    <row r="2633" spans="1:10">
      <c r="A2633" s="103" t="s">
        <v>4433</v>
      </c>
      <c r="B2633" s="124" t="s">
        <v>932</v>
      </c>
      <c r="C2633" s="110">
        <v>1990</v>
      </c>
      <c r="D2633" s="109" t="s">
        <v>120</v>
      </c>
      <c r="E2633" s="109">
        <v>20</v>
      </c>
      <c r="F2633" s="110">
        <v>3745</v>
      </c>
      <c r="G2633" s="109" t="s">
        <v>120</v>
      </c>
      <c r="H2633" s="109">
        <v>188</v>
      </c>
      <c r="I2633" s="109" t="s">
        <v>122</v>
      </c>
      <c r="J2633" s="110" t="s">
        <v>122</v>
      </c>
    </row>
    <row r="2634" spans="1:10">
      <c r="A2634" s="103" t="s">
        <v>4434</v>
      </c>
      <c r="B2634" s="124" t="s">
        <v>934</v>
      </c>
      <c r="C2634" s="110">
        <v>6044</v>
      </c>
      <c r="D2634" s="109" t="s">
        <v>120</v>
      </c>
      <c r="E2634" s="109">
        <v>60</v>
      </c>
      <c r="F2634" s="110">
        <v>5936</v>
      </c>
      <c r="G2634" s="109" t="s">
        <v>120</v>
      </c>
      <c r="H2634" s="109">
        <v>98</v>
      </c>
      <c r="I2634" s="109" t="s">
        <v>122</v>
      </c>
      <c r="J2634" s="110" t="s">
        <v>122</v>
      </c>
    </row>
    <row r="2635" spans="1:10" s="119" customFormat="1">
      <c r="A2635" s="123" t="s">
        <v>120</v>
      </c>
      <c r="B2635" s="273" t="s">
        <v>4435</v>
      </c>
      <c r="C2635" s="274"/>
      <c r="D2635" s="274"/>
      <c r="E2635" s="274"/>
      <c r="F2635" s="274"/>
      <c r="G2635" s="274"/>
      <c r="H2635" s="274"/>
      <c r="I2635" s="274"/>
      <c r="J2635" s="274"/>
    </row>
    <row r="2636" spans="1:10" s="119" customFormat="1">
      <c r="A2636" s="123" t="s">
        <v>120</v>
      </c>
      <c r="B2636" s="275" t="s">
        <v>1019</v>
      </c>
      <c r="C2636" s="276"/>
      <c r="D2636" s="276"/>
      <c r="E2636" s="276"/>
      <c r="F2636" s="276"/>
      <c r="G2636" s="276"/>
      <c r="H2636" s="276"/>
      <c r="I2636" s="276"/>
      <c r="J2636" s="276"/>
    </row>
    <row r="2637" spans="1:10">
      <c r="A2637" s="103" t="s">
        <v>4436</v>
      </c>
      <c r="B2637" s="124" t="s">
        <v>4437</v>
      </c>
      <c r="C2637" s="110">
        <v>3652</v>
      </c>
      <c r="D2637" s="109" t="s">
        <v>120</v>
      </c>
      <c r="E2637" s="109">
        <v>37</v>
      </c>
      <c r="F2637" s="110">
        <v>34882</v>
      </c>
      <c r="G2637" s="109" t="s">
        <v>120</v>
      </c>
      <c r="H2637" s="109">
        <v>955</v>
      </c>
      <c r="I2637" s="109">
        <v>2116</v>
      </c>
      <c r="J2637" s="110">
        <v>153</v>
      </c>
    </row>
    <row r="2638" spans="1:10" s="119" customFormat="1">
      <c r="A2638" s="123" t="s">
        <v>120</v>
      </c>
      <c r="B2638" s="275" t="s">
        <v>943</v>
      </c>
      <c r="C2638" s="276"/>
      <c r="D2638" s="276"/>
      <c r="E2638" s="276"/>
      <c r="F2638" s="276"/>
      <c r="G2638" s="276"/>
      <c r="H2638" s="276"/>
      <c r="I2638" s="276"/>
      <c r="J2638" s="276"/>
    </row>
    <row r="2639" spans="1:10">
      <c r="A2639" s="103" t="s">
        <v>4438</v>
      </c>
      <c r="B2639" s="124" t="s">
        <v>4439</v>
      </c>
      <c r="C2639" s="110">
        <v>4487</v>
      </c>
      <c r="D2639" s="109" t="s">
        <v>120</v>
      </c>
      <c r="E2639" s="109">
        <v>45</v>
      </c>
      <c r="F2639" s="110">
        <v>6530</v>
      </c>
      <c r="G2639" s="109" t="s">
        <v>120</v>
      </c>
      <c r="H2639" s="109">
        <v>146</v>
      </c>
      <c r="I2639" s="109">
        <v>2061</v>
      </c>
      <c r="J2639" s="110">
        <v>1393</v>
      </c>
    </row>
    <row r="2640" spans="1:10">
      <c r="A2640" s="103" t="s">
        <v>4440</v>
      </c>
      <c r="B2640" s="124" t="s">
        <v>4441</v>
      </c>
      <c r="C2640" s="110">
        <v>8647</v>
      </c>
      <c r="D2640" s="109" t="s">
        <v>120</v>
      </c>
      <c r="E2640" s="109">
        <v>86</v>
      </c>
      <c r="F2640" s="110">
        <v>8867</v>
      </c>
      <c r="G2640" s="109" t="s">
        <v>120</v>
      </c>
      <c r="H2640" s="109">
        <v>103</v>
      </c>
      <c r="I2640" s="109">
        <v>1584</v>
      </c>
      <c r="J2640" s="110">
        <v>1004</v>
      </c>
    </row>
    <row r="2641" spans="1:10">
      <c r="A2641" s="103" t="s">
        <v>4442</v>
      </c>
      <c r="B2641" s="124" t="s">
        <v>4437</v>
      </c>
      <c r="C2641" s="110">
        <v>9307</v>
      </c>
      <c r="D2641" s="109" t="s">
        <v>120</v>
      </c>
      <c r="E2641" s="109">
        <v>93</v>
      </c>
      <c r="F2641" s="110">
        <v>16357</v>
      </c>
      <c r="G2641" s="109" t="s">
        <v>120</v>
      </c>
      <c r="H2641" s="109">
        <v>176</v>
      </c>
      <c r="I2641" s="109">
        <v>1499</v>
      </c>
      <c r="J2641" s="110">
        <v>458</v>
      </c>
    </row>
    <row r="2642" spans="1:10">
      <c r="A2642" s="103" t="s">
        <v>4443</v>
      </c>
      <c r="B2642" s="124" t="s">
        <v>4444</v>
      </c>
      <c r="C2642" s="110">
        <v>20386</v>
      </c>
      <c r="D2642" s="109" t="s">
        <v>120</v>
      </c>
      <c r="E2642" s="109">
        <v>205</v>
      </c>
      <c r="F2642" s="110">
        <v>1861</v>
      </c>
      <c r="G2642" s="109" t="s">
        <v>120</v>
      </c>
      <c r="H2642" s="109">
        <v>9</v>
      </c>
      <c r="I2642" s="109">
        <v>323</v>
      </c>
      <c r="J2642" s="110">
        <v>2298</v>
      </c>
    </row>
    <row r="2643" spans="1:10">
      <c r="A2643" s="103" t="s">
        <v>4445</v>
      </c>
      <c r="B2643" s="124" t="s">
        <v>4446</v>
      </c>
      <c r="C2643" s="110">
        <v>10359</v>
      </c>
      <c r="D2643" s="109" t="s">
        <v>120</v>
      </c>
      <c r="E2643" s="109">
        <v>104</v>
      </c>
      <c r="F2643" s="110">
        <v>9009</v>
      </c>
      <c r="G2643" s="109" t="s">
        <v>120</v>
      </c>
      <c r="H2643" s="109">
        <v>87</v>
      </c>
      <c r="I2643" s="109">
        <v>1327</v>
      </c>
      <c r="J2643" s="110">
        <v>982</v>
      </c>
    </row>
    <row r="2644" spans="1:10">
      <c r="A2644" s="103" t="s">
        <v>4447</v>
      </c>
      <c r="B2644" s="124" t="s">
        <v>4448</v>
      </c>
      <c r="C2644" s="110">
        <v>6040</v>
      </c>
      <c r="D2644" s="109" t="s">
        <v>120</v>
      </c>
      <c r="E2644" s="109">
        <v>60</v>
      </c>
      <c r="F2644" s="110">
        <v>5372</v>
      </c>
      <c r="G2644" s="109" t="s">
        <v>120</v>
      </c>
      <c r="H2644" s="109">
        <v>89</v>
      </c>
      <c r="I2644" s="109">
        <v>1946</v>
      </c>
      <c r="J2644" s="110">
        <v>1643</v>
      </c>
    </row>
    <row r="2645" spans="1:10">
      <c r="A2645" s="103" t="s">
        <v>4449</v>
      </c>
      <c r="B2645" s="124" t="s">
        <v>4450</v>
      </c>
      <c r="C2645" s="110">
        <v>7849</v>
      </c>
      <c r="D2645" s="109" t="s">
        <v>120</v>
      </c>
      <c r="E2645" s="109">
        <v>78</v>
      </c>
      <c r="F2645" s="110">
        <v>12475</v>
      </c>
      <c r="G2645" s="109" t="s">
        <v>120</v>
      </c>
      <c r="H2645" s="109">
        <v>159</v>
      </c>
      <c r="I2645" s="109">
        <v>1725</v>
      </c>
      <c r="J2645" s="110">
        <v>665</v>
      </c>
    </row>
    <row r="2646" spans="1:10">
      <c r="A2646" s="103" t="s">
        <v>4451</v>
      </c>
      <c r="B2646" s="124" t="s">
        <v>4452</v>
      </c>
      <c r="C2646" s="110">
        <v>6250</v>
      </c>
      <c r="D2646" s="109" t="s">
        <v>120</v>
      </c>
      <c r="E2646" s="109">
        <v>62</v>
      </c>
      <c r="F2646" s="110">
        <v>9168</v>
      </c>
      <c r="G2646" s="109" t="s">
        <v>120</v>
      </c>
      <c r="H2646" s="109">
        <v>147</v>
      </c>
      <c r="I2646" s="109">
        <v>1930</v>
      </c>
      <c r="J2646" s="110">
        <v>956</v>
      </c>
    </row>
    <row r="2647" spans="1:10" s="119" customFormat="1">
      <c r="A2647" s="123" t="s">
        <v>120</v>
      </c>
      <c r="B2647" s="275" t="s">
        <v>1026</v>
      </c>
      <c r="C2647" s="276"/>
      <c r="D2647" s="276"/>
      <c r="E2647" s="276"/>
      <c r="F2647" s="276"/>
      <c r="G2647" s="276"/>
      <c r="H2647" s="276"/>
      <c r="I2647" s="276"/>
      <c r="J2647" s="276"/>
    </row>
    <row r="2648" spans="1:10">
      <c r="A2648" s="103" t="s">
        <v>4453</v>
      </c>
      <c r="B2648" s="124" t="s">
        <v>4454</v>
      </c>
      <c r="C2648" s="110">
        <v>6110</v>
      </c>
      <c r="D2648" s="109" t="s">
        <v>120</v>
      </c>
      <c r="E2648" s="109">
        <v>61</v>
      </c>
      <c r="F2648" s="110">
        <v>8929</v>
      </c>
      <c r="G2648" s="109" t="s">
        <v>120</v>
      </c>
      <c r="H2648" s="109">
        <v>146</v>
      </c>
      <c r="I2648" s="109">
        <v>1941</v>
      </c>
      <c r="J2648" s="110">
        <v>993</v>
      </c>
    </row>
    <row r="2649" spans="1:10">
      <c r="A2649" s="103" t="s">
        <v>4455</v>
      </c>
      <c r="B2649" s="124" t="s">
        <v>932</v>
      </c>
      <c r="C2649" s="110">
        <v>715</v>
      </c>
      <c r="D2649" s="109" t="s">
        <v>120</v>
      </c>
      <c r="E2649" s="109">
        <v>7</v>
      </c>
      <c r="F2649" s="110">
        <v>1400</v>
      </c>
      <c r="G2649" s="109" t="s">
        <v>120</v>
      </c>
      <c r="H2649" s="109">
        <v>196</v>
      </c>
      <c r="I2649" s="109" t="s">
        <v>122</v>
      </c>
      <c r="J2649" s="110" t="s">
        <v>122</v>
      </c>
    </row>
    <row r="2650" spans="1:10">
      <c r="A2650" s="103" t="s">
        <v>4456</v>
      </c>
      <c r="B2650" s="124" t="s">
        <v>934</v>
      </c>
      <c r="C2650" s="110">
        <v>5395</v>
      </c>
      <c r="D2650" s="109" t="s">
        <v>120</v>
      </c>
      <c r="E2650" s="109">
        <v>54</v>
      </c>
      <c r="F2650" s="110">
        <v>7529</v>
      </c>
      <c r="G2650" s="109" t="s">
        <v>120</v>
      </c>
      <c r="H2650" s="109">
        <v>140</v>
      </c>
      <c r="I2650" s="109" t="s">
        <v>122</v>
      </c>
      <c r="J2650" s="110" t="s">
        <v>122</v>
      </c>
    </row>
    <row r="2651" spans="1:10" s="119" customFormat="1">
      <c r="A2651" s="123" t="s">
        <v>120</v>
      </c>
      <c r="B2651" s="273" t="s">
        <v>4457</v>
      </c>
      <c r="C2651" s="274"/>
      <c r="D2651" s="274"/>
      <c r="E2651" s="274"/>
      <c r="F2651" s="274"/>
      <c r="G2651" s="274"/>
      <c r="H2651" s="274"/>
      <c r="I2651" s="274"/>
      <c r="J2651" s="274"/>
    </row>
    <row r="2652" spans="1:10" s="119" customFormat="1">
      <c r="A2652" s="123" t="s">
        <v>120</v>
      </c>
      <c r="B2652" s="275" t="s">
        <v>943</v>
      </c>
      <c r="C2652" s="276"/>
      <c r="D2652" s="276"/>
      <c r="E2652" s="276"/>
      <c r="F2652" s="276"/>
      <c r="G2652" s="276"/>
      <c r="H2652" s="276"/>
      <c r="I2652" s="276"/>
      <c r="J2652" s="276"/>
    </row>
    <row r="2653" spans="1:10">
      <c r="A2653" s="103" t="s">
        <v>4458</v>
      </c>
      <c r="B2653" s="124" t="s">
        <v>4459</v>
      </c>
      <c r="C2653" s="110">
        <v>13399</v>
      </c>
      <c r="D2653" s="109" t="s">
        <v>120</v>
      </c>
      <c r="E2653" s="109">
        <v>134</v>
      </c>
      <c r="F2653" s="110">
        <v>8093</v>
      </c>
      <c r="G2653" s="109" t="s">
        <v>120</v>
      </c>
      <c r="H2653" s="109">
        <v>60</v>
      </c>
      <c r="I2653" s="109">
        <v>854</v>
      </c>
      <c r="J2653" s="110">
        <v>1109</v>
      </c>
    </row>
    <row r="2654" spans="1:10">
      <c r="A2654" s="103" t="s">
        <v>4460</v>
      </c>
      <c r="B2654" s="124" t="s">
        <v>4461</v>
      </c>
      <c r="C2654" s="110">
        <v>12156</v>
      </c>
      <c r="D2654" s="109" t="s">
        <v>120</v>
      </c>
      <c r="E2654" s="109">
        <v>122</v>
      </c>
      <c r="F2654" s="110">
        <v>6484</v>
      </c>
      <c r="G2654" s="109" t="s">
        <v>120</v>
      </c>
      <c r="H2654" s="109">
        <v>53</v>
      </c>
      <c r="I2654" s="109">
        <v>1032</v>
      </c>
      <c r="J2654" s="110">
        <v>1403</v>
      </c>
    </row>
    <row r="2655" spans="1:10">
      <c r="A2655" s="103" t="s">
        <v>4462</v>
      </c>
      <c r="B2655" s="124" t="s">
        <v>4463</v>
      </c>
      <c r="C2655" s="110">
        <v>15526</v>
      </c>
      <c r="D2655" s="109" t="s">
        <v>120</v>
      </c>
      <c r="E2655" s="109">
        <v>155</v>
      </c>
      <c r="F2655" s="110">
        <v>9818</v>
      </c>
      <c r="G2655" s="109" t="s">
        <v>120</v>
      </c>
      <c r="H2655" s="109">
        <v>63</v>
      </c>
      <c r="I2655" s="109">
        <v>628</v>
      </c>
      <c r="J2655" s="110">
        <v>895</v>
      </c>
    </row>
    <row r="2656" spans="1:10">
      <c r="A2656" s="103" t="s">
        <v>4464</v>
      </c>
      <c r="B2656" s="124" t="s">
        <v>4465</v>
      </c>
      <c r="C2656" s="110">
        <v>9486</v>
      </c>
      <c r="D2656" s="109" t="s">
        <v>120</v>
      </c>
      <c r="E2656" s="109">
        <v>95</v>
      </c>
      <c r="F2656" s="110">
        <v>6091</v>
      </c>
      <c r="G2656" s="109" t="s">
        <v>120</v>
      </c>
      <c r="H2656" s="109">
        <v>64</v>
      </c>
      <c r="I2656" s="109">
        <v>1471</v>
      </c>
      <c r="J2656" s="110">
        <v>1483</v>
      </c>
    </row>
    <row r="2657" spans="1:10">
      <c r="A2657" s="103" t="s">
        <v>4466</v>
      </c>
      <c r="B2657" s="124" t="s">
        <v>4467</v>
      </c>
      <c r="C2657" s="110">
        <v>9666</v>
      </c>
      <c r="D2657" s="109" t="s">
        <v>120</v>
      </c>
      <c r="E2657" s="109">
        <v>97</v>
      </c>
      <c r="F2657" s="110">
        <v>7036</v>
      </c>
      <c r="G2657" s="109" t="s">
        <v>120</v>
      </c>
      <c r="H2657" s="109">
        <v>73</v>
      </c>
      <c r="I2657" s="109">
        <v>1438</v>
      </c>
      <c r="J2657" s="110">
        <v>1290</v>
      </c>
    </row>
    <row r="2658" spans="1:10" s="119" customFormat="1">
      <c r="A2658" s="123" t="s">
        <v>120</v>
      </c>
      <c r="B2658" s="275" t="s">
        <v>929</v>
      </c>
      <c r="C2658" s="276"/>
      <c r="D2658" s="276"/>
      <c r="E2658" s="276"/>
      <c r="F2658" s="276"/>
      <c r="G2658" s="276"/>
      <c r="H2658" s="276"/>
      <c r="I2658" s="276"/>
      <c r="J2658" s="276"/>
    </row>
    <row r="2659" spans="1:10">
      <c r="A2659" s="103" t="s">
        <v>4468</v>
      </c>
      <c r="B2659" s="124" t="s">
        <v>4469</v>
      </c>
      <c r="C2659" s="110">
        <v>17084</v>
      </c>
      <c r="D2659" s="109" t="s">
        <v>120</v>
      </c>
      <c r="E2659" s="109">
        <v>171</v>
      </c>
      <c r="F2659" s="110">
        <v>24724</v>
      </c>
      <c r="G2659" s="109" t="s">
        <v>120</v>
      </c>
      <c r="H2659" s="109">
        <v>145</v>
      </c>
      <c r="I2659" s="109">
        <v>510</v>
      </c>
      <c r="J2659" s="110">
        <v>251</v>
      </c>
    </row>
    <row r="2660" spans="1:10">
      <c r="A2660" s="103" t="s">
        <v>4470</v>
      </c>
      <c r="B2660" s="124" t="s">
        <v>932</v>
      </c>
      <c r="C2660" s="110">
        <v>798</v>
      </c>
      <c r="D2660" s="109" t="s">
        <v>120</v>
      </c>
      <c r="E2660" s="109">
        <v>8</v>
      </c>
      <c r="F2660" s="110">
        <v>9004</v>
      </c>
      <c r="G2660" s="109" t="s">
        <v>120</v>
      </c>
      <c r="H2660" s="109">
        <v>1128</v>
      </c>
      <c r="I2660" s="109" t="s">
        <v>122</v>
      </c>
      <c r="J2660" s="110" t="s">
        <v>122</v>
      </c>
    </row>
    <row r="2661" spans="1:10">
      <c r="A2661" s="103" t="s">
        <v>4471</v>
      </c>
      <c r="B2661" s="124" t="s">
        <v>934</v>
      </c>
      <c r="C2661" s="110">
        <v>16286</v>
      </c>
      <c r="D2661" s="109" t="s">
        <v>120</v>
      </c>
      <c r="E2661" s="109">
        <v>163</v>
      </c>
      <c r="F2661" s="110">
        <v>15720</v>
      </c>
      <c r="G2661" s="109" t="s">
        <v>120</v>
      </c>
      <c r="H2661" s="109">
        <v>97</v>
      </c>
      <c r="I2661" s="109" t="s">
        <v>122</v>
      </c>
      <c r="J2661" s="110" t="s">
        <v>122</v>
      </c>
    </row>
    <row r="2662" spans="1:10" s="119" customFormat="1">
      <c r="A2662" s="123" t="s">
        <v>120</v>
      </c>
      <c r="B2662" s="273" t="s">
        <v>4472</v>
      </c>
      <c r="C2662" s="274"/>
      <c r="D2662" s="274"/>
      <c r="E2662" s="274"/>
      <c r="F2662" s="274"/>
      <c r="G2662" s="274"/>
      <c r="H2662" s="274"/>
      <c r="I2662" s="274"/>
      <c r="J2662" s="274"/>
    </row>
    <row r="2663" spans="1:10" s="119" customFormat="1">
      <c r="A2663" s="123" t="s">
        <v>120</v>
      </c>
      <c r="B2663" s="275" t="s">
        <v>943</v>
      </c>
      <c r="C2663" s="276"/>
      <c r="D2663" s="276"/>
      <c r="E2663" s="276"/>
      <c r="F2663" s="276"/>
      <c r="G2663" s="276"/>
      <c r="H2663" s="276"/>
      <c r="I2663" s="276"/>
      <c r="J2663" s="276"/>
    </row>
    <row r="2664" spans="1:10">
      <c r="A2664" s="103" t="s">
        <v>4473</v>
      </c>
      <c r="B2664" s="124" t="s">
        <v>4474</v>
      </c>
      <c r="C2664" s="110">
        <v>7735</v>
      </c>
      <c r="D2664" s="109" t="s">
        <v>120</v>
      </c>
      <c r="E2664" s="109">
        <v>77</v>
      </c>
      <c r="F2664" s="110">
        <v>13464</v>
      </c>
      <c r="G2664" s="109" t="s">
        <v>120</v>
      </c>
      <c r="H2664" s="109">
        <v>174</v>
      </c>
      <c r="I2664" s="109">
        <v>1743</v>
      </c>
      <c r="J2664" s="110">
        <v>594</v>
      </c>
    </row>
    <row r="2665" spans="1:10">
      <c r="A2665" s="103" t="s">
        <v>4475</v>
      </c>
      <c r="B2665" s="124" t="s">
        <v>4476</v>
      </c>
      <c r="C2665" s="110">
        <v>16586</v>
      </c>
      <c r="D2665" s="109" t="s">
        <v>120</v>
      </c>
      <c r="E2665" s="109">
        <v>166</v>
      </c>
      <c r="F2665" s="110">
        <v>2185</v>
      </c>
      <c r="G2665" s="109" t="s">
        <v>120</v>
      </c>
      <c r="H2665" s="109">
        <v>13</v>
      </c>
      <c r="I2665" s="109">
        <v>551</v>
      </c>
      <c r="J2665" s="110">
        <v>2286</v>
      </c>
    </row>
    <row r="2666" spans="1:10">
      <c r="A2666" s="103" t="s">
        <v>4477</v>
      </c>
      <c r="B2666" s="124" t="s">
        <v>4478</v>
      </c>
      <c r="C2666" s="110">
        <v>9306</v>
      </c>
      <c r="D2666" s="109" t="s">
        <v>120</v>
      </c>
      <c r="E2666" s="109">
        <v>93</v>
      </c>
      <c r="F2666" s="110">
        <v>11207</v>
      </c>
      <c r="G2666" s="109" t="s">
        <v>120</v>
      </c>
      <c r="H2666" s="109">
        <v>120</v>
      </c>
      <c r="I2666" s="109">
        <v>1500</v>
      </c>
      <c r="J2666" s="110">
        <v>767</v>
      </c>
    </row>
    <row r="2667" spans="1:10">
      <c r="A2667" s="103" t="s">
        <v>4479</v>
      </c>
      <c r="B2667" s="124" t="s">
        <v>4480</v>
      </c>
      <c r="C2667" s="110">
        <v>1631</v>
      </c>
      <c r="D2667" s="109" t="s">
        <v>120</v>
      </c>
      <c r="E2667" s="109">
        <v>16</v>
      </c>
      <c r="F2667" s="110">
        <v>5613</v>
      </c>
      <c r="G2667" s="109" t="s">
        <v>120</v>
      </c>
      <c r="H2667" s="109">
        <v>344</v>
      </c>
      <c r="I2667" s="109">
        <v>2269</v>
      </c>
      <c r="J2667" s="110">
        <v>1589</v>
      </c>
    </row>
    <row r="2668" spans="1:10">
      <c r="A2668" s="103" t="s">
        <v>4481</v>
      </c>
      <c r="B2668" s="124" t="s">
        <v>4482</v>
      </c>
      <c r="C2668" s="110">
        <v>5132</v>
      </c>
      <c r="D2668" s="109" t="s">
        <v>120</v>
      </c>
      <c r="E2668" s="109">
        <v>51</v>
      </c>
      <c r="F2668" s="110">
        <v>13691</v>
      </c>
      <c r="G2668" s="109" t="s">
        <v>120</v>
      </c>
      <c r="H2668" s="109">
        <v>267</v>
      </c>
      <c r="I2668" s="109">
        <v>2008</v>
      </c>
      <c r="J2668" s="110">
        <v>583</v>
      </c>
    </row>
    <row r="2669" spans="1:10">
      <c r="A2669" s="103" t="s">
        <v>4483</v>
      </c>
      <c r="B2669" s="124" t="s">
        <v>4484</v>
      </c>
      <c r="C2669" s="110">
        <v>8337</v>
      </c>
      <c r="D2669" s="109" t="s">
        <v>120</v>
      </c>
      <c r="E2669" s="109">
        <v>83</v>
      </c>
      <c r="F2669" s="110">
        <v>9329</v>
      </c>
      <c r="G2669" s="109" t="s">
        <v>120</v>
      </c>
      <c r="H2669" s="109">
        <v>112</v>
      </c>
      <c r="I2669" s="109">
        <v>1648</v>
      </c>
      <c r="J2669" s="110">
        <v>938</v>
      </c>
    </row>
    <row r="2670" spans="1:10" s="119" customFormat="1">
      <c r="A2670" s="123" t="s">
        <v>120</v>
      </c>
      <c r="B2670" s="275" t="s">
        <v>1047</v>
      </c>
      <c r="C2670" s="276"/>
      <c r="D2670" s="276"/>
      <c r="E2670" s="276"/>
      <c r="F2670" s="276"/>
      <c r="G2670" s="276"/>
      <c r="H2670" s="276"/>
      <c r="I2670" s="276"/>
      <c r="J2670" s="276"/>
    </row>
    <row r="2671" spans="1:10">
      <c r="A2671" s="103" t="s">
        <v>4485</v>
      </c>
      <c r="B2671" s="124" t="s">
        <v>4486</v>
      </c>
      <c r="C2671" s="110">
        <v>23514</v>
      </c>
      <c r="D2671" s="109" t="s">
        <v>120</v>
      </c>
      <c r="E2671" s="109">
        <v>235</v>
      </c>
      <c r="F2671" s="110">
        <v>14554</v>
      </c>
      <c r="G2671" s="109" t="s">
        <v>120</v>
      </c>
      <c r="H2671" s="109">
        <v>62</v>
      </c>
      <c r="I2671" s="109">
        <v>216</v>
      </c>
      <c r="J2671" s="110">
        <v>539</v>
      </c>
    </row>
    <row r="2672" spans="1:10">
      <c r="A2672" s="103" t="s">
        <v>4487</v>
      </c>
      <c r="B2672" s="124" t="s">
        <v>932</v>
      </c>
      <c r="C2672" s="110">
        <v>548</v>
      </c>
      <c r="D2672" s="109" t="s">
        <v>120</v>
      </c>
      <c r="E2672" s="109">
        <v>5</v>
      </c>
      <c r="F2672" s="110">
        <v>2070</v>
      </c>
      <c r="G2672" s="109" t="s">
        <v>120</v>
      </c>
      <c r="H2672" s="109">
        <v>378</v>
      </c>
      <c r="I2672" s="109" t="s">
        <v>122</v>
      </c>
      <c r="J2672" s="110" t="s">
        <v>122</v>
      </c>
    </row>
    <row r="2673" spans="1:10">
      <c r="A2673" s="103" t="s">
        <v>4488</v>
      </c>
      <c r="B2673" s="124" t="s">
        <v>934</v>
      </c>
      <c r="C2673" s="110">
        <v>22966</v>
      </c>
      <c r="D2673" s="109" t="s">
        <v>120</v>
      </c>
      <c r="E2673" s="109">
        <v>230</v>
      </c>
      <c r="F2673" s="110">
        <v>12484</v>
      </c>
      <c r="G2673" s="109" t="s">
        <v>120</v>
      </c>
      <c r="H2673" s="109">
        <v>54</v>
      </c>
      <c r="I2673" s="109" t="s">
        <v>122</v>
      </c>
      <c r="J2673" s="110" t="s">
        <v>122</v>
      </c>
    </row>
    <row r="2674" spans="1:10">
      <c r="A2674" s="103" t="s">
        <v>4489</v>
      </c>
      <c r="B2674" s="124" t="s">
        <v>4490</v>
      </c>
      <c r="C2674" s="110">
        <v>4550</v>
      </c>
      <c r="D2674" s="109" t="s">
        <v>120</v>
      </c>
      <c r="E2674" s="109">
        <v>46</v>
      </c>
      <c r="F2674" s="110">
        <v>10886</v>
      </c>
      <c r="G2674" s="109" t="s">
        <v>120</v>
      </c>
      <c r="H2674" s="109">
        <v>239</v>
      </c>
      <c r="I2674" s="109">
        <v>2059</v>
      </c>
      <c r="J2674" s="110">
        <v>790</v>
      </c>
    </row>
    <row r="2675" spans="1:10">
      <c r="A2675" s="103" t="s">
        <v>4491</v>
      </c>
      <c r="B2675" s="124" t="s">
        <v>932</v>
      </c>
      <c r="C2675" s="110">
        <v>589</v>
      </c>
      <c r="D2675" s="109" t="s">
        <v>120</v>
      </c>
      <c r="E2675" s="109">
        <v>6</v>
      </c>
      <c r="F2675" s="110">
        <v>1789</v>
      </c>
      <c r="G2675" s="109" t="s">
        <v>120</v>
      </c>
      <c r="H2675" s="109">
        <v>304</v>
      </c>
      <c r="I2675" s="109" t="s">
        <v>122</v>
      </c>
      <c r="J2675" s="110" t="s">
        <v>122</v>
      </c>
    </row>
    <row r="2676" spans="1:10">
      <c r="A2676" s="103" t="s">
        <v>4492</v>
      </c>
      <c r="B2676" s="124" t="s">
        <v>934</v>
      </c>
      <c r="C2676" s="110">
        <v>3961</v>
      </c>
      <c r="D2676" s="109" t="s">
        <v>120</v>
      </c>
      <c r="E2676" s="109">
        <v>40</v>
      </c>
      <c r="F2676" s="110">
        <v>9097</v>
      </c>
      <c r="G2676" s="109" t="s">
        <v>120</v>
      </c>
      <c r="H2676" s="109">
        <v>230</v>
      </c>
      <c r="I2676" s="109" t="s">
        <v>122</v>
      </c>
      <c r="J2676" s="110" t="s">
        <v>122</v>
      </c>
    </row>
    <row r="2677" spans="1:10">
      <c r="A2677" s="103" t="s">
        <v>4493</v>
      </c>
      <c r="B2677" s="124" t="s">
        <v>4494</v>
      </c>
      <c r="C2677" s="110">
        <v>5857</v>
      </c>
      <c r="D2677" s="109" t="s">
        <v>120</v>
      </c>
      <c r="E2677" s="109">
        <v>59</v>
      </c>
      <c r="F2677" s="110">
        <v>15432</v>
      </c>
      <c r="G2677" s="109" t="s">
        <v>120</v>
      </c>
      <c r="H2677" s="109">
        <v>263</v>
      </c>
      <c r="I2677" s="109">
        <v>1955</v>
      </c>
      <c r="J2677" s="110">
        <v>499</v>
      </c>
    </row>
    <row r="2678" spans="1:10">
      <c r="A2678" s="103" t="s">
        <v>4495</v>
      </c>
      <c r="B2678" s="124" t="s">
        <v>932</v>
      </c>
      <c r="C2678" s="110">
        <v>1060</v>
      </c>
      <c r="D2678" s="109" t="s">
        <v>120</v>
      </c>
      <c r="E2678" s="109">
        <v>11</v>
      </c>
      <c r="F2678" s="110">
        <v>5717</v>
      </c>
      <c r="G2678" s="109" t="s">
        <v>120</v>
      </c>
      <c r="H2678" s="109">
        <v>539</v>
      </c>
      <c r="I2678" s="109" t="s">
        <v>122</v>
      </c>
      <c r="J2678" s="110" t="s">
        <v>122</v>
      </c>
    </row>
    <row r="2679" spans="1:10">
      <c r="A2679" s="103" t="s">
        <v>4496</v>
      </c>
      <c r="B2679" s="124" t="s">
        <v>934</v>
      </c>
      <c r="C2679" s="110">
        <v>4797</v>
      </c>
      <c r="D2679" s="109" t="s">
        <v>120</v>
      </c>
      <c r="E2679" s="109">
        <v>48</v>
      </c>
      <c r="F2679" s="110">
        <v>9715</v>
      </c>
      <c r="G2679" s="109" t="s">
        <v>120</v>
      </c>
      <c r="H2679" s="109">
        <v>203</v>
      </c>
      <c r="I2679" s="109" t="s">
        <v>122</v>
      </c>
      <c r="J2679" s="110" t="s">
        <v>122</v>
      </c>
    </row>
    <row r="2680" spans="1:10">
      <c r="A2680" s="103" t="s">
        <v>4497</v>
      </c>
      <c r="B2680" s="124" t="s">
        <v>4498</v>
      </c>
      <c r="C2680" s="110">
        <v>16663</v>
      </c>
      <c r="D2680" s="109" t="s">
        <v>120</v>
      </c>
      <c r="E2680" s="109">
        <v>167</v>
      </c>
      <c r="F2680" s="110">
        <v>15922</v>
      </c>
      <c r="G2680" s="109" t="s">
        <v>120</v>
      </c>
      <c r="H2680" s="109">
        <v>96</v>
      </c>
      <c r="I2680" s="109">
        <v>545</v>
      </c>
      <c r="J2680" s="110">
        <v>476</v>
      </c>
    </row>
    <row r="2681" spans="1:10">
      <c r="A2681" s="103" t="s">
        <v>4499</v>
      </c>
      <c r="B2681" s="124" t="s">
        <v>932</v>
      </c>
      <c r="C2681" s="110">
        <v>1239</v>
      </c>
      <c r="D2681" s="109" t="s">
        <v>120</v>
      </c>
      <c r="E2681" s="109">
        <v>12</v>
      </c>
      <c r="F2681" s="110">
        <v>3816</v>
      </c>
      <c r="G2681" s="109" t="s">
        <v>120</v>
      </c>
      <c r="H2681" s="109">
        <v>308</v>
      </c>
      <c r="I2681" s="109" t="s">
        <v>122</v>
      </c>
      <c r="J2681" s="110" t="s">
        <v>122</v>
      </c>
    </row>
    <row r="2682" spans="1:10">
      <c r="A2682" s="103" t="s">
        <v>4500</v>
      </c>
      <c r="B2682" s="124" t="s">
        <v>934</v>
      </c>
      <c r="C2682" s="110">
        <v>15424</v>
      </c>
      <c r="D2682" s="109" t="s">
        <v>120</v>
      </c>
      <c r="E2682" s="109">
        <v>155</v>
      </c>
      <c r="F2682" s="110">
        <v>12106</v>
      </c>
      <c r="G2682" s="109" t="s">
        <v>120</v>
      </c>
      <c r="H2682" s="109">
        <v>78</v>
      </c>
      <c r="I2682" s="109" t="s">
        <v>122</v>
      </c>
      <c r="J2682" s="110" t="s">
        <v>122</v>
      </c>
    </row>
    <row r="2683" spans="1:10" s="119" customFormat="1">
      <c r="A2683" s="123" t="s">
        <v>120</v>
      </c>
      <c r="B2683" s="273" t="s">
        <v>4501</v>
      </c>
      <c r="C2683" s="274"/>
      <c r="D2683" s="274"/>
      <c r="E2683" s="274"/>
      <c r="F2683" s="274"/>
      <c r="G2683" s="274"/>
      <c r="H2683" s="274"/>
      <c r="I2683" s="274"/>
      <c r="J2683" s="274"/>
    </row>
    <row r="2684" spans="1:10" s="119" customFormat="1">
      <c r="A2684" s="123" t="s">
        <v>120</v>
      </c>
      <c r="B2684" s="275" t="s">
        <v>1022</v>
      </c>
      <c r="C2684" s="276"/>
      <c r="D2684" s="276"/>
      <c r="E2684" s="276"/>
      <c r="F2684" s="276"/>
      <c r="G2684" s="276"/>
      <c r="H2684" s="276"/>
      <c r="I2684" s="276"/>
      <c r="J2684" s="276"/>
    </row>
    <row r="2685" spans="1:10">
      <c r="A2685" s="103" t="s">
        <v>4502</v>
      </c>
      <c r="B2685" s="124" t="s">
        <v>4503</v>
      </c>
      <c r="C2685" s="110">
        <v>15823</v>
      </c>
      <c r="D2685" s="109" t="s">
        <v>120</v>
      </c>
      <c r="E2685" s="109">
        <v>158</v>
      </c>
      <c r="F2685" s="110">
        <v>3161</v>
      </c>
      <c r="G2685" s="109" t="s">
        <v>120</v>
      </c>
      <c r="H2685" s="109">
        <v>20</v>
      </c>
      <c r="I2685" s="109">
        <v>615</v>
      </c>
      <c r="J2685" s="110">
        <v>2172</v>
      </c>
    </row>
    <row r="2686" spans="1:10">
      <c r="A2686" s="103" t="s">
        <v>4504</v>
      </c>
      <c r="B2686" s="124" t="s">
        <v>4505</v>
      </c>
      <c r="C2686" s="110">
        <v>28726</v>
      </c>
      <c r="D2686" s="109" t="s">
        <v>120</v>
      </c>
      <c r="E2686" s="109">
        <v>287</v>
      </c>
      <c r="F2686" s="110">
        <v>1740</v>
      </c>
      <c r="G2686" s="105" t="s">
        <v>1075</v>
      </c>
      <c r="H2686" s="109">
        <v>6</v>
      </c>
      <c r="I2686" s="109">
        <v>118</v>
      </c>
      <c r="J2686" s="110">
        <v>2302</v>
      </c>
    </row>
    <row r="2687" spans="1:10">
      <c r="A2687" s="103" t="s">
        <v>4506</v>
      </c>
      <c r="B2687" s="124" t="s">
        <v>4507</v>
      </c>
      <c r="C2687" s="110">
        <v>9354</v>
      </c>
      <c r="D2687" s="109" t="s">
        <v>120</v>
      </c>
      <c r="E2687" s="109">
        <v>94</v>
      </c>
      <c r="F2687" s="110">
        <v>4894</v>
      </c>
      <c r="G2687" s="109" t="s">
        <v>120</v>
      </c>
      <c r="H2687" s="109">
        <v>52</v>
      </c>
      <c r="I2687" s="109">
        <v>1492</v>
      </c>
      <c r="J2687" s="110">
        <v>1767</v>
      </c>
    </row>
    <row r="2688" spans="1:10">
      <c r="A2688" s="103" t="s">
        <v>4508</v>
      </c>
      <c r="B2688" s="124" t="s">
        <v>4509</v>
      </c>
      <c r="C2688" s="110">
        <v>18452</v>
      </c>
      <c r="D2688" s="109" t="s">
        <v>120</v>
      </c>
      <c r="E2688" s="109">
        <v>185</v>
      </c>
      <c r="F2688" s="110">
        <v>5327</v>
      </c>
      <c r="G2688" s="109" t="s">
        <v>120</v>
      </c>
      <c r="H2688" s="109">
        <v>29</v>
      </c>
      <c r="I2688" s="109">
        <v>428</v>
      </c>
      <c r="J2688" s="110">
        <v>1656</v>
      </c>
    </row>
    <row r="2689" spans="1:10" s="119" customFormat="1">
      <c r="A2689" s="123" t="s">
        <v>120</v>
      </c>
      <c r="B2689" s="275" t="s">
        <v>2572</v>
      </c>
      <c r="C2689" s="276"/>
      <c r="D2689" s="276"/>
      <c r="E2689" s="276"/>
      <c r="F2689" s="276"/>
      <c r="G2689" s="276"/>
      <c r="H2689" s="276"/>
      <c r="I2689" s="276"/>
      <c r="J2689" s="276"/>
    </row>
    <row r="2690" spans="1:10">
      <c r="A2690" s="103" t="s">
        <v>4510</v>
      </c>
      <c r="B2690" s="124" t="s">
        <v>4511</v>
      </c>
      <c r="C2690" s="110">
        <v>11139</v>
      </c>
      <c r="D2690" s="109" t="s">
        <v>120</v>
      </c>
      <c r="E2690" s="109">
        <v>111</v>
      </c>
      <c r="F2690" s="110">
        <v>11319</v>
      </c>
      <c r="G2690" s="109" t="s">
        <v>120</v>
      </c>
      <c r="H2690" s="109">
        <v>102</v>
      </c>
      <c r="I2690" s="109">
        <v>1193</v>
      </c>
      <c r="J2690" s="110">
        <v>756</v>
      </c>
    </row>
    <row r="2691" spans="1:10">
      <c r="A2691" s="103" t="s">
        <v>4512</v>
      </c>
      <c r="B2691" s="124" t="s">
        <v>932</v>
      </c>
      <c r="C2691" s="110">
        <v>1533</v>
      </c>
      <c r="D2691" s="109" t="s">
        <v>120</v>
      </c>
      <c r="E2691" s="109">
        <v>15</v>
      </c>
      <c r="F2691" s="110">
        <v>5432</v>
      </c>
      <c r="G2691" s="109" t="s">
        <v>120</v>
      </c>
      <c r="H2691" s="109">
        <v>354</v>
      </c>
      <c r="I2691" s="109" t="s">
        <v>122</v>
      </c>
      <c r="J2691" s="110" t="s">
        <v>122</v>
      </c>
    </row>
    <row r="2692" spans="1:10">
      <c r="A2692" s="103" t="s">
        <v>4513</v>
      </c>
      <c r="B2692" s="124" t="s">
        <v>934</v>
      </c>
      <c r="C2692" s="110">
        <v>9606</v>
      </c>
      <c r="D2692" s="109" t="s">
        <v>120</v>
      </c>
      <c r="E2692" s="109">
        <v>96</v>
      </c>
      <c r="F2692" s="110">
        <v>5887</v>
      </c>
      <c r="G2692" s="109" t="s">
        <v>120</v>
      </c>
      <c r="H2692" s="109">
        <v>61</v>
      </c>
      <c r="I2692" s="109" t="s">
        <v>122</v>
      </c>
      <c r="J2692" s="110" t="s">
        <v>122</v>
      </c>
    </row>
    <row r="2693" spans="1:10" s="119" customFormat="1">
      <c r="A2693" s="123" t="s">
        <v>120</v>
      </c>
      <c r="B2693" s="273" t="s">
        <v>4514</v>
      </c>
      <c r="C2693" s="274"/>
      <c r="D2693" s="274"/>
      <c r="E2693" s="274"/>
      <c r="F2693" s="274"/>
      <c r="G2693" s="274"/>
      <c r="H2693" s="274"/>
      <c r="I2693" s="274"/>
      <c r="J2693" s="274"/>
    </row>
    <row r="2694" spans="1:10" s="119" customFormat="1">
      <c r="A2694" s="123" t="s">
        <v>120</v>
      </c>
      <c r="B2694" s="275" t="s">
        <v>957</v>
      </c>
      <c r="C2694" s="276"/>
      <c r="D2694" s="276"/>
      <c r="E2694" s="276"/>
      <c r="F2694" s="276"/>
      <c r="G2694" s="276"/>
      <c r="H2694" s="276"/>
      <c r="I2694" s="276"/>
      <c r="J2694" s="276"/>
    </row>
    <row r="2695" spans="1:10">
      <c r="A2695" s="103" t="s">
        <v>4515</v>
      </c>
      <c r="B2695" s="124" t="s">
        <v>4516</v>
      </c>
      <c r="C2695" s="110">
        <v>2058</v>
      </c>
      <c r="D2695" s="109" t="s">
        <v>120</v>
      </c>
      <c r="E2695" s="109">
        <v>21</v>
      </c>
      <c r="F2695" s="110">
        <v>13799</v>
      </c>
      <c r="G2695" s="109" t="s">
        <v>120</v>
      </c>
      <c r="H2695" s="109">
        <v>671</v>
      </c>
      <c r="I2695" s="109">
        <v>2232</v>
      </c>
      <c r="J2695" s="110">
        <v>577</v>
      </c>
    </row>
    <row r="2696" spans="1:10" s="119" customFormat="1">
      <c r="A2696" s="123" t="s">
        <v>120</v>
      </c>
      <c r="B2696" s="275" t="s">
        <v>943</v>
      </c>
      <c r="C2696" s="276"/>
      <c r="D2696" s="276"/>
      <c r="E2696" s="276"/>
      <c r="F2696" s="276"/>
      <c r="G2696" s="276"/>
      <c r="H2696" s="276"/>
      <c r="I2696" s="276"/>
      <c r="J2696" s="276"/>
    </row>
    <row r="2697" spans="1:10">
      <c r="A2697" s="103" t="s">
        <v>4517</v>
      </c>
      <c r="B2697" s="124" t="s">
        <v>4518</v>
      </c>
      <c r="C2697" s="110">
        <v>7857</v>
      </c>
      <c r="D2697" s="109" t="s">
        <v>120</v>
      </c>
      <c r="E2697" s="109">
        <v>79</v>
      </c>
      <c r="F2697" s="110">
        <v>8026</v>
      </c>
      <c r="G2697" s="109" t="s">
        <v>120</v>
      </c>
      <c r="H2697" s="109">
        <v>102</v>
      </c>
      <c r="I2697" s="109">
        <v>1722</v>
      </c>
      <c r="J2697" s="110">
        <v>1119</v>
      </c>
    </row>
    <row r="2698" spans="1:10">
      <c r="A2698" s="103" t="s">
        <v>4519</v>
      </c>
      <c r="B2698" s="124" t="s">
        <v>4520</v>
      </c>
      <c r="C2698" s="110">
        <v>14194</v>
      </c>
      <c r="D2698" s="109" t="s">
        <v>120</v>
      </c>
      <c r="E2698" s="109">
        <v>142</v>
      </c>
      <c r="F2698" s="110">
        <v>5709</v>
      </c>
      <c r="G2698" s="109" t="s">
        <v>120</v>
      </c>
      <c r="H2698" s="109">
        <v>40</v>
      </c>
      <c r="I2698" s="109">
        <v>758</v>
      </c>
      <c r="J2698" s="110">
        <v>1576</v>
      </c>
    </row>
    <row r="2699" spans="1:10">
      <c r="A2699" s="103" t="s">
        <v>4521</v>
      </c>
      <c r="B2699" s="124" t="s">
        <v>4516</v>
      </c>
      <c r="C2699" s="110">
        <v>19889</v>
      </c>
      <c r="D2699" s="109" t="s">
        <v>120</v>
      </c>
      <c r="E2699" s="109">
        <v>198</v>
      </c>
      <c r="F2699" s="110">
        <v>20257</v>
      </c>
      <c r="G2699" s="109" t="s">
        <v>120</v>
      </c>
      <c r="H2699" s="109">
        <v>102</v>
      </c>
      <c r="I2699" s="109">
        <v>351</v>
      </c>
      <c r="J2699" s="110">
        <v>335</v>
      </c>
    </row>
    <row r="2700" spans="1:10" s="119" customFormat="1">
      <c r="A2700" s="123" t="s">
        <v>120</v>
      </c>
      <c r="B2700" s="275" t="s">
        <v>929</v>
      </c>
      <c r="C2700" s="276"/>
      <c r="D2700" s="276"/>
      <c r="E2700" s="276"/>
      <c r="F2700" s="276"/>
      <c r="G2700" s="276"/>
      <c r="H2700" s="276"/>
      <c r="I2700" s="276"/>
      <c r="J2700" s="276"/>
    </row>
    <row r="2701" spans="1:10">
      <c r="A2701" s="103" t="s">
        <v>4522</v>
      </c>
      <c r="B2701" s="124" t="s">
        <v>4523</v>
      </c>
      <c r="C2701" s="110">
        <v>14373</v>
      </c>
      <c r="D2701" s="109" t="s">
        <v>120</v>
      </c>
      <c r="E2701" s="109">
        <v>144</v>
      </c>
      <c r="F2701" s="110">
        <v>21579</v>
      </c>
      <c r="G2701" s="109" t="s">
        <v>120</v>
      </c>
      <c r="H2701" s="109">
        <v>150</v>
      </c>
      <c r="I2701" s="109">
        <v>745</v>
      </c>
      <c r="J2701" s="110">
        <v>313</v>
      </c>
    </row>
    <row r="2702" spans="1:10">
      <c r="A2702" s="103" t="s">
        <v>4524</v>
      </c>
      <c r="B2702" s="124" t="s">
        <v>932</v>
      </c>
      <c r="C2702" s="110">
        <v>915</v>
      </c>
      <c r="D2702" s="109" t="s">
        <v>120</v>
      </c>
      <c r="E2702" s="109">
        <v>9</v>
      </c>
      <c r="F2702" s="110">
        <v>5798</v>
      </c>
      <c r="G2702" s="109" t="s">
        <v>120</v>
      </c>
      <c r="H2702" s="109">
        <v>634</v>
      </c>
      <c r="I2702" s="109" t="s">
        <v>122</v>
      </c>
      <c r="J2702" s="110" t="s">
        <v>122</v>
      </c>
    </row>
    <row r="2703" spans="1:10">
      <c r="A2703" s="103" t="s">
        <v>4525</v>
      </c>
      <c r="B2703" s="124" t="s">
        <v>934</v>
      </c>
      <c r="C2703" s="110">
        <v>13458</v>
      </c>
      <c r="D2703" s="109" t="s">
        <v>120</v>
      </c>
      <c r="E2703" s="109">
        <v>135</v>
      </c>
      <c r="F2703" s="110">
        <v>15781</v>
      </c>
      <c r="G2703" s="109" t="s">
        <v>120</v>
      </c>
      <c r="H2703" s="109">
        <v>117</v>
      </c>
      <c r="I2703" s="109" t="s">
        <v>122</v>
      </c>
      <c r="J2703" s="110" t="s">
        <v>122</v>
      </c>
    </row>
    <row r="2704" spans="1:10" s="119" customFormat="1">
      <c r="A2704" s="123" t="s">
        <v>120</v>
      </c>
      <c r="B2704" s="273" t="s">
        <v>4526</v>
      </c>
      <c r="C2704" s="274"/>
      <c r="D2704" s="274"/>
      <c r="E2704" s="274"/>
      <c r="F2704" s="274"/>
      <c r="G2704" s="274"/>
      <c r="H2704" s="274"/>
      <c r="I2704" s="274"/>
      <c r="J2704" s="274"/>
    </row>
    <row r="2705" spans="1:10" s="119" customFormat="1">
      <c r="A2705" s="123" t="s">
        <v>120</v>
      </c>
      <c r="B2705" s="275" t="s">
        <v>922</v>
      </c>
      <c r="C2705" s="276"/>
      <c r="D2705" s="276"/>
      <c r="E2705" s="276"/>
      <c r="F2705" s="276"/>
      <c r="G2705" s="276"/>
      <c r="H2705" s="276"/>
      <c r="I2705" s="276"/>
      <c r="J2705" s="276"/>
    </row>
    <row r="2706" spans="1:10">
      <c r="A2706" s="103" t="s">
        <v>4527</v>
      </c>
      <c r="B2706" s="124" t="s">
        <v>4528</v>
      </c>
      <c r="C2706" s="110">
        <v>2573</v>
      </c>
      <c r="D2706" s="109" t="s">
        <v>120</v>
      </c>
      <c r="E2706" s="109">
        <v>26</v>
      </c>
      <c r="F2706" s="110">
        <v>11970</v>
      </c>
      <c r="G2706" s="109" t="s">
        <v>120</v>
      </c>
      <c r="H2706" s="109">
        <v>465</v>
      </c>
      <c r="I2706" s="109">
        <v>2193</v>
      </c>
      <c r="J2706" s="110">
        <v>699</v>
      </c>
    </row>
    <row r="2707" spans="1:10" s="119" customFormat="1">
      <c r="A2707" s="123" t="s">
        <v>120</v>
      </c>
      <c r="B2707" s="275" t="s">
        <v>1022</v>
      </c>
      <c r="C2707" s="276"/>
      <c r="D2707" s="276"/>
      <c r="E2707" s="276"/>
      <c r="F2707" s="276"/>
      <c r="G2707" s="276"/>
      <c r="H2707" s="276"/>
      <c r="I2707" s="276"/>
      <c r="J2707" s="276"/>
    </row>
    <row r="2708" spans="1:10">
      <c r="A2708" s="103" t="s">
        <v>4529</v>
      </c>
      <c r="B2708" s="124" t="s">
        <v>4530</v>
      </c>
      <c r="C2708" s="110">
        <v>20310</v>
      </c>
      <c r="D2708" s="109" t="s">
        <v>120</v>
      </c>
      <c r="E2708" s="109">
        <v>203</v>
      </c>
      <c r="F2708" s="110">
        <v>4659</v>
      </c>
      <c r="G2708" s="109" t="s">
        <v>120</v>
      </c>
      <c r="H2708" s="109">
        <v>23</v>
      </c>
      <c r="I2708" s="109">
        <v>328</v>
      </c>
      <c r="J2708" s="110">
        <v>1825</v>
      </c>
    </row>
    <row r="2709" spans="1:10">
      <c r="A2709" s="103" t="s">
        <v>4531</v>
      </c>
      <c r="B2709" s="124" t="s">
        <v>4532</v>
      </c>
      <c r="C2709" s="110">
        <v>20285</v>
      </c>
      <c r="D2709" s="109" t="s">
        <v>120</v>
      </c>
      <c r="E2709" s="109">
        <v>203</v>
      </c>
      <c r="F2709" s="110">
        <v>9187</v>
      </c>
      <c r="G2709" s="109" t="s">
        <v>120</v>
      </c>
      <c r="H2709" s="109">
        <v>45</v>
      </c>
      <c r="I2709" s="109">
        <v>331</v>
      </c>
      <c r="J2709" s="110">
        <v>955</v>
      </c>
    </row>
    <row r="2710" spans="1:10">
      <c r="A2710" s="103" t="s">
        <v>4533</v>
      </c>
      <c r="B2710" s="124" t="s">
        <v>4534</v>
      </c>
      <c r="C2710" s="110">
        <v>15570</v>
      </c>
      <c r="D2710" s="109" t="s">
        <v>120</v>
      </c>
      <c r="E2710" s="109">
        <v>156</v>
      </c>
      <c r="F2710" s="110">
        <v>4143</v>
      </c>
      <c r="G2710" s="109" t="s">
        <v>120</v>
      </c>
      <c r="H2710" s="109">
        <v>27</v>
      </c>
      <c r="I2710" s="109">
        <v>626</v>
      </c>
      <c r="J2710" s="110">
        <v>1963</v>
      </c>
    </row>
    <row r="2711" spans="1:10">
      <c r="A2711" s="103" t="s">
        <v>4535</v>
      </c>
      <c r="B2711" s="124" t="s">
        <v>4536</v>
      </c>
      <c r="C2711" s="110">
        <v>14624</v>
      </c>
      <c r="D2711" s="109" t="s">
        <v>120</v>
      </c>
      <c r="E2711" s="109">
        <v>146</v>
      </c>
      <c r="F2711" s="110">
        <v>3818</v>
      </c>
      <c r="G2711" s="109" t="s">
        <v>120</v>
      </c>
      <c r="H2711" s="109">
        <v>26</v>
      </c>
      <c r="I2711" s="109">
        <v>714</v>
      </c>
      <c r="J2711" s="110">
        <v>2040</v>
      </c>
    </row>
    <row r="2712" spans="1:10" s="119" customFormat="1">
      <c r="A2712" s="123" t="s">
        <v>120</v>
      </c>
      <c r="B2712" s="275" t="s">
        <v>1047</v>
      </c>
      <c r="C2712" s="276"/>
      <c r="D2712" s="276"/>
      <c r="E2712" s="276"/>
      <c r="F2712" s="276"/>
      <c r="G2712" s="276"/>
      <c r="H2712" s="276"/>
      <c r="I2712" s="276"/>
      <c r="J2712" s="276"/>
    </row>
    <row r="2713" spans="1:10">
      <c r="A2713" s="103" t="s">
        <v>4537</v>
      </c>
      <c r="B2713" s="124" t="s">
        <v>4538</v>
      </c>
      <c r="C2713" s="110">
        <v>21944</v>
      </c>
      <c r="D2713" s="109" t="s">
        <v>120</v>
      </c>
      <c r="E2713" s="109">
        <v>219</v>
      </c>
      <c r="F2713" s="110">
        <v>7141</v>
      </c>
      <c r="G2713" s="109" t="s">
        <v>120</v>
      </c>
      <c r="H2713" s="109">
        <v>33</v>
      </c>
      <c r="I2713" s="109">
        <v>260</v>
      </c>
      <c r="J2713" s="110">
        <v>1269</v>
      </c>
    </row>
    <row r="2714" spans="1:10">
      <c r="A2714" s="103" t="s">
        <v>4539</v>
      </c>
      <c r="B2714" s="124" t="s">
        <v>932</v>
      </c>
      <c r="C2714" s="110">
        <v>1506</v>
      </c>
      <c r="D2714" s="109" t="s">
        <v>120</v>
      </c>
      <c r="E2714" s="109">
        <v>15</v>
      </c>
      <c r="F2714" s="110">
        <v>1909</v>
      </c>
      <c r="G2714" s="109" t="s">
        <v>120</v>
      </c>
      <c r="H2714" s="109">
        <v>127</v>
      </c>
      <c r="I2714" s="109" t="s">
        <v>122</v>
      </c>
      <c r="J2714" s="110" t="s">
        <v>122</v>
      </c>
    </row>
    <row r="2715" spans="1:10">
      <c r="A2715" s="103" t="s">
        <v>4540</v>
      </c>
      <c r="B2715" s="124" t="s">
        <v>934</v>
      </c>
      <c r="C2715" s="110">
        <v>20438</v>
      </c>
      <c r="D2715" s="109" t="s">
        <v>120</v>
      </c>
      <c r="E2715" s="109">
        <v>204</v>
      </c>
      <c r="F2715" s="110">
        <v>5232</v>
      </c>
      <c r="G2715" s="109" t="s">
        <v>120</v>
      </c>
      <c r="H2715" s="109">
        <v>26</v>
      </c>
      <c r="I2715" s="109" t="s">
        <v>122</v>
      </c>
      <c r="J2715" s="110" t="s">
        <v>122</v>
      </c>
    </row>
    <row r="2716" spans="1:10">
      <c r="A2716" s="103" t="s">
        <v>4541</v>
      </c>
      <c r="B2716" s="124" t="s">
        <v>4542</v>
      </c>
      <c r="C2716" s="110">
        <v>20347</v>
      </c>
      <c r="D2716" s="109" t="s">
        <v>120</v>
      </c>
      <c r="E2716" s="109">
        <v>203</v>
      </c>
      <c r="F2716" s="110">
        <v>7967</v>
      </c>
      <c r="G2716" s="109" t="s">
        <v>120</v>
      </c>
      <c r="H2716" s="109">
        <v>39</v>
      </c>
      <c r="I2716" s="109">
        <v>324</v>
      </c>
      <c r="J2716" s="110">
        <v>1129</v>
      </c>
    </row>
    <row r="2717" spans="1:10">
      <c r="A2717" s="103" t="s">
        <v>4543</v>
      </c>
      <c r="B2717" s="124" t="s">
        <v>932</v>
      </c>
      <c r="C2717" s="110">
        <v>1242</v>
      </c>
      <c r="D2717" s="109" t="s">
        <v>120</v>
      </c>
      <c r="E2717" s="109">
        <v>12</v>
      </c>
      <c r="F2717" s="110">
        <v>2046</v>
      </c>
      <c r="G2717" s="109" t="s">
        <v>120</v>
      </c>
      <c r="H2717" s="109">
        <v>165</v>
      </c>
      <c r="I2717" s="109" t="s">
        <v>122</v>
      </c>
      <c r="J2717" s="110" t="s">
        <v>122</v>
      </c>
    </row>
    <row r="2718" spans="1:10">
      <c r="A2718" s="103" t="s">
        <v>4544</v>
      </c>
      <c r="B2718" s="124" t="s">
        <v>934</v>
      </c>
      <c r="C2718" s="110">
        <v>19105</v>
      </c>
      <c r="D2718" s="109" t="s">
        <v>120</v>
      </c>
      <c r="E2718" s="109">
        <v>191</v>
      </c>
      <c r="F2718" s="110">
        <v>5921</v>
      </c>
      <c r="G2718" s="109" t="s">
        <v>120</v>
      </c>
      <c r="H2718" s="109">
        <v>31</v>
      </c>
      <c r="I2718" s="109" t="s">
        <v>122</v>
      </c>
      <c r="J2718" s="110" t="s">
        <v>122</v>
      </c>
    </row>
    <row r="2719" spans="1:10">
      <c r="A2719" s="103" t="s">
        <v>4545</v>
      </c>
      <c r="B2719" s="124" t="s">
        <v>4546</v>
      </c>
      <c r="C2719" s="110">
        <v>15184</v>
      </c>
      <c r="D2719" s="109" t="s">
        <v>120</v>
      </c>
      <c r="E2719" s="109">
        <v>152</v>
      </c>
      <c r="F2719" s="110">
        <v>6332</v>
      </c>
      <c r="G2719" s="109" t="s">
        <v>120</v>
      </c>
      <c r="H2719" s="109">
        <v>42</v>
      </c>
      <c r="I2719" s="109">
        <v>656</v>
      </c>
      <c r="J2719" s="110">
        <v>1437</v>
      </c>
    </row>
    <row r="2720" spans="1:10">
      <c r="A2720" s="103" t="s">
        <v>4547</v>
      </c>
      <c r="B2720" s="124" t="s">
        <v>932</v>
      </c>
      <c r="C2720" s="110">
        <v>508</v>
      </c>
      <c r="D2720" s="109" t="s">
        <v>120</v>
      </c>
      <c r="E2720" s="109">
        <v>5</v>
      </c>
      <c r="F2720" s="110">
        <v>2968</v>
      </c>
      <c r="G2720" s="109" t="s">
        <v>120</v>
      </c>
      <c r="H2720" s="109">
        <v>584</v>
      </c>
      <c r="I2720" s="109" t="s">
        <v>122</v>
      </c>
      <c r="J2720" s="110" t="s">
        <v>122</v>
      </c>
    </row>
    <row r="2721" spans="1:10">
      <c r="A2721" s="103" t="s">
        <v>4548</v>
      </c>
      <c r="B2721" s="124" t="s">
        <v>934</v>
      </c>
      <c r="C2721" s="110">
        <v>14676</v>
      </c>
      <c r="D2721" s="109" t="s">
        <v>120</v>
      </c>
      <c r="E2721" s="109">
        <v>147</v>
      </c>
      <c r="F2721" s="110">
        <v>3364</v>
      </c>
      <c r="G2721" s="109" t="s">
        <v>120</v>
      </c>
      <c r="H2721" s="109">
        <v>23</v>
      </c>
      <c r="I2721" s="109" t="s">
        <v>122</v>
      </c>
      <c r="J2721" s="110" t="s">
        <v>122</v>
      </c>
    </row>
    <row r="2722" spans="1:10" s="119" customFormat="1">
      <c r="A2722" s="123" t="s">
        <v>120</v>
      </c>
      <c r="B2722" s="273" t="s">
        <v>4549</v>
      </c>
      <c r="C2722" s="274"/>
      <c r="D2722" s="274"/>
      <c r="E2722" s="274"/>
      <c r="F2722" s="274"/>
      <c r="G2722" s="274"/>
      <c r="H2722" s="274"/>
      <c r="I2722" s="274"/>
      <c r="J2722" s="274"/>
    </row>
    <row r="2723" spans="1:10" s="119" customFormat="1">
      <c r="A2723" s="123" t="s">
        <v>120</v>
      </c>
      <c r="B2723" s="275" t="s">
        <v>1019</v>
      </c>
      <c r="C2723" s="276"/>
      <c r="D2723" s="276"/>
      <c r="E2723" s="276"/>
      <c r="F2723" s="276"/>
      <c r="G2723" s="276"/>
      <c r="H2723" s="276"/>
      <c r="I2723" s="276"/>
      <c r="J2723" s="276"/>
    </row>
    <row r="2724" spans="1:10">
      <c r="A2724" s="103" t="s">
        <v>4550</v>
      </c>
      <c r="B2724" s="124" t="s">
        <v>4551</v>
      </c>
      <c r="C2724" s="110">
        <v>1942</v>
      </c>
      <c r="D2724" s="109" t="s">
        <v>120</v>
      </c>
      <c r="E2724" s="109">
        <v>19</v>
      </c>
      <c r="F2724" s="110">
        <v>17711</v>
      </c>
      <c r="G2724" s="109" t="s">
        <v>120</v>
      </c>
      <c r="H2724" s="109">
        <v>912</v>
      </c>
      <c r="I2724" s="109">
        <v>2244</v>
      </c>
      <c r="J2724" s="110">
        <v>411</v>
      </c>
    </row>
    <row r="2725" spans="1:10" s="119" customFormat="1">
      <c r="A2725" s="123" t="s">
        <v>120</v>
      </c>
      <c r="B2725" s="275" t="s">
        <v>924</v>
      </c>
      <c r="C2725" s="276"/>
      <c r="D2725" s="276"/>
      <c r="E2725" s="276"/>
      <c r="F2725" s="276"/>
      <c r="G2725" s="276"/>
      <c r="H2725" s="276"/>
      <c r="I2725" s="276"/>
      <c r="J2725" s="276"/>
    </row>
    <row r="2726" spans="1:10">
      <c r="A2726" s="103" t="s">
        <v>4552</v>
      </c>
      <c r="B2726" s="124" t="s">
        <v>3380</v>
      </c>
      <c r="C2726" s="110">
        <v>5614</v>
      </c>
      <c r="D2726" s="109" t="s">
        <v>120</v>
      </c>
      <c r="E2726" s="109">
        <v>56</v>
      </c>
      <c r="F2726" s="110">
        <v>8725</v>
      </c>
      <c r="G2726" s="109" t="s">
        <v>120</v>
      </c>
      <c r="H2726" s="109">
        <v>155</v>
      </c>
      <c r="I2726" s="109">
        <v>1981</v>
      </c>
      <c r="J2726" s="110">
        <v>1018</v>
      </c>
    </row>
    <row r="2727" spans="1:10">
      <c r="A2727" s="103" t="s">
        <v>4553</v>
      </c>
      <c r="B2727" s="124" t="s">
        <v>4372</v>
      </c>
      <c r="C2727" s="110">
        <v>7807</v>
      </c>
      <c r="D2727" s="109" t="s">
        <v>120</v>
      </c>
      <c r="E2727" s="109">
        <v>78</v>
      </c>
      <c r="F2727" s="110">
        <v>11816</v>
      </c>
      <c r="G2727" s="109" t="s">
        <v>120</v>
      </c>
      <c r="H2727" s="109">
        <v>151</v>
      </c>
      <c r="I2727" s="109">
        <v>1727</v>
      </c>
      <c r="J2727" s="110">
        <v>715</v>
      </c>
    </row>
    <row r="2728" spans="1:10">
      <c r="A2728" s="103" t="s">
        <v>4554</v>
      </c>
      <c r="B2728" s="124" t="s">
        <v>4551</v>
      </c>
      <c r="C2728" s="110">
        <v>10630</v>
      </c>
      <c r="D2728" s="109" t="s">
        <v>120</v>
      </c>
      <c r="E2728" s="109">
        <v>107</v>
      </c>
      <c r="F2728" s="110">
        <v>21921</v>
      </c>
      <c r="G2728" s="109" t="s">
        <v>120</v>
      </c>
      <c r="H2728" s="109">
        <v>206</v>
      </c>
      <c r="I2728" s="109">
        <v>1285</v>
      </c>
      <c r="J2728" s="110">
        <v>302</v>
      </c>
    </row>
    <row r="2729" spans="1:10">
      <c r="A2729" s="103" t="s">
        <v>4555</v>
      </c>
      <c r="B2729" s="124" t="s">
        <v>4556</v>
      </c>
      <c r="C2729" s="110">
        <v>6874</v>
      </c>
      <c r="D2729" s="109" t="s">
        <v>120</v>
      </c>
      <c r="E2729" s="109">
        <v>69</v>
      </c>
      <c r="F2729" s="110">
        <v>6481</v>
      </c>
      <c r="G2729" s="109" t="s">
        <v>120</v>
      </c>
      <c r="H2729" s="109">
        <v>94</v>
      </c>
      <c r="I2729" s="109">
        <v>1866</v>
      </c>
      <c r="J2729" s="110">
        <v>1405</v>
      </c>
    </row>
    <row r="2730" spans="1:10">
      <c r="A2730" s="103" t="s">
        <v>4557</v>
      </c>
      <c r="B2730" s="124" t="s">
        <v>4558</v>
      </c>
      <c r="C2730" s="110">
        <v>6646</v>
      </c>
      <c r="D2730" s="109" t="s">
        <v>120</v>
      </c>
      <c r="E2730" s="109">
        <v>66</v>
      </c>
      <c r="F2730" s="110">
        <v>7359</v>
      </c>
      <c r="G2730" s="109" t="s">
        <v>120</v>
      </c>
      <c r="H2730" s="109">
        <v>111</v>
      </c>
      <c r="I2730" s="109">
        <v>1887</v>
      </c>
      <c r="J2730" s="110">
        <v>1229</v>
      </c>
    </row>
    <row r="2731" spans="1:10">
      <c r="A2731" s="103" t="s">
        <v>4559</v>
      </c>
      <c r="B2731" s="124" t="s">
        <v>4560</v>
      </c>
      <c r="C2731" s="110">
        <v>5671</v>
      </c>
      <c r="D2731" s="109" t="s">
        <v>120</v>
      </c>
      <c r="E2731" s="109">
        <v>57</v>
      </c>
      <c r="F2731" s="110">
        <v>7036</v>
      </c>
      <c r="G2731" s="109" t="s">
        <v>120</v>
      </c>
      <c r="H2731" s="109">
        <v>124</v>
      </c>
      <c r="I2731" s="109">
        <v>1975</v>
      </c>
      <c r="J2731" s="110">
        <v>1290</v>
      </c>
    </row>
    <row r="2732" spans="1:10" s="119" customFormat="1">
      <c r="A2732" s="123" t="s">
        <v>120</v>
      </c>
      <c r="B2732" s="273" t="s">
        <v>4561</v>
      </c>
      <c r="C2732" s="274"/>
      <c r="D2732" s="274"/>
      <c r="E2732" s="274"/>
      <c r="F2732" s="274"/>
      <c r="G2732" s="274"/>
      <c r="H2732" s="274"/>
      <c r="I2732" s="274"/>
      <c r="J2732" s="274"/>
    </row>
    <row r="2733" spans="1:10" s="119" customFormat="1">
      <c r="A2733" s="123" t="s">
        <v>120</v>
      </c>
      <c r="B2733" s="275" t="s">
        <v>1019</v>
      </c>
      <c r="C2733" s="276"/>
      <c r="D2733" s="276"/>
      <c r="E2733" s="276"/>
      <c r="F2733" s="276"/>
      <c r="G2733" s="276"/>
      <c r="H2733" s="276"/>
      <c r="I2733" s="276"/>
      <c r="J2733" s="276"/>
    </row>
    <row r="2734" spans="1:10">
      <c r="A2734" s="103" t="s">
        <v>4562</v>
      </c>
      <c r="B2734" s="124" t="s">
        <v>4563</v>
      </c>
      <c r="C2734" s="110">
        <v>4689</v>
      </c>
      <c r="D2734" s="109" t="s">
        <v>120</v>
      </c>
      <c r="E2734" s="109">
        <v>47</v>
      </c>
      <c r="F2734" s="110">
        <v>60323</v>
      </c>
      <c r="G2734" s="109" t="s">
        <v>120</v>
      </c>
      <c r="H2734" s="109">
        <v>1286</v>
      </c>
      <c r="I2734" s="109">
        <v>2046</v>
      </c>
      <c r="J2734" s="110">
        <v>75</v>
      </c>
    </row>
    <row r="2735" spans="1:10" s="119" customFormat="1">
      <c r="A2735" s="123" t="s">
        <v>120</v>
      </c>
      <c r="B2735" s="275" t="s">
        <v>1022</v>
      </c>
      <c r="C2735" s="276"/>
      <c r="D2735" s="276"/>
      <c r="E2735" s="276"/>
      <c r="F2735" s="276"/>
      <c r="G2735" s="276"/>
      <c r="H2735" s="276"/>
      <c r="I2735" s="276"/>
      <c r="J2735" s="276"/>
    </row>
    <row r="2736" spans="1:10">
      <c r="A2736" s="103" t="s">
        <v>4564</v>
      </c>
      <c r="B2736" s="124" t="s">
        <v>4565</v>
      </c>
      <c r="C2736" s="110">
        <v>5531</v>
      </c>
      <c r="D2736" s="109" t="s">
        <v>120</v>
      </c>
      <c r="E2736" s="109">
        <v>56</v>
      </c>
      <c r="F2736" s="110">
        <v>5541</v>
      </c>
      <c r="G2736" s="109" t="s">
        <v>120</v>
      </c>
      <c r="H2736" s="109">
        <v>100</v>
      </c>
      <c r="I2736" s="109">
        <v>1982</v>
      </c>
      <c r="J2736" s="110">
        <v>1605</v>
      </c>
    </row>
    <row r="2737" spans="1:10">
      <c r="A2737" s="103" t="s">
        <v>4566</v>
      </c>
      <c r="B2737" s="124" t="s">
        <v>4567</v>
      </c>
      <c r="C2737" s="110">
        <v>8021</v>
      </c>
      <c r="D2737" s="109" t="s">
        <v>120</v>
      </c>
      <c r="E2737" s="109">
        <v>80</v>
      </c>
      <c r="F2737" s="110">
        <v>7059</v>
      </c>
      <c r="G2737" s="109" t="s">
        <v>120</v>
      </c>
      <c r="H2737" s="109">
        <v>88</v>
      </c>
      <c r="I2737" s="109">
        <v>1700</v>
      </c>
      <c r="J2737" s="110">
        <v>1283</v>
      </c>
    </row>
    <row r="2738" spans="1:10">
      <c r="A2738" s="103" t="s">
        <v>4568</v>
      </c>
      <c r="B2738" s="124" t="s">
        <v>4569</v>
      </c>
      <c r="C2738" s="110">
        <v>3401</v>
      </c>
      <c r="D2738" s="109" t="s">
        <v>120</v>
      </c>
      <c r="E2738" s="109">
        <v>34</v>
      </c>
      <c r="F2738" s="110">
        <v>2727</v>
      </c>
      <c r="G2738" s="109" t="s">
        <v>120</v>
      </c>
      <c r="H2738" s="109">
        <v>80</v>
      </c>
      <c r="I2738" s="109">
        <v>2137</v>
      </c>
      <c r="J2738" s="110">
        <v>2231</v>
      </c>
    </row>
    <row r="2739" spans="1:10">
      <c r="A2739" s="103" t="s">
        <v>4570</v>
      </c>
      <c r="B2739" s="124" t="s">
        <v>4571</v>
      </c>
      <c r="C2739" s="110">
        <v>12272</v>
      </c>
      <c r="D2739" s="109" t="s">
        <v>120</v>
      </c>
      <c r="E2739" s="109">
        <v>123</v>
      </c>
      <c r="F2739" s="110">
        <v>13389</v>
      </c>
      <c r="G2739" s="109" t="s">
        <v>120</v>
      </c>
      <c r="H2739" s="109">
        <v>109</v>
      </c>
      <c r="I2739" s="109">
        <v>1013</v>
      </c>
      <c r="J2739" s="110">
        <v>598</v>
      </c>
    </row>
    <row r="2740" spans="1:10">
      <c r="A2740" s="103" t="s">
        <v>4572</v>
      </c>
      <c r="B2740" s="124" t="s">
        <v>4573</v>
      </c>
      <c r="C2740" s="110">
        <v>7125</v>
      </c>
      <c r="D2740" s="109" t="s">
        <v>120</v>
      </c>
      <c r="E2740" s="109">
        <v>71</v>
      </c>
      <c r="F2740" s="110">
        <v>5381</v>
      </c>
      <c r="G2740" s="109" t="s">
        <v>120</v>
      </c>
      <c r="H2740" s="109">
        <v>76</v>
      </c>
      <c r="I2740" s="109">
        <v>1831</v>
      </c>
      <c r="J2740" s="110">
        <v>1641</v>
      </c>
    </row>
    <row r="2741" spans="1:10">
      <c r="A2741" s="103" t="s">
        <v>4574</v>
      </c>
      <c r="B2741" s="124" t="s">
        <v>4575</v>
      </c>
      <c r="C2741" s="110">
        <v>8924</v>
      </c>
      <c r="D2741" s="109" t="s">
        <v>120</v>
      </c>
      <c r="E2741" s="109">
        <v>89</v>
      </c>
      <c r="F2741" s="110">
        <v>8222</v>
      </c>
      <c r="G2741" s="109" t="s">
        <v>120</v>
      </c>
      <c r="H2741" s="109">
        <v>92</v>
      </c>
      <c r="I2741" s="109">
        <v>1539</v>
      </c>
      <c r="J2741" s="110">
        <v>1091</v>
      </c>
    </row>
    <row r="2742" spans="1:10">
      <c r="A2742" s="103" t="s">
        <v>4576</v>
      </c>
      <c r="B2742" s="124" t="s">
        <v>4577</v>
      </c>
      <c r="C2742" s="110">
        <v>8690</v>
      </c>
      <c r="D2742" s="109" t="s">
        <v>120</v>
      </c>
      <c r="E2742" s="109">
        <v>87</v>
      </c>
      <c r="F2742" s="110">
        <v>7723</v>
      </c>
      <c r="G2742" s="109" t="s">
        <v>120</v>
      </c>
      <c r="H2742" s="109">
        <v>89</v>
      </c>
      <c r="I2742" s="109">
        <v>1579</v>
      </c>
      <c r="J2742" s="110">
        <v>1166</v>
      </c>
    </row>
    <row r="2743" spans="1:10" s="119" customFormat="1">
      <c r="A2743" s="123" t="s">
        <v>120</v>
      </c>
      <c r="B2743" s="275" t="s">
        <v>947</v>
      </c>
      <c r="C2743" s="276"/>
      <c r="D2743" s="276"/>
      <c r="E2743" s="276"/>
      <c r="F2743" s="276"/>
      <c r="G2743" s="276"/>
      <c r="H2743" s="276"/>
      <c r="I2743" s="276"/>
      <c r="J2743" s="276"/>
    </row>
    <row r="2744" spans="1:10">
      <c r="A2744" s="103" t="s">
        <v>4578</v>
      </c>
      <c r="B2744" s="124" t="s">
        <v>4579</v>
      </c>
      <c r="C2744" s="110">
        <v>13419</v>
      </c>
      <c r="D2744" s="109" t="s">
        <v>120</v>
      </c>
      <c r="E2744" s="109">
        <v>134</v>
      </c>
      <c r="F2744" s="110">
        <v>12003</v>
      </c>
      <c r="G2744" s="109" t="s">
        <v>120</v>
      </c>
      <c r="H2744" s="109">
        <v>89</v>
      </c>
      <c r="I2744" s="109">
        <v>850</v>
      </c>
      <c r="J2744" s="110">
        <v>698</v>
      </c>
    </row>
    <row r="2745" spans="1:10">
      <c r="A2745" s="103" t="s">
        <v>4580</v>
      </c>
      <c r="B2745" s="124" t="s">
        <v>932</v>
      </c>
      <c r="C2745" s="110">
        <v>1604</v>
      </c>
      <c r="D2745" s="109" t="s">
        <v>120</v>
      </c>
      <c r="E2745" s="109">
        <v>16</v>
      </c>
      <c r="F2745" s="110">
        <v>1781</v>
      </c>
      <c r="G2745" s="109" t="s">
        <v>120</v>
      </c>
      <c r="H2745" s="109">
        <v>111</v>
      </c>
      <c r="I2745" s="109" t="s">
        <v>122</v>
      </c>
      <c r="J2745" s="110" t="s">
        <v>122</v>
      </c>
    </row>
    <row r="2746" spans="1:10">
      <c r="A2746" s="103" t="s">
        <v>4581</v>
      </c>
      <c r="B2746" s="124" t="s">
        <v>934</v>
      </c>
      <c r="C2746" s="110">
        <v>11815</v>
      </c>
      <c r="D2746" s="109" t="s">
        <v>120</v>
      </c>
      <c r="E2746" s="109">
        <v>118</v>
      </c>
      <c r="F2746" s="110">
        <v>10222</v>
      </c>
      <c r="G2746" s="109" t="s">
        <v>120</v>
      </c>
      <c r="H2746" s="109">
        <v>87</v>
      </c>
      <c r="I2746" s="109" t="s">
        <v>122</v>
      </c>
      <c r="J2746" s="110" t="s">
        <v>122</v>
      </c>
    </row>
    <row r="2747" spans="1:10">
      <c r="A2747" s="103" t="s">
        <v>4582</v>
      </c>
      <c r="B2747" s="124" t="s">
        <v>4583</v>
      </c>
      <c r="C2747" s="110">
        <v>15978</v>
      </c>
      <c r="D2747" s="109" t="s">
        <v>120</v>
      </c>
      <c r="E2747" s="109">
        <v>160</v>
      </c>
      <c r="F2747" s="110">
        <v>14292</v>
      </c>
      <c r="G2747" s="109" t="s">
        <v>120</v>
      </c>
      <c r="H2747" s="109">
        <v>89</v>
      </c>
      <c r="I2747" s="109">
        <v>598</v>
      </c>
      <c r="J2747" s="110">
        <v>556</v>
      </c>
    </row>
    <row r="2748" spans="1:10">
      <c r="A2748" s="103" t="s">
        <v>4584</v>
      </c>
      <c r="B2748" s="124" t="s">
        <v>932</v>
      </c>
      <c r="C2748" s="110">
        <v>879</v>
      </c>
      <c r="D2748" s="109" t="s">
        <v>120</v>
      </c>
      <c r="E2748" s="109">
        <v>9</v>
      </c>
      <c r="F2748" s="110">
        <v>3226</v>
      </c>
      <c r="G2748" s="109" t="s">
        <v>120</v>
      </c>
      <c r="H2748" s="109">
        <v>367</v>
      </c>
      <c r="I2748" s="109" t="s">
        <v>122</v>
      </c>
      <c r="J2748" s="110" t="s">
        <v>122</v>
      </c>
    </row>
    <row r="2749" spans="1:10">
      <c r="A2749" s="103" t="s">
        <v>4585</v>
      </c>
      <c r="B2749" s="124" t="s">
        <v>934</v>
      </c>
      <c r="C2749" s="110">
        <v>15099</v>
      </c>
      <c r="D2749" s="109" t="s">
        <v>120</v>
      </c>
      <c r="E2749" s="109">
        <v>151</v>
      </c>
      <c r="F2749" s="110">
        <v>11066</v>
      </c>
      <c r="G2749" s="109" t="s">
        <v>120</v>
      </c>
      <c r="H2749" s="109">
        <v>73</v>
      </c>
      <c r="I2749" s="109" t="s">
        <v>122</v>
      </c>
      <c r="J2749" s="110" t="s">
        <v>122</v>
      </c>
    </row>
    <row r="2750" spans="1:10" s="119" customFormat="1">
      <c r="A2750" s="123" t="s">
        <v>120</v>
      </c>
      <c r="B2750" s="273" t="s">
        <v>4586</v>
      </c>
      <c r="C2750" s="274"/>
      <c r="D2750" s="274"/>
      <c r="E2750" s="274"/>
      <c r="F2750" s="274"/>
      <c r="G2750" s="274"/>
      <c r="H2750" s="274"/>
      <c r="I2750" s="274"/>
      <c r="J2750" s="274"/>
    </row>
    <row r="2751" spans="1:10" s="119" customFormat="1">
      <c r="A2751" s="123" t="s">
        <v>120</v>
      </c>
      <c r="B2751" s="275" t="s">
        <v>943</v>
      </c>
      <c r="C2751" s="276"/>
      <c r="D2751" s="276"/>
      <c r="E2751" s="276"/>
      <c r="F2751" s="276"/>
      <c r="G2751" s="276"/>
      <c r="H2751" s="276"/>
      <c r="I2751" s="276"/>
      <c r="J2751" s="276"/>
    </row>
    <row r="2752" spans="1:10">
      <c r="A2752" s="103" t="s">
        <v>4587</v>
      </c>
      <c r="B2752" s="124" t="s">
        <v>4588</v>
      </c>
      <c r="C2752" s="110">
        <v>16817</v>
      </c>
      <c r="D2752" s="109" t="s">
        <v>120</v>
      </c>
      <c r="E2752" s="109">
        <v>169</v>
      </c>
      <c r="F2752" s="110">
        <v>6074</v>
      </c>
      <c r="G2752" s="109" t="s">
        <v>120</v>
      </c>
      <c r="H2752" s="109">
        <v>36</v>
      </c>
      <c r="I2752" s="109">
        <v>532</v>
      </c>
      <c r="J2752" s="110">
        <v>1487</v>
      </c>
    </row>
    <row r="2753" spans="1:10">
      <c r="A2753" s="103" t="s">
        <v>4589</v>
      </c>
      <c r="B2753" s="124" t="s">
        <v>4590</v>
      </c>
      <c r="C2753" s="110">
        <v>9079</v>
      </c>
      <c r="D2753" s="109" t="s">
        <v>120</v>
      </c>
      <c r="E2753" s="109">
        <v>91</v>
      </c>
      <c r="F2753" s="110">
        <v>5372</v>
      </c>
      <c r="G2753" s="109" t="s">
        <v>120</v>
      </c>
      <c r="H2753" s="109">
        <v>59</v>
      </c>
      <c r="I2753" s="109">
        <v>1523</v>
      </c>
      <c r="J2753" s="110">
        <v>1643</v>
      </c>
    </row>
    <row r="2754" spans="1:10">
      <c r="A2754" s="103" t="s">
        <v>4591</v>
      </c>
      <c r="B2754" s="124" t="s">
        <v>4592</v>
      </c>
      <c r="C2754" s="110">
        <v>12393</v>
      </c>
      <c r="D2754" s="109" t="s">
        <v>120</v>
      </c>
      <c r="E2754" s="109">
        <v>124</v>
      </c>
      <c r="F2754" s="110">
        <v>10096</v>
      </c>
      <c r="G2754" s="109" t="s">
        <v>120</v>
      </c>
      <c r="H2754" s="109">
        <v>81</v>
      </c>
      <c r="I2754" s="109">
        <v>996</v>
      </c>
      <c r="J2754" s="110">
        <v>864</v>
      </c>
    </row>
    <row r="2755" spans="1:10">
      <c r="A2755" s="103" t="s">
        <v>4593</v>
      </c>
      <c r="B2755" s="124" t="s">
        <v>4594</v>
      </c>
      <c r="C2755" s="110">
        <v>6232</v>
      </c>
      <c r="D2755" s="109" t="s">
        <v>120</v>
      </c>
      <c r="E2755" s="109">
        <v>62</v>
      </c>
      <c r="F2755" s="110">
        <v>4261</v>
      </c>
      <c r="G2755" s="109" t="s">
        <v>120</v>
      </c>
      <c r="H2755" s="109">
        <v>68</v>
      </c>
      <c r="I2755" s="109">
        <v>1932</v>
      </c>
      <c r="J2755" s="110">
        <v>1938</v>
      </c>
    </row>
    <row r="2756" spans="1:10" s="119" customFormat="1">
      <c r="A2756" s="123" t="s">
        <v>120</v>
      </c>
      <c r="B2756" s="275" t="s">
        <v>947</v>
      </c>
      <c r="C2756" s="276"/>
      <c r="D2756" s="276"/>
      <c r="E2756" s="276"/>
      <c r="F2756" s="276"/>
      <c r="G2756" s="276"/>
      <c r="H2756" s="276"/>
      <c r="I2756" s="276"/>
      <c r="J2756" s="276"/>
    </row>
    <row r="2757" spans="1:10">
      <c r="A2757" s="103" t="s">
        <v>4595</v>
      </c>
      <c r="B2757" s="124" t="s">
        <v>4596</v>
      </c>
      <c r="C2757" s="110">
        <v>14237</v>
      </c>
      <c r="D2757" s="109" t="s">
        <v>120</v>
      </c>
      <c r="E2757" s="109">
        <v>142</v>
      </c>
      <c r="F2757" s="110">
        <v>22358</v>
      </c>
      <c r="G2757" s="109" t="s">
        <v>120</v>
      </c>
      <c r="H2757" s="109">
        <v>157</v>
      </c>
      <c r="I2757" s="109">
        <v>754</v>
      </c>
      <c r="J2757" s="110">
        <v>293</v>
      </c>
    </row>
    <row r="2758" spans="1:10">
      <c r="A2758" s="103" t="s">
        <v>4597</v>
      </c>
      <c r="B2758" s="124" t="s">
        <v>932</v>
      </c>
      <c r="C2758" s="110">
        <v>6096</v>
      </c>
      <c r="D2758" s="109" t="s">
        <v>120</v>
      </c>
      <c r="E2758" s="109">
        <v>61</v>
      </c>
      <c r="F2758" s="110">
        <v>15331</v>
      </c>
      <c r="G2758" s="109" t="s">
        <v>120</v>
      </c>
      <c r="H2758" s="109">
        <v>251</v>
      </c>
      <c r="I2758" s="109" t="s">
        <v>122</v>
      </c>
      <c r="J2758" s="110" t="s">
        <v>122</v>
      </c>
    </row>
    <row r="2759" spans="1:10">
      <c r="A2759" s="103" t="s">
        <v>4598</v>
      </c>
      <c r="B2759" s="124" t="s">
        <v>934</v>
      </c>
      <c r="C2759" s="110">
        <v>8141</v>
      </c>
      <c r="D2759" s="109" t="s">
        <v>120</v>
      </c>
      <c r="E2759" s="109">
        <v>81</v>
      </c>
      <c r="F2759" s="110">
        <v>7027</v>
      </c>
      <c r="G2759" s="109" t="s">
        <v>120</v>
      </c>
      <c r="H2759" s="109">
        <v>86</v>
      </c>
      <c r="I2759" s="109" t="s">
        <v>122</v>
      </c>
      <c r="J2759" s="110" t="s">
        <v>122</v>
      </c>
    </row>
    <row r="2760" spans="1:10">
      <c r="A2760" s="103" t="s">
        <v>4599</v>
      </c>
      <c r="B2760" s="124" t="s">
        <v>4600</v>
      </c>
      <c r="C2760" s="110">
        <v>7869</v>
      </c>
      <c r="D2760" s="109" t="s">
        <v>120</v>
      </c>
      <c r="E2760" s="109">
        <v>79</v>
      </c>
      <c r="F2760" s="110">
        <v>10173</v>
      </c>
      <c r="G2760" s="109" t="s">
        <v>120</v>
      </c>
      <c r="H2760" s="109">
        <v>129</v>
      </c>
      <c r="I2760" s="109">
        <v>1719</v>
      </c>
      <c r="J2760" s="110">
        <v>858</v>
      </c>
    </row>
    <row r="2761" spans="1:10">
      <c r="A2761" s="103" t="s">
        <v>4601</v>
      </c>
      <c r="B2761" s="124" t="s">
        <v>932</v>
      </c>
      <c r="C2761" s="110">
        <v>3660</v>
      </c>
      <c r="D2761" s="109" t="s">
        <v>120</v>
      </c>
      <c r="E2761" s="109">
        <v>37</v>
      </c>
      <c r="F2761" s="110">
        <v>6754</v>
      </c>
      <c r="G2761" s="109" t="s">
        <v>120</v>
      </c>
      <c r="H2761" s="109">
        <v>185</v>
      </c>
      <c r="I2761" s="109" t="s">
        <v>122</v>
      </c>
      <c r="J2761" s="110" t="s">
        <v>122</v>
      </c>
    </row>
    <row r="2762" spans="1:10">
      <c r="A2762" s="103" t="s">
        <v>4602</v>
      </c>
      <c r="B2762" s="124" t="s">
        <v>934</v>
      </c>
      <c r="C2762" s="110">
        <v>4209</v>
      </c>
      <c r="D2762" s="109" t="s">
        <v>120</v>
      </c>
      <c r="E2762" s="109">
        <v>42</v>
      </c>
      <c r="F2762" s="110">
        <v>3419</v>
      </c>
      <c r="G2762" s="109" t="s">
        <v>120</v>
      </c>
      <c r="H2762" s="109">
        <v>81</v>
      </c>
      <c r="I2762" s="109" t="s">
        <v>122</v>
      </c>
      <c r="J2762" s="110" t="s">
        <v>122</v>
      </c>
    </row>
    <row r="2763" spans="1:10">
      <c r="A2763" s="103" t="s">
        <v>4603</v>
      </c>
      <c r="B2763" s="124" t="s">
        <v>4604</v>
      </c>
      <c r="C2763" s="110">
        <v>11937</v>
      </c>
      <c r="D2763" s="109" t="s">
        <v>120</v>
      </c>
      <c r="E2763" s="109">
        <v>119</v>
      </c>
      <c r="F2763" s="110">
        <v>8255</v>
      </c>
      <c r="G2763" s="109" t="s">
        <v>120</v>
      </c>
      <c r="H2763" s="109">
        <v>69</v>
      </c>
      <c r="I2763" s="109">
        <v>1064</v>
      </c>
      <c r="J2763" s="110">
        <v>1084</v>
      </c>
    </row>
    <row r="2764" spans="1:10">
      <c r="A2764" s="103" t="s">
        <v>4605</v>
      </c>
      <c r="B2764" s="124" t="s">
        <v>932</v>
      </c>
      <c r="C2764" s="110">
        <v>820</v>
      </c>
      <c r="D2764" s="109" t="s">
        <v>120</v>
      </c>
      <c r="E2764" s="109">
        <v>8</v>
      </c>
      <c r="F2764" s="110">
        <v>1446</v>
      </c>
      <c r="G2764" s="109" t="s">
        <v>120</v>
      </c>
      <c r="H2764" s="109">
        <v>176</v>
      </c>
      <c r="I2764" s="109" t="s">
        <v>122</v>
      </c>
      <c r="J2764" s="110" t="s">
        <v>122</v>
      </c>
    </row>
    <row r="2765" spans="1:10">
      <c r="A2765" s="103" t="s">
        <v>4606</v>
      </c>
      <c r="B2765" s="124" t="s">
        <v>934</v>
      </c>
      <c r="C2765" s="110">
        <v>11117</v>
      </c>
      <c r="D2765" s="109" t="s">
        <v>120</v>
      </c>
      <c r="E2765" s="109">
        <v>111</v>
      </c>
      <c r="F2765" s="110">
        <v>6809</v>
      </c>
      <c r="G2765" s="109" t="s">
        <v>120</v>
      </c>
      <c r="H2765" s="109">
        <v>61</v>
      </c>
      <c r="I2765" s="109" t="s">
        <v>122</v>
      </c>
      <c r="J2765" s="110" t="s">
        <v>122</v>
      </c>
    </row>
    <row r="2766" spans="1:10" s="119" customFormat="1">
      <c r="A2766" s="123" t="s">
        <v>120</v>
      </c>
      <c r="B2766" s="273" t="s">
        <v>4607</v>
      </c>
      <c r="C2766" s="274"/>
      <c r="D2766" s="274"/>
      <c r="E2766" s="274"/>
      <c r="F2766" s="274"/>
      <c r="G2766" s="274"/>
      <c r="H2766" s="274"/>
      <c r="I2766" s="274"/>
      <c r="J2766" s="274"/>
    </row>
    <row r="2767" spans="1:10" s="119" customFormat="1">
      <c r="A2767" s="123" t="s">
        <v>120</v>
      </c>
      <c r="B2767" s="275" t="s">
        <v>924</v>
      </c>
      <c r="C2767" s="276"/>
      <c r="D2767" s="276"/>
      <c r="E2767" s="276"/>
      <c r="F2767" s="276"/>
      <c r="G2767" s="276"/>
      <c r="H2767" s="276"/>
      <c r="I2767" s="276"/>
      <c r="J2767" s="276"/>
    </row>
    <row r="2768" spans="1:10">
      <c r="A2768" s="103" t="s">
        <v>4608</v>
      </c>
      <c r="B2768" s="124" t="s">
        <v>4609</v>
      </c>
      <c r="C2768" s="110">
        <v>25405</v>
      </c>
      <c r="D2768" s="109" t="s">
        <v>120</v>
      </c>
      <c r="E2768" s="109">
        <v>254</v>
      </c>
      <c r="F2768" s="110">
        <v>6539</v>
      </c>
      <c r="G2768" s="109" t="s">
        <v>120</v>
      </c>
      <c r="H2768" s="109">
        <v>26</v>
      </c>
      <c r="I2768" s="109">
        <v>173</v>
      </c>
      <c r="J2768" s="110">
        <v>1390</v>
      </c>
    </row>
    <row r="2769" spans="1:10">
      <c r="A2769" s="103" t="s">
        <v>4610</v>
      </c>
      <c r="B2769" s="124" t="s">
        <v>4611</v>
      </c>
      <c r="C2769" s="110">
        <v>15425</v>
      </c>
      <c r="D2769" s="109" t="s">
        <v>120</v>
      </c>
      <c r="E2769" s="109">
        <v>154</v>
      </c>
      <c r="F2769" s="110">
        <v>9143</v>
      </c>
      <c r="G2769" s="109" t="s">
        <v>120</v>
      </c>
      <c r="H2769" s="109">
        <v>59</v>
      </c>
      <c r="I2769" s="109">
        <v>637</v>
      </c>
      <c r="J2769" s="110">
        <v>959</v>
      </c>
    </row>
    <row r="2770" spans="1:10">
      <c r="A2770" s="103" t="s">
        <v>4612</v>
      </c>
      <c r="B2770" s="124" t="s">
        <v>4613</v>
      </c>
      <c r="C2770" s="110">
        <v>15960</v>
      </c>
      <c r="D2770" s="109" t="s">
        <v>120</v>
      </c>
      <c r="E2770" s="109">
        <v>160</v>
      </c>
      <c r="F2770" s="110">
        <v>5497</v>
      </c>
      <c r="G2770" s="109" t="s">
        <v>120</v>
      </c>
      <c r="H2770" s="109">
        <v>34</v>
      </c>
      <c r="I2770" s="109">
        <v>603</v>
      </c>
      <c r="J2770" s="110">
        <v>1615</v>
      </c>
    </row>
    <row r="2771" spans="1:10">
      <c r="A2771" s="103" t="s">
        <v>4614</v>
      </c>
      <c r="B2771" s="124" t="s">
        <v>4615</v>
      </c>
      <c r="C2771" s="110">
        <v>12436</v>
      </c>
      <c r="D2771" s="109" t="s">
        <v>120</v>
      </c>
      <c r="E2771" s="109">
        <v>124</v>
      </c>
      <c r="F2771" s="110">
        <v>5144</v>
      </c>
      <c r="G2771" s="109" t="s">
        <v>120</v>
      </c>
      <c r="H2771" s="109">
        <v>41</v>
      </c>
      <c r="I2771" s="109">
        <v>989</v>
      </c>
      <c r="J2771" s="110">
        <v>1705</v>
      </c>
    </row>
    <row r="2772" spans="1:10">
      <c r="A2772" s="103" t="s">
        <v>4616</v>
      </c>
      <c r="B2772" s="124" t="s">
        <v>4617</v>
      </c>
      <c r="C2772" s="110">
        <v>9495</v>
      </c>
      <c r="D2772" s="109" t="s">
        <v>120</v>
      </c>
      <c r="E2772" s="109">
        <v>95</v>
      </c>
      <c r="F2772" s="110">
        <v>4820</v>
      </c>
      <c r="G2772" s="109" t="s">
        <v>120</v>
      </c>
      <c r="H2772" s="109">
        <v>51</v>
      </c>
      <c r="I2772" s="109">
        <v>1468</v>
      </c>
      <c r="J2772" s="110">
        <v>1788</v>
      </c>
    </row>
    <row r="2773" spans="1:10">
      <c r="A2773" s="103" t="s">
        <v>4618</v>
      </c>
      <c r="B2773" s="124" t="s">
        <v>4619</v>
      </c>
      <c r="C2773" s="110">
        <v>6062</v>
      </c>
      <c r="D2773" s="109" t="s">
        <v>120</v>
      </c>
      <c r="E2773" s="109">
        <v>61</v>
      </c>
      <c r="F2773" s="110">
        <v>6542</v>
      </c>
      <c r="G2773" s="109" t="s">
        <v>120</v>
      </c>
      <c r="H2773" s="109">
        <v>108</v>
      </c>
      <c r="I2773" s="109">
        <v>1944</v>
      </c>
      <c r="J2773" s="110">
        <v>1388</v>
      </c>
    </row>
    <row r="2774" spans="1:10">
      <c r="A2774" s="103" t="s">
        <v>4620</v>
      </c>
      <c r="B2774" s="124" t="s">
        <v>4621</v>
      </c>
      <c r="C2774" s="110">
        <v>7047</v>
      </c>
      <c r="D2774" s="109" t="s">
        <v>120</v>
      </c>
      <c r="E2774" s="109">
        <v>70</v>
      </c>
      <c r="F2774" s="110">
        <v>8894</v>
      </c>
      <c r="G2774" s="109" t="s">
        <v>120</v>
      </c>
      <c r="H2774" s="109">
        <v>126</v>
      </c>
      <c r="I2774" s="109">
        <v>1843</v>
      </c>
      <c r="J2774" s="110">
        <v>998</v>
      </c>
    </row>
    <row r="2775" spans="1:10">
      <c r="A2775" s="103" t="s">
        <v>4622</v>
      </c>
      <c r="B2775" s="124" t="s">
        <v>4623</v>
      </c>
      <c r="C2775" s="110">
        <v>10843</v>
      </c>
      <c r="D2775" s="109" t="s">
        <v>120</v>
      </c>
      <c r="E2775" s="109">
        <v>108</v>
      </c>
      <c r="F2775" s="110">
        <v>10650</v>
      </c>
      <c r="G2775" s="109" t="s">
        <v>120</v>
      </c>
      <c r="H2775" s="109">
        <v>98</v>
      </c>
      <c r="I2775" s="109">
        <v>1249</v>
      </c>
      <c r="J2775" s="110">
        <v>817</v>
      </c>
    </row>
    <row r="2776" spans="1:10">
      <c r="A2776" s="103" t="s">
        <v>4624</v>
      </c>
      <c r="B2776" s="124" t="s">
        <v>4625</v>
      </c>
      <c r="C2776" s="110">
        <v>8870</v>
      </c>
      <c r="D2776" s="109" t="s">
        <v>120</v>
      </c>
      <c r="E2776" s="109">
        <v>89</v>
      </c>
      <c r="F2776" s="110">
        <v>3864</v>
      </c>
      <c r="G2776" s="109" t="s">
        <v>120</v>
      </c>
      <c r="H2776" s="109">
        <v>44</v>
      </c>
      <c r="I2776" s="109">
        <v>1549</v>
      </c>
      <c r="J2776" s="110">
        <v>2026</v>
      </c>
    </row>
    <row r="2777" spans="1:10">
      <c r="A2777" s="103" t="s">
        <v>4626</v>
      </c>
      <c r="B2777" s="124" t="s">
        <v>4627</v>
      </c>
      <c r="C2777" s="110">
        <v>9579</v>
      </c>
      <c r="D2777" s="109" t="s">
        <v>120</v>
      </c>
      <c r="E2777" s="109">
        <v>96</v>
      </c>
      <c r="F2777" s="110">
        <v>12968</v>
      </c>
      <c r="G2777" s="109" t="s">
        <v>120</v>
      </c>
      <c r="H2777" s="109">
        <v>135</v>
      </c>
      <c r="I2777" s="109">
        <v>1455</v>
      </c>
      <c r="J2777" s="110">
        <v>634</v>
      </c>
    </row>
    <row r="2778" spans="1:10" s="119" customFormat="1">
      <c r="A2778" s="123" t="s">
        <v>120</v>
      </c>
      <c r="B2778" s="273" t="s">
        <v>4628</v>
      </c>
      <c r="C2778" s="274"/>
      <c r="D2778" s="274"/>
      <c r="E2778" s="274"/>
      <c r="F2778" s="274"/>
      <c r="G2778" s="274"/>
      <c r="H2778" s="274"/>
      <c r="I2778" s="274"/>
      <c r="J2778" s="274"/>
    </row>
    <row r="2779" spans="1:10" s="119" customFormat="1">
      <c r="A2779" s="123" t="s">
        <v>120</v>
      </c>
      <c r="B2779" s="275" t="s">
        <v>922</v>
      </c>
      <c r="C2779" s="276"/>
      <c r="D2779" s="276"/>
      <c r="E2779" s="276"/>
      <c r="F2779" s="276"/>
      <c r="G2779" s="276"/>
      <c r="H2779" s="276"/>
      <c r="I2779" s="276"/>
      <c r="J2779" s="276"/>
    </row>
    <row r="2780" spans="1:10">
      <c r="A2780" s="103" t="s">
        <v>4629</v>
      </c>
      <c r="B2780" s="124" t="s">
        <v>4630</v>
      </c>
      <c r="C2780" s="110">
        <v>2213</v>
      </c>
      <c r="D2780" s="109" t="s">
        <v>120</v>
      </c>
      <c r="E2780" s="109">
        <v>22</v>
      </c>
      <c r="F2780" s="110">
        <v>15291</v>
      </c>
      <c r="G2780" s="109" t="s">
        <v>120</v>
      </c>
      <c r="H2780" s="109">
        <v>691</v>
      </c>
      <c r="I2780" s="109">
        <v>2215</v>
      </c>
      <c r="J2780" s="110">
        <v>505</v>
      </c>
    </row>
    <row r="2781" spans="1:10" s="119" customFormat="1">
      <c r="A2781" s="123" t="s">
        <v>120</v>
      </c>
      <c r="B2781" s="275" t="s">
        <v>943</v>
      </c>
      <c r="C2781" s="276"/>
      <c r="D2781" s="276"/>
      <c r="E2781" s="276"/>
      <c r="F2781" s="276"/>
      <c r="G2781" s="276"/>
      <c r="H2781" s="276"/>
      <c r="I2781" s="276"/>
      <c r="J2781" s="276"/>
    </row>
    <row r="2782" spans="1:10">
      <c r="A2782" s="103" t="s">
        <v>4631</v>
      </c>
      <c r="B2782" s="124" t="s">
        <v>4632</v>
      </c>
      <c r="C2782" s="110">
        <v>13428</v>
      </c>
      <c r="D2782" s="109" t="s">
        <v>120</v>
      </c>
      <c r="E2782" s="109">
        <v>134</v>
      </c>
      <c r="F2782" s="110">
        <v>4057</v>
      </c>
      <c r="G2782" s="109" t="s">
        <v>120</v>
      </c>
      <c r="H2782" s="109">
        <v>30</v>
      </c>
      <c r="I2782" s="109">
        <v>848</v>
      </c>
      <c r="J2782" s="110">
        <v>1980</v>
      </c>
    </row>
    <row r="2783" spans="1:10">
      <c r="A2783" s="103" t="s">
        <v>4633</v>
      </c>
      <c r="B2783" s="124" t="s">
        <v>4634</v>
      </c>
      <c r="C2783" s="110">
        <v>3596</v>
      </c>
      <c r="D2783" s="109" t="s">
        <v>120</v>
      </c>
      <c r="E2783" s="109">
        <v>36</v>
      </c>
      <c r="F2783" s="110">
        <v>4627</v>
      </c>
      <c r="G2783" s="109" t="s">
        <v>120</v>
      </c>
      <c r="H2783" s="109">
        <v>129</v>
      </c>
      <c r="I2783" s="109">
        <v>2119</v>
      </c>
      <c r="J2783" s="110">
        <v>1836</v>
      </c>
    </row>
    <row r="2784" spans="1:10">
      <c r="A2784" s="103" t="s">
        <v>4635</v>
      </c>
      <c r="B2784" s="124" t="s">
        <v>4636</v>
      </c>
      <c r="C2784" s="110">
        <v>6293</v>
      </c>
      <c r="D2784" s="109" t="s">
        <v>120</v>
      </c>
      <c r="E2784" s="109">
        <v>63</v>
      </c>
      <c r="F2784" s="110">
        <v>4456</v>
      </c>
      <c r="G2784" s="109" t="s">
        <v>120</v>
      </c>
      <c r="H2784" s="109">
        <v>71</v>
      </c>
      <c r="I2784" s="109">
        <v>1925</v>
      </c>
      <c r="J2784" s="110">
        <v>1878</v>
      </c>
    </row>
    <row r="2785" spans="1:10">
      <c r="A2785" s="103" t="s">
        <v>4637</v>
      </c>
      <c r="B2785" s="124" t="s">
        <v>4630</v>
      </c>
      <c r="C2785" s="110">
        <v>9080</v>
      </c>
      <c r="D2785" s="109" t="s">
        <v>120</v>
      </c>
      <c r="E2785" s="109">
        <v>91</v>
      </c>
      <c r="F2785" s="110">
        <v>14863</v>
      </c>
      <c r="G2785" s="109" t="s">
        <v>120</v>
      </c>
      <c r="H2785" s="109">
        <v>164</v>
      </c>
      <c r="I2785" s="109">
        <v>1522</v>
      </c>
      <c r="J2785" s="110">
        <v>524</v>
      </c>
    </row>
    <row r="2786" spans="1:10">
      <c r="A2786" s="103" t="s">
        <v>4638</v>
      </c>
      <c r="B2786" s="124" t="s">
        <v>4639</v>
      </c>
      <c r="C2786" s="110">
        <v>7006</v>
      </c>
      <c r="D2786" s="109" t="s">
        <v>120</v>
      </c>
      <c r="E2786" s="109">
        <v>70</v>
      </c>
      <c r="F2786" s="110">
        <v>8491</v>
      </c>
      <c r="G2786" s="109" t="s">
        <v>120</v>
      </c>
      <c r="H2786" s="109">
        <v>121</v>
      </c>
      <c r="I2786" s="109">
        <v>1847</v>
      </c>
      <c r="J2786" s="110">
        <v>1056</v>
      </c>
    </row>
    <row r="2787" spans="1:10">
      <c r="A2787" s="103" t="s">
        <v>4640</v>
      </c>
      <c r="B2787" s="124" t="s">
        <v>4641</v>
      </c>
      <c r="C2787" s="110">
        <v>4918</v>
      </c>
      <c r="D2787" s="109" t="s">
        <v>120</v>
      </c>
      <c r="E2787" s="109">
        <v>49</v>
      </c>
      <c r="F2787" s="110">
        <v>7229</v>
      </c>
      <c r="G2787" s="109" t="s">
        <v>120</v>
      </c>
      <c r="H2787" s="109">
        <v>147</v>
      </c>
      <c r="I2787" s="109">
        <v>2027</v>
      </c>
      <c r="J2787" s="110">
        <v>1253</v>
      </c>
    </row>
    <row r="2788" spans="1:10" s="119" customFormat="1">
      <c r="A2788" s="123" t="s">
        <v>120</v>
      </c>
      <c r="B2788" s="275" t="s">
        <v>1047</v>
      </c>
      <c r="C2788" s="276"/>
      <c r="D2788" s="276"/>
      <c r="E2788" s="276"/>
      <c r="F2788" s="276"/>
      <c r="G2788" s="276"/>
      <c r="H2788" s="276"/>
      <c r="I2788" s="276"/>
      <c r="J2788" s="276"/>
    </row>
    <row r="2789" spans="1:10">
      <c r="A2789" s="103" t="s">
        <v>4642</v>
      </c>
      <c r="B2789" s="124" t="s">
        <v>4643</v>
      </c>
      <c r="C2789" s="110">
        <v>10503</v>
      </c>
      <c r="D2789" s="109" t="s">
        <v>120</v>
      </c>
      <c r="E2789" s="109">
        <v>105</v>
      </c>
      <c r="F2789" s="110">
        <v>12307</v>
      </c>
      <c r="G2789" s="109" t="s">
        <v>120</v>
      </c>
      <c r="H2789" s="109">
        <v>117</v>
      </c>
      <c r="I2789" s="109">
        <v>1299</v>
      </c>
      <c r="J2789" s="110">
        <v>678</v>
      </c>
    </row>
    <row r="2790" spans="1:10">
      <c r="A2790" s="103" t="s">
        <v>4644</v>
      </c>
      <c r="B2790" s="124" t="s">
        <v>932</v>
      </c>
      <c r="C2790" s="110">
        <v>760</v>
      </c>
      <c r="D2790" s="109" t="s">
        <v>120</v>
      </c>
      <c r="E2790" s="109">
        <v>8</v>
      </c>
      <c r="F2790" s="110">
        <v>3163</v>
      </c>
      <c r="G2790" s="109" t="s">
        <v>120</v>
      </c>
      <c r="H2790" s="109">
        <v>416</v>
      </c>
      <c r="I2790" s="109" t="s">
        <v>122</v>
      </c>
      <c r="J2790" s="110" t="s">
        <v>122</v>
      </c>
    </row>
    <row r="2791" spans="1:10">
      <c r="A2791" s="103" t="s">
        <v>4645</v>
      </c>
      <c r="B2791" s="124" t="s">
        <v>934</v>
      </c>
      <c r="C2791" s="110">
        <v>9743</v>
      </c>
      <c r="D2791" s="109" t="s">
        <v>120</v>
      </c>
      <c r="E2791" s="109">
        <v>97</v>
      </c>
      <c r="F2791" s="110">
        <v>9144</v>
      </c>
      <c r="G2791" s="109" t="s">
        <v>120</v>
      </c>
      <c r="H2791" s="109">
        <v>94</v>
      </c>
      <c r="I2791" s="109" t="s">
        <v>122</v>
      </c>
      <c r="J2791" s="110" t="s">
        <v>122</v>
      </c>
    </row>
    <row r="2792" spans="1:10">
      <c r="A2792" s="103" t="s">
        <v>4646</v>
      </c>
      <c r="B2792" s="124" t="s">
        <v>4647</v>
      </c>
      <c r="C2792" s="110">
        <v>12765</v>
      </c>
      <c r="D2792" s="109" t="s">
        <v>120</v>
      </c>
      <c r="E2792" s="109">
        <v>128</v>
      </c>
      <c r="F2792" s="110">
        <v>7041</v>
      </c>
      <c r="G2792" s="109" t="s">
        <v>120</v>
      </c>
      <c r="H2792" s="109">
        <v>55</v>
      </c>
      <c r="I2792" s="109">
        <v>947</v>
      </c>
      <c r="J2792" s="110">
        <v>1288</v>
      </c>
    </row>
    <row r="2793" spans="1:10">
      <c r="A2793" s="103" t="s">
        <v>4648</v>
      </c>
      <c r="B2793" s="124" t="s">
        <v>932</v>
      </c>
      <c r="C2793" s="110">
        <v>674</v>
      </c>
      <c r="D2793" s="109" t="s">
        <v>120</v>
      </c>
      <c r="E2793" s="109">
        <v>7</v>
      </c>
      <c r="F2793" s="110">
        <v>2149</v>
      </c>
      <c r="G2793" s="109" t="s">
        <v>120</v>
      </c>
      <c r="H2793" s="109">
        <v>319</v>
      </c>
      <c r="I2793" s="109" t="s">
        <v>122</v>
      </c>
      <c r="J2793" s="110" t="s">
        <v>122</v>
      </c>
    </row>
    <row r="2794" spans="1:10">
      <c r="A2794" s="103" t="s">
        <v>4649</v>
      </c>
      <c r="B2794" s="124" t="s">
        <v>934</v>
      </c>
      <c r="C2794" s="110">
        <v>12091</v>
      </c>
      <c r="D2794" s="109" t="s">
        <v>120</v>
      </c>
      <c r="E2794" s="109">
        <v>121</v>
      </c>
      <c r="F2794" s="110">
        <v>4892</v>
      </c>
      <c r="G2794" s="109" t="s">
        <v>120</v>
      </c>
      <c r="H2794" s="109">
        <v>40</v>
      </c>
      <c r="I2794" s="109" t="s">
        <v>122</v>
      </c>
      <c r="J2794" s="110" t="s">
        <v>122</v>
      </c>
    </row>
    <row r="2795" spans="1:10" s="119" customFormat="1">
      <c r="A2795" s="123" t="s">
        <v>120</v>
      </c>
      <c r="B2795" s="273" t="s">
        <v>4650</v>
      </c>
      <c r="C2795" s="274"/>
      <c r="D2795" s="274"/>
      <c r="E2795" s="274"/>
      <c r="F2795" s="274"/>
      <c r="G2795" s="274"/>
      <c r="H2795" s="274"/>
      <c r="I2795" s="274"/>
      <c r="J2795" s="274"/>
    </row>
    <row r="2796" spans="1:10" s="119" customFormat="1">
      <c r="A2796" s="123" t="s">
        <v>120</v>
      </c>
      <c r="B2796" s="275" t="s">
        <v>924</v>
      </c>
      <c r="C2796" s="276"/>
      <c r="D2796" s="276"/>
      <c r="E2796" s="276"/>
      <c r="F2796" s="276"/>
      <c r="G2796" s="276"/>
      <c r="H2796" s="276"/>
      <c r="I2796" s="276"/>
      <c r="J2796" s="276"/>
    </row>
    <row r="2797" spans="1:10">
      <c r="A2797" s="103" t="s">
        <v>4651</v>
      </c>
      <c r="B2797" s="124" t="s">
        <v>4652</v>
      </c>
      <c r="C2797" s="110">
        <v>6553</v>
      </c>
      <c r="D2797" s="109" t="s">
        <v>120</v>
      </c>
      <c r="E2797" s="109">
        <v>66</v>
      </c>
      <c r="F2797" s="110">
        <v>7735</v>
      </c>
      <c r="G2797" s="109" t="s">
        <v>120</v>
      </c>
      <c r="H2797" s="109">
        <v>118</v>
      </c>
      <c r="I2797" s="109">
        <v>1899</v>
      </c>
      <c r="J2797" s="110">
        <v>1163</v>
      </c>
    </row>
    <row r="2798" spans="1:10">
      <c r="A2798" s="103" t="s">
        <v>4653</v>
      </c>
      <c r="B2798" s="124" t="s">
        <v>4654</v>
      </c>
      <c r="C2798" s="110">
        <v>9619</v>
      </c>
      <c r="D2798" s="109" t="s">
        <v>120</v>
      </c>
      <c r="E2798" s="109">
        <v>96</v>
      </c>
      <c r="F2798" s="110">
        <v>7358</v>
      </c>
      <c r="G2798" s="109" t="s">
        <v>120</v>
      </c>
      <c r="H2798" s="109">
        <v>76</v>
      </c>
      <c r="I2798" s="109">
        <v>1445</v>
      </c>
      <c r="J2798" s="110">
        <v>1230</v>
      </c>
    </row>
    <row r="2799" spans="1:10">
      <c r="A2799" s="103" t="s">
        <v>4655</v>
      </c>
      <c r="B2799" s="124" t="s">
        <v>4656</v>
      </c>
      <c r="C2799" s="110">
        <v>9348</v>
      </c>
      <c r="D2799" s="109" t="s">
        <v>120</v>
      </c>
      <c r="E2799" s="109">
        <v>93</v>
      </c>
      <c r="F2799" s="110">
        <v>8151</v>
      </c>
      <c r="G2799" s="109" t="s">
        <v>120</v>
      </c>
      <c r="H2799" s="109">
        <v>87</v>
      </c>
      <c r="I2799" s="109">
        <v>1493</v>
      </c>
      <c r="J2799" s="110">
        <v>1099</v>
      </c>
    </row>
    <row r="2800" spans="1:10" s="119" customFormat="1">
      <c r="A2800" s="123" t="s">
        <v>120</v>
      </c>
      <c r="B2800" s="275" t="s">
        <v>947</v>
      </c>
      <c r="C2800" s="276"/>
      <c r="D2800" s="276"/>
      <c r="E2800" s="276"/>
      <c r="F2800" s="276"/>
      <c r="G2800" s="276"/>
      <c r="H2800" s="276"/>
      <c r="I2800" s="276"/>
      <c r="J2800" s="276"/>
    </row>
    <row r="2801" spans="1:10">
      <c r="A2801" s="103" t="s">
        <v>4657</v>
      </c>
      <c r="B2801" s="124" t="s">
        <v>4658</v>
      </c>
      <c r="C2801" s="110">
        <v>13908</v>
      </c>
      <c r="D2801" s="109" t="s">
        <v>120</v>
      </c>
      <c r="E2801" s="109">
        <v>139</v>
      </c>
      <c r="F2801" s="110">
        <v>27487</v>
      </c>
      <c r="G2801" s="109" t="s">
        <v>120</v>
      </c>
      <c r="H2801" s="109">
        <v>198</v>
      </c>
      <c r="I2801" s="109">
        <v>793</v>
      </c>
      <c r="J2801" s="110">
        <v>213</v>
      </c>
    </row>
    <row r="2802" spans="1:10">
      <c r="A2802" s="103" t="s">
        <v>4659</v>
      </c>
      <c r="B2802" s="124" t="s">
        <v>932</v>
      </c>
      <c r="C2802" s="110">
        <v>4710</v>
      </c>
      <c r="D2802" s="109" t="s">
        <v>120</v>
      </c>
      <c r="E2802" s="109">
        <v>47</v>
      </c>
      <c r="F2802" s="110">
        <v>15860</v>
      </c>
      <c r="G2802" s="109" t="s">
        <v>120</v>
      </c>
      <c r="H2802" s="109">
        <v>337</v>
      </c>
      <c r="I2802" s="109" t="s">
        <v>122</v>
      </c>
      <c r="J2802" s="110" t="s">
        <v>122</v>
      </c>
    </row>
    <row r="2803" spans="1:10">
      <c r="A2803" s="103" t="s">
        <v>4660</v>
      </c>
      <c r="B2803" s="124" t="s">
        <v>934</v>
      </c>
      <c r="C2803" s="110">
        <v>9198</v>
      </c>
      <c r="D2803" s="109" t="s">
        <v>120</v>
      </c>
      <c r="E2803" s="109">
        <v>92</v>
      </c>
      <c r="F2803" s="110">
        <v>11627</v>
      </c>
      <c r="G2803" s="109" t="s">
        <v>120</v>
      </c>
      <c r="H2803" s="109">
        <v>126</v>
      </c>
      <c r="I2803" s="109" t="s">
        <v>122</v>
      </c>
      <c r="J2803" s="110" t="s">
        <v>122</v>
      </c>
    </row>
    <row r="2804" spans="1:10">
      <c r="A2804" s="103" t="s">
        <v>4661</v>
      </c>
      <c r="B2804" s="124" t="s">
        <v>4662</v>
      </c>
      <c r="C2804" s="110">
        <v>15403</v>
      </c>
      <c r="D2804" s="109" t="s">
        <v>120</v>
      </c>
      <c r="E2804" s="109">
        <v>154</v>
      </c>
      <c r="F2804" s="110">
        <v>23784</v>
      </c>
      <c r="G2804" s="109" t="s">
        <v>120</v>
      </c>
      <c r="H2804" s="109">
        <v>154</v>
      </c>
      <c r="I2804" s="109">
        <v>640</v>
      </c>
      <c r="J2804" s="110">
        <v>270</v>
      </c>
    </row>
    <row r="2805" spans="1:10">
      <c r="A2805" s="103" t="s">
        <v>4663</v>
      </c>
      <c r="B2805" s="124" t="s">
        <v>932</v>
      </c>
      <c r="C2805" s="110">
        <v>3699</v>
      </c>
      <c r="D2805" s="109" t="s">
        <v>120</v>
      </c>
      <c r="E2805" s="109">
        <v>37</v>
      </c>
      <c r="F2805" s="110">
        <v>12350</v>
      </c>
      <c r="G2805" s="109" t="s">
        <v>120</v>
      </c>
      <c r="H2805" s="109">
        <v>334</v>
      </c>
      <c r="I2805" s="109" t="s">
        <v>122</v>
      </c>
      <c r="J2805" s="110" t="s">
        <v>122</v>
      </c>
    </row>
    <row r="2806" spans="1:10">
      <c r="A2806" s="103" t="s">
        <v>4664</v>
      </c>
      <c r="B2806" s="124" t="s">
        <v>934</v>
      </c>
      <c r="C2806" s="110">
        <v>11704</v>
      </c>
      <c r="D2806" s="109" t="s">
        <v>120</v>
      </c>
      <c r="E2806" s="109">
        <v>117</v>
      </c>
      <c r="F2806" s="110">
        <v>11434</v>
      </c>
      <c r="G2806" s="109" t="s">
        <v>120</v>
      </c>
      <c r="H2806" s="109">
        <v>98</v>
      </c>
      <c r="I2806" s="109" t="s">
        <v>122</v>
      </c>
      <c r="J2806" s="110" t="s">
        <v>122</v>
      </c>
    </row>
    <row r="2807" spans="1:10" s="119" customFormat="1">
      <c r="A2807" s="123" t="s">
        <v>120</v>
      </c>
      <c r="B2807" s="273" t="s">
        <v>4665</v>
      </c>
      <c r="C2807" s="274"/>
      <c r="D2807" s="274"/>
      <c r="E2807" s="274"/>
      <c r="F2807" s="274"/>
      <c r="G2807" s="274"/>
      <c r="H2807" s="274"/>
      <c r="I2807" s="274"/>
      <c r="J2807" s="274"/>
    </row>
    <row r="2808" spans="1:10" s="119" customFormat="1">
      <c r="A2808" s="123" t="s">
        <v>120</v>
      </c>
      <c r="B2808" s="275" t="s">
        <v>922</v>
      </c>
      <c r="C2808" s="276"/>
      <c r="D2808" s="276"/>
      <c r="E2808" s="276"/>
      <c r="F2808" s="276"/>
      <c r="G2808" s="276"/>
      <c r="H2808" s="276"/>
      <c r="I2808" s="276"/>
      <c r="J2808" s="276"/>
    </row>
    <row r="2809" spans="1:10">
      <c r="A2809" s="103" t="s">
        <v>4666</v>
      </c>
      <c r="B2809" s="124" t="s">
        <v>4667</v>
      </c>
      <c r="C2809" s="110">
        <v>2455</v>
      </c>
      <c r="D2809" s="109" t="s">
        <v>120</v>
      </c>
      <c r="E2809" s="109">
        <v>25</v>
      </c>
      <c r="F2809" s="110">
        <v>6120</v>
      </c>
      <c r="G2809" s="109" t="s">
        <v>120</v>
      </c>
      <c r="H2809" s="109">
        <v>249</v>
      </c>
      <c r="I2809" s="109">
        <v>2201</v>
      </c>
      <c r="J2809" s="110">
        <v>1476</v>
      </c>
    </row>
    <row r="2810" spans="1:10" s="119" customFormat="1">
      <c r="A2810" s="123" t="s">
        <v>120</v>
      </c>
      <c r="B2810" s="275" t="s">
        <v>1022</v>
      </c>
      <c r="C2810" s="276"/>
      <c r="D2810" s="276"/>
      <c r="E2810" s="276"/>
      <c r="F2810" s="276"/>
      <c r="G2810" s="276"/>
      <c r="H2810" s="276"/>
      <c r="I2810" s="276"/>
      <c r="J2810" s="276"/>
    </row>
    <row r="2811" spans="1:10">
      <c r="A2811" s="103" t="s">
        <v>4668</v>
      </c>
      <c r="B2811" s="124" t="s">
        <v>4669</v>
      </c>
      <c r="C2811" s="110">
        <v>5292</v>
      </c>
      <c r="D2811" s="109" t="s">
        <v>120</v>
      </c>
      <c r="E2811" s="109">
        <v>53</v>
      </c>
      <c r="F2811" s="110">
        <v>6945</v>
      </c>
      <c r="G2811" s="109" t="s">
        <v>120</v>
      </c>
      <c r="H2811" s="109">
        <v>131</v>
      </c>
      <c r="I2811" s="109">
        <v>2000</v>
      </c>
      <c r="J2811" s="110">
        <v>1307</v>
      </c>
    </row>
    <row r="2812" spans="1:10">
      <c r="A2812" s="103" t="s">
        <v>4670</v>
      </c>
      <c r="B2812" s="124" t="s">
        <v>4667</v>
      </c>
      <c r="C2812" s="110">
        <v>11902</v>
      </c>
      <c r="D2812" s="109" t="s">
        <v>120</v>
      </c>
      <c r="E2812" s="109">
        <v>118</v>
      </c>
      <c r="F2812" s="110">
        <v>6893</v>
      </c>
      <c r="G2812" s="109" t="s">
        <v>120</v>
      </c>
      <c r="H2812" s="109">
        <v>58</v>
      </c>
      <c r="I2812" s="109">
        <v>1068</v>
      </c>
      <c r="J2812" s="110">
        <v>1316</v>
      </c>
    </row>
    <row r="2813" spans="1:10">
      <c r="A2813" s="103" t="s">
        <v>4671</v>
      </c>
      <c r="B2813" s="124" t="s">
        <v>4672</v>
      </c>
      <c r="C2813" s="110">
        <v>5126</v>
      </c>
      <c r="D2813" s="109" t="s">
        <v>120</v>
      </c>
      <c r="E2813" s="109">
        <v>51</v>
      </c>
      <c r="F2813" s="110">
        <v>7062</v>
      </c>
      <c r="G2813" s="109" t="s">
        <v>120</v>
      </c>
      <c r="H2813" s="109">
        <v>138</v>
      </c>
      <c r="I2813" s="109">
        <v>2009</v>
      </c>
      <c r="J2813" s="110">
        <v>1282</v>
      </c>
    </row>
    <row r="2814" spans="1:10">
      <c r="A2814" s="103" t="s">
        <v>4673</v>
      </c>
      <c r="B2814" s="124" t="s">
        <v>1847</v>
      </c>
      <c r="C2814" s="110">
        <v>7363</v>
      </c>
      <c r="D2814" s="109" t="s">
        <v>120</v>
      </c>
      <c r="E2814" s="109">
        <v>74</v>
      </c>
      <c r="F2814" s="110">
        <v>6860</v>
      </c>
      <c r="G2814" s="109" t="s">
        <v>120</v>
      </c>
      <c r="H2814" s="109">
        <v>93</v>
      </c>
      <c r="I2814" s="109">
        <v>1796</v>
      </c>
      <c r="J2814" s="110">
        <v>1327</v>
      </c>
    </row>
    <row r="2815" spans="1:10">
      <c r="A2815" s="103" t="s">
        <v>4674</v>
      </c>
      <c r="B2815" s="124" t="s">
        <v>3814</v>
      </c>
      <c r="C2815" s="110">
        <v>3910</v>
      </c>
      <c r="D2815" s="109" t="s">
        <v>120</v>
      </c>
      <c r="E2815" s="109">
        <v>39</v>
      </c>
      <c r="F2815" s="110">
        <v>11558</v>
      </c>
      <c r="G2815" s="109" t="s">
        <v>120</v>
      </c>
      <c r="H2815" s="109">
        <v>296</v>
      </c>
      <c r="I2815" s="109">
        <v>2099</v>
      </c>
      <c r="J2815" s="110">
        <v>736</v>
      </c>
    </row>
    <row r="2816" spans="1:10">
      <c r="A2816" s="103" t="s">
        <v>4675</v>
      </c>
      <c r="B2816" s="124" t="s">
        <v>4676</v>
      </c>
      <c r="C2816" s="110">
        <v>5491</v>
      </c>
      <c r="D2816" s="109" t="s">
        <v>120</v>
      </c>
      <c r="E2816" s="109">
        <v>55</v>
      </c>
      <c r="F2816" s="110">
        <v>6439</v>
      </c>
      <c r="G2816" s="109" t="s">
        <v>120</v>
      </c>
      <c r="H2816" s="109">
        <v>117</v>
      </c>
      <c r="I2816" s="109">
        <v>1987</v>
      </c>
      <c r="J2816" s="110">
        <v>1414</v>
      </c>
    </row>
    <row r="2817" spans="1:10">
      <c r="A2817" s="103" t="s">
        <v>4677</v>
      </c>
      <c r="B2817" s="124" t="s">
        <v>4678</v>
      </c>
      <c r="C2817" s="110">
        <v>10818</v>
      </c>
      <c r="D2817" s="109" t="s">
        <v>120</v>
      </c>
      <c r="E2817" s="109">
        <v>108</v>
      </c>
      <c r="F2817" s="110">
        <v>16265</v>
      </c>
      <c r="G2817" s="109" t="s">
        <v>120</v>
      </c>
      <c r="H2817" s="109">
        <v>150</v>
      </c>
      <c r="I2817" s="109">
        <v>1255</v>
      </c>
      <c r="J2817" s="110">
        <v>461</v>
      </c>
    </row>
    <row r="2818" spans="1:10">
      <c r="A2818" s="103" t="s">
        <v>4679</v>
      </c>
      <c r="B2818" s="124" t="s">
        <v>4680</v>
      </c>
      <c r="C2818" s="110">
        <v>9028</v>
      </c>
      <c r="D2818" s="109" t="s">
        <v>120</v>
      </c>
      <c r="E2818" s="109">
        <v>90</v>
      </c>
      <c r="F2818" s="110">
        <v>22296</v>
      </c>
      <c r="G2818" s="109" t="s">
        <v>120</v>
      </c>
      <c r="H2818" s="109">
        <v>247</v>
      </c>
      <c r="I2818" s="109">
        <v>1528</v>
      </c>
      <c r="J2818" s="110">
        <v>295</v>
      </c>
    </row>
    <row r="2819" spans="1:10" s="119" customFormat="1">
      <c r="A2819" s="123" t="s">
        <v>120</v>
      </c>
      <c r="B2819" s="275" t="s">
        <v>947</v>
      </c>
      <c r="C2819" s="276"/>
      <c r="D2819" s="276"/>
      <c r="E2819" s="276"/>
      <c r="F2819" s="276"/>
      <c r="G2819" s="276"/>
      <c r="H2819" s="276"/>
      <c r="I2819" s="276"/>
      <c r="J2819" s="276"/>
    </row>
    <row r="2820" spans="1:10">
      <c r="A2820" s="103" t="s">
        <v>4681</v>
      </c>
      <c r="B2820" s="124" t="s">
        <v>4682</v>
      </c>
      <c r="C2820" s="110">
        <v>11260</v>
      </c>
      <c r="D2820" s="109" t="s">
        <v>120</v>
      </c>
      <c r="E2820" s="109">
        <v>113</v>
      </c>
      <c r="F2820" s="110">
        <v>10833</v>
      </c>
      <c r="G2820" s="109" t="s">
        <v>120</v>
      </c>
      <c r="H2820" s="109">
        <v>96</v>
      </c>
      <c r="I2820" s="109">
        <v>1166</v>
      </c>
      <c r="J2820" s="110">
        <v>799</v>
      </c>
    </row>
    <row r="2821" spans="1:10">
      <c r="A2821" s="103" t="s">
        <v>4683</v>
      </c>
      <c r="B2821" s="124" t="s">
        <v>932</v>
      </c>
      <c r="C2821" s="110">
        <v>423</v>
      </c>
      <c r="D2821" s="109" t="s">
        <v>120</v>
      </c>
      <c r="E2821" s="109">
        <v>4</v>
      </c>
      <c r="F2821" s="110">
        <v>2144</v>
      </c>
      <c r="G2821" s="109" t="s">
        <v>120</v>
      </c>
      <c r="H2821" s="109">
        <v>507</v>
      </c>
      <c r="I2821" s="109" t="s">
        <v>122</v>
      </c>
      <c r="J2821" s="110" t="s">
        <v>122</v>
      </c>
    </row>
    <row r="2822" spans="1:10">
      <c r="A2822" s="103" t="s">
        <v>4684</v>
      </c>
      <c r="B2822" s="124" t="s">
        <v>934</v>
      </c>
      <c r="C2822" s="110">
        <v>10837</v>
      </c>
      <c r="D2822" s="109" t="s">
        <v>120</v>
      </c>
      <c r="E2822" s="109">
        <v>109</v>
      </c>
      <c r="F2822" s="110">
        <v>8689</v>
      </c>
      <c r="G2822" s="109" t="s">
        <v>120</v>
      </c>
      <c r="H2822" s="109">
        <v>80</v>
      </c>
      <c r="I2822" s="109" t="s">
        <v>122</v>
      </c>
      <c r="J2822" s="110" t="s">
        <v>122</v>
      </c>
    </row>
    <row r="2823" spans="1:10">
      <c r="A2823" s="103" t="s">
        <v>4685</v>
      </c>
      <c r="B2823" s="124" t="s">
        <v>4686</v>
      </c>
      <c r="C2823" s="110">
        <v>8896</v>
      </c>
      <c r="D2823" s="109" t="s">
        <v>120</v>
      </c>
      <c r="E2823" s="109">
        <v>89</v>
      </c>
      <c r="F2823" s="110">
        <v>20766</v>
      </c>
      <c r="G2823" s="109" t="s">
        <v>120</v>
      </c>
      <c r="H2823" s="109">
        <v>233</v>
      </c>
      <c r="I2823" s="109">
        <v>1543</v>
      </c>
      <c r="J2823" s="110">
        <v>325</v>
      </c>
    </row>
    <row r="2824" spans="1:10">
      <c r="A2824" s="103" t="s">
        <v>4687</v>
      </c>
      <c r="B2824" s="124" t="s">
        <v>932</v>
      </c>
      <c r="C2824" s="110">
        <v>911</v>
      </c>
      <c r="D2824" s="109" t="s">
        <v>120</v>
      </c>
      <c r="E2824" s="109">
        <v>8</v>
      </c>
      <c r="F2824" s="110">
        <v>6184</v>
      </c>
      <c r="G2824" s="109" t="s">
        <v>120</v>
      </c>
      <c r="H2824" s="109">
        <v>679</v>
      </c>
      <c r="I2824" s="109" t="s">
        <v>122</v>
      </c>
      <c r="J2824" s="110" t="s">
        <v>122</v>
      </c>
    </row>
    <row r="2825" spans="1:10">
      <c r="A2825" s="103" t="s">
        <v>4688</v>
      </c>
      <c r="B2825" s="124" t="s">
        <v>934</v>
      </c>
      <c r="C2825" s="110">
        <v>7985</v>
      </c>
      <c r="D2825" s="109" t="s">
        <v>120</v>
      </c>
      <c r="E2825" s="109">
        <v>81</v>
      </c>
      <c r="F2825" s="110">
        <v>14582</v>
      </c>
      <c r="G2825" s="109" t="s">
        <v>120</v>
      </c>
      <c r="H2825" s="109">
        <v>183</v>
      </c>
      <c r="I2825" s="109" t="s">
        <v>122</v>
      </c>
      <c r="J2825" s="110" t="s">
        <v>122</v>
      </c>
    </row>
    <row r="2826" spans="1:10">
      <c r="A2826" s="103" t="s">
        <v>4689</v>
      </c>
      <c r="B2826" s="124" t="s">
        <v>4690</v>
      </c>
      <c r="C2826" s="110">
        <v>14380</v>
      </c>
      <c r="D2826" s="109" t="s">
        <v>120</v>
      </c>
      <c r="E2826" s="109">
        <v>144</v>
      </c>
      <c r="F2826" s="110">
        <v>19658</v>
      </c>
      <c r="G2826" s="109" t="s">
        <v>120</v>
      </c>
      <c r="H2826" s="109">
        <v>137</v>
      </c>
      <c r="I2826" s="109">
        <v>744</v>
      </c>
      <c r="J2826" s="110">
        <v>353</v>
      </c>
    </row>
    <row r="2827" spans="1:10">
      <c r="A2827" s="103" t="s">
        <v>4691</v>
      </c>
      <c r="B2827" s="124" t="s">
        <v>932</v>
      </c>
      <c r="C2827" s="110">
        <v>2088</v>
      </c>
      <c r="D2827" s="109" t="s">
        <v>120</v>
      </c>
      <c r="E2827" s="109">
        <v>21</v>
      </c>
      <c r="F2827" s="110">
        <v>8530</v>
      </c>
      <c r="G2827" s="109" t="s">
        <v>120</v>
      </c>
      <c r="H2827" s="109">
        <v>409</v>
      </c>
      <c r="I2827" s="109" t="s">
        <v>122</v>
      </c>
      <c r="J2827" s="110" t="s">
        <v>122</v>
      </c>
    </row>
    <row r="2828" spans="1:10">
      <c r="A2828" s="103" t="s">
        <v>4692</v>
      </c>
      <c r="B2828" s="124" t="s">
        <v>934</v>
      </c>
      <c r="C2828" s="110">
        <v>12292</v>
      </c>
      <c r="D2828" s="109" t="s">
        <v>120</v>
      </c>
      <c r="E2828" s="109">
        <v>123</v>
      </c>
      <c r="F2828" s="110">
        <v>11128</v>
      </c>
      <c r="G2828" s="109" t="s">
        <v>120</v>
      </c>
      <c r="H2828" s="109">
        <v>91</v>
      </c>
      <c r="I2828" s="109" t="s">
        <v>122</v>
      </c>
      <c r="J2828" s="110" t="s">
        <v>122</v>
      </c>
    </row>
    <row r="2829" spans="1:10">
      <c r="A2829" s="103" t="s">
        <v>4693</v>
      </c>
      <c r="B2829" s="124" t="s">
        <v>4694</v>
      </c>
      <c r="C2829" s="110">
        <v>13420</v>
      </c>
      <c r="D2829" s="109" t="s">
        <v>120</v>
      </c>
      <c r="E2829" s="109">
        <v>134</v>
      </c>
      <c r="F2829" s="110">
        <v>17244</v>
      </c>
      <c r="G2829" s="109" t="s">
        <v>120</v>
      </c>
      <c r="H2829" s="109">
        <v>128</v>
      </c>
      <c r="I2829" s="109">
        <v>849</v>
      </c>
      <c r="J2829" s="110">
        <v>424</v>
      </c>
    </row>
    <row r="2830" spans="1:10">
      <c r="A2830" s="103" t="s">
        <v>4695</v>
      </c>
      <c r="B2830" s="124" t="s">
        <v>932</v>
      </c>
      <c r="C2830" s="110">
        <v>1554</v>
      </c>
      <c r="D2830" s="109" t="s">
        <v>120</v>
      </c>
      <c r="E2830" s="109">
        <v>16</v>
      </c>
      <c r="F2830" s="110">
        <v>4203</v>
      </c>
      <c r="G2830" s="109" t="s">
        <v>120</v>
      </c>
      <c r="H2830" s="109">
        <v>270</v>
      </c>
      <c r="I2830" s="109" t="s">
        <v>122</v>
      </c>
      <c r="J2830" s="110" t="s">
        <v>122</v>
      </c>
    </row>
    <row r="2831" spans="1:10">
      <c r="A2831" s="103" t="s">
        <v>4696</v>
      </c>
      <c r="B2831" s="124" t="s">
        <v>934</v>
      </c>
      <c r="C2831" s="110">
        <v>11866</v>
      </c>
      <c r="D2831" s="109" t="s">
        <v>120</v>
      </c>
      <c r="E2831" s="109">
        <v>118</v>
      </c>
      <c r="F2831" s="110">
        <v>13041</v>
      </c>
      <c r="G2831" s="109" t="s">
        <v>120</v>
      </c>
      <c r="H2831" s="109">
        <v>110</v>
      </c>
      <c r="I2831" s="109" t="s">
        <v>122</v>
      </c>
      <c r="J2831" s="110" t="s">
        <v>122</v>
      </c>
    </row>
    <row r="2832" spans="1:10">
      <c r="A2832" s="103" t="s">
        <v>4697</v>
      </c>
      <c r="B2832" s="124" t="s">
        <v>4698</v>
      </c>
      <c r="C2832" s="110">
        <v>5372</v>
      </c>
      <c r="D2832" s="109" t="s">
        <v>120</v>
      </c>
      <c r="E2832" s="109">
        <v>54</v>
      </c>
      <c r="F2832" s="110">
        <v>10499</v>
      </c>
      <c r="G2832" s="109" t="s">
        <v>120</v>
      </c>
      <c r="H2832" s="109">
        <v>195</v>
      </c>
      <c r="I2832" s="109">
        <v>1996</v>
      </c>
      <c r="J2832" s="110">
        <v>832</v>
      </c>
    </row>
    <row r="2833" spans="1:10">
      <c r="A2833" s="103" t="s">
        <v>4699</v>
      </c>
      <c r="B2833" s="124" t="s">
        <v>932</v>
      </c>
      <c r="C2833" s="110">
        <v>967</v>
      </c>
      <c r="D2833" s="109" t="s">
        <v>120</v>
      </c>
      <c r="E2833" s="109">
        <v>9</v>
      </c>
      <c r="F2833" s="110">
        <v>3871</v>
      </c>
      <c r="G2833" s="109" t="s">
        <v>120</v>
      </c>
      <c r="H2833" s="109">
        <v>400</v>
      </c>
      <c r="I2833" s="109" t="s">
        <v>122</v>
      </c>
      <c r="J2833" s="110" t="s">
        <v>122</v>
      </c>
    </row>
    <row r="2834" spans="1:10">
      <c r="A2834" s="103" t="s">
        <v>4700</v>
      </c>
      <c r="B2834" s="124" t="s">
        <v>934</v>
      </c>
      <c r="C2834" s="110">
        <v>4405</v>
      </c>
      <c r="D2834" s="109" t="s">
        <v>120</v>
      </c>
      <c r="E2834" s="109">
        <v>45</v>
      </c>
      <c r="F2834" s="110">
        <v>6628</v>
      </c>
      <c r="G2834" s="109" t="s">
        <v>120</v>
      </c>
      <c r="H2834" s="109">
        <v>150</v>
      </c>
      <c r="I2834" s="109" t="s">
        <v>122</v>
      </c>
      <c r="J2834" s="110" t="s">
        <v>122</v>
      </c>
    </row>
    <row r="2835" spans="1:10" s="119" customFormat="1">
      <c r="A2835" s="123" t="s">
        <v>120</v>
      </c>
      <c r="B2835" s="273" t="s">
        <v>4701</v>
      </c>
      <c r="C2835" s="274"/>
      <c r="D2835" s="274"/>
      <c r="E2835" s="274"/>
      <c r="F2835" s="274"/>
      <c r="G2835" s="274"/>
      <c r="H2835" s="274"/>
      <c r="I2835" s="274"/>
      <c r="J2835" s="274"/>
    </row>
    <row r="2836" spans="1:10" s="119" customFormat="1">
      <c r="A2836" s="123" t="s">
        <v>120</v>
      </c>
      <c r="B2836" s="275" t="s">
        <v>922</v>
      </c>
      <c r="C2836" s="276"/>
      <c r="D2836" s="276"/>
      <c r="E2836" s="276"/>
      <c r="F2836" s="276"/>
      <c r="G2836" s="276"/>
      <c r="H2836" s="276"/>
      <c r="I2836" s="276"/>
      <c r="J2836" s="276"/>
    </row>
    <row r="2837" spans="1:10">
      <c r="A2837" s="103" t="s">
        <v>4702</v>
      </c>
      <c r="B2837" s="124" t="s">
        <v>4703</v>
      </c>
      <c r="C2837" s="110">
        <v>3808</v>
      </c>
      <c r="D2837" s="109" t="s">
        <v>120</v>
      </c>
      <c r="E2837" s="109">
        <v>38</v>
      </c>
      <c r="F2837" s="110">
        <v>37359</v>
      </c>
      <c r="G2837" s="109" t="s">
        <v>120</v>
      </c>
      <c r="H2837" s="109">
        <v>981</v>
      </c>
      <c r="I2837" s="109">
        <v>2105</v>
      </c>
      <c r="J2837" s="110">
        <v>141</v>
      </c>
    </row>
    <row r="2838" spans="1:10" s="119" customFormat="1">
      <c r="A2838" s="123" t="s">
        <v>120</v>
      </c>
      <c r="B2838" s="275" t="s">
        <v>943</v>
      </c>
      <c r="C2838" s="276"/>
      <c r="D2838" s="276"/>
      <c r="E2838" s="276"/>
      <c r="F2838" s="276"/>
      <c r="G2838" s="276"/>
      <c r="H2838" s="276"/>
      <c r="I2838" s="276"/>
      <c r="J2838" s="276"/>
    </row>
    <row r="2839" spans="1:10">
      <c r="A2839" s="103" t="s">
        <v>4704</v>
      </c>
      <c r="B2839" s="124" t="s">
        <v>4705</v>
      </c>
      <c r="C2839" s="110">
        <v>2748</v>
      </c>
      <c r="D2839" s="109" t="s">
        <v>120</v>
      </c>
      <c r="E2839" s="109">
        <v>27</v>
      </c>
      <c r="F2839" s="110">
        <v>4508</v>
      </c>
      <c r="G2839" s="109" t="s">
        <v>120</v>
      </c>
      <c r="H2839" s="109">
        <v>164</v>
      </c>
      <c r="I2839" s="109">
        <v>2179</v>
      </c>
      <c r="J2839" s="110">
        <v>1869</v>
      </c>
    </row>
    <row r="2840" spans="1:10">
      <c r="A2840" s="103" t="s">
        <v>4706</v>
      </c>
      <c r="B2840" s="124" t="s">
        <v>4707</v>
      </c>
      <c r="C2840" s="110">
        <v>13693</v>
      </c>
      <c r="D2840" s="109" t="s">
        <v>120</v>
      </c>
      <c r="E2840" s="109">
        <v>137</v>
      </c>
      <c r="F2840" s="110">
        <v>5495</v>
      </c>
      <c r="G2840" s="109" t="s">
        <v>120</v>
      </c>
      <c r="H2840" s="109">
        <v>40</v>
      </c>
      <c r="I2840" s="109">
        <v>813</v>
      </c>
      <c r="J2840" s="110">
        <v>1617</v>
      </c>
    </row>
    <row r="2841" spans="1:10">
      <c r="A2841" s="103" t="s">
        <v>4708</v>
      </c>
      <c r="B2841" s="124" t="s">
        <v>4709</v>
      </c>
      <c r="C2841" s="110">
        <v>38770</v>
      </c>
      <c r="D2841" s="109" t="s">
        <v>120</v>
      </c>
      <c r="E2841" s="109">
        <v>388</v>
      </c>
      <c r="F2841" s="110">
        <v>4541</v>
      </c>
      <c r="G2841" s="109" t="s">
        <v>120</v>
      </c>
      <c r="H2841" s="109">
        <v>12</v>
      </c>
      <c r="I2841" s="109">
        <v>28</v>
      </c>
      <c r="J2841" s="110">
        <v>1862</v>
      </c>
    </row>
    <row r="2842" spans="1:10">
      <c r="A2842" s="103" t="s">
        <v>4710</v>
      </c>
      <c r="B2842" s="124" t="s">
        <v>4703</v>
      </c>
      <c r="C2842" s="110">
        <v>23170</v>
      </c>
      <c r="D2842" s="109" t="s">
        <v>120</v>
      </c>
      <c r="E2842" s="109">
        <v>232</v>
      </c>
      <c r="F2842" s="110">
        <v>18086</v>
      </c>
      <c r="G2842" s="109" t="s">
        <v>120</v>
      </c>
      <c r="H2842" s="109">
        <v>78</v>
      </c>
      <c r="I2842" s="109">
        <v>226</v>
      </c>
      <c r="J2842" s="110">
        <v>399</v>
      </c>
    </row>
    <row r="2843" spans="1:10">
      <c r="A2843" s="103" t="s">
        <v>4711</v>
      </c>
      <c r="B2843" s="124" t="s">
        <v>4712</v>
      </c>
      <c r="C2843" s="110">
        <v>6925</v>
      </c>
      <c r="D2843" s="109" t="s">
        <v>120</v>
      </c>
      <c r="E2843" s="109">
        <v>69</v>
      </c>
      <c r="F2843" s="110">
        <v>1978</v>
      </c>
      <c r="G2843" s="109" t="s">
        <v>120</v>
      </c>
      <c r="H2843" s="109">
        <v>29</v>
      </c>
      <c r="I2843" s="109">
        <v>1860</v>
      </c>
      <c r="J2843" s="110">
        <v>2292</v>
      </c>
    </row>
    <row r="2844" spans="1:10">
      <c r="A2844" s="103" t="s">
        <v>4713</v>
      </c>
      <c r="B2844" s="124" t="s">
        <v>4714</v>
      </c>
      <c r="C2844" s="110">
        <v>10540</v>
      </c>
      <c r="D2844" s="109" t="s">
        <v>120</v>
      </c>
      <c r="E2844" s="109">
        <v>105</v>
      </c>
      <c r="F2844" s="110">
        <v>9292</v>
      </c>
      <c r="G2844" s="109" t="s">
        <v>120</v>
      </c>
      <c r="H2844" s="109">
        <v>88</v>
      </c>
      <c r="I2844" s="109">
        <v>1297</v>
      </c>
      <c r="J2844" s="110">
        <v>942</v>
      </c>
    </row>
    <row r="2845" spans="1:10" s="119" customFormat="1">
      <c r="A2845" s="123" t="s">
        <v>120</v>
      </c>
      <c r="B2845" s="275" t="s">
        <v>2572</v>
      </c>
      <c r="C2845" s="276"/>
      <c r="D2845" s="276"/>
      <c r="E2845" s="276"/>
      <c r="F2845" s="276"/>
      <c r="G2845" s="276"/>
      <c r="H2845" s="276"/>
      <c r="I2845" s="276"/>
      <c r="J2845" s="276"/>
    </row>
    <row r="2846" spans="1:10">
      <c r="A2846" s="103" t="s">
        <v>4715</v>
      </c>
      <c r="B2846" s="124" t="s">
        <v>4716</v>
      </c>
      <c r="C2846" s="110">
        <v>15989</v>
      </c>
      <c r="D2846" s="109" t="s">
        <v>120</v>
      </c>
      <c r="E2846" s="109">
        <v>160</v>
      </c>
      <c r="F2846" s="110">
        <v>13126</v>
      </c>
      <c r="G2846" s="109" t="s">
        <v>120</v>
      </c>
      <c r="H2846" s="109">
        <v>82</v>
      </c>
      <c r="I2846" s="109">
        <v>596</v>
      </c>
      <c r="J2846" s="110">
        <v>620</v>
      </c>
    </row>
    <row r="2847" spans="1:10">
      <c r="A2847" s="103" t="s">
        <v>4717</v>
      </c>
      <c r="B2847" s="124" t="s">
        <v>932</v>
      </c>
      <c r="C2847" s="110">
        <v>2229</v>
      </c>
      <c r="D2847" s="109" t="s">
        <v>120</v>
      </c>
      <c r="E2847" s="109">
        <v>22</v>
      </c>
      <c r="F2847" s="110">
        <v>5120</v>
      </c>
      <c r="G2847" s="109" t="s">
        <v>120</v>
      </c>
      <c r="H2847" s="109">
        <v>230</v>
      </c>
      <c r="I2847" s="109" t="s">
        <v>122</v>
      </c>
      <c r="J2847" s="110" t="s">
        <v>122</v>
      </c>
    </row>
    <row r="2848" spans="1:10">
      <c r="A2848" s="103" t="s">
        <v>4718</v>
      </c>
      <c r="B2848" s="124" t="s">
        <v>934</v>
      </c>
      <c r="C2848" s="110">
        <v>13760</v>
      </c>
      <c r="D2848" s="109" t="s">
        <v>120</v>
      </c>
      <c r="E2848" s="109">
        <v>138</v>
      </c>
      <c r="F2848" s="110">
        <v>8006</v>
      </c>
      <c r="G2848" s="109" t="s">
        <v>120</v>
      </c>
      <c r="H2848" s="109">
        <v>58</v>
      </c>
      <c r="I2848" s="109" t="s">
        <v>122</v>
      </c>
      <c r="J2848" s="110" t="s">
        <v>122</v>
      </c>
    </row>
    <row r="2849" spans="1:10" s="119" customFormat="1">
      <c r="A2849" s="123" t="s">
        <v>120</v>
      </c>
      <c r="B2849" s="273" t="s">
        <v>4719</v>
      </c>
      <c r="C2849" s="274"/>
      <c r="D2849" s="274"/>
      <c r="E2849" s="274"/>
      <c r="F2849" s="274"/>
      <c r="G2849" s="274"/>
      <c r="H2849" s="274"/>
      <c r="I2849" s="274"/>
      <c r="J2849" s="274"/>
    </row>
    <row r="2850" spans="1:10" s="119" customFormat="1">
      <c r="A2850" s="123" t="s">
        <v>120</v>
      </c>
      <c r="B2850" s="275" t="s">
        <v>1019</v>
      </c>
      <c r="C2850" s="276"/>
      <c r="D2850" s="276"/>
      <c r="E2850" s="276"/>
      <c r="F2850" s="276"/>
      <c r="G2850" s="276"/>
      <c r="H2850" s="276"/>
      <c r="I2850" s="276"/>
      <c r="J2850" s="276"/>
    </row>
    <row r="2851" spans="1:10">
      <c r="A2851" s="103" t="s">
        <v>4720</v>
      </c>
      <c r="B2851" s="124" t="s">
        <v>4721</v>
      </c>
      <c r="C2851" s="110">
        <v>8252</v>
      </c>
      <c r="D2851" s="109" t="s">
        <v>120</v>
      </c>
      <c r="E2851" s="109">
        <v>83</v>
      </c>
      <c r="F2851" s="110">
        <v>60466</v>
      </c>
      <c r="G2851" s="109" t="s">
        <v>120</v>
      </c>
      <c r="H2851" s="109">
        <v>733</v>
      </c>
      <c r="I2851" s="109">
        <v>1663</v>
      </c>
      <c r="J2851" s="110">
        <v>74</v>
      </c>
    </row>
    <row r="2852" spans="1:10" s="119" customFormat="1">
      <c r="A2852" s="123" t="s">
        <v>120</v>
      </c>
      <c r="B2852" s="275" t="s">
        <v>943</v>
      </c>
      <c r="C2852" s="276"/>
      <c r="D2852" s="276"/>
      <c r="E2852" s="276"/>
      <c r="F2852" s="276"/>
      <c r="G2852" s="276"/>
      <c r="H2852" s="276"/>
      <c r="I2852" s="276"/>
      <c r="J2852" s="276"/>
    </row>
    <row r="2853" spans="1:10">
      <c r="A2853" s="103" t="s">
        <v>4722</v>
      </c>
      <c r="B2853" s="124" t="s">
        <v>4723</v>
      </c>
      <c r="C2853" s="110">
        <v>17933</v>
      </c>
      <c r="D2853" s="109" t="s">
        <v>120</v>
      </c>
      <c r="E2853" s="109">
        <v>179</v>
      </c>
      <c r="F2853" s="110">
        <v>7602</v>
      </c>
      <c r="G2853" s="109" t="s">
        <v>120</v>
      </c>
      <c r="H2853" s="109">
        <v>42</v>
      </c>
      <c r="I2853" s="109">
        <v>455</v>
      </c>
      <c r="J2853" s="110">
        <v>1185</v>
      </c>
    </row>
    <row r="2854" spans="1:10">
      <c r="A2854" s="103" t="s">
        <v>4724</v>
      </c>
      <c r="B2854" s="124" t="s">
        <v>4725</v>
      </c>
      <c r="C2854" s="110">
        <v>14669</v>
      </c>
      <c r="D2854" s="109" t="s">
        <v>120</v>
      </c>
      <c r="E2854" s="109">
        <v>147</v>
      </c>
      <c r="F2854" s="110">
        <v>11194</v>
      </c>
      <c r="G2854" s="109" t="s">
        <v>120</v>
      </c>
      <c r="H2854" s="109">
        <v>76</v>
      </c>
      <c r="I2854" s="109">
        <v>709</v>
      </c>
      <c r="J2854" s="110">
        <v>769</v>
      </c>
    </row>
    <row r="2855" spans="1:10">
      <c r="A2855" s="103" t="s">
        <v>4726</v>
      </c>
      <c r="B2855" s="124" t="s">
        <v>4727</v>
      </c>
      <c r="C2855" s="110">
        <v>13390</v>
      </c>
      <c r="D2855" s="109" t="s">
        <v>120</v>
      </c>
      <c r="E2855" s="109">
        <v>134</v>
      </c>
      <c r="F2855" s="110">
        <v>7311</v>
      </c>
      <c r="G2855" s="109" t="s">
        <v>120</v>
      </c>
      <c r="H2855" s="109">
        <v>55</v>
      </c>
      <c r="I2855" s="109">
        <v>859</v>
      </c>
      <c r="J2855" s="110">
        <v>1241</v>
      </c>
    </row>
    <row r="2856" spans="1:10">
      <c r="A2856" s="103" t="s">
        <v>4728</v>
      </c>
      <c r="B2856" s="124" t="s">
        <v>4729</v>
      </c>
      <c r="C2856" s="110">
        <v>8717</v>
      </c>
      <c r="D2856" s="109" t="s">
        <v>120</v>
      </c>
      <c r="E2856" s="109">
        <v>87</v>
      </c>
      <c r="F2856" s="110">
        <v>10948</v>
      </c>
      <c r="G2856" s="109" t="s">
        <v>120</v>
      </c>
      <c r="H2856" s="109">
        <v>126</v>
      </c>
      <c r="I2856" s="109">
        <v>1576</v>
      </c>
      <c r="J2856" s="110">
        <v>787</v>
      </c>
    </row>
    <row r="2857" spans="1:10" s="119" customFormat="1">
      <c r="A2857" s="123" t="s">
        <v>120</v>
      </c>
      <c r="B2857" s="275" t="s">
        <v>929</v>
      </c>
      <c r="C2857" s="276"/>
      <c r="D2857" s="276"/>
      <c r="E2857" s="276"/>
      <c r="F2857" s="276"/>
      <c r="G2857" s="276"/>
      <c r="H2857" s="276"/>
      <c r="I2857" s="276"/>
      <c r="J2857" s="276"/>
    </row>
    <row r="2858" spans="1:10">
      <c r="A2858" s="103" t="s">
        <v>4730</v>
      </c>
      <c r="B2858" s="124" t="s">
        <v>4731</v>
      </c>
      <c r="C2858" s="110">
        <v>20213</v>
      </c>
      <c r="D2858" s="109" t="s">
        <v>120</v>
      </c>
      <c r="E2858" s="109">
        <v>202</v>
      </c>
      <c r="F2858" s="110">
        <v>8516</v>
      </c>
      <c r="G2858" s="109" t="s">
        <v>120</v>
      </c>
      <c r="H2858" s="109">
        <v>42</v>
      </c>
      <c r="I2858" s="109">
        <v>335</v>
      </c>
      <c r="J2858" s="110">
        <v>1048</v>
      </c>
    </row>
    <row r="2859" spans="1:10">
      <c r="A2859" s="103" t="s">
        <v>4732</v>
      </c>
      <c r="B2859" s="124" t="s">
        <v>932</v>
      </c>
      <c r="C2859" s="110">
        <v>1142</v>
      </c>
      <c r="D2859" s="109" t="s">
        <v>120</v>
      </c>
      <c r="E2859" s="109">
        <v>11</v>
      </c>
      <c r="F2859" s="110">
        <v>2955</v>
      </c>
      <c r="G2859" s="109" t="s">
        <v>120</v>
      </c>
      <c r="H2859" s="109">
        <v>259</v>
      </c>
      <c r="I2859" s="109" t="s">
        <v>122</v>
      </c>
      <c r="J2859" s="110" t="s">
        <v>122</v>
      </c>
    </row>
    <row r="2860" spans="1:10">
      <c r="A2860" s="103" t="s">
        <v>4733</v>
      </c>
      <c r="B2860" s="124" t="s">
        <v>934</v>
      </c>
      <c r="C2860" s="110">
        <v>19071</v>
      </c>
      <c r="D2860" s="109" t="s">
        <v>120</v>
      </c>
      <c r="E2860" s="109">
        <v>191</v>
      </c>
      <c r="F2860" s="110">
        <v>5561</v>
      </c>
      <c r="G2860" s="109" t="s">
        <v>120</v>
      </c>
      <c r="H2860" s="109">
        <v>29</v>
      </c>
      <c r="I2860" s="109" t="s">
        <v>122</v>
      </c>
      <c r="J2860" s="110" t="s">
        <v>122</v>
      </c>
    </row>
    <row r="2861" spans="1:10" s="119" customFormat="1">
      <c r="A2861" s="123" t="s">
        <v>120</v>
      </c>
      <c r="B2861" s="273" t="s">
        <v>4734</v>
      </c>
      <c r="C2861" s="274"/>
      <c r="D2861" s="274"/>
      <c r="E2861" s="274"/>
      <c r="F2861" s="274"/>
      <c r="G2861" s="274"/>
      <c r="H2861" s="274"/>
      <c r="I2861" s="274"/>
      <c r="J2861" s="274"/>
    </row>
    <row r="2862" spans="1:10" s="119" customFormat="1">
      <c r="A2862" s="123" t="s">
        <v>120</v>
      </c>
      <c r="B2862" s="275" t="s">
        <v>943</v>
      </c>
      <c r="C2862" s="276"/>
      <c r="D2862" s="276"/>
      <c r="E2862" s="276"/>
      <c r="F2862" s="276"/>
      <c r="G2862" s="276"/>
      <c r="H2862" s="276"/>
      <c r="I2862" s="276"/>
      <c r="J2862" s="276"/>
    </row>
    <row r="2863" spans="1:10">
      <c r="A2863" s="103" t="s">
        <v>4735</v>
      </c>
      <c r="B2863" s="124" t="s">
        <v>4736</v>
      </c>
      <c r="C2863" s="110">
        <v>8470</v>
      </c>
      <c r="D2863" s="109" t="s">
        <v>120</v>
      </c>
      <c r="E2863" s="109">
        <v>85</v>
      </c>
      <c r="F2863" s="110">
        <v>11808</v>
      </c>
      <c r="G2863" s="109" t="s">
        <v>120</v>
      </c>
      <c r="H2863" s="109">
        <v>139</v>
      </c>
      <c r="I2863" s="109">
        <v>1624</v>
      </c>
      <c r="J2863" s="110">
        <v>718</v>
      </c>
    </row>
    <row r="2864" spans="1:10">
      <c r="A2864" s="103" t="s">
        <v>4737</v>
      </c>
      <c r="B2864" s="124" t="s">
        <v>4738</v>
      </c>
      <c r="C2864" s="110">
        <v>9063</v>
      </c>
      <c r="D2864" s="109" t="s">
        <v>120</v>
      </c>
      <c r="E2864" s="109">
        <v>91</v>
      </c>
      <c r="F2864" s="110">
        <v>10361</v>
      </c>
      <c r="G2864" s="109" t="s">
        <v>120</v>
      </c>
      <c r="H2864" s="109">
        <v>114</v>
      </c>
      <c r="I2864" s="109">
        <v>1525</v>
      </c>
      <c r="J2864" s="110">
        <v>844</v>
      </c>
    </row>
    <row r="2865" spans="1:10">
      <c r="A2865" s="103" t="s">
        <v>4739</v>
      </c>
      <c r="B2865" s="124" t="s">
        <v>4740</v>
      </c>
      <c r="C2865" s="110">
        <v>10444</v>
      </c>
      <c r="D2865" s="109" t="s">
        <v>120</v>
      </c>
      <c r="E2865" s="109">
        <v>105</v>
      </c>
      <c r="F2865" s="110">
        <v>10541</v>
      </c>
      <c r="G2865" s="109" t="s">
        <v>120</v>
      </c>
      <c r="H2865" s="109">
        <v>101</v>
      </c>
      <c r="I2865" s="109">
        <v>1311</v>
      </c>
      <c r="J2865" s="110">
        <v>828</v>
      </c>
    </row>
    <row r="2866" spans="1:10">
      <c r="A2866" s="103" t="s">
        <v>4741</v>
      </c>
      <c r="B2866" s="124" t="s">
        <v>3102</v>
      </c>
      <c r="C2866" s="110">
        <v>8338</v>
      </c>
      <c r="D2866" s="109" t="s">
        <v>120</v>
      </c>
      <c r="E2866" s="109">
        <v>83</v>
      </c>
      <c r="F2866" s="110">
        <v>7999</v>
      </c>
      <c r="G2866" s="109" t="s">
        <v>120</v>
      </c>
      <c r="H2866" s="109">
        <v>96</v>
      </c>
      <c r="I2866" s="109">
        <v>1647</v>
      </c>
      <c r="J2866" s="110">
        <v>1121</v>
      </c>
    </row>
    <row r="2867" spans="1:10" s="119" customFormat="1">
      <c r="A2867" s="123" t="s">
        <v>120</v>
      </c>
      <c r="B2867" s="275" t="s">
        <v>2572</v>
      </c>
      <c r="C2867" s="276"/>
      <c r="D2867" s="276"/>
      <c r="E2867" s="276"/>
      <c r="F2867" s="276"/>
      <c r="G2867" s="276"/>
      <c r="H2867" s="276"/>
      <c r="I2867" s="276"/>
      <c r="J2867" s="276"/>
    </row>
    <row r="2868" spans="1:10">
      <c r="A2868" s="103" t="s">
        <v>4742</v>
      </c>
      <c r="B2868" s="124" t="s">
        <v>4743</v>
      </c>
      <c r="C2868" s="110">
        <v>14032</v>
      </c>
      <c r="D2868" s="109" t="s">
        <v>120</v>
      </c>
      <c r="E2868" s="109">
        <v>140</v>
      </c>
      <c r="F2868" s="110">
        <v>20677</v>
      </c>
      <c r="G2868" s="109" t="s">
        <v>120</v>
      </c>
      <c r="H2868" s="109">
        <v>147</v>
      </c>
      <c r="I2868" s="109">
        <v>780</v>
      </c>
      <c r="J2868" s="110">
        <v>327</v>
      </c>
    </row>
    <row r="2869" spans="1:10">
      <c r="A2869" s="103" t="s">
        <v>4744</v>
      </c>
      <c r="B2869" s="124" t="s">
        <v>932</v>
      </c>
      <c r="C2869" s="110">
        <v>1389</v>
      </c>
      <c r="D2869" s="109" t="s">
        <v>120</v>
      </c>
      <c r="E2869" s="109">
        <v>14</v>
      </c>
      <c r="F2869" s="110">
        <v>8831</v>
      </c>
      <c r="G2869" s="109" t="s">
        <v>120</v>
      </c>
      <c r="H2869" s="109">
        <v>636</v>
      </c>
      <c r="I2869" s="109" t="s">
        <v>122</v>
      </c>
      <c r="J2869" s="110" t="s">
        <v>122</v>
      </c>
    </row>
    <row r="2870" spans="1:10">
      <c r="A2870" s="103" t="s">
        <v>4745</v>
      </c>
      <c r="B2870" s="124" t="s">
        <v>934</v>
      </c>
      <c r="C2870" s="110">
        <v>12643</v>
      </c>
      <c r="D2870" s="109" t="s">
        <v>120</v>
      </c>
      <c r="E2870" s="109">
        <v>126</v>
      </c>
      <c r="F2870" s="110">
        <v>11846</v>
      </c>
      <c r="G2870" s="109" t="s">
        <v>120</v>
      </c>
      <c r="H2870" s="109">
        <v>94</v>
      </c>
      <c r="I2870" s="109" t="s">
        <v>122</v>
      </c>
      <c r="J2870" s="110" t="s">
        <v>122</v>
      </c>
    </row>
    <row r="2871" spans="1:10" s="119" customFormat="1">
      <c r="A2871" s="123" t="s">
        <v>120</v>
      </c>
      <c r="B2871" s="273" t="s">
        <v>4746</v>
      </c>
      <c r="C2871" s="274"/>
      <c r="D2871" s="274"/>
      <c r="E2871" s="274"/>
      <c r="F2871" s="274"/>
      <c r="G2871" s="274"/>
      <c r="H2871" s="274"/>
      <c r="I2871" s="274"/>
      <c r="J2871" s="274"/>
    </row>
    <row r="2872" spans="1:10" s="119" customFormat="1">
      <c r="A2872" s="123" t="s">
        <v>120</v>
      </c>
      <c r="B2872" s="275" t="s">
        <v>943</v>
      </c>
      <c r="C2872" s="276"/>
      <c r="D2872" s="276"/>
      <c r="E2872" s="276"/>
      <c r="F2872" s="276"/>
      <c r="G2872" s="276"/>
      <c r="H2872" s="276"/>
      <c r="I2872" s="276"/>
      <c r="J2872" s="276"/>
    </row>
    <row r="2873" spans="1:10">
      <c r="A2873" s="103" t="s">
        <v>4747</v>
      </c>
      <c r="B2873" s="124" t="s">
        <v>4748</v>
      </c>
      <c r="C2873" s="110">
        <v>6890</v>
      </c>
      <c r="D2873" s="109" t="s">
        <v>120</v>
      </c>
      <c r="E2873" s="109">
        <v>69</v>
      </c>
      <c r="F2873" s="110">
        <v>13102</v>
      </c>
      <c r="G2873" s="109" t="s">
        <v>120</v>
      </c>
      <c r="H2873" s="109">
        <v>190</v>
      </c>
      <c r="I2873" s="109">
        <v>1864</v>
      </c>
      <c r="J2873" s="110">
        <v>622</v>
      </c>
    </row>
    <row r="2874" spans="1:10">
      <c r="A2874" s="103" t="s">
        <v>4749</v>
      </c>
      <c r="B2874" s="124" t="s">
        <v>4750</v>
      </c>
      <c r="C2874" s="110">
        <v>18720</v>
      </c>
      <c r="D2874" s="109" t="s">
        <v>120</v>
      </c>
      <c r="E2874" s="109">
        <v>187</v>
      </c>
      <c r="F2874" s="110">
        <v>9984</v>
      </c>
      <c r="G2874" s="109" t="s">
        <v>120</v>
      </c>
      <c r="H2874" s="109">
        <v>53</v>
      </c>
      <c r="I2874" s="109">
        <v>409</v>
      </c>
      <c r="J2874" s="110">
        <v>871</v>
      </c>
    </row>
    <row r="2875" spans="1:10" s="119" customFormat="1">
      <c r="A2875" s="123" t="s">
        <v>120</v>
      </c>
      <c r="B2875" s="275" t="s">
        <v>1047</v>
      </c>
      <c r="C2875" s="276"/>
      <c r="D2875" s="276"/>
      <c r="E2875" s="276"/>
      <c r="F2875" s="276"/>
      <c r="G2875" s="276"/>
      <c r="H2875" s="276"/>
      <c r="I2875" s="276"/>
      <c r="J2875" s="276"/>
    </row>
    <row r="2876" spans="1:10">
      <c r="A2876" s="103" t="s">
        <v>4751</v>
      </c>
      <c r="B2876" s="124" t="s">
        <v>4752</v>
      </c>
      <c r="C2876" s="110">
        <v>12155</v>
      </c>
      <c r="D2876" s="109" t="s">
        <v>120</v>
      </c>
      <c r="E2876" s="109">
        <v>122</v>
      </c>
      <c r="F2876" s="110">
        <v>11852</v>
      </c>
      <c r="G2876" s="109" t="s">
        <v>120</v>
      </c>
      <c r="H2876" s="109">
        <v>98</v>
      </c>
      <c r="I2876" s="109">
        <v>1033</v>
      </c>
      <c r="J2876" s="110">
        <v>709</v>
      </c>
    </row>
    <row r="2877" spans="1:10">
      <c r="A2877" s="103" t="s">
        <v>4753</v>
      </c>
      <c r="B2877" s="124" t="s">
        <v>932</v>
      </c>
      <c r="C2877" s="110">
        <v>915</v>
      </c>
      <c r="D2877" s="109" t="s">
        <v>120</v>
      </c>
      <c r="E2877" s="109">
        <v>9</v>
      </c>
      <c r="F2877" s="110">
        <v>1459</v>
      </c>
      <c r="G2877" s="109" t="s">
        <v>120</v>
      </c>
      <c r="H2877" s="109">
        <v>159</v>
      </c>
      <c r="I2877" s="109" t="s">
        <v>122</v>
      </c>
      <c r="J2877" s="110" t="s">
        <v>122</v>
      </c>
    </row>
    <row r="2878" spans="1:10">
      <c r="A2878" s="103" t="s">
        <v>4754</v>
      </c>
      <c r="B2878" s="124" t="s">
        <v>934</v>
      </c>
      <c r="C2878" s="110">
        <v>11240</v>
      </c>
      <c r="D2878" s="109" t="s">
        <v>120</v>
      </c>
      <c r="E2878" s="109">
        <v>113</v>
      </c>
      <c r="F2878" s="110">
        <v>10393</v>
      </c>
      <c r="G2878" s="109" t="s">
        <v>120</v>
      </c>
      <c r="H2878" s="109">
        <v>92</v>
      </c>
      <c r="I2878" s="109" t="s">
        <v>122</v>
      </c>
      <c r="J2878" s="110" t="s">
        <v>122</v>
      </c>
    </row>
    <row r="2879" spans="1:10">
      <c r="A2879" s="103" t="s">
        <v>4755</v>
      </c>
      <c r="B2879" s="124" t="s">
        <v>4756</v>
      </c>
      <c r="C2879" s="110">
        <v>14341</v>
      </c>
      <c r="D2879" s="109" t="s">
        <v>120</v>
      </c>
      <c r="E2879" s="109">
        <v>143</v>
      </c>
      <c r="F2879" s="110">
        <v>18027</v>
      </c>
      <c r="G2879" s="109" t="s">
        <v>120</v>
      </c>
      <c r="H2879" s="109">
        <v>126</v>
      </c>
      <c r="I2879" s="109">
        <v>748</v>
      </c>
      <c r="J2879" s="110">
        <v>400</v>
      </c>
    </row>
    <row r="2880" spans="1:10">
      <c r="A2880" s="103" t="s">
        <v>4757</v>
      </c>
      <c r="B2880" s="124" t="s">
        <v>932</v>
      </c>
      <c r="C2880" s="110">
        <v>1670</v>
      </c>
      <c r="D2880" s="109" t="s">
        <v>120</v>
      </c>
      <c r="E2880" s="109">
        <v>17</v>
      </c>
      <c r="F2880" s="110">
        <v>11109</v>
      </c>
      <c r="G2880" s="109" t="s">
        <v>120</v>
      </c>
      <c r="H2880" s="109">
        <v>665</v>
      </c>
      <c r="I2880" s="109" t="s">
        <v>122</v>
      </c>
      <c r="J2880" s="110" t="s">
        <v>122</v>
      </c>
    </row>
    <row r="2881" spans="1:10">
      <c r="A2881" s="103" t="s">
        <v>4758</v>
      </c>
      <c r="B2881" s="124" t="s">
        <v>934</v>
      </c>
      <c r="C2881" s="110">
        <v>12671</v>
      </c>
      <c r="D2881" s="109" t="s">
        <v>120</v>
      </c>
      <c r="E2881" s="109">
        <v>126</v>
      </c>
      <c r="F2881" s="110">
        <v>6918</v>
      </c>
      <c r="G2881" s="109" t="s">
        <v>120</v>
      </c>
      <c r="H2881" s="109">
        <v>55</v>
      </c>
      <c r="I2881" s="109" t="s">
        <v>122</v>
      </c>
      <c r="J2881" s="110" t="s">
        <v>122</v>
      </c>
    </row>
    <row r="2882" spans="1:10" s="119" customFormat="1">
      <c r="A2882" s="123" t="s">
        <v>120</v>
      </c>
      <c r="B2882" s="273" t="s">
        <v>1757</v>
      </c>
      <c r="C2882" s="274"/>
      <c r="D2882" s="274"/>
      <c r="E2882" s="274"/>
      <c r="F2882" s="274"/>
      <c r="G2882" s="274"/>
      <c r="H2882" s="274"/>
      <c r="I2882" s="274"/>
      <c r="J2882" s="274"/>
    </row>
    <row r="2883" spans="1:10">
      <c r="A2883" s="103" t="s">
        <v>4759</v>
      </c>
      <c r="B2883" s="124" t="s">
        <v>4760</v>
      </c>
      <c r="C2883" s="110">
        <v>4350</v>
      </c>
      <c r="D2883" s="109" t="s">
        <v>120</v>
      </c>
      <c r="E2883" s="109">
        <v>44</v>
      </c>
      <c r="F2883" s="110">
        <v>46291</v>
      </c>
      <c r="G2883" s="109" t="s">
        <v>120</v>
      </c>
      <c r="H2883" s="109">
        <v>1064</v>
      </c>
      <c r="I2883" s="109">
        <v>2068</v>
      </c>
      <c r="J2883" s="110">
        <v>104</v>
      </c>
    </row>
    <row r="2884" spans="1:10">
      <c r="A2884" s="103" t="s">
        <v>4761</v>
      </c>
      <c r="B2884" s="124" t="s">
        <v>4762</v>
      </c>
      <c r="C2884" s="110">
        <v>4617</v>
      </c>
      <c r="D2884" s="109" t="s">
        <v>120</v>
      </c>
      <c r="E2884" s="109">
        <v>46</v>
      </c>
      <c r="F2884" s="110">
        <v>60689</v>
      </c>
      <c r="G2884" s="109" t="s">
        <v>120</v>
      </c>
      <c r="H2884" s="109">
        <v>1314</v>
      </c>
      <c r="I2884" s="109">
        <v>2051</v>
      </c>
      <c r="J2884" s="110">
        <v>71</v>
      </c>
    </row>
    <row r="2885" spans="1:10">
      <c r="A2885" s="103" t="s">
        <v>4763</v>
      </c>
      <c r="B2885" s="124" t="s">
        <v>4764</v>
      </c>
      <c r="C2885" s="110">
        <v>12661</v>
      </c>
      <c r="D2885" s="109" t="s">
        <v>120</v>
      </c>
      <c r="E2885" s="109">
        <v>126</v>
      </c>
      <c r="F2885" s="110">
        <v>196208</v>
      </c>
      <c r="G2885" s="105" t="s">
        <v>927</v>
      </c>
      <c r="H2885" s="109">
        <v>1550</v>
      </c>
      <c r="I2885" s="109">
        <v>963</v>
      </c>
      <c r="J2885" s="110">
        <v>17</v>
      </c>
    </row>
    <row r="2886" spans="1:10">
      <c r="A2886" s="103" t="s">
        <v>4765</v>
      </c>
      <c r="B2886" s="124" t="s">
        <v>4766</v>
      </c>
      <c r="C2886" s="110">
        <v>8540</v>
      </c>
      <c r="D2886" s="109" t="s">
        <v>120</v>
      </c>
      <c r="E2886" s="109">
        <v>85</v>
      </c>
      <c r="F2886" s="110">
        <v>46745</v>
      </c>
      <c r="G2886" s="109" t="s">
        <v>120</v>
      </c>
      <c r="H2886" s="109">
        <v>547</v>
      </c>
      <c r="I2886" s="109">
        <v>1609</v>
      </c>
      <c r="J2886" s="110">
        <v>103</v>
      </c>
    </row>
    <row r="2887" spans="1:10" s="119" customFormat="1">
      <c r="A2887" s="123" t="s">
        <v>120</v>
      </c>
      <c r="B2887" s="273" t="s">
        <v>20</v>
      </c>
      <c r="C2887" s="274"/>
      <c r="D2887" s="274"/>
      <c r="E2887" s="274"/>
      <c r="F2887" s="274"/>
      <c r="G2887" s="274"/>
      <c r="H2887" s="274"/>
      <c r="I2887" s="274"/>
      <c r="J2887" s="274"/>
    </row>
    <row r="2888" spans="1:10" s="119" customFormat="1">
      <c r="A2888" s="123" t="s">
        <v>120</v>
      </c>
      <c r="B2888" s="273" t="s">
        <v>4767</v>
      </c>
      <c r="C2888" s="274"/>
      <c r="D2888" s="274"/>
      <c r="E2888" s="274"/>
      <c r="F2888" s="274"/>
      <c r="G2888" s="274"/>
      <c r="H2888" s="274"/>
      <c r="I2888" s="274"/>
      <c r="J2888" s="274"/>
    </row>
    <row r="2889" spans="1:10" s="119" customFormat="1">
      <c r="A2889" s="123" t="s">
        <v>120</v>
      </c>
      <c r="B2889" s="275" t="s">
        <v>1019</v>
      </c>
      <c r="C2889" s="276"/>
      <c r="D2889" s="276"/>
      <c r="E2889" s="276"/>
      <c r="F2889" s="276"/>
      <c r="G2889" s="276"/>
      <c r="H2889" s="276"/>
      <c r="I2889" s="276"/>
      <c r="J2889" s="276"/>
    </row>
    <row r="2890" spans="1:10">
      <c r="A2890" s="103" t="s">
        <v>4768</v>
      </c>
      <c r="B2890" s="124" t="s">
        <v>4769</v>
      </c>
      <c r="C2890" s="110">
        <v>8090</v>
      </c>
      <c r="D2890" s="109" t="s">
        <v>120</v>
      </c>
      <c r="E2890" s="109">
        <v>81</v>
      </c>
      <c r="F2890" s="110">
        <v>30153</v>
      </c>
      <c r="G2890" s="109" t="s">
        <v>120</v>
      </c>
      <c r="H2890" s="109">
        <v>373</v>
      </c>
      <c r="I2890" s="109">
        <v>1689</v>
      </c>
      <c r="J2890" s="110">
        <v>189</v>
      </c>
    </row>
    <row r="2891" spans="1:10" s="119" customFormat="1">
      <c r="A2891" s="123" t="s">
        <v>120</v>
      </c>
      <c r="B2891" s="275" t="s">
        <v>924</v>
      </c>
      <c r="C2891" s="276"/>
      <c r="D2891" s="276"/>
      <c r="E2891" s="276"/>
      <c r="F2891" s="276"/>
      <c r="G2891" s="276"/>
      <c r="H2891" s="276"/>
      <c r="I2891" s="276"/>
      <c r="J2891" s="276"/>
    </row>
    <row r="2892" spans="1:10">
      <c r="A2892" s="103" t="s">
        <v>4770</v>
      </c>
      <c r="B2892" s="124" t="s">
        <v>4769</v>
      </c>
      <c r="C2892" s="110">
        <v>26661</v>
      </c>
      <c r="D2892" s="109" t="s">
        <v>120</v>
      </c>
      <c r="E2892" s="109">
        <v>267</v>
      </c>
      <c r="F2892" s="110">
        <v>6759</v>
      </c>
      <c r="G2892" s="109" t="s">
        <v>120</v>
      </c>
      <c r="H2892" s="109">
        <v>25</v>
      </c>
      <c r="I2892" s="109">
        <v>142</v>
      </c>
      <c r="J2892" s="110">
        <v>1350</v>
      </c>
    </row>
    <row r="2893" spans="1:10">
      <c r="A2893" s="103" t="s">
        <v>4771</v>
      </c>
      <c r="B2893" s="124" t="s">
        <v>4772</v>
      </c>
      <c r="C2893" s="110">
        <v>18781</v>
      </c>
      <c r="D2893" s="109" t="s">
        <v>120</v>
      </c>
      <c r="E2893" s="109">
        <v>188</v>
      </c>
      <c r="F2893" s="110">
        <v>5496</v>
      </c>
      <c r="G2893" s="109" t="s">
        <v>120</v>
      </c>
      <c r="H2893" s="109">
        <v>29</v>
      </c>
      <c r="I2893" s="109">
        <v>404</v>
      </c>
      <c r="J2893" s="110">
        <v>1616</v>
      </c>
    </row>
    <row r="2894" spans="1:10">
      <c r="A2894" s="103" t="s">
        <v>4773</v>
      </c>
      <c r="B2894" s="124" t="s">
        <v>4774</v>
      </c>
      <c r="C2894" s="110">
        <v>20408</v>
      </c>
      <c r="D2894" s="109" t="s">
        <v>120</v>
      </c>
      <c r="E2894" s="109">
        <v>204</v>
      </c>
      <c r="F2894" s="110">
        <v>2953</v>
      </c>
      <c r="G2894" s="109" t="s">
        <v>120</v>
      </c>
      <c r="H2894" s="109">
        <v>14</v>
      </c>
      <c r="I2894" s="109">
        <v>322</v>
      </c>
      <c r="J2894" s="110">
        <v>2206</v>
      </c>
    </row>
    <row r="2895" spans="1:10">
      <c r="A2895" s="103" t="s">
        <v>4775</v>
      </c>
      <c r="B2895" s="124" t="s">
        <v>4776</v>
      </c>
      <c r="C2895" s="110">
        <v>37267</v>
      </c>
      <c r="D2895" s="109" t="s">
        <v>120</v>
      </c>
      <c r="E2895" s="109">
        <v>372</v>
      </c>
      <c r="F2895" s="110">
        <v>2583</v>
      </c>
      <c r="G2895" s="109" t="s">
        <v>120</v>
      </c>
      <c r="H2895" s="109">
        <v>7</v>
      </c>
      <c r="I2895" s="109">
        <v>36</v>
      </c>
      <c r="J2895" s="110">
        <v>2251</v>
      </c>
    </row>
    <row r="2896" spans="1:10">
      <c r="A2896" s="103" t="s">
        <v>4777</v>
      </c>
      <c r="B2896" s="124" t="s">
        <v>4778</v>
      </c>
      <c r="C2896" s="110">
        <v>36311</v>
      </c>
      <c r="D2896" s="109" t="s">
        <v>120</v>
      </c>
      <c r="E2896" s="109">
        <v>363</v>
      </c>
      <c r="F2896" s="110">
        <v>5065</v>
      </c>
      <c r="G2896" s="109" t="s">
        <v>120</v>
      </c>
      <c r="H2896" s="109">
        <v>14</v>
      </c>
      <c r="I2896" s="109">
        <v>42</v>
      </c>
      <c r="J2896" s="110">
        <v>1729</v>
      </c>
    </row>
    <row r="2897" spans="1:10" s="119" customFormat="1">
      <c r="A2897" s="123" t="s">
        <v>120</v>
      </c>
      <c r="B2897" s="275" t="s">
        <v>1026</v>
      </c>
      <c r="C2897" s="276"/>
      <c r="D2897" s="276"/>
      <c r="E2897" s="276"/>
      <c r="F2897" s="276"/>
      <c r="G2897" s="276"/>
      <c r="H2897" s="276"/>
      <c r="I2897" s="276"/>
      <c r="J2897" s="276"/>
    </row>
    <row r="2898" spans="1:10">
      <c r="A2898" s="103" t="s">
        <v>4779</v>
      </c>
      <c r="B2898" s="124" t="s">
        <v>4780</v>
      </c>
      <c r="C2898" s="110">
        <v>18421</v>
      </c>
      <c r="D2898" s="109" t="s">
        <v>120</v>
      </c>
      <c r="E2898" s="109">
        <v>184</v>
      </c>
      <c r="F2898" s="110">
        <v>5059</v>
      </c>
      <c r="G2898" s="109" t="s">
        <v>120</v>
      </c>
      <c r="H2898" s="109">
        <v>27</v>
      </c>
      <c r="I2898" s="109">
        <v>429</v>
      </c>
      <c r="J2898" s="110">
        <v>1731</v>
      </c>
    </row>
    <row r="2899" spans="1:10">
      <c r="A2899" s="103" t="s">
        <v>4781</v>
      </c>
      <c r="B2899" s="124" t="s">
        <v>932</v>
      </c>
      <c r="C2899" s="110">
        <v>498</v>
      </c>
      <c r="D2899" s="109" t="s">
        <v>120</v>
      </c>
      <c r="E2899" s="109">
        <v>5</v>
      </c>
      <c r="F2899" s="110">
        <v>2310</v>
      </c>
      <c r="G2899" s="109" t="s">
        <v>120</v>
      </c>
      <c r="H2899" s="109">
        <v>464</v>
      </c>
      <c r="I2899" s="109" t="s">
        <v>122</v>
      </c>
      <c r="J2899" s="110" t="s">
        <v>122</v>
      </c>
    </row>
    <row r="2900" spans="1:10">
      <c r="A2900" s="103" t="s">
        <v>4782</v>
      </c>
      <c r="B2900" s="124" t="s">
        <v>934</v>
      </c>
      <c r="C2900" s="110">
        <v>17923</v>
      </c>
      <c r="D2900" s="109" t="s">
        <v>120</v>
      </c>
      <c r="E2900" s="109">
        <v>179</v>
      </c>
      <c r="F2900" s="110">
        <v>2749</v>
      </c>
      <c r="G2900" s="109" t="s">
        <v>120</v>
      </c>
      <c r="H2900" s="109">
        <v>15</v>
      </c>
      <c r="I2900" s="109" t="s">
        <v>122</v>
      </c>
      <c r="J2900" s="110" t="s">
        <v>122</v>
      </c>
    </row>
    <row r="2901" spans="1:10" s="119" customFormat="1">
      <c r="A2901" s="123" t="s">
        <v>120</v>
      </c>
      <c r="B2901" s="273" t="s">
        <v>4783</v>
      </c>
      <c r="C2901" s="274"/>
      <c r="D2901" s="274"/>
      <c r="E2901" s="274"/>
      <c r="F2901" s="274"/>
      <c r="G2901" s="274"/>
      <c r="H2901" s="274"/>
      <c r="I2901" s="274"/>
      <c r="J2901" s="274"/>
    </row>
    <row r="2902" spans="1:10" s="119" customFormat="1">
      <c r="A2902" s="123" t="s">
        <v>120</v>
      </c>
      <c r="B2902" s="275" t="s">
        <v>924</v>
      </c>
      <c r="C2902" s="276"/>
      <c r="D2902" s="276"/>
      <c r="E2902" s="276"/>
      <c r="F2902" s="276"/>
      <c r="G2902" s="276"/>
      <c r="H2902" s="276"/>
      <c r="I2902" s="276"/>
      <c r="J2902" s="276"/>
    </row>
    <row r="2903" spans="1:10">
      <c r="A2903" s="103" t="s">
        <v>4784</v>
      </c>
      <c r="B2903" s="124" t="s">
        <v>4785</v>
      </c>
      <c r="C2903" s="110">
        <v>16113</v>
      </c>
      <c r="D2903" s="109" t="s">
        <v>120</v>
      </c>
      <c r="E2903" s="109">
        <v>161</v>
      </c>
      <c r="F2903" s="110">
        <v>9423</v>
      </c>
      <c r="G2903" s="109" t="s">
        <v>120</v>
      </c>
      <c r="H2903" s="109">
        <v>58</v>
      </c>
      <c r="I2903" s="109">
        <v>587</v>
      </c>
      <c r="J2903" s="110">
        <v>929</v>
      </c>
    </row>
    <row r="2904" spans="1:10">
      <c r="A2904" s="103" t="s">
        <v>4786</v>
      </c>
      <c r="B2904" s="124" t="s">
        <v>4787</v>
      </c>
      <c r="C2904" s="110">
        <v>42970</v>
      </c>
      <c r="D2904" s="109" t="s">
        <v>120</v>
      </c>
      <c r="E2904" s="109">
        <v>429</v>
      </c>
      <c r="F2904" s="110">
        <v>5141</v>
      </c>
      <c r="G2904" s="109" t="s">
        <v>120</v>
      </c>
      <c r="H2904" s="109">
        <v>12</v>
      </c>
      <c r="I2904" s="109">
        <v>16</v>
      </c>
      <c r="J2904" s="110">
        <v>1706</v>
      </c>
    </row>
    <row r="2905" spans="1:10">
      <c r="A2905" s="103" t="s">
        <v>4788</v>
      </c>
      <c r="B2905" s="124" t="s">
        <v>4789</v>
      </c>
      <c r="C2905" s="110">
        <v>17177</v>
      </c>
      <c r="D2905" s="109" t="s">
        <v>120</v>
      </c>
      <c r="E2905" s="109">
        <v>171</v>
      </c>
      <c r="F2905" s="110">
        <v>16572</v>
      </c>
      <c r="G2905" s="109" t="s">
        <v>120</v>
      </c>
      <c r="H2905" s="109">
        <v>96</v>
      </c>
      <c r="I2905" s="109">
        <v>501</v>
      </c>
      <c r="J2905" s="110">
        <v>451</v>
      </c>
    </row>
    <row r="2906" spans="1:10">
      <c r="A2906" s="103" t="s">
        <v>4790</v>
      </c>
      <c r="B2906" s="124" t="s">
        <v>2624</v>
      </c>
      <c r="C2906" s="110">
        <v>11458</v>
      </c>
      <c r="D2906" s="109" t="s">
        <v>120</v>
      </c>
      <c r="E2906" s="109">
        <v>115</v>
      </c>
      <c r="F2906" s="110">
        <v>3364</v>
      </c>
      <c r="G2906" s="109" t="s">
        <v>120</v>
      </c>
      <c r="H2906" s="109">
        <v>29</v>
      </c>
      <c r="I2906" s="109">
        <v>1133</v>
      </c>
      <c r="J2906" s="110">
        <v>2133</v>
      </c>
    </row>
    <row r="2907" spans="1:10">
      <c r="A2907" s="103" t="s">
        <v>4791</v>
      </c>
      <c r="B2907" s="124" t="s">
        <v>4792</v>
      </c>
      <c r="C2907" s="110">
        <v>13990</v>
      </c>
      <c r="D2907" s="109" t="s">
        <v>120</v>
      </c>
      <c r="E2907" s="109">
        <v>140</v>
      </c>
      <c r="F2907" s="110">
        <v>6411</v>
      </c>
      <c r="G2907" s="109" t="s">
        <v>120</v>
      </c>
      <c r="H2907" s="109">
        <v>46</v>
      </c>
      <c r="I2907" s="109">
        <v>785</v>
      </c>
      <c r="J2907" s="110">
        <v>1418</v>
      </c>
    </row>
    <row r="2908" spans="1:10">
      <c r="A2908" s="103" t="s">
        <v>4793</v>
      </c>
      <c r="B2908" s="124" t="s">
        <v>4794</v>
      </c>
      <c r="C2908" s="110">
        <v>11214</v>
      </c>
      <c r="D2908" s="109" t="s">
        <v>120</v>
      </c>
      <c r="E2908" s="109">
        <v>112</v>
      </c>
      <c r="F2908" s="110">
        <v>2717</v>
      </c>
      <c r="G2908" s="109" t="s">
        <v>120</v>
      </c>
      <c r="H2908" s="109">
        <v>24</v>
      </c>
      <c r="I2908" s="109">
        <v>1173</v>
      </c>
      <c r="J2908" s="110">
        <v>2234</v>
      </c>
    </row>
    <row r="2909" spans="1:10" s="119" customFormat="1">
      <c r="A2909" s="123" t="s">
        <v>120</v>
      </c>
      <c r="B2909" s="275" t="s">
        <v>947</v>
      </c>
      <c r="C2909" s="276"/>
      <c r="D2909" s="276"/>
      <c r="E2909" s="276"/>
      <c r="F2909" s="276"/>
      <c r="G2909" s="276"/>
      <c r="H2909" s="276"/>
      <c r="I2909" s="276"/>
      <c r="J2909" s="276"/>
    </row>
    <row r="2910" spans="1:10">
      <c r="A2910" s="103" t="s">
        <v>4795</v>
      </c>
      <c r="B2910" s="124" t="s">
        <v>4796</v>
      </c>
      <c r="C2910" s="110">
        <v>16379</v>
      </c>
      <c r="D2910" s="109" t="s">
        <v>120</v>
      </c>
      <c r="E2910" s="109">
        <v>164</v>
      </c>
      <c r="F2910" s="110">
        <v>15528</v>
      </c>
      <c r="G2910" s="109" t="s">
        <v>120</v>
      </c>
      <c r="H2910" s="109">
        <v>95</v>
      </c>
      <c r="I2910" s="109">
        <v>562</v>
      </c>
      <c r="J2910" s="110">
        <v>493</v>
      </c>
    </row>
    <row r="2911" spans="1:10">
      <c r="A2911" s="103" t="s">
        <v>4797</v>
      </c>
      <c r="B2911" s="124" t="s">
        <v>932</v>
      </c>
      <c r="C2911" s="110">
        <v>1679</v>
      </c>
      <c r="D2911" s="109" t="s">
        <v>120</v>
      </c>
      <c r="E2911" s="109">
        <v>17</v>
      </c>
      <c r="F2911" s="110">
        <v>5908</v>
      </c>
      <c r="G2911" s="109" t="s">
        <v>120</v>
      </c>
      <c r="H2911" s="109">
        <v>352</v>
      </c>
      <c r="I2911" s="109" t="s">
        <v>122</v>
      </c>
      <c r="J2911" s="110" t="s">
        <v>122</v>
      </c>
    </row>
    <row r="2912" spans="1:10">
      <c r="A2912" s="103" t="s">
        <v>4798</v>
      </c>
      <c r="B2912" s="124" t="s">
        <v>934</v>
      </c>
      <c r="C2912" s="110">
        <v>14700</v>
      </c>
      <c r="D2912" s="109" t="s">
        <v>120</v>
      </c>
      <c r="E2912" s="109">
        <v>147</v>
      </c>
      <c r="F2912" s="110">
        <v>9620</v>
      </c>
      <c r="G2912" s="109" t="s">
        <v>120</v>
      </c>
      <c r="H2912" s="109">
        <v>65</v>
      </c>
      <c r="I2912" s="109" t="s">
        <v>122</v>
      </c>
      <c r="J2912" s="110" t="s">
        <v>122</v>
      </c>
    </row>
    <row r="2913" spans="1:10">
      <c r="A2913" s="103" t="s">
        <v>4799</v>
      </c>
      <c r="B2913" s="124" t="s">
        <v>4800</v>
      </c>
      <c r="C2913" s="110">
        <v>20636</v>
      </c>
      <c r="D2913" s="109" t="s">
        <v>120</v>
      </c>
      <c r="E2913" s="109">
        <v>206</v>
      </c>
      <c r="F2913" s="110">
        <v>11314</v>
      </c>
      <c r="G2913" s="109" t="s">
        <v>120</v>
      </c>
      <c r="H2913" s="109">
        <v>55</v>
      </c>
      <c r="I2913" s="109">
        <v>310</v>
      </c>
      <c r="J2913" s="110">
        <v>757</v>
      </c>
    </row>
    <row r="2914" spans="1:10">
      <c r="A2914" s="103" t="s">
        <v>4801</v>
      </c>
      <c r="B2914" s="124" t="s">
        <v>932</v>
      </c>
      <c r="C2914" s="110">
        <v>1428</v>
      </c>
      <c r="D2914" s="109" t="s">
        <v>120</v>
      </c>
      <c r="E2914" s="109">
        <v>14</v>
      </c>
      <c r="F2914" s="110">
        <v>9279</v>
      </c>
      <c r="G2914" s="109" t="s">
        <v>120</v>
      </c>
      <c r="H2914" s="109">
        <v>650</v>
      </c>
      <c r="I2914" s="109" t="s">
        <v>122</v>
      </c>
      <c r="J2914" s="110" t="s">
        <v>122</v>
      </c>
    </row>
    <row r="2915" spans="1:10">
      <c r="A2915" s="103" t="s">
        <v>4802</v>
      </c>
      <c r="B2915" s="124" t="s">
        <v>934</v>
      </c>
      <c r="C2915" s="110">
        <v>19208</v>
      </c>
      <c r="D2915" s="109" t="s">
        <v>120</v>
      </c>
      <c r="E2915" s="109">
        <v>192</v>
      </c>
      <c r="F2915" s="110">
        <v>2035</v>
      </c>
      <c r="G2915" s="109" t="s">
        <v>120</v>
      </c>
      <c r="H2915" s="109">
        <v>11</v>
      </c>
      <c r="I2915" s="109" t="s">
        <v>122</v>
      </c>
      <c r="J2915" s="110" t="s">
        <v>122</v>
      </c>
    </row>
    <row r="2916" spans="1:10">
      <c r="A2916" s="103" t="s">
        <v>4803</v>
      </c>
      <c r="B2916" s="124" t="s">
        <v>4804</v>
      </c>
      <c r="C2916" s="110">
        <v>12765</v>
      </c>
      <c r="D2916" s="109" t="s">
        <v>120</v>
      </c>
      <c r="E2916" s="109">
        <v>128</v>
      </c>
      <c r="F2916" s="110">
        <v>21848</v>
      </c>
      <c r="G2916" s="109" t="s">
        <v>120</v>
      </c>
      <c r="H2916" s="109">
        <v>171</v>
      </c>
      <c r="I2916" s="109">
        <v>947</v>
      </c>
      <c r="J2916" s="110">
        <v>305</v>
      </c>
    </row>
    <row r="2917" spans="1:10">
      <c r="A2917" s="103" t="s">
        <v>4805</v>
      </c>
      <c r="B2917" s="124" t="s">
        <v>932</v>
      </c>
      <c r="C2917" s="110">
        <v>1214</v>
      </c>
      <c r="D2917" s="109" t="s">
        <v>120</v>
      </c>
      <c r="E2917" s="109">
        <v>12</v>
      </c>
      <c r="F2917" s="110">
        <v>15541</v>
      </c>
      <c r="G2917" s="109" t="s">
        <v>120</v>
      </c>
      <c r="H2917" s="109">
        <v>1280</v>
      </c>
      <c r="I2917" s="109" t="s">
        <v>122</v>
      </c>
      <c r="J2917" s="110" t="s">
        <v>122</v>
      </c>
    </row>
    <row r="2918" spans="1:10">
      <c r="A2918" s="103" t="s">
        <v>4806</v>
      </c>
      <c r="B2918" s="124" t="s">
        <v>934</v>
      </c>
      <c r="C2918" s="110">
        <v>11551</v>
      </c>
      <c r="D2918" s="109" t="s">
        <v>120</v>
      </c>
      <c r="E2918" s="109">
        <v>116</v>
      </c>
      <c r="F2918" s="110">
        <v>6307</v>
      </c>
      <c r="G2918" s="109" t="s">
        <v>120</v>
      </c>
      <c r="H2918" s="109">
        <v>55</v>
      </c>
      <c r="I2918" s="109" t="s">
        <v>122</v>
      </c>
      <c r="J2918" s="110" t="s">
        <v>122</v>
      </c>
    </row>
    <row r="2919" spans="1:10">
      <c r="A2919" s="103" t="s">
        <v>4807</v>
      </c>
      <c r="B2919" s="124" t="s">
        <v>4808</v>
      </c>
      <c r="C2919" s="110">
        <v>41002</v>
      </c>
      <c r="D2919" s="109" t="s">
        <v>120</v>
      </c>
      <c r="E2919" s="109">
        <v>409</v>
      </c>
      <c r="F2919" s="110">
        <v>6565</v>
      </c>
      <c r="G2919" s="109" t="s">
        <v>120</v>
      </c>
      <c r="H2919" s="109">
        <v>16</v>
      </c>
      <c r="I2919" s="109">
        <v>22</v>
      </c>
      <c r="J2919" s="110">
        <v>1387</v>
      </c>
    </row>
    <row r="2920" spans="1:10">
      <c r="A2920" s="103" t="s">
        <v>4809</v>
      </c>
      <c r="B2920" s="124" t="s">
        <v>932</v>
      </c>
      <c r="C2920" s="110">
        <v>215</v>
      </c>
      <c r="D2920" s="109" t="s">
        <v>120</v>
      </c>
      <c r="E2920" s="109">
        <v>2</v>
      </c>
      <c r="F2920" s="110">
        <v>3011</v>
      </c>
      <c r="G2920" s="109" t="s">
        <v>120</v>
      </c>
      <c r="H2920" s="109">
        <v>1400</v>
      </c>
      <c r="I2920" s="109" t="s">
        <v>122</v>
      </c>
      <c r="J2920" s="110" t="s">
        <v>122</v>
      </c>
    </row>
    <row r="2921" spans="1:10">
      <c r="A2921" s="103" t="s">
        <v>4810</v>
      </c>
      <c r="B2921" s="124" t="s">
        <v>934</v>
      </c>
      <c r="C2921" s="110">
        <v>40787</v>
      </c>
      <c r="D2921" s="109" t="s">
        <v>120</v>
      </c>
      <c r="E2921" s="109">
        <v>407</v>
      </c>
      <c r="F2921" s="110">
        <v>3554</v>
      </c>
      <c r="G2921" s="109" t="s">
        <v>120</v>
      </c>
      <c r="H2921" s="109">
        <v>9</v>
      </c>
      <c r="I2921" s="109" t="s">
        <v>122</v>
      </c>
      <c r="J2921" s="110" t="s">
        <v>122</v>
      </c>
    </row>
    <row r="2922" spans="1:10">
      <c r="A2922" s="103" t="s">
        <v>4811</v>
      </c>
      <c r="B2922" s="124" t="s">
        <v>4812</v>
      </c>
      <c r="C2922" s="110">
        <v>18856</v>
      </c>
      <c r="D2922" s="109" t="s">
        <v>120</v>
      </c>
      <c r="E2922" s="109">
        <v>189</v>
      </c>
      <c r="F2922" s="110">
        <v>15676</v>
      </c>
      <c r="G2922" s="109" t="s">
        <v>120</v>
      </c>
      <c r="H2922" s="109">
        <v>83</v>
      </c>
      <c r="I2922" s="109">
        <v>400</v>
      </c>
      <c r="J2922" s="110">
        <v>488</v>
      </c>
    </row>
    <row r="2923" spans="1:10">
      <c r="A2923" s="103" t="s">
        <v>4813</v>
      </c>
      <c r="B2923" s="124" t="s">
        <v>932</v>
      </c>
      <c r="C2923" s="110">
        <v>569</v>
      </c>
      <c r="D2923" s="109" t="s">
        <v>120</v>
      </c>
      <c r="E2923" s="109">
        <v>6</v>
      </c>
      <c r="F2923" s="110">
        <v>4610</v>
      </c>
      <c r="G2923" s="109" t="s">
        <v>120</v>
      </c>
      <c r="H2923" s="109">
        <v>810</v>
      </c>
      <c r="I2923" s="109" t="s">
        <v>122</v>
      </c>
      <c r="J2923" s="110" t="s">
        <v>122</v>
      </c>
    </row>
    <row r="2924" spans="1:10">
      <c r="A2924" s="103" t="s">
        <v>4814</v>
      </c>
      <c r="B2924" s="124" t="s">
        <v>934</v>
      </c>
      <c r="C2924" s="110">
        <v>18287</v>
      </c>
      <c r="D2924" s="109" t="s">
        <v>120</v>
      </c>
      <c r="E2924" s="109">
        <v>183</v>
      </c>
      <c r="F2924" s="110">
        <v>11066</v>
      </c>
      <c r="G2924" s="109" t="s">
        <v>120</v>
      </c>
      <c r="H2924" s="109">
        <v>61</v>
      </c>
      <c r="I2924" s="109" t="s">
        <v>122</v>
      </c>
      <c r="J2924" s="110" t="s">
        <v>122</v>
      </c>
    </row>
    <row r="2925" spans="1:10">
      <c r="A2925" s="103" t="s">
        <v>4815</v>
      </c>
      <c r="B2925" s="124" t="s">
        <v>4816</v>
      </c>
      <c r="C2925" s="110">
        <v>7661</v>
      </c>
      <c r="D2925" s="109" t="s">
        <v>120</v>
      </c>
      <c r="E2925" s="109">
        <v>77</v>
      </c>
      <c r="F2925" s="110">
        <v>1967</v>
      </c>
      <c r="G2925" s="109" t="s">
        <v>120</v>
      </c>
      <c r="H2925" s="109">
        <v>26</v>
      </c>
      <c r="I2925" s="109">
        <v>1751</v>
      </c>
      <c r="J2925" s="110">
        <v>2293</v>
      </c>
    </row>
    <row r="2926" spans="1:10">
      <c r="A2926" s="103" t="s">
        <v>4817</v>
      </c>
      <c r="B2926" s="124" t="s">
        <v>932</v>
      </c>
      <c r="C2926" s="110">
        <v>3386</v>
      </c>
      <c r="D2926" s="109" t="s">
        <v>120</v>
      </c>
      <c r="E2926" s="109">
        <v>34</v>
      </c>
      <c r="F2926" s="110">
        <v>991</v>
      </c>
      <c r="G2926" s="109" t="s">
        <v>120</v>
      </c>
      <c r="H2926" s="109">
        <v>29</v>
      </c>
      <c r="I2926" s="109" t="s">
        <v>122</v>
      </c>
      <c r="J2926" s="110" t="s">
        <v>122</v>
      </c>
    </row>
    <row r="2927" spans="1:10">
      <c r="A2927" s="103" t="s">
        <v>4818</v>
      </c>
      <c r="B2927" s="124" t="s">
        <v>934</v>
      </c>
      <c r="C2927" s="110">
        <v>4275</v>
      </c>
      <c r="D2927" s="109" t="s">
        <v>120</v>
      </c>
      <c r="E2927" s="109">
        <v>43</v>
      </c>
      <c r="F2927" s="110">
        <v>976</v>
      </c>
      <c r="G2927" s="109" t="s">
        <v>120</v>
      </c>
      <c r="H2927" s="109">
        <v>23</v>
      </c>
      <c r="I2927" s="109" t="s">
        <v>122</v>
      </c>
      <c r="J2927" s="110" t="s">
        <v>122</v>
      </c>
    </row>
    <row r="2928" spans="1:10">
      <c r="A2928" s="103" t="s">
        <v>4819</v>
      </c>
      <c r="B2928" s="124" t="s">
        <v>4820</v>
      </c>
      <c r="C2928" s="110">
        <v>20737</v>
      </c>
      <c r="D2928" s="109" t="s">
        <v>120</v>
      </c>
      <c r="E2928" s="109">
        <v>207</v>
      </c>
      <c r="F2928" s="110">
        <v>6194</v>
      </c>
      <c r="G2928" s="109" t="s">
        <v>120</v>
      </c>
      <c r="H2928" s="109">
        <v>30</v>
      </c>
      <c r="I2928" s="109">
        <v>305</v>
      </c>
      <c r="J2928" s="110">
        <v>1462</v>
      </c>
    </row>
    <row r="2929" spans="1:10">
      <c r="A2929" s="103" t="s">
        <v>4821</v>
      </c>
      <c r="B2929" s="124" t="s">
        <v>932</v>
      </c>
      <c r="C2929" s="110">
        <v>2897</v>
      </c>
      <c r="D2929" s="109" t="s">
        <v>120</v>
      </c>
      <c r="E2929" s="109">
        <v>29</v>
      </c>
      <c r="F2929" s="110">
        <v>1968</v>
      </c>
      <c r="G2929" s="109" t="s">
        <v>120</v>
      </c>
      <c r="H2929" s="109">
        <v>68</v>
      </c>
      <c r="I2929" s="109" t="s">
        <v>122</v>
      </c>
      <c r="J2929" s="110" t="s">
        <v>122</v>
      </c>
    </row>
    <row r="2930" spans="1:10">
      <c r="A2930" s="103" t="s">
        <v>4822</v>
      </c>
      <c r="B2930" s="124" t="s">
        <v>934</v>
      </c>
      <c r="C2930" s="110">
        <v>17840</v>
      </c>
      <c r="D2930" s="109" t="s">
        <v>120</v>
      </c>
      <c r="E2930" s="109">
        <v>178</v>
      </c>
      <c r="F2930" s="110">
        <v>4226</v>
      </c>
      <c r="G2930" s="109" t="s">
        <v>120</v>
      </c>
      <c r="H2930" s="109">
        <v>24</v>
      </c>
      <c r="I2930" s="109" t="s">
        <v>122</v>
      </c>
      <c r="J2930" s="110" t="s">
        <v>122</v>
      </c>
    </row>
    <row r="2931" spans="1:10">
      <c r="A2931" s="103" t="s">
        <v>4823</v>
      </c>
      <c r="B2931" s="124" t="s">
        <v>4824</v>
      </c>
      <c r="C2931" s="110">
        <v>12712</v>
      </c>
      <c r="D2931" s="109" t="s">
        <v>120</v>
      </c>
      <c r="E2931" s="109">
        <v>127</v>
      </c>
      <c r="F2931" s="110">
        <v>17560</v>
      </c>
      <c r="G2931" s="109" t="s">
        <v>120</v>
      </c>
      <c r="H2931" s="109">
        <v>138</v>
      </c>
      <c r="I2931" s="109">
        <v>955</v>
      </c>
      <c r="J2931" s="110">
        <v>417</v>
      </c>
    </row>
    <row r="2932" spans="1:10">
      <c r="A2932" s="103" t="s">
        <v>4825</v>
      </c>
      <c r="B2932" s="124" t="s">
        <v>932</v>
      </c>
      <c r="C2932" s="110">
        <v>2826</v>
      </c>
      <c r="D2932" s="109" t="s">
        <v>120</v>
      </c>
      <c r="E2932" s="109">
        <v>28</v>
      </c>
      <c r="F2932" s="110">
        <v>11622</v>
      </c>
      <c r="G2932" s="109" t="s">
        <v>120</v>
      </c>
      <c r="H2932" s="109">
        <v>411</v>
      </c>
      <c r="I2932" s="109" t="s">
        <v>122</v>
      </c>
      <c r="J2932" s="110" t="s">
        <v>122</v>
      </c>
    </row>
    <row r="2933" spans="1:10">
      <c r="A2933" s="103" t="s">
        <v>4826</v>
      </c>
      <c r="B2933" s="124" t="s">
        <v>934</v>
      </c>
      <c r="C2933" s="110">
        <v>9886</v>
      </c>
      <c r="D2933" s="109" t="s">
        <v>120</v>
      </c>
      <c r="E2933" s="109">
        <v>99</v>
      </c>
      <c r="F2933" s="110">
        <v>5938</v>
      </c>
      <c r="G2933" s="109" t="s">
        <v>120</v>
      </c>
      <c r="H2933" s="109">
        <v>60</v>
      </c>
      <c r="I2933" s="109" t="s">
        <v>122</v>
      </c>
      <c r="J2933" s="110" t="s">
        <v>122</v>
      </c>
    </row>
    <row r="2934" spans="1:10">
      <c r="A2934" s="103" t="s">
        <v>4827</v>
      </c>
      <c r="B2934" s="124" t="s">
        <v>4828</v>
      </c>
      <c r="C2934" s="110">
        <v>33974</v>
      </c>
      <c r="D2934" s="109" t="s">
        <v>120</v>
      </c>
      <c r="E2934" s="109">
        <v>340</v>
      </c>
      <c r="F2934" s="110">
        <v>9331</v>
      </c>
      <c r="G2934" s="109" t="s">
        <v>120</v>
      </c>
      <c r="H2934" s="109">
        <v>27</v>
      </c>
      <c r="I2934" s="109">
        <v>58</v>
      </c>
      <c r="J2934" s="110">
        <v>937</v>
      </c>
    </row>
    <row r="2935" spans="1:10">
      <c r="A2935" s="103" t="s">
        <v>4829</v>
      </c>
      <c r="B2935" s="124" t="s">
        <v>932</v>
      </c>
      <c r="C2935" s="110">
        <v>1430</v>
      </c>
      <c r="D2935" s="109" t="s">
        <v>120</v>
      </c>
      <c r="E2935" s="109">
        <v>14</v>
      </c>
      <c r="F2935" s="110">
        <v>2482</v>
      </c>
      <c r="G2935" s="109" t="s">
        <v>120</v>
      </c>
      <c r="H2935" s="109">
        <v>174</v>
      </c>
      <c r="I2935" s="109" t="s">
        <v>122</v>
      </c>
      <c r="J2935" s="110" t="s">
        <v>122</v>
      </c>
    </row>
    <row r="2936" spans="1:10">
      <c r="A2936" s="103" t="s">
        <v>4830</v>
      </c>
      <c r="B2936" s="124" t="s">
        <v>934</v>
      </c>
      <c r="C2936" s="110">
        <v>32544</v>
      </c>
      <c r="D2936" s="109" t="s">
        <v>120</v>
      </c>
      <c r="E2936" s="109">
        <v>326</v>
      </c>
      <c r="F2936" s="110">
        <v>6849</v>
      </c>
      <c r="G2936" s="109" t="s">
        <v>120</v>
      </c>
      <c r="H2936" s="109">
        <v>21</v>
      </c>
      <c r="I2936" s="109" t="s">
        <v>122</v>
      </c>
      <c r="J2936" s="110" t="s">
        <v>122</v>
      </c>
    </row>
    <row r="2937" spans="1:10" s="119" customFormat="1">
      <c r="A2937" s="123" t="s">
        <v>120</v>
      </c>
      <c r="B2937" s="273" t="s">
        <v>4831</v>
      </c>
      <c r="C2937" s="274"/>
      <c r="D2937" s="274"/>
      <c r="E2937" s="274"/>
      <c r="F2937" s="274"/>
      <c r="G2937" s="274"/>
      <c r="H2937" s="274"/>
      <c r="I2937" s="274"/>
      <c r="J2937" s="274"/>
    </row>
    <row r="2938" spans="1:10" s="119" customFormat="1">
      <c r="A2938" s="123" t="s">
        <v>120</v>
      </c>
      <c r="B2938" s="275" t="s">
        <v>936</v>
      </c>
      <c r="C2938" s="276"/>
      <c r="D2938" s="276"/>
      <c r="E2938" s="276"/>
      <c r="F2938" s="276"/>
      <c r="G2938" s="276"/>
      <c r="H2938" s="276"/>
      <c r="I2938" s="276"/>
      <c r="J2938" s="276"/>
    </row>
    <row r="2939" spans="1:10">
      <c r="A2939" s="103" t="s">
        <v>4832</v>
      </c>
      <c r="B2939" s="124" t="s">
        <v>4833</v>
      </c>
      <c r="C2939" s="110">
        <v>2701</v>
      </c>
      <c r="D2939" s="109" t="s">
        <v>120</v>
      </c>
      <c r="E2939" s="109">
        <v>27</v>
      </c>
      <c r="F2939" s="110">
        <v>25262</v>
      </c>
      <c r="G2939" s="109" t="s">
        <v>120</v>
      </c>
      <c r="H2939" s="109">
        <v>935</v>
      </c>
      <c r="I2939" s="109">
        <v>2185</v>
      </c>
      <c r="J2939" s="110">
        <v>246</v>
      </c>
    </row>
    <row r="2940" spans="1:10">
      <c r="A2940" s="103" t="s">
        <v>4834</v>
      </c>
      <c r="B2940" s="124" t="s">
        <v>4835</v>
      </c>
      <c r="C2940" s="110">
        <v>3243</v>
      </c>
      <c r="D2940" s="109" t="s">
        <v>120</v>
      </c>
      <c r="E2940" s="109">
        <v>32</v>
      </c>
      <c r="F2940" s="110">
        <v>3753</v>
      </c>
      <c r="G2940" s="109" t="s">
        <v>120</v>
      </c>
      <c r="H2940" s="109">
        <v>116</v>
      </c>
      <c r="I2940" s="109">
        <v>2152</v>
      </c>
      <c r="J2940" s="110">
        <v>2055</v>
      </c>
    </row>
    <row r="2941" spans="1:10" s="119" customFormat="1">
      <c r="A2941" s="123" t="s">
        <v>120</v>
      </c>
      <c r="B2941" s="275" t="s">
        <v>943</v>
      </c>
      <c r="C2941" s="276"/>
      <c r="D2941" s="276"/>
      <c r="E2941" s="276"/>
      <c r="F2941" s="276"/>
      <c r="G2941" s="276"/>
      <c r="H2941" s="276"/>
      <c r="I2941" s="276"/>
      <c r="J2941" s="276"/>
    </row>
    <row r="2942" spans="1:10">
      <c r="A2942" s="103" t="s">
        <v>4836</v>
      </c>
      <c r="B2942" s="124" t="s">
        <v>4833</v>
      </c>
      <c r="C2942" s="110">
        <v>42994</v>
      </c>
      <c r="D2942" s="105" t="s">
        <v>927</v>
      </c>
      <c r="E2942" s="109">
        <v>431</v>
      </c>
      <c r="F2942" s="110">
        <v>6606</v>
      </c>
      <c r="G2942" s="109" t="s">
        <v>120</v>
      </c>
      <c r="H2942" s="109">
        <v>15</v>
      </c>
      <c r="I2942" s="109">
        <v>15</v>
      </c>
      <c r="J2942" s="110">
        <v>1379</v>
      </c>
    </row>
    <row r="2943" spans="1:10">
      <c r="A2943" s="103" t="s">
        <v>4837</v>
      </c>
      <c r="B2943" s="124" t="s">
        <v>4838</v>
      </c>
      <c r="C2943" s="110">
        <v>23189</v>
      </c>
      <c r="D2943" s="109" t="s">
        <v>120</v>
      </c>
      <c r="E2943" s="109">
        <v>232</v>
      </c>
      <c r="F2943" s="110">
        <v>4185</v>
      </c>
      <c r="G2943" s="109" t="s">
        <v>120</v>
      </c>
      <c r="H2943" s="109">
        <v>18</v>
      </c>
      <c r="I2943" s="109">
        <v>225</v>
      </c>
      <c r="J2943" s="110">
        <v>1954</v>
      </c>
    </row>
    <row r="2944" spans="1:10">
      <c r="A2944" s="103" t="s">
        <v>4839</v>
      </c>
      <c r="B2944" s="124" t="s">
        <v>4835</v>
      </c>
      <c r="C2944" s="110">
        <v>22743</v>
      </c>
      <c r="D2944" s="109" t="s">
        <v>120</v>
      </c>
      <c r="E2944" s="109">
        <v>227</v>
      </c>
      <c r="F2944" s="110">
        <v>5630</v>
      </c>
      <c r="G2944" s="109" t="s">
        <v>120</v>
      </c>
      <c r="H2944" s="109">
        <v>25</v>
      </c>
      <c r="I2944" s="109">
        <v>237</v>
      </c>
      <c r="J2944" s="110">
        <v>1585</v>
      </c>
    </row>
    <row r="2945" spans="1:10">
      <c r="A2945" s="103" t="s">
        <v>4840</v>
      </c>
      <c r="B2945" s="124" t="s">
        <v>4841</v>
      </c>
      <c r="C2945" s="110">
        <v>15990</v>
      </c>
      <c r="D2945" s="109" t="s">
        <v>120</v>
      </c>
      <c r="E2945" s="109">
        <v>160</v>
      </c>
      <c r="F2945" s="110">
        <v>2702</v>
      </c>
      <c r="G2945" s="109" t="s">
        <v>120</v>
      </c>
      <c r="H2945" s="109">
        <v>17</v>
      </c>
      <c r="I2945" s="109">
        <v>595</v>
      </c>
      <c r="J2945" s="110">
        <v>2235</v>
      </c>
    </row>
    <row r="2946" spans="1:10">
      <c r="A2946" s="103" t="s">
        <v>4842</v>
      </c>
      <c r="B2946" s="124" t="s">
        <v>4843</v>
      </c>
      <c r="C2946" s="110">
        <v>7029</v>
      </c>
      <c r="D2946" s="109" t="s">
        <v>120</v>
      </c>
      <c r="E2946" s="109">
        <v>70</v>
      </c>
      <c r="F2946" s="110">
        <v>1868</v>
      </c>
      <c r="G2946" s="109" t="s">
        <v>120</v>
      </c>
      <c r="H2946" s="109">
        <v>27</v>
      </c>
      <c r="I2946" s="109">
        <v>1846</v>
      </c>
      <c r="J2946" s="110">
        <v>2297</v>
      </c>
    </row>
    <row r="2947" spans="1:10">
      <c r="A2947" s="103" t="s">
        <v>4844</v>
      </c>
      <c r="B2947" s="124" t="s">
        <v>4845</v>
      </c>
      <c r="C2947" s="110">
        <v>20620</v>
      </c>
      <c r="D2947" s="109" t="s">
        <v>120</v>
      </c>
      <c r="E2947" s="109">
        <v>206</v>
      </c>
      <c r="F2947" s="110">
        <v>4347</v>
      </c>
      <c r="G2947" s="109" t="s">
        <v>120</v>
      </c>
      <c r="H2947" s="109">
        <v>21</v>
      </c>
      <c r="I2947" s="109">
        <v>312</v>
      </c>
      <c r="J2947" s="110">
        <v>1908</v>
      </c>
    </row>
    <row r="2948" spans="1:10" s="119" customFormat="1">
      <c r="A2948" s="123" t="s">
        <v>120</v>
      </c>
      <c r="B2948" s="273" t="s">
        <v>4846</v>
      </c>
      <c r="C2948" s="274"/>
      <c r="D2948" s="274"/>
      <c r="E2948" s="274"/>
      <c r="F2948" s="274"/>
      <c r="G2948" s="274"/>
      <c r="H2948" s="274"/>
      <c r="I2948" s="274"/>
      <c r="J2948" s="274"/>
    </row>
    <row r="2949" spans="1:10" s="119" customFormat="1">
      <c r="A2949" s="123" t="s">
        <v>120</v>
      </c>
      <c r="B2949" s="275" t="s">
        <v>922</v>
      </c>
      <c r="C2949" s="276"/>
      <c r="D2949" s="276"/>
      <c r="E2949" s="276"/>
      <c r="F2949" s="276"/>
      <c r="G2949" s="276"/>
      <c r="H2949" s="276"/>
      <c r="I2949" s="276"/>
      <c r="J2949" s="276"/>
    </row>
    <row r="2950" spans="1:10">
      <c r="A2950" s="103" t="s">
        <v>4847</v>
      </c>
      <c r="B2950" s="124" t="s">
        <v>4848</v>
      </c>
      <c r="C2950" s="110">
        <v>1894</v>
      </c>
      <c r="D2950" s="109" t="s">
        <v>120</v>
      </c>
      <c r="E2950" s="109">
        <v>19</v>
      </c>
      <c r="F2950" s="110">
        <v>21900</v>
      </c>
      <c r="G2950" s="109" t="s">
        <v>120</v>
      </c>
      <c r="H2950" s="109">
        <v>1156</v>
      </c>
      <c r="I2950" s="109">
        <v>2248</v>
      </c>
      <c r="J2950" s="110">
        <v>304</v>
      </c>
    </row>
    <row r="2951" spans="1:10" s="119" customFormat="1">
      <c r="A2951" s="123" t="s">
        <v>120</v>
      </c>
      <c r="B2951" s="275" t="s">
        <v>943</v>
      </c>
      <c r="C2951" s="276"/>
      <c r="D2951" s="276"/>
      <c r="E2951" s="276"/>
      <c r="F2951" s="276"/>
      <c r="G2951" s="276"/>
      <c r="H2951" s="276"/>
      <c r="I2951" s="276"/>
      <c r="J2951" s="276"/>
    </row>
    <row r="2952" spans="1:10">
      <c r="A2952" s="103" t="s">
        <v>4849</v>
      </c>
      <c r="B2952" s="124" t="s">
        <v>4848</v>
      </c>
      <c r="C2952" s="110">
        <v>30822</v>
      </c>
      <c r="D2952" s="109" t="s">
        <v>120</v>
      </c>
      <c r="E2952" s="109">
        <v>308</v>
      </c>
      <c r="F2952" s="110">
        <v>5789</v>
      </c>
      <c r="G2952" s="109" t="s">
        <v>120</v>
      </c>
      <c r="H2952" s="109">
        <v>19</v>
      </c>
      <c r="I2952" s="109">
        <v>90</v>
      </c>
      <c r="J2952" s="110">
        <v>1559</v>
      </c>
    </row>
    <row r="2953" spans="1:10">
      <c r="A2953" s="103" t="s">
        <v>4850</v>
      </c>
      <c r="B2953" s="124" t="s">
        <v>4851</v>
      </c>
      <c r="C2953" s="110">
        <v>19954</v>
      </c>
      <c r="D2953" s="109" t="s">
        <v>120</v>
      </c>
      <c r="E2953" s="109">
        <v>200</v>
      </c>
      <c r="F2953" s="110">
        <v>4722</v>
      </c>
      <c r="G2953" s="109" t="s">
        <v>120</v>
      </c>
      <c r="H2953" s="109">
        <v>24</v>
      </c>
      <c r="I2953" s="109">
        <v>348</v>
      </c>
      <c r="J2953" s="110">
        <v>1813</v>
      </c>
    </row>
    <row r="2954" spans="1:10">
      <c r="A2954" s="103" t="s">
        <v>4852</v>
      </c>
      <c r="B2954" s="124" t="s">
        <v>979</v>
      </c>
      <c r="C2954" s="110">
        <v>11806</v>
      </c>
      <c r="D2954" s="109" t="s">
        <v>120</v>
      </c>
      <c r="E2954" s="109">
        <v>118</v>
      </c>
      <c r="F2954" s="110">
        <v>3597</v>
      </c>
      <c r="G2954" s="109" t="s">
        <v>120</v>
      </c>
      <c r="H2954" s="109">
        <v>30</v>
      </c>
      <c r="I2954" s="109">
        <v>1078</v>
      </c>
      <c r="J2954" s="110">
        <v>2091</v>
      </c>
    </row>
    <row r="2955" spans="1:10" s="119" customFormat="1">
      <c r="A2955" s="123" t="s">
        <v>120</v>
      </c>
      <c r="B2955" s="275" t="s">
        <v>947</v>
      </c>
      <c r="C2955" s="276"/>
      <c r="D2955" s="276"/>
      <c r="E2955" s="276"/>
      <c r="F2955" s="276"/>
      <c r="G2955" s="276"/>
      <c r="H2955" s="276"/>
      <c r="I2955" s="276"/>
      <c r="J2955" s="276"/>
    </row>
    <row r="2956" spans="1:10">
      <c r="A2956" s="103" t="s">
        <v>4853</v>
      </c>
      <c r="B2956" s="124" t="s">
        <v>4854</v>
      </c>
      <c r="C2956" s="110">
        <v>20726</v>
      </c>
      <c r="D2956" s="109" t="s">
        <v>120</v>
      </c>
      <c r="E2956" s="109">
        <v>207</v>
      </c>
      <c r="F2956" s="110">
        <v>5176</v>
      </c>
      <c r="G2956" s="109" t="s">
        <v>120</v>
      </c>
      <c r="H2956" s="109">
        <v>25</v>
      </c>
      <c r="I2956" s="109">
        <v>306</v>
      </c>
      <c r="J2956" s="110">
        <v>1696</v>
      </c>
    </row>
    <row r="2957" spans="1:10">
      <c r="A2957" s="103" t="s">
        <v>4855</v>
      </c>
      <c r="B2957" s="124" t="s">
        <v>932</v>
      </c>
      <c r="C2957" s="110">
        <v>3528</v>
      </c>
      <c r="D2957" s="109" t="s">
        <v>120</v>
      </c>
      <c r="E2957" s="109">
        <v>35</v>
      </c>
      <c r="F2957" s="110">
        <v>1572</v>
      </c>
      <c r="G2957" s="109" t="s">
        <v>120</v>
      </c>
      <c r="H2957" s="109">
        <v>45</v>
      </c>
      <c r="I2957" s="109" t="s">
        <v>122</v>
      </c>
      <c r="J2957" s="110" t="s">
        <v>122</v>
      </c>
    </row>
    <row r="2958" spans="1:10">
      <c r="A2958" s="103" t="s">
        <v>4856</v>
      </c>
      <c r="B2958" s="124" t="s">
        <v>934</v>
      </c>
      <c r="C2958" s="110">
        <v>17198</v>
      </c>
      <c r="D2958" s="109" t="s">
        <v>120</v>
      </c>
      <c r="E2958" s="109">
        <v>172</v>
      </c>
      <c r="F2958" s="110">
        <v>3604</v>
      </c>
      <c r="G2958" s="109" t="s">
        <v>120</v>
      </c>
      <c r="H2958" s="109">
        <v>21</v>
      </c>
      <c r="I2958" s="109" t="s">
        <v>122</v>
      </c>
      <c r="J2958" s="110" t="s">
        <v>122</v>
      </c>
    </row>
    <row r="2959" spans="1:10">
      <c r="A2959" s="103" t="s">
        <v>4857</v>
      </c>
      <c r="B2959" s="124" t="s">
        <v>4858</v>
      </c>
      <c r="C2959" s="110">
        <v>11560</v>
      </c>
      <c r="D2959" s="109" t="s">
        <v>120</v>
      </c>
      <c r="E2959" s="109">
        <v>116</v>
      </c>
      <c r="F2959" s="110">
        <v>6026</v>
      </c>
      <c r="G2959" s="109" t="s">
        <v>120</v>
      </c>
      <c r="H2959" s="109">
        <v>52</v>
      </c>
      <c r="I2959" s="109">
        <v>1121</v>
      </c>
      <c r="J2959" s="110">
        <v>1496</v>
      </c>
    </row>
    <row r="2960" spans="1:10">
      <c r="A2960" s="103" t="s">
        <v>4859</v>
      </c>
      <c r="B2960" s="124" t="s">
        <v>932</v>
      </c>
      <c r="C2960" s="110">
        <v>1323</v>
      </c>
      <c r="D2960" s="109" t="s">
        <v>120</v>
      </c>
      <c r="E2960" s="109">
        <v>13</v>
      </c>
      <c r="F2960" s="110">
        <v>3354</v>
      </c>
      <c r="G2960" s="109" t="s">
        <v>120</v>
      </c>
      <c r="H2960" s="109">
        <v>254</v>
      </c>
      <c r="I2960" s="109" t="s">
        <v>122</v>
      </c>
      <c r="J2960" s="110" t="s">
        <v>122</v>
      </c>
    </row>
    <row r="2961" spans="1:10">
      <c r="A2961" s="103" t="s">
        <v>4860</v>
      </c>
      <c r="B2961" s="124" t="s">
        <v>934</v>
      </c>
      <c r="C2961" s="110">
        <v>10237</v>
      </c>
      <c r="D2961" s="109" t="s">
        <v>120</v>
      </c>
      <c r="E2961" s="109">
        <v>103</v>
      </c>
      <c r="F2961" s="110">
        <v>2672</v>
      </c>
      <c r="G2961" s="109" t="s">
        <v>120</v>
      </c>
      <c r="H2961" s="109">
        <v>26</v>
      </c>
      <c r="I2961" s="109" t="s">
        <v>122</v>
      </c>
      <c r="J2961" s="110" t="s">
        <v>122</v>
      </c>
    </row>
    <row r="2962" spans="1:10" s="119" customFormat="1">
      <c r="A2962" s="123" t="s">
        <v>120</v>
      </c>
      <c r="B2962" s="273" t="s">
        <v>4861</v>
      </c>
      <c r="C2962" s="274"/>
      <c r="D2962" s="274"/>
      <c r="E2962" s="274"/>
      <c r="F2962" s="274"/>
      <c r="G2962" s="274"/>
      <c r="H2962" s="274"/>
      <c r="I2962" s="274"/>
      <c r="J2962" s="274"/>
    </row>
    <row r="2963" spans="1:10" s="119" customFormat="1">
      <c r="A2963" s="123" t="s">
        <v>120</v>
      </c>
      <c r="B2963" s="275" t="s">
        <v>1019</v>
      </c>
      <c r="C2963" s="276"/>
      <c r="D2963" s="276"/>
      <c r="E2963" s="276"/>
      <c r="F2963" s="276"/>
      <c r="G2963" s="276"/>
      <c r="H2963" s="276"/>
      <c r="I2963" s="276"/>
      <c r="J2963" s="276"/>
    </row>
    <row r="2964" spans="1:10">
      <c r="A2964" s="103" t="s">
        <v>4862</v>
      </c>
      <c r="B2964" s="124" t="s">
        <v>4863</v>
      </c>
      <c r="C2964" s="110">
        <v>2129</v>
      </c>
      <c r="D2964" s="109" t="s">
        <v>120</v>
      </c>
      <c r="E2964" s="109">
        <v>21</v>
      </c>
      <c r="F2964" s="110">
        <v>20488</v>
      </c>
      <c r="G2964" s="109" t="s">
        <v>120</v>
      </c>
      <c r="H2964" s="109">
        <v>962</v>
      </c>
      <c r="I2964" s="109">
        <v>2222</v>
      </c>
      <c r="J2964" s="110">
        <v>330</v>
      </c>
    </row>
    <row r="2965" spans="1:10" s="119" customFormat="1">
      <c r="A2965" s="123" t="s">
        <v>120</v>
      </c>
      <c r="B2965" s="275" t="s">
        <v>943</v>
      </c>
      <c r="C2965" s="276"/>
      <c r="D2965" s="276"/>
      <c r="E2965" s="276"/>
      <c r="F2965" s="276"/>
      <c r="G2965" s="276"/>
      <c r="H2965" s="276"/>
      <c r="I2965" s="276"/>
      <c r="J2965" s="276"/>
    </row>
    <row r="2966" spans="1:10">
      <c r="A2966" s="103" t="s">
        <v>4864</v>
      </c>
      <c r="B2966" s="124" t="s">
        <v>4865</v>
      </c>
      <c r="C2966" s="110">
        <v>20314</v>
      </c>
      <c r="D2966" s="109" t="s">
        <v>120</v>
      </c>
      <c r="E2966" s="109">
        <v>203</v>
      </c>
      <c r="F2966" s="110">
        <v>2191</v>
      </c>
      <c r="G2966" s="109" t="s">
        <v>120</v>
      </c>
      <c r="H2966" s="109">
        <v>11</v>
      </c>
      <c r="I2966" s="109">
        <v>326</v>
      </c>
      <c r="J2966" s="110">
        <v>2285</v>
      </c>
    </row>
    <row r="2967" spans="1:10">
      <c r="A2967" s="103" t="s">
        <v>4866</v>
      </c>
      <c r="B2967" s="124" t="s">
        <v>4867</v>
      </c>
      <c r="C2967" s="110">
        <v>9682</v>
      </c>
      <c r="D2967" s="109" t="s">
        <v>120</v>
      </c>
      <c r="E2967" s="109">
        <v>97</v>
      </c>
      <c r="F2967" s="110">
        <v>3115</v>
      </c>
      <c r="G2967" s="109" t="s">
        <v>120</v>
      </c>
      <c r="H2967" s="109">
        <v>32</v>
      </c>
      <c r="I2967" s="109">
        <v>1433</v>
      </c>
      <c r="J2967" s="110">
        <v>2182</v>
      </c>
    </row>
    <row r="2968" spans="1:10">
      <c r="A2968" s="103" t="s">
        <v>4868</v>
      </c>
      <c r="B2968" s="124" t="s">
        <v>4869</v>
      </c>
      <c r="C2968" s="110">
        <v>13453</v>
      </c>
      <c r="D2968" s="109" t="s">
        <v>120</v>
      </c>
      <c r="E2968" s="109">
        <v>135</v>
      </c>
      <c r="F2968" s="110">
        <v>1960</v>
      </c>
      <c r="G2968" s="109" t="s">
        <v>120</v>
      </c>
      <c r="H2968" s="109">
        <v>15</v>
      </c>
      <c r="I2968" s="109">
        <v>845</v>
      </c>
      <c r="J2968" s="110">
        <v>2294</v>
      </c>
    </row>
    <row r="2969" spans="1:10">
      <c r="A2969" s="103" t="s">
        <v>4870</v>
      </c>
      <c r="B2969" s="124" t="s">
        <v>4871</v>
      </c>
      <c r="C2969" s="110">
        <v>15144</v>
      </c>
      <c r="D2969" s="109" t="s">
        <v>120</v>
      </c>
      <c r="E2969" s="109">
        <v>151</v>
      </c>
      <c r="F2969" s="110">
        <v>1484</v>
      </c>
      <c r="G2969" s="105" t="s">
        <v>1075</v>
      </c>
      <c r="H2969" s="109">
        <v>10</v>
      </c>
      <c r="I2969" s="109">
        <v>661</v>
      </c>
      <c r="J2969" s="110">
        <v>2308</v>
      </c>
    </row>
    <row r="2970" spans="1:10">
      <c r="A2970" s="103" t="s">
        <v>4872</v>
      </c>
      <c r="B2970" s="124" t="s">
        <v>4863</v>
      </c>
      <c r="C2970" s="110">
        <v>29293</v>
      </c>
      <c r="D2970" s="109" t="s">
        <v>120</v>
      </c>
      <c r="E2970" s="109">
        <v>293</v>
      </c>
      <c r="F2970" s="110">
        <v>3843</v>
      </c>
      <c r="G2970" s="109" t="s">
        <v>120</v>
      </c>
      <c r="H2970" s="109">
        <v>13</v>
      </c>
      <c r="I2970" s="109">
        <v>109</v>
      </c>
      <c r="J2970" s="110">
        <v>2033</v>
      </c>
    </row>
    <row r="2971" spans="1:10">
      <c r="A2971" s="103" t="s">
        <v>4873</v>
      </c>
      <c r="B2971" s="124" t="s">
        <v>4874</v>
      </c>
      <c r="C2971" s="110">
        <v>24151</v>
      </c>
      <c r="D2971" s="109" t="s">
        <v>120</v>
      </c>
      <c r="E2971" s="109">
        <v>242</v>
      </c>
      <c r="F2971" s="110">
        <v>3454</v>
      </c>
      <c r="G2971" s="109" t="s">
        <v>120</v>
      </c>
      <c r="H2971" s="109">
        <v>14</v>
      </c>
      <c r="I2971" s="109">
        <v>200</v>
      </c>
      <c r="J2971" s="110">
        <v>2115</v>
      </c>
    </row>
    <row r="2972" spans="1:10">
      <c r="A2972" s="103" t="s">
        <v>4875</v>
      </c>
      <c r="B2972" s="124" t="s">
        <v>4876</v>
      </c>
      <c r="C2972" s="110">
        <v>33898</v>
      </c>
      <c r="D2972" s="109" t="s">
        <v>120</v>
      </c>
      <c r="E2972" s="109">
        <v>339</v>
      </c>
      <c r="F2972" s="110">
        <v>3609</v>
      </c>
      <c r="G2972" s="109" t="s">
        <v>120</v>
      </c>
      <c r="H2972" s="109">
        <v>11</v>
      </c>
      <c r="I2972" s="109">
        <v>59</v>
      </c>
      <c r="J2972" s="110">
        <v>2088</v>
      </c>
    </row>
    <row r="2973" spans="1:10" s="119" customFormat="1">
      <c r="A2973" s="123" t="s">
        <v>120</v>
      </c>
      <c r="B2973" s="275" t="s">
        <v>1026</v>
      </c>
      <c r="C2973" s="276"/>
      <c r="D2973" s="276"/>
      <c r="E2973" s="276"/>
      <c r="F2973" s="276"/>
      <c r="G2973" s="276"/>
      <c r="H2973" s="276"/>
      <c r="I2973" s="276"/>
      <c r="J2973" s="276"/>
    </row>
    <row r="2974" spans="1:10">
      <c r="A2974" s="103" t="s">
        <v>4877</v>
      </c>
      <c r="B2974" s="124" t="s">
        <v>4878</v>
      </c>
      <c r="C2974" s="110">
        <v>14289</v>
      </c>
      <c r="D2974" s="109" t="s">
        <v>120</v>
      </c>
      <c r="E2974" s="109">
        <v>143</v>
      </c>
      <c r="F2974" s="110">
        <v>2466</v>
      </c>
      <c r="G2974" s="109" t="s">
        <v>120</v>
      </c>
      <c r="H2974" s="109">
        <v>17</v>
      </c>
      <c r="I2974" s="109">
        <v>751</v>
      </c>
      <c r="J2974" s="110">
        <v>2265</v>
      </c>
    </row>
    <row r="2975" spans="1:10">
      <c r="A2975" s="103" t="s">
        <v>4879</v>
      </c>
      <c r="B2975" s="124" t="s">
        <v>932</v>
      </c>
      <c r="C2975" s="110">
        <v>4671</v>
      </c>
      <c r="D2975" s="109" t="s">
        <v>120</v>
      </c>
      <c r="E2975" s="109">
        <v>47</v>
      </c>
      <c r="F2975" s="110">
        <v>1240</v>
      </c>
      <c r="G2975" s="109" t="s">
        <v>120</v>
      </c>
      <c r="H2975" s="109">
        <v>27</v>
      </c>
      <c r="I2975" s="109" t="s">
        <v>122</v>
      </c>
      <c r="J2975" s="110" t="s">
        <v>122</v>
      </c>
    </row>
    <row r="2976" spans="1:10">
      <c r="A2976" s="103" t="s">
        <v>4880</v>
      </c>
      <c r="B2976" s="124" t="s">
        <v>934</v>
      </c>
      <c r="C2976" s="110">
        <v>9618</v>
      </c>
      <c r="D2976" s="109" t="s">
        <v>120</v>
      </c>
      <c r="E2976" s="109">
        <v>96</v>
      </c>
      <c r="F2976" s="110">
        <v>1226</v>
      </c>
      <c r="G2976" s="109" t="s">
        <v>120</v>
      </c>
      <c r="H2976" s="109">
        <v>13</v>
      </c>
      <c r="I2976" s="109" t="s">
        <v>122</v>
      </c>
      <c r="J2976" s="110" t="s">
        <v>122</v>
      </c>
    </row>
    <row r="2977" spans="1:10" s="119" customFormat="1">
      <c r="A2977" s="123" t="s">
        <v>120</v>
      </c>
      <c r="B2977" s="273" t="s">
        <v>4881</v>
      </c>
      <c r="C2977" s="274"/>
      <c r="D2977" s="274"/>
      <c r="E2977" s="274"/>
      <c r="F2977" s="274"/>
      <c r="G2977" s="274"/>
      <c r="H2977" s="274"/>
      <c r="I2977" s="274"/>
      <c r="J2977" s="274"/>
    </row>
    <row r="2978" spans="1:10" s="119" customFormat="1">
      <c r="A2978" s="123" t="s">
        <v>120</v>
      </c>
      <c r="B2978" s="275" t="s">
        <v>957</v>
      </c>
      <c r="C2978" s="276"/>
      <c r="D2978" s="276"/>
      <c r="E2978" s="276"/>
      <c r="F2978" s="276"/>
      <c r="G2978" s="276"/>
      <c r="H2978" s="276"/>
      <c r="I2978" s="276"/>
      <c r="J2978" s="276"/>
    </row>
    <row r="2979" spans="1:10">
      <c r="A2979" s="103" t="s">
        <v>4882</v>
      </c>
      <c r="B2979" s="124" t="s">
        <v>4883</v>
      </c>
      <c r="C2979" s="110">
        <v>2507</v>
      </c>
      <c r="D2979" s="109" t="s">
        <v>120</v>
      </c>
      <c r="E2979" s="109">
        <v>25</v>
      </c>
      <c r="F2979" s="110">
        <v>10199</v>
      </c>
      <c r="G2979" s="109" t="s">
        <v>120</v>
      </c>
      <c r="H2979" s="109">
        <v>407</v>
      </c>
      <c r="I2979" s="109">
        <v>2198</v>
      </c>
      <c r="J2979" s="110">
        <v>854</v>
      </c>
    </row>
    <row r="2980" spans="1:10" s="119" customFormat="1">
      <c r="A2980" s="123" t="s">
        <v>120</v>
      </c>
      <c r="B2980" s="275" t="s">
        <v>1022</v>
      </c>
      <c r="C2980" s="276"/>
      <c r="D2980" s="276"/>
      <c r="E2980" s="276"/>
      <c r="F2980" s="276"/>
      <c r="G2980" s="276"/>
      <c r="H2980" s="276"/>
      <c r="I2980" s="276"/>
      <c r="J2980" s="276"/>
    </row>
    <row r="2981" spans="1:10">
      <c r="A2981" s="103" t="s">
        <v>4884</v>
      </c>
      <c r="B2981" s="124" t="s">
        <v>4885</v>
      </c>
      <c r="C2981" s="110">
        <v>12859</v>
      </c>
      <c r="D2981" s="109" t="s">
        <v>120</v>
      </c>
      <c r="E2981" s="109">
        <v>129</v>
      </c>
      <c r="F2981" s="110">
        <v>3399</v>
      </c>
      <c r="G2981" s="109" t="s">
        <v>120</v>
      </c>
      <c r="H2981" s="109">
        <v>26</v>
      </c>
      <c r="I2981" s="109">
        <v>932</v>
      </c>
      <c r="J2981" s="110">
        <v>2127</v>
      </c>
    </row>
    <row r="2982" spans="1:10">
      <c r="A2982" s="103" t="s">
        <v>4886</v>
      </c>
      <c r="B2982" s="124" t="s">
        <v>4883</v>
      </c>
      <c r="C2982" s="110">
        <v>28228</v>
      </c>
      <c r="D2982" s="109" t="s">
        <v>120</v>
      </c>
      <c r="E2982" s="109">
        <v>281</v>
      </c>
      <c r="F2982" s="110">
        <v>8525</v>
      </c>
      <c r="G2982" s="109" t="s">
        <v>120</v>
      </c>
      <c r="H2982" s="109">
        <v>30</v>
      </c>
      <c r="I2982" s="109">
        <v>126</v>
      </c>
      <c r="J2982" s="110">
        <v>1047</v>
      </c>
    </row>
    <row r="2983" spans="1:10">
      <c r="A2983" s="103" t="s">
        <v>4887</v>
      </c>
      <c r="B2983" s="124" t="s">
        <v>4888</v>
      </c>
      <c r="C2983" s="110">
        <v>13982</v>
      </c>
      <c r="D2983" s="109" t="s">
        <v>120</v>
      </c>
      <c r="E2983" s="109">
        <v>140</v>
      </c>
      <c r="F2983" s="110">
        <v>4739</v>
      </c>
      <c r="G2983" s="109" t="s">
        <v>120</v>
      </c>
      <c r="H2983" s="109">
        <v>34</v>
      </c>
      <c r="I2983" s="109">
        <v>787</v>
      </c>
      <c r="J2983" s="110">
        <v>1808</v>
      </c>
    </row>
    <row r="2984" spans="1:10">
      <c r="A2984" s="103" t="s">
        <v>4889</v>
      </c>
      <c r="B2984" s="124" t="s">
        <v>4890</v>
      </c>
      <c r="C2984" s="110">
        <v>19879</v>
      </c>
      <c r="D2984" s="109" t="s">
        <v>120</v>
      </c>
      <c r="E2984" s="109">
        <v>199</v>
      </c>
      <c r="F2984" s="110">
        <v>5110</v>
      </c>
      <c r="G2984" s="109" t="s">
        <v>120</v>
      </c>
      <c r="H2984" s="109">
        <v>26</v>
      </c>
      <c r="I2984" s="109">
        <v>352</v>
      </c>
      <c r="J2984" s="110">
        <v>1714</v>
      </c>
    </row>
    <row r="2985" spans="1:10" s="119" customFormat="1">
      <c r="A2985" s="123" t="s">
        <v>120</v>
      </c>
      <c r="B2985" s="275" t="s">
        <v>1026</v>
      </c>
      <c r="C2985" s="276"/>
      <c r="D2985" s="276"/>
      <c r="E2985" s="276"/>
      <c r="F2985" s="276"/>
      <c r="G2985" s="276"/>
      <c r="H2985" s="276"/>
      <c r="I2985" s="276"/>
      <c r="J2985" s="276"/>
    </row>
    <row r="2986" spans="1:10">
      <c r="A2986" s="103" t="s">
        <v>4891</v>
      </c>
      <c r="B2986" s="124" t="s">
        <v>4892</v>
      </c>
      <c r="C2986" s="110">
        <v>16555</v>
      </c>
      <c r="D2986" s="109" t="s">
        <v>120</v>
      </c>
      <c r="E2986" s="109">
        <v>166</v>
      </c>
      <c r="F2986" s="110">
        <v>6085</v>
      </c>
      <c r="G2986" s="109" t="s">
        <v>120</v>
      </c>
      <c r="H2986" s="109">
        <v>37</v>
      </c>
      <c r="I2986" s="109">
        <v>553</v>
      </c>
      <c r="J2986" s="110">
        <v>1486</v>
      </c>
    </row>
    <row r="2987" spans="1:10">
      <c r="A2987" s="103" t="s">
        <v>4893</v>
      </c>
      <c r="B2987" s="124" t="s">
        <v>932</v>
      </c>
      <c r="C2987" s="110">
        <v>1324</v>
      </c>
      <c r="D2987" s="109" t="s">
        <v>120</v>
      </c>
      <c r="E2987" s="109">
        <v>13</v>
      </c>
      <c r="F2987" s="110">
        <v>2161</v>
      </c>
      <c r="G2987" s="109" t="s">
        <v>120</v>
      </c>
      <c r="H2987" s="109">
        <v>163</v>
      </c>
      <c r="I2987" s="109" t="s">
        <v>122</v>
      </c>
      <c r="J2987" s="110" t="s">
        <v>122</v>
      </c>
    </row>
    <row r="2988" spans="1:10">
      <c r="A2988" s="103" t="s">
        <v>4894</v>
      </c>
      <c r="B2988" s="124" t="s">
        <v>934</v>
      </c>
      <c r="C2988" s="110">
        <v>15231</v>
      </c>
      <c r="D2988" s="109" t="s">
        <v>120</v>
      </c>
      <c r="E2988" s="109">
        <v>153</v>
      </c>
      <c r="F2988" s="110">
        <v>3924</v>
      </c>
      <c r="G2988" s="109" t="s">
        <v>120</v>
      </c>
      <c r="H2988" s="109">
        <v>26</v>
      </c>
      <c r="I2988" s="109" t="s">
        <v>122</v>
      </c>
      <c r="J2988" s="110" t="s">
        <v>122</v>
      </c>
    </row>
    <row r="2989" spans="1:10" s="119" customFormat="1">
      <c r="A2989" s="123" t="s">
        <v>120</v>
      </c>
      <c r="B2989" s="273" t="s">
        <v>4895</v>
      </c>
      <c r="C2989" s="274"/>
      <c r="D2989" s="274"/>
      <c r="E2989" s="274"/>
      <c r="F2989" s="274"/>
      <c r="G2989" s="274"/>
      <c r="H2989" s="274"/>
      <c r="I2989" s="274"/>
      <c r="J2989" s="274"/>
    </row>
    <row r="2990" spans="1:10" s="119" customFormat="1">
      <c r="A2990" s="123" t="s">
        <v>120</v>
      </c>
      <c r="B2990" s="275" t="s">
        <v>943</v>
      </c>
      <c r="C2990" s="276"/>
      <c r="D2990" s="276"/>
      <c r="E2990" s="276"/>
      <c r="F2990" s="276"/>
      <c r="G2990" s="276"/>
      <c r="H2990" s="276"/>
      <c r="I2990" s="276"/>
      <c r="J2990" s="276"/>
    </row>
    <row r="2991" spans="1:10">
      <c r="A2991" s="103" t="s">
        <v>4896</v>
      </c>
      <c r="B2991" s="124" t="s">
        <v>4897</v>
      </c>
      <c r="C2991" s="110">
        <v>20695</v>
      </c>
      <c r="D2991" s="109" t="s">
        <v>120</v>
      </c>
      <c r="E2991" s="109">
        <v>207</v>
      </c>
      <c r="F2991" s="110">
        <v>11162</v>
      </c>
      <c r="G2991" s="109" t="s">
        <v>120</v>
      </c>
      <c r="H2991" s="109">
        <v>54</v>
      </c>
      <c r="I2991" s="109">
        <v>308</v>
      </c>
      <c r="J2991" s="110">
        <v>771</v>
      </c>
    </row>
    <row r="2992" spans="1:10">
      <c r="A2992" s="103" t="s">
        <v>4898</v>
      </c>
      <c r="B2992" s="124" t="s">
        <v>4899</v>
      </c>
      <c r="C2992" s="110">
        <v>11485</v>
      </c>
      <c r="D2992" s="109" t="s">
        <v>120</v>
      </c>
      <c r="E2992" s="109">
        <v>115</v>
      </c>
      <c r="F2992" s="110">
        <v>4218</v>
      </c>
      <c r="G2992" s="109" t="s">
        <v>120</v>
      </c>
      <c r="H2992" s="109">
        <v>37</v>
      </c>
      <c r="I2992" s="109">
        <v>1127</v>
      </c>
      <c r="J2992" s="110">
        <v>1950</v>
      </c>
    </row>
    <row r="2993" spans="1:10">
      <c r="A2993" s="103" t="s">
        <v>4900</v>
      </c>
      <c r="B2993" s="124" t="s">
        <v>4901</v>
      </c>
      <c r="C2993" s="110">
        <v>21906</v>
      </c>
      <c r="D2993" s="109" t="s">
        <v>120</v>
      </c>
      <c r="E2993" s="109">
        <v>220</v>
      </c>
      <c r="F2993" s="110">
        <v>10702</v>
      </c>
      <c r="G2993" s="109" t="s">
        <v>120</v>
      </c>
      <c r="H2993" s="109">
        <v>49</v>
      </c>
      <c r="I2993" s="109">
        <v>262</v>
      </c>
      <c r="J2993" s="110">
        <v>813</v>
      </c>
    </row>
    <row r="2994" spans="1:10">
      <c r="A2994" s="103" t="s">
        <v>4902</v>
      </c>
      <c r="B2994" s="124" t="s">
        <v>4903</v>
      </c>
      <c r="C2994" s="110">
        <v>7115</v>
      </c>
      <c r="D2994" s="109" t="s">
        <v>120</v>
      </c>
      <c r="E2994" s="109">
        <v>71</v>
      </c>
      <c r="F2994" s="110">
        <v>2073</v>
      </c>
      <c r="G2994" s="109" t="s">
        <v>120</v>
      </c>
      <c r="H2994" s="109">
        <v>29</v>
      </c>
      <c r="I2994" s="109">
        <v>1832</v>
      </c>
      <c r="J2994" s="110">
        <v>2290</v>
      </c>
    </row>
    <row r="2995" spans="1:10">
      <c r="A2995" s="103" t="s">
        <v>4904</v>
      </c>
      <c r="B2995" s="124" t="s">
        <v>4905</v>
      </c>
      <c r="C2995" s="110">
        <v>16298</v>
      </c>
      <c r="D2995" s="109" t="s">
        <v>120</v>
      </c>
      <c r="E2995" s="109">
        <v>163</v>
      </c>
      <c r="F2995" s="110">
        <v>5312</v>
      </c>
      <c r="G2995" s="109" t="s">
        <v>120</v>
      </c>
      <c r="H2995" s="109">
        <v>33</v>
      </c>
      <c r="I2995" s="109">
        <v>570</v>
      </c>
      <c r="J2995" s="110">
        <v>1659</v>
      </c>
    </row>
    <row r="2996" spans="1:10">
      <c r="A2996" s="103" t="s">
        <v>4906</v>
      </c>
      <c r="B2996" s="124" t="s">
        <v>4907</v>
      </c>
      <c r="C2996" s="110">
        <v>13338</v>
      </c>
      <c r="D2996" s="109" t="s">
        <v>120</v>
      </c>
      <c r="E2996" s="109">
        <v>133</v>
      </c>
      <c r="F2996" s="110">
        <v>3957</v>
      </c>
      <c r="G2996" s="109" t="s">
        <v>120</v>
      </c>
      <c r="H2996" s="109">
        <v>30</v>
      </c>
      <c r="I2996" s="109">
        <v>864</v>
      </c>
      <c r="J2996" s="110">
        <v>2002</v>
      </c>
    </row>
    <row r="2997" spans="1:10">
      <c r="A2997" s="103" t="s">
        <v>4908</v>
      </c>
      <c r="B2997" s="124" t="s">
        <v>4909</v>
      </c>
      <c r="C2997" s="110">
        <v>18580</v>
      </c>
      <c r="D2997" s="109" t="s">
        <v>120</v>
      </c>
      <c r="E2997" s="109">
        <v>186</v>
      </c>
      <c r="F2997" s="110">
        <v>4192</v>
      </c>
      <c r="G2997" s="109" t="s">
        <v>120</v>
      </c>
      <c r="H2997" s="109">
        <v>23</v>
      </c>
      <c r="I2997" s="109">
        <v>418</v>
      </c>
      <c r="J2997" s="110">
        <v>1952</v>
      </c>
    </row>
    <row r="2998" spans="1:10" s="119" customFormat="1">
      <c r="A2998" s="123" t="s">
        <v>120</v>
      </c>
      <c r="B2998" s="275" t="s">
        <v>947</v>
      </c>
      <c r="C2998" s="276"/>
      <c r="D2998" s="276"/>
      <c r="E2998" s="276"/>
      <c r="F2998" s="276"/>
      <c r="G2998" s="276"/>
      <c r="H2998" s="276"/>
      <c r="I2998" s="276"/>
      <c r="J2998" s="276"/>
    </row>
    <row r="2999" spans="1:10">
      <c r="A2999" s="103" t="s">
        <v>4910</v>
      </c>
      <c r="B2999" s="124" t="s">
        <v>4911</v>
      </c>
      <c r="C2999" s="110">
        <v>15921</v>
      </c>
      <c r="D2999" s="109" t="s">
        <v>120</v>
      </c>
      <c r="E2999" s="109">
        <v>159</v>
      </c>
      <c r="F2999" s="110">
        <v>5299</v>
      </c>
      <c r="G2999" s="109" t="s">
        <v>120</v>
      </c>
      <c r="H2999" s="109">
        <v>33</v>
      </c>
      <c r="I2999" s="109">
        <v>606</v>
      </c>
      <c r="J2999" s="110">
        <v>1662</v>
      </c>
    </row>
    <row r="3000" spans="1:10">
      <c r="A3000" s="103" t="s">
        <v>4912</v>
      </c>
      <c r="B3000" s="124" t="s">
        <v>932</v>
      </c>
      <c r="C3000" s="110">
        <v>454</v>
      </c>
      <c r="D3000" s="109" t="s">
        <v>120</v>
      </c>
      <c r="E3000" s="109">
        <v>4</v>
      </c>
      <c r="F3000" s="110">
        <v>1615</v>
      </c>
      <c r="G3000" s="109" t="s">
        <v>120</v>
      </c>
      <c r="H3000" s="109">
        <v>356</v>
      </c>
      <c r="I3000" s="109" t="s">
        <v>122</v>
      </c>
      <c r="J3000" s="110" t="s">
        <v>122</v>
      </c>
    </row>
    <row r="3001" spans="1:10">
      <c r="A3001" s="103" t="s">
        <v>4913</v>
      </c>
      <c r="B3001" s="124" t="s">
        <v>934</v>
      </c>
      <c r="C3001" s="110">
        <v>15467</v>
      </c>
      <c r="D3001" s="109" t="s">
        <v>120</v>
      </c>
      <c r="E3001" s="109">
        <v>155</v>
      </c>
      <c r="F3001" s="110">
        <v>3684</v>
      </c>
      <c r="G3001" s="109" t="s">
        <v>120</v>
      </c>
      <c r="H3001" s="109">
        <v>24</v>
      </c>
      <c r="I3001" s="109" t="s">
        <v>122</v>
      </c>
      <c r="J3001" s="110" t="s">
        <v>122</v>
      </c>
    </row>
    <row r="3002" spans="1:10">
      <c r="A3002" s="103" t="s">
        <v>4914</v>
      </c>
      <c r="B3002" s="124" t="s">
        <v>4915</v>
      </c>
      <c r="C3002" s="110">
        <v>10121</v>
      </c>
      <c r="D3002" s="109" t="s">
        <v>120</v>
      </c>
      <c r="E3002" s="109">
        <v>101</v>
      </c>
      <c r="F3002" s="110">
        <v>4028</v>
      </c>
      <c r="G3002" s="109" t="s">
        <v>120</v>
      </c>
      <c r="H3002" s="109">
        <v>40</v>
      </c>
      <c r="I3002" s="109">
        <v>1366</v>
      </c>
      <c r="J3002" s="110">
        <v>1987</v>
      </c>
    </row>
    <row r="3003" spans="1:10">
      <c r="A3003" s="103" t="s">
        <v>4916</v>
      </c>
      <c r="B3003" s="124" t="s">
        <v>932</v>
      </c>
      <c r="C3003" s="110">
        <v>2055</v>
      </c>
      <c r="D3003" s="109" t="s">
        <v>120</v>
      </c>
      <c r="E3003" s="109">
        <v>21</v>
      </c>
      <c r="F3003" s="110">
        <v>2156</v>
      </c>
      <c r="G3003" s="109" t="s">
        <v>120</v>
      </c>
      <c r="H3003" s="109">
        <v>105</v>
      </c>
      <c r="I3003" s="109" t="s">
        <v>122</v>
      </c>
      <c r="J3003" s="110" t="s">
        <v>122</v>
      </c>
    </row>
    <row r="3004" spans="1:10">
      <c r="A3004" s="103" t="s">
        <v>4917</v>
      </c>
      <c r="B3004" s="124" t="s">
        <v>934</v>
      </c>
      <c r="C3004" s="110">
        <v>8066</v>
      </c>
      <c r="D3004" s="109" t="s">
        <v>120</v>
      </c>
      <c r="E3004" s="109">
        <v>80</v>
      </c>
      <c r="F3004" s="110">
        <v>1872</v>
      </c>
      <c r="G3004" s="109" t="s">
        <v>120</v>
      </c>
      <c r="H3004" s="109">
        <v>23</v>
      </c>
      <c r="I3004" s="109" t="s">
        <v>122</v>
      </c>
      <c r="J3004" s="110" t="s">
        <v>122</v>
      </c>
    </row>
    <row r="3005" spans="1:10" s="119" customFormat="1">
      <c r="A3005" s="123" t="s">
        <v>120</v>
      </c>
      <c r="B3005" s="273" t="s">
        <v>4918</v>
      </c>
      <c r="C3005" s="274"/>
      <c r="D3005" s="274"/>
      <c r="E3005" s="274"/>
      <c r="F3005" s="274"/>
      <c r="G3005" s="274"/>
      <c r="H3005" s="274"/>
      <c r="I3005" s="274"/>
      <c r="J3005" s="274"/>
    </row>
    <row r="3006" spans="1:10" s="119" customFormat="1">
      <c r="A3006" s="123" t="s">
        <v>120</v>
      </c>
      <c r="B3006" s="275" t="s">
        <v>924</v>
      </c>
      <c r="C3006" s="276"/>
      <c r="D3006" s="276"/>
      <c r="E3006" s="276"/>
      <c r="F3006" s="276"/>
      <c r="G3006" s="276"/>
      <c r="H3006" s="276"/>
      <c r="I3006" s="276"/>
      <c r="J3006" s="276"/>
    </row>
    <row r="3007" spans="1:10">
      <c r="A3007" s="103" t="s">
        <v>4919</v>
      </c>
      <c r="B3007" s="124" t="s">
        <v>4920</v>
      </c>
      <c r="C3007" s="110">
        <v>9680</v>
      </c>
      <c r="D3007" s="109" t="s">
        <v>120</v>
      </c>
      <c r="E3007" s="109">
        <v>97</v>
      </c>
      <c r="F3007" s="110">
        <v>2765</v>
      </c>
      <c r="G3007" s="109" t="s">
        <v>120</v>
      </c>
      <c r="H3007" s="109">
        <v>29</v>
      </c>
      <c r="I3007" s="109">
        <v>1434</v>
      </c>
      <c r="J3007" s="110">
        <v>2229</v>
      </c>
    </row>
    <row r="3008" spans="1:10">
      <c r="A3008" s="103" t="s">
        <v>4921</v>
      </c>
      <c r="B3008" s="124" t="s">
        <v>4922</v>
      </c>
      <c r="C3008" s="110">
        <v>17549</v>
      </c>
      <c r="D3008" s="109" t="s">
        <v>120</v>
      </c>
      <c r="E3008" s="109">
        <v>175</v>
      </c>
      <c r="F3008" s="110">
        <v>4847</v>
      </c>
      <c r="G3008" s="109" t="s">
        <v>120</v>
      </c>
      <c r="H3008" s="109">
        <v>28</v>
      </c>
      <c r="I3008" s="109">
        <v>482</v>
      </c>
      <c r="J3008" s="110">
        <v>1781</v>
      </c>
    </row>
    <row r="3009" spans="1:10">
      <c r="A3009" s="103" t="s">
        <v>4923</v>
      </c>
      <c r="B3009" s="124" t="s">
        <v>4924</v>
      </c>
      <c r="C3009" s="110">
        <v>11231</v>
      </c>
      <c r="D3009" s="109" t="s">
        <v>120</v>
      </c>
      <c r="E3009" s="109">
        <v>112</v>
      </c>
      <c r="F3009" s="110">
        <v>3973</v>
      </c>
      <c r="G3009" s="109" t="s">
        <v>120</v>
      </c>
      <c r="H3009" s="109">
        <v>35</v>
      </c>
      <c r="I3009" s="109">
        <v>1169</v>
      </c>
      <c r="J3009" s="110">
        <v>1999</v>
      </c>
    </row>
    <row r="3010" spans="1:10">
      <c r="A3010" s="103" t="s">
        <v>4925</v>
      </c>
      <c r="B3010" s="124" t="s">
        <v>4926</v>
      </c>
      <c r="C3010" s="110">
        <v>33187</v>
      </c>
      <c r="D3010" s="109" t="s">
        <v>120</v>
      </c>
      <c r="E3010" s="109">
        <v>332</v>
      </c>
      <c r="F3010" s="110">
        <v>4271</v>
      </c>
      <c r="G3010" s="109" t="s">
        <v>120</v>
      </c>
      <c r="H3010" s="109">
        <v>13</v>
      </c>
      <c r="I3010" s="109">
        <v>65</v>
      </c>
      <c r="J3010" s="110">
        <v>1935</v>
      </c>
    </row>
    <row r="3011" spans="1:10" s="119" customFormat="1">
      <c r="A3011" s="123" t="s">
        <v>120</v>
      </c>
      <c r="B3011" s="275" t="s">
        <v>947</v>
      </c>
      <c r="C3011" s="276"/>
      <c r="D3011" s="276"/>
      <c r="E3011" s="276"/>
      <c r="F3011" s="276"/>
      <c r="G3011" s="276"/>
      <c r="H3011" s="276"/>
      <c r="I3011" s="276"/>
      <c r="J3011" s="276"/>
    </row>
    <row r="3012" spans="1:10">
      <c r="A3012" s="103" t="s">
        <v>4927</v>
      </c>
      <c r="B3012" s="124" t="s">
        <v>4928</v>
      </c>
      <c r="C3012" s="110">
        <v>37658</v>
      </c>
      <c r="D3012" s="109" t="s">
        <v>120</v>
      </c>
      <c r="E3012" s="109">
        <v>377</v>
      </c>
      <c r="F3012" s="110">
        <v>4932</v>
      </c>
      <c r="G3012" s="109" t="s">
        <v>120</v>
      </c>
      <c r="H3012" s="109">
        <v>13</v>
      </c>
      <c r="I3012" s="109">
        <v>33</v>
      </c>
      <c r="J3012" s="110">
        <v>1753</v>
      </c>
    </row>
    <row r="3013" spans="1:10">
      <c r="A3013" s="103" t="s">
        <v>4929</v>
      </c>
      <c r="B3013" s="124" t="s">
        <v>932</v>
      </c>
      <c r="C3013" s="110">
        <v>428</v>
      </c>
      <c r="D3013" s="109" t="s">
        <v>120</v>
      </c>
      <c r="E3013" s="109">
        <v>4</v>
      </c>
      <c r="F3013" s="110">
        <v>1848</v>
      </c>
      <c r="G3013" s="109" t="s">
        <v>120</v>
      </c>
      <c r="H3013" s="109">
        <v>432</v>
      </c>
      <c r="I3013" s="109" t="s">
        <v>122</v>
      </c>
      <c r="J3013" s="110" t="s">
        <v>122</v>
      </c>
    </row>
    <row r="3014" spans="1:10">
      <c r="A3014" s="103" t="s">
        <v>4930</v>
      </c>
      <c r="B3014" s="124" t="s">
        <v>934</v>
      </c>
      <c r="C3014" s="110">
        <v>37230</v>
      </c>
      <c r="D3014" s="109" t="s">
        <v>120</v>
      </c>
      <c r="E3014" s="109">
        <v>373</v>
      </c>
      <c r="F3014" s="110">
        <v>3084</v>
      </c>
      <c r="G3014" s="109" t="s">
        <v>120</v>
      </c>
      <c r="H3014" s="109">
        <v>8</v>
      </c>
      <c r="I3014" s="109" t="s">
        <v>122</v>
      </c>
      <c r="J3014" s="110" t="s">
        <v>122</v>
      </c>
    </row>
    <row r="3015" spans="1:10">
      <c r="A3015" s="103" t="s">
        <v>4931</v>
      </c>
      <c r="B3015" s="124" t="s">
        <v>4932</v>
      </c>
      <c r="C3015" s="110">
        <v>12719</v>
      </c>
      <c r="D3015" s="109" t="s">
        <v>120</v>
      </c>
      <c r="E3015" s="109">
        <v>127</v>
      </c>
      <c r="F3015" s="110">
        <v>4750</v>
      </c>
      <c r="G3015" s="109" t="s">
        <v>120</v>
      </c>
      <c r="H3015" s="109">
        <v>37</v>
      </c>
      <c r="I3015" s="109">
        <v>952</v>
      </c>
      <c r="J3015" s="110">
        <v>1806</v>
      </c>
    </row>
    <row r="3016" spans="1:10">
      <c r="A3016" s="103" t="s">
        <v>4933</v>
      </c>
      <c r="B3016" s="124" t="s">
        <v>932</v>
      </c>
      <c r="C3016" s="110">
        <v>2368</v>
      </c>
      <c r="D3016" s="109" t="s">
        <v>120</v>
      </c>
      <c r="E3016" s="109">
        <v>24</v>
      </c>
      <c r="F3016" s="110">
        <v>2744</v>
      </c>
      <c r="G3016" s="109" t="s">
        <v>120</v>
      </c>
      <c r="H3016" s="109">
        <v>116</v>
      </c>
      <c r="I3016" s="109" t="s">
        <v>122</v>
      </c>
      <c r="J3016" s="110" t="s">
        <v>122</v>
      </c>
    </row>
    <row r="3017" spans="1:10">
      <c r="A3017" s="103" t="s">
        <v>4934</v>
      </c>
      <c r="B3017" s="124" t="s">
        <v>934</v>
      </c>
      <c r="C3017" s="110">
        <v>10351</v>
      </c>
      <c r="D3017" s="109" t="s">
        <v>120</v>
      </c>
      <c r="E3017" s="109">
        <v>103</v>
      </c>
      <c r="F3017" s="110">
        <v>2006</v>
      </c>
      <c r="G3017" s="109" t="s">
        <v>120</v>
      </c>
      <c r="H3017" s="109">
        <v>19</v>
      </c>
      <c r="I3017" s="109" t="s">
        <v>122</v>
      </c>
      <c r="J3017" s="110" t="s">
        <v>122</v>
      </c>
    </row>
    <row r="3018" spans="1:10">
      <c r="A3018" s="103" t="s">
        <v>4935</v>
      </c>
      <c r="B3018" s="124" t="s">
        <v>4936</v>
      </c>
      <c r="C3018" s="110">
        <v>16155</v>
      </c>
      <c r="D3018" s="109" t="s">
        <v>120</v>
      </c>
      <c r="E3018" s="109">
        <v>162</v>
      </c>
      <c r="F3018" s="110">
        <v>14874</v>
      </c>
      <c r="G3018" s="109" t="s">
        <v>120</v>
      </c>
      <c r="H3018" s="109">
        <v>92</v>
      </c>
      <c r="I3018" s="109">
        <v>583</v>
      </c>
      <c r="J3018" s="110">
        <v>523</v>
      </c>
    </row>
    <row r="3019" spans="1:10">
      <c r="A3019" s="103" t="s">
        <v>4937</v>
      </c>
      <c r="B3019" s="124" t="s">
        <v>932</v>
      </c>
      <c r="C3019" s="110">
        <v>766</v>
      </c>
      <c r="D3019" s="109" t="s">
        <v>120</v>
      </c>
      <c r="E3019" s="109">
        <v>8</v>
      </c>
      <c r="F3019" s="110">
        <v>9984</v>
      </c>
      <c r="G3019" s="109" t="s">
        <v>120</v>
      </c>
      <c r="H3019" s="109">
        <v>1303</v>
      </c>
      <c r="I3019" s="109" t="s">
        <v>122</v>
      </c>
      <c r="J3019" s="110" t="s">
        <v>122</v>
      </c>
    </row>
    <row r="3020" spans="1:10">
      <c r="A3020" s="103" t="s">
        <v>4938</v>
      </c>
      <c r="B3020" s="124" t="s">
        <v>934</v>
      </c>
      <c r="C3020" s="110">
        <v>15389</v>
      </c>
      <c r="D3020" s="109" t="s">
        <v>120</v>
      </c>
      <c r="E3020" s="109">
        <v>154</v>
      </c>
      <c r="F3020" s="110">
        <v>4890</v>
      </c>
      <c r="G3020" s="109" t="s">
        <v>120</v>
      </c>
      <c r="H3020" s="109">
        <v>32</v>
      </c>
      <c r="I3020" s="109" t="s">
        <v>122</v>
      </c>
      <c r="J3020" s="110" t="s">
        <v>122</v>
      </c>
    </row>
    <row r="3021" spans="1:10" s="119" customFormat="1">
      <c r="A3021" s="123" t="s">
        <v>120</v>
      </c>
      <c r="B3021" s="273" t="s">
        <v>4939</v>
      </c>
      <c r="C3021" s="274"/>
      <c r="D3021" s="274"/>
      <c r="E3021" s="274"/>
      <c r="F3021" s="274"/>
      <c r="G3021" s="274"/>
      <c r="H3021" s="274"/>
      <c r="I3021" s="274"/>
      <c r="J3021" s="274"/>
    </row>
    <row r="3022" spans="1:10" s="119" customFormat="1">
      <c r="A3022" s="123" t="s">
        <v>120</v>
      </c>
      <c r="B3022" s="275" t="s">
        <v>1019</v>
      </c>
      <c r="C3022" s="276"/>
      <c r="D3022" s="276"/>
      <c r="E3022" s="276"/>
      <c r="F3022" s="276"/>
      <c r="G3022" s="276"/>
      <c r="H3022" s="276"/>
      <c r="I3022" s="276"/>
      <c r="J3022" s="276"/>
    </row>
    <row r="3023" spans="1:10">
      <c r="A3023" s="103" t="s">
        <v>4940</v>
      </c>
      <c r="B3023" s="124" t="s">
        <v>4941</v>
      </c>
      <c r="C3023" s="110">
        <v>449</v>
      </c>
      <c r="D3023" s="105" t="s">
        <v>1075</v>
      </c>
      <c r="E3023" s="109">
        <v>4</v>
      </c>
      <c r="F3023" s="110">
        <v>5260</v>
      </c>
      <c r="G3023" s="109" t="s">
        <v>120</v>
      </c>
      <c r="H3023" s="109">
        <v>1171</v>
      </c>
      <c r="I3023" s="109">
        <v>2341</v>
      </c>
      <c r="J3023" s="110">
        <v>1676</v>
      </c>
    </row>
    <row r="3024" spans="1:10" s="119" customFormat="1">
      <c r="A3024" s="123" t="s">
        <v>120</v>
      </c>
      <c r="B3024" s="275" t="s">
        <v>943</v>
      </c>
      <c r="C3024" s="276"/>
      <c r="D3024" s="276"/>
      <c r="E3024" s="276"/>
      <c r="F3024" s="276"/>
      <c r="G3024" s="276"/>
      <c r="H3024" s="276"/>
      <c r="I3024" s="276"/>
      <c r="J3024" s="276"/>
    </row>
    <row r="3025" spans="1:10">
      <c r="A3025" s="103" t="s">
        <v>4942</v>
      </c>
      <c r="B3025" s="124" t="s">
        <v>4943</v>
      </c>
      <c r="C3025" s="110">
        <v>32320</v>
      </c>
      <c r="D3025" s="109" t="s">
        <v>120</v>
      </c>
      <c r="E3025" s="109">
        <v>323</v>
      </c>
      <c r="F3025" s="110">
        <v>2694</v>
      </c>
      <c r="G3025" s="109" t="s">
        <v>120</v>
      </c>
      <c r="H3025" s="109">
        <v>8</v>
      </c>
      <c r="I3025" s="109">
        <v>74</v>
      </c>
      <c r="J3025" s="110">
        <v>2236</v>
      </c>
    </row>
    <row r="3026" spans="1:10">
      <c r="A3026" s="103" t="s">
        <v>4944</v>
      </c>
      <c r="B3026" s="124" t="s">
        <v>4945</v>
      </c>
      <c r="C3026" s="110">
        <v>17149</v>
      </c>
      <c r="D3026" s="109" t="s">
        <v>120</v>
      </c>
      <c r="E3026" s="109">
        <v>172</v>
      </c>
      <c r="F3026" s="110">
        <v>3792</v>
      </c>
      <c r="G3026" s="109" t="s">
        <v>120</v>
      </c>
      <c r="H3026" s="109">
        <v>22</v>
      </c>
      <c r="I3026" s="109">
        <v>504</v>
      </c>
      <c r="J3026" s="110">
        <v>2046</v>
      </c>
    </row>
    <row r="3027" spans="1:10">
      <c r="A3027" s="103" t="s">
        <v>4946</v>
      </c>
      <c r="B3027" s="124" t="s">
        <v>4947</v>
      </c>
      <c r="C3027" s="110">
        <v>13859</v>
      </c>
      <c r="D3027" s="109" t="s">
        <v>120</v>
      </c>
      <c r="E3027" s="109">
        <v>139</v>
      </c>
      <c r="F3027" s="110">
        <v>4161</v>
      </c>
      <c r="G3027" s="109" t="s">
        <v>120</v>
      </c>
      <c r="H3027" s="109">
        <v>30</v>
      </c>
      <c r="I3027" s="109">
        <v>797</v>
      </c>
      <c r="J3027" s="110">
        <v>1959</v>
      </c>
    </row>
    <row r="3028" spans="1:10">
      <c r="A3028" s="103" t="s">
        <v>4948</v>
      </c>
      <c r="B3028" s="124" t="s">
        <v>4941</v>
      </c>
      <c r="C3028" s="110">
        <v>21740</v>
      </c>
      <c r="D3028" s="109" t="s">
        <v>120</v>
      </c>
      <c r="E3028" s="109">
        <v>217</v>
      </c>
      <c r="F3028" s="110">
        <v>4007</v>
      </c>
      <c r="G3028" s="109" t="s">
        <v>120</v>
      </c>
      <c r="H3028" s="109">
        <v>18</v>
      </c>
      <c r="I3028" s="109">
        <v>265</v>
      </c>
      <c r="J3028" s="110">
        <v>1991</v>
      </c>
    </row>
    <row r="3029" spans="1:10" s="119" customFormat="1">
      <c r="A3029" s="123" t="s">
        <v>120</v>
      </c>
      <c r="B3029" s="273" t="s">
        <v>4949</v>
      </c>
      <c r="C3029" s="274"/>
      <c r="D3029" s="274"/>
      <c r="E3029" s="274"/>
      <c r="F3029" s="274"/>
      <c r="G3029" s="274"/>
      <c r="H3029" s="274"/>
      <c r="I3029" s="274"/>
      <c r="J3029" s="274"/>
    </row>
    <row r="3030" spans="1:10" s="119" customFormat="1">
      <c r="A3030" s="123" t="s">
        <v>120</v>
      </c>
      <c r="B3030" s="275" t="s">
        <v>1019</v>
      </c>
      <c r="C3030" s="276"/>
      <c r="D3030" s="276"/>
      <c r="E3030" s="276"/>
      <c r="F3030" s="276"/>
      <c r="G3030" s="276"/>
      <c r="H3030" s="276"/>
      <c r="I3030" s="276"/>
      <c r="J3030" s="276"/>
    </row>
    <row r="3031" spans="1:10">
      <c r="A3031" s="103" t="s">
        <v>4950</v>
      </c>
      <c r="B3031" s="124" t="s">
        <v>4951</v>
      </c>
      <c r="C3031" s="110">
        <v>3625</v>
      </c>
      <c r="D3031" s="109" t="s">
        <v>120</v>
      </c>
      <c r="E3031" s="109">
        <v>36</v>
      </c>
      <c r="F3031" s="110">
        <v>14391</v>
      </c>
      <c r="G3031" s="109" t="s">
        <v>120</v>
      </c>
      <c r="H3031" s="109">
        <v>397</v>
      </c>
      <c r="I3031" s="109">
        <v>2117</v>
      </c>
      <c r="J3031" s="110">
        <v>547</v>
      </c>
    </row>
    <row r="3032" spans="1:10" s="119" customFormat="1">
      <c r="A3032" s="123" t="s">
        <v>120</v>
      </c>
      <c r="B3032" s="275" t="s">
        <v>924</v>
      </c>
      <c r="C3032" s="276"/>
      <c r="D3032" s="276"/>
      <c r="E3032" s="276"/>
      <c r="F3032" s="276"/>
      <c r="G3032" s="276"/>
      <c r="H3032" s="276"/>
      <c r="I3032" s="276"/>
      <c r="J3032" s="276"/>
    </row>
    <row r="3033" spans="1:10">
      <c r="A3033" s="103" t="s">
        <v>4952</v>
      </c>
      <c r="B3033" s="124" t="s">
        <v>4953</v>
      </c>
      <c r="C3033" s="110">
        <v>11611</v>
      </c>
      <c r="D3033" s="109" t="s">
        <v>120</v>
      </c>
      <c r="E3033" s="109">
        <v>116</v>
      </c>
      <c r="F3033" s="110">
        <v>2724</v>
      </c>
      <c r="G3033" s="109" t="s">
        <v>120</v>
      </c>
      <c r="H3033" s="109">
        <v>23</v>
      </c>
      <c r="I3033" s="109">
        <v>1111</v>
      </c>
      <c r="J3033" s="110">
        <v>2232</v>
      </c>
    </row>
    <row r="3034" spans="1:10">
      <c r="A3034" s="103" t="s">
        <v>4954</v>
      </c>
      <c r="B3034" s="124" t="s">
        <v>4955</v>
      </c>
      <c r="C3034" s="110">
        <v>20305</v>
      </c>
      <c r="D3034" s="109" t="s">
        <v>120</v>
      </c>
      <c r="E3034" s="109">
        <v>203</v>
      </c>
      <c r="F3034" s="110">
        <v>4169</v>
      </c>
      <c r="G3034" s="109" t="s">
        <v>120</v>
      </c>
      <c r="H3034" s="109">
        <v>21</v>
      </c>
      <c r="I3034" s="109">
        <v>329</v>
      </c>
      <c r="J3034" s="110">
        <v>1957</v>
      </c>
    </row>
    <row r="3035" spans="1:10">
      <c r="A3035" s="103" t="s">
        <v>4956</v>
      </c>
      <c r="B3035" s="124" t="s">
        <v>4957</v>
      </c>
      <c r="C3035" s="110">
        <v>19639</v>
      </c>
      <c r="D3035" s="109" t="s">
        <v>120</v>
      </c>
      <c r="E3035" s="109">
        <v>196</v>
      </c>
      <c r="F3035" s="110">
        <v>2319</v>
      </c>
      <c r="G3035" s="109" t="s">
        <v>120</v>
      </c>
      <c r="H3035" s="109">
        <v>12</v>
      </c>
      <c r="I3035" s="109">
        <v>368</v>
      </c>
      <c r="J3035" s="110">
        <v>2277</v>
      </c>
    </row>
    <row r="3036" spans="1:10">
      <c r="A3036" s="103" t="s">
        <v>4958</v>
      </c>
      <c r="B3036" s="124" t="s">
        <v>4959</v>
      </c>
      <c r="C3036" s="110">
        <v>15145</v>
      </c>
      <c r="D3036" s="109" t="s">
        <v>120</v>
      </c>
      <c r="E3036" s="109">
        <v>151</v>
      </c>
      <c r="F3036" s="110">
        <v>1710</v>
      </c>
      <c r="G3036" s="109" t="s">
        <v>120</v>
      </c>
      <c r="H3036" s="109">
        <v>11</v>
      </c>
      <c r="I3036" s="109">
        <v>660</v>
      </c>
      <c r="J3036" s="110">
        <v>2303</v>
      </c>
    </row>
    <row r="3037" spans="1:10">
      <c r="A3037" s="103" t="s">
        <v>4960</v>
      </c>
      <c r="B3037" s="124" t="s">
        <v>4961</v>
      </c>
      <c r="C3037" s="110">
        <v>21490</v>
      </c>
      <c r="D3037" s="109" t="s">
        <v>120</v>
      </c>
      <c r="E3037" s="109">
        <v>215</v>
      </c>
      <c r="F3037" s="110">
        <v>3793</v>
      </c>
      <c r="G3037" s="109" t="s">
        <v>120</v>
      </c>
      <c r="H3037" s="109">
        <v>18</v>
      </c>
      <c r="I3037" s="109">
        <v>274</v>
      </c>
      <c r="J3037" s="110">
        <v>2045</v>
      </c>
    </row>
    <row r="3038" spans="1:10">
      <c r="A3038" s="103" t="s">
        <v>4962</v>
      </c>
      <c r="B3038" s="124" t="s">
        <v>4963</v>
      </c>
      <c r="C3038" s="110">
        <v>10654</v>
      </c>
      <c r="D3038" s="109" t="s">
        <v>120</v>
      </c>
      <c r="E3038" s="109">
        <v>107</v>
      </c>
      <c r="F3038" s="110">
        <v>2778</v>
      </c>
      <c r="G3038" s="109" t="s">
        <v>120</v>
      </c>
      <c r="H3038" s="109">
        <v>26</v>
      </c>
      <c r="I3038" s="109">
        <v>1280</v>
      </c>
      <c r="J3038" s="110">
        <v>2226</v>
      </c>
    </row>
    <row r="3039" spans="1:10">
      <c r="A3039" s="103" t="s">
        <v>4964</v>
      </c>
      <c r="B3039" s="124" t="s">
        <v>4951</v>
      </c>
      <c r="C3039" s="110">
        <v>22681</v>
      </c>
      <c r="D3039" s="109" t="s">
        <v>120</v>
      </c>
      <c r="E3039" s="109">
        <v>227</v>
      </c>
      <c r="F3039" s="110">
        <v>6087</v>
      </c>
      <c r="G3039" s="109" t="s">
        <v>120</v>
      </c>
      <c r="H3039" s="109">
        <v>27</v>
      </c>
      <c r="I3039" s="109">
        <v>240</v>
      </c>
      <c r="J3039" s="110">
        <v>1485</v>
      </c>
    </row>
    <row r="3040" spans="1:10" s="119" customFormat="1">
      <c r="A3040" s="123" t="s">
        <v>120</v>
      </c>
      <c r="B3040" s="275" t="s">
        <v>929</v>
      </c>
      <c r="C3040" s="276"/>
      <c r="D3040" s="276"/>
      <c r="E3040" s="276"/>
      <c r="F3040" s="276"/>
      <c r="G3040" s="276"/>
      <c r="H3040" s="276"/>
      <c r="I3040" s="276"/>
      <c r="J3040" s="276"/>
    </row>
    <row r="3041" spans="1:10">
      <c r="A3041" s="103" t="s">
        <v>4965</v>
      </c>
      <c r="B3041" s="124" t="s">
        <v>4966</v>
      </c>
      <c r="C3041" s="110">
        <v>20796</v>
      </c>
      <c r="D3041" s="109" t="s">
        <v>120</v>
      </c>
      <c r="E3041" s="109">
        <v>208</v>
      </c>
      <c r="F3041" s="110">
        <v>6222</v>
      </c>
      <c r="G3041" s="109" t="s">
        <v>120</v>
      </c>
      <c r="H3041" s="109">
        <v>30</v>
      </c>
      <c r="I3041" s="109">
        <v>300</v>
      </c>
      <c r="J3041" s="110">
        <v>1458</v>
      </c>
    </row>
    <row r="3042" spans="1:10">
      <c r="A3042" s="103" t="s">
        <v>4967</v>
      </c>
      <c r="B3042" s="124" t="s">
        <v>932</v>
      </c>
      <c r="C3042" s="110">
        <v>1569</v>
      </c>
      <c r="D3042" s="109" t="s">
        <v>120</v>
      </c>
      <c r="E3042" s="109">
        <v>16</v>
      </c>
      <c r="F3042" s="110">
        <v>1965</v>
      </c>
      <c r="G3042" s="109" t="s">
        <v>120</v>
      </c>
      <c r="H3042" s="109">
        <v>125</v>
      </c>
      <c r="I3042" s="109" t="s">
        <v>122</v>
      </c>
      <c r="J3042" s="110" t="s">
        <v>122</v>
      </c>
    </row>
    <row r="3043" spans="1:10">
      <c r="A3043" s="103" t="s">
        <v>4968</v>
      </c>
      <c r="B3043" s="124" t="s">
        <v>934</v>
      </c>
      <c r="C3043" s="110">
        <v>19227</v>
      </c>
      <c r="D3043" s="109" t="s">
        <v>120</v>
      </c>
      <c r="E3043" s="109">
        <v>192</v>
      </c>
      <c r="F3043" s="110">
        <v>4257</v>
      </c>
      <c r="G3043" s="109" t="s">
        <v>120</v>
      </c>
      <c r="H3043" s="109">
        <v>22</v>
      </c>
      <c r="I3043" s="109" t="s">
        <v>122</v>
      </c>
      <c r="J3043" s="110" t="s">
        <v>122</v>
      </c>
    </row>
    <row r="3044" spans="1:10" s="119" customFormat="1">
      <c r="A3044" s="123" t="s">
        <v>120</v>
      </c>
      <c r="B3044" s="273" t="s">
        <v>4969</v>
      </c>
      <c r="C3044" s="274"/>
      <c r="D3044" s="274"/>
      <c r="E3044" s="274"/>
      <c r="F3044" s="274"/>
      <c r="G3044" s="274"/>
      <c r="H3044" s="274"/>
      <c r="I3044" s="274"/>
      <c r="J3044" s="274"/>
    </row>
    <row r="3045" spans="1:10" s="119" customFormat="1">
      <c r="A3045" s="123" t="s">
        <v>120</v>
      </c>
      <c r="B3045" s="275" t="s">
        <v>943</v>
      </c>
      <c r="C3045" s="276"/>
      <c r="D3045" s="276"/>
      <c r="E3045" s="276"/>
      <c r="F3045" s="276"/>
      <c r="G3045" s="276"/>
      <c r="H3045" s="276"/>
      <c r="I3045" s="276"/>
      <c r="J3045" s="276"/>
    </row>
    <row r="3046" spans="1:10">
      <c r="A3046" s="103" t="s">
        <v>4970</v>
      </c>
      <c r="B3046" s="124" t="s">
        <v>4971</v>
      </c>
      <c r="C3046" s="110">
        <v>20781</v>
      </c>
      <c r="D3046" s="109" t="s">
        <v>120</v>
      </c>
      <c r="E3046" s="109">
        <v>208</v>
      </c>
      <c r="F3046" s="110">
        <v>4098</v>
      </c>
      <c r="G3046" s="109" t="s">
        <v>120</v>
      </c>
      <c r="H3046" s="109">
        <v>20</v>
      </c>
      <c r="I3046" s="109">
        <v>303</v>
      </c>
      <c r="J3046" s="110">
        <v>1973</v>
      </c>
    </row>
    <row r="3047" spans="1:10">
      <c r="A3047" s="103" t="s">
        <v>4972</v>
      </c>
      <c r="B3047" s="124" t="s">
        <v>4973</v>
      </c>
      <c r="C3047" s="110">
        <v>11735</v>
      </c>
      <c r="D3047" s="109" t="s">
        <v>120</v>
      </c>
      <c r="E3047" s="109">
        <v>117</v>
      </c>
      <c r="F3047" s="110">
        <v>3202</v>
      </c>
      <c r="G3047" s="109" t="s">
        <v>120</v>
      </c>
      <c r="H3047" s="109">
        <v>27</v>
      </c>
      <c r="I3047" s="109">
        <v>1091</v>
      </c>
      <c r="J3047" s="110">
        <v>2162</v>
      </c>
    </row>
    <row r="3048" spans="1:10">
      <c r="A3048" s="103" t="s">
        <v>4974</v>
      </c>
      <c r="B3048" s="124" t="s">
        <v>4975</v>
      </c>
      <c r="C3048" s="110">
        <v>13336</v>
      </c>
      <c r="D3048" s="109" t="s">
        <v>120</v>
      </c>
      <c r="E3048" s="109">
        <v>133</v>
      </c>
      <c r="F3048" s="110">
        <v>3927</v>
      </c>
      <c r="G3048" s="109" t="s">
        <v>120</v>
      </c>
      <c r="H3048" s="109">
        <v>29</v>
      </c>
      <c r="I3048" s="109">
        <v>865</v>
      </c>
      <c r="J3048" s="110">
        <v>2007</v>
      </c>
    </row>
    <row r="3049" spans="1:10">
      <c r="A3049" s="103" t="s">
        <v>4976</v>
      </c>
      <c r="B3049" s="124" t="s">
        <v>4977</v>
      </c>
      <c r="C3049" s="110">
        <v>12114</v>
      </c>
      <c r="D3049" s="109" t="s">
        <v>120</v>
      </c>
      <c r="E3049" s="109">
        <v>121</v>
      </c>
      <c r="F3049" s="110">
        <v>2618</v>
      </c>
      <c r="G3049" s="109" t="s">
        <v>120</v>
      </c>
      <c r="H3049" s="109">
        <v>22</v>
      </c>
      <c r="I3049" s="109">
        <v>1038</v>
      </c>
      <c r="J3049" s="110">
        <v>2244</v>
      </c>
    </row>
    <row r="3050" spans="1:10">
      <c r="A3050" s="103" t="s">
        <v>4978</v>
      </c>
      <c r="B3050" s="124" t="s">
        <v>4979</v>
      </c>
      <c r="C3050" s="110">
        <v>17409</v>
      </c>
      <c r="D3050" s="109" t="s">
        <v>120</v>
      </c>
      <c r="E3050" s="109">
        <v>174</v>
      </c>
      <c r="F3050" s="110">
        <v>3407</v>
      </c>
      <c r="G3050" s="109" t="s">
        <v>120</v>
      </c>
      <c r="H3050" s="109">
        <v>20</v>
      </c>
      <c r="I3050" s="109">
        <v>492</v>
      </c>
      <c r="J3050" s="110">
        <v>2125</v>
      </c>
    </row>
    <row r="3051" spans="1:10">
      <c r="A3051" s="103" t="s">
        <v>4980</v>
      </c>
      <c r="B3051" s="124" t="s">
        <v>4981</v>
      </c>
      <c r="C3051" s="110">
        <v>30161</v>
      </c>
      <c r="D3051" s="109" t="s">
        <v>120</v>
      </c>
      <c r="E3051" s="109">
        <v>302</v>
      </c>
      <c r="F3051" s="110">
        <v>2840</v>
      </c>
      <c r="G3051" s="109" t="s">
        <v>120</v>
      </c>
      <c r="H3051" s="109">
        <v>9</v>
      </c>
      <c r="I3051" s="109">
        <v>95</v>
      </c>
      <c r="J3051" s="110">
        <v>2219</v>
      </c>
    </row>
    <row r="3052" spans="1:10" s="119" customFormat="1">
      <c r="A3052" s="123" t="s">
        <v>120</v>
      </c>
      <c r="B3052" s="275" t="s">
        <v>947</v>
      </c>
      <c r="C3052" s="276"/>
      <c r="D3052" s="276"/>
      <c r="E3052" s="276"/>
      <c r="F3052" s="276"/>
      <c r="G3052" s="276"/>
      <c r="H3052" s="276"/>
      <c r="I3052" s="276"/>
      <c r="J3052" s="276"/>
    </row>
    <row r="3053" spans="1:10">
      <c r="A3053" s="103" t="s">
        <v>4982</v>
      </c>
      <c r="B3053" s="124" t="s">
        <v>4983</v>
      </c>
      <c r="C3053" s="110">
        <v>26384</v>
      </c>
      <c r="D3053" s="109" t="s">
        <v>120</v>
      </c>
      <c r="E3053" s="109">
        <v>264</v>
      </c>
      <c r="F3053" s="110">
        <v>11336</v>
      </c>
      <c r="G3053" s="109" t="s">
        <v>120</v>
      </c>
      <c r="H3053" s="109">
        <v>43</v>
      </c>
      <c r="I3053" s="109">
        <v>146</v>
      </c>
      <c r="J3053" s="110">
        <v>755</v>
      </c>
    </row>
    <row r="3054" spans="1:10">
      <c r="A3054" s="103" t="s">
        <v>4984</v>
      </c>
      <c r="B3054" s="124" t="s">
        <v>932</v>
      </c>
      <c r="C3054" s="110">
        <v>2264</v>
      </c>
      <c r="D3054" s="109" t="s">
        <v>120</v>
      </c>
      <c r="E3054" s="109">
        <v>23</v>
      </c>
      <c r="F3054" s="110">
        <v>5502</v>
      </c>
      <c r="G3054" s="109" t="s">
        <v>120</v>
      </c>
      <c r="H3054" s="109">
        <v>243</v>
      </c>
      <c r="I3054" s="109" t="s">
        <v>122</v>
      </c>
      <c r="J3054" s="110" t="s">
        <v>122</v>
      </c>
    </row>
    <row r="3055" spans="1:10">
      <c r="A3055" s="103" t="s">
        <v>4985</v>
      </c>
      <c r="B3055" s="124" t="s">
        <v>934</v>
      </c>
      <c r="C3055" s="110">
        <v>24120</v>
      </c>
      <c r="D3055" s="109" t="s">
        <v>120</v>
      </c>
      <c r="E3055" s="109">
        <v>241</v>
      </c>
      <c r="F3055" s="110">
        <v>5834</v>
      </c>
      <c r="G3055" s="109" t="s">
        <v>120</v>
      </c>
      <c r="H3055" s="109">
        <v>24</v>
      </c>
      <c r="I3055" s="109" t="s">
        <v>122</v>
      </c>
      <c r="J3055" s="110" t="s">
        <v>122</v>
      </c>
    </row>
    <row r="3056" spans="1:10">
      <c r="A3056" s="103" t="s">
        <v>4986</v>
      </c>
      <c r="B3056" s="124" t="s">
        <v>4987</v>
      </c>
      <c r="C3056" s="110">
        <v>16604</v>
      </c>
      <c r="D3056" s="109" t="s">
        <v>120</v>
      </c>
      <c r="E3056" s="109">
        <v>166</v>
      </c>
      <c r="F3056" s="110">
        <v>3037</v>
      </c>
      <c r="G3056" s="109" t="s">
        <v>120</v>
      </c>
      <c r="H3056" s="109">
        <v>18</v>
      </c>
      <c r="I3056" s="109">
        <v>550</v>
      </c>
      <c r="J3056" s="110">
        <v>2192</v>
      </c>
    </row>
    <row r="3057" spans="1:10">
      <c r="A3057" s="103" t="s">
        <v>4988</v>
      </c>
      <c r="B3057" s="124" t="s">
        <v>932</v>
      </c>
      <c r="C3057" s="110">
        <v>383</v>
      </c>
      <c r="D3057" s="109" t="s">
        <v>120</v>
      </c>
      <c r="E3057" s="109">
        <v>4</v>
      </c>
      <c r="F3057" s="110">
        <v>2372</v>
      </c>
      <c r="G3057" s="109" t="s">
        <v>120</v>
      </c>
      <c r="H3057" s="109">
        <v>619</v>
      </c>
      <c r="I3057" s="109" t="s">
        <v>122</v>
      </c>
      <c r="J3057" s="110" t="s">
        <v>122</v>
      </c>
    </row>
    <row r="3058" spans="1:10">
      <c r="A3058" s="103" t="s">
        <v>4989</v>
      </c>
      <c r="B3058" s="124" t="s">
        <v>934</v>
      </c>
      <c r="C3058" s="110">
        <v>16221</v>
      </c>
      <c r="D3058" s="109" t="s">
        <v>120</v>
      </c>
      <c r="E3058" s="109">
        <v>162</v>
      </c>
      <c r="F3058" s="110">
        <v>665</v>
      </c>
      <c r="G3058" s="109" t="s">
        <v>120</v>
      </c>
      <c r="H3058" s="109">
        <v>4</v>
      </c>
      <c r="I3058" s="109" t="s">
        <v>122</v>
      </c>
      <c r="J3058" s="110" t="s">
        <v>122</v>
      </c>
    </row>
    <row r="3059" spans="1:10">
      <c r="A3059" s="103" t="s">
        <v>4990</v>
      </c>
      <c r="B3059" s="124" t="s">
        <v>4991</v>
      </c>
      <c r="C3059" s="110">
        <v>31356</v>
      </c>
      <c r="D3059" s="109" t="s">
        <v>120</v>
      </c>
      <c r="E3059" s="109">
        <v>314</v>
      </c>
      <c r="F3059" s="110">
        <v>25352</v>
      </c>
      <c r="G3059" s="109" t="s">
        <v>120</v>
      </c>
      <c r="H3059" s="109">
        <v>81</v>
      </c>
      <c r="I3059" s="109">
        <v>85</v>
      </c>
      <c r="J3059" s="110">
        <v>244</v>
      </c>
    </row>
    <row r="3060" spans="1:10">
      <c r="A3060" s="103" t="s">
        <v>4992</v>
      </c>
      <c r="B3060" s="124" t="s">
        <v>932</v>
      </c>
      <c r="C3060" s="110">
        <v>1859</v>
      </c>
      <c r="D3060" s="109" t="s">
        <v>120</v>
      </c>
      <c r="E3060" s="109">
        <v>19</v>
      </c>
      <c r="F3060" s="110">
        <v>18063</v>
      </c>
      <c r="G3060" s="109" t="s">
        <v>120</v>
      </c>
      <c r="H3060" s="109">
        <v>972</v>
      </c>
      <c r="I3060" s="109" t="s">
        <v>122</v>
      </c>
      <c r="J3060" s="110" t="s">
        <v>122</v>
      </c>
    </row>
    <row r="3061" spans="1:10">
      <c r="A3061" s="103" t="s">
        <v>4993</v>
      </c>
      <c r="B3061" s="124" t="s">
        <v>934</v>
      </c>
      <c r="C3061" s="110">
        <v>29497</v>
      </c>
      <c r="D3061" s="109" t="s">
        <v>120</v>
      </c>
      <c r="E3061" s="109">
        <v>295</v>
      </c>
      <c r="F3061" s="110">
        <v>7289</v>
      </c>
      <c r="G3061" s="109" t="s">
        <v>120</v>
      </c>
      <c r="H3061" s="109">
        <v>25</v>
      </c>
      <c r="I3061" s="109" t="s">
        <v>122</v>
      </c>
      <c r="J3061" s="110" t="s">
        <v>122</v>
      </c>
    </row>
    <row r="3062" spans="1:10">
      <c r="A3062" s="103" t="s">
        <v>4994</v>
      </c>
      <c r="B3062" s="124" t="s">
        <v>4995</v>
      </c>
      <c r="C3062" s="110">
        <v>25570</v>
      </c>
      <c r="D3062" s="109" t="s">
        <v>120</v>
      </c>
      <c r="E3062" s="109">
        <v>256</v>
      </c>
      <c r="F3062" s="110">
        <v>6869</v>
      </c>
      <c r="G3062" s="109" t="s">
        <v>120</v>
      </c>
      <c r="H3062" s="109">
        <v>27</v>
      </c>
      <c r="I3062" s="109">
        <v>168</v>
      </c>
      <c r="J3062" s="110">
        <v>1325</v>
      </c>
    </row>
    <row r="3063" spans="1:10">
      <c r="A3063" s="103" t="s">
        <v>4996</v>
      </c>
      <c r="B3063" s="124" t="s">
        <v>932</v>
      </c>
      <c r="C3063" s="110">
        <v>2595</v>
      </c>
      <c r="D3063" s="109" t="s">
        <v>120</v>
      </c>
      <c r="E3063" s="109">
        <v>26</v>
      </c>
      <c r="F3063" s="110">
        <v>2178</v>
      </c>
      <c r="G3063" s="109" t="s">
        <v>120</v>
      </c>
      <c r="H3063" s="109">
        <v>84</v>
      </c>
      <c r="I3063" s="109" t="s">
        <v>122</v>
      </c>
      <c r="J3063" s="110" t="s">
        <v>122</v>
      </c>
    </row>
    <row r="3064" spans="1:10">
      <c r="A3064" s="103" t="s">
        <v>4997</v>
      </c>
      <c r="B3064" s="124" t="s">
        <v>934</v>
      </c>
      <c r="C3064" s="110">
        <v>22975</v>
      </c>
      <c r="D3064" s="109" t="s">
        <v>120</v>
      </c>
      <c r="E3064" s="109">
        <v>230</v>
      </c>
      <c r="F3064" s="110">
        <v>4691</v>
      </c>
      <c r="G3064" s="109" t="s">
        <v>120</v>
      </c>
      <c r="H3064" s="109">
        <v>20</v>
      </c>
      <c r="I3064" s="109" t="s">
        <v>122</v>
      </c>
      <c r="J3064" s="110" t="s">
        <v>122</v>
      </c>
    </row>
    <row r="3065" spans="1:10" s="119" customFormat="1">
      <c r="A3065" s="123" t="s">
        <v>120</v>
      </c>
      <c r="B3065" s="273" t="s">
        <v>4998</v>
      </c>
      <c r="C3065" s="274"/>
      <c r="D3065" s="274"/>
      <c r="E3065" s="274"/>
      <c r="F3065" s="274"/>
      <c r="G3065" s="274"/>
      <c r="H3065" s="274"/>
      <c r="I3065" s="274"/>
      <c r="J3065" s="274"/>
    </row>
    <row r="3066" spans="1:10" s="119" customFormat="1">
      <c r="A3066" s="123" t="s">
        <v>120</v>
      </c>
      <c r="B3066" s="275" t="s">
        <v>943</v>
      </c>
      <c r="C3066" s="276"/>
      <c r="D3066" s="276"/>
      <c r="E3066" s="276"/>
      <c r="F3066" s="276"/>
      <c r="G3066" s="276"/>
      <c r="H3066" s="276"/>
      <c r="I3066" s="276"/>
      <c r="J3066" s="276"/>
    </row>
    <row r="3067" spans="1:10">
      <c r="A3067" s="103" t="s">
        <v>4999</v>
      </c>
      <c r="B3067" s="124" t="s">
        <v>5000</v>
      </c>
      <c r="C3067" s="110">
        <v>12256</v>
      </c>
      <c r="D3067" s="109" t="s">
        <v>120</v>
      </c>
      <c r="E3067" s="109">
        <v>123</v>
      </c>
      <c r="F3067" s="110">
        <v>3104</v>
      </c>
      <c r="G3067" s="109" t="s">
        <v>120</v>
      </c>
      <c r="H3067" s="109">
        <v>25</v>
      </c>
      <c r="I3067" s="109">
        <v>1014</v>
      </c>
      <c r="J3067" s="110">
        <v>2184</v>
      </c>
    </row>
    <row r="3068" spans="1:10">
      <c r="A3068" s="103" t="s">
        <v>5001</v>
      </c>
      <c r="B3068" s="124" t="s">
        <v>5002</v>
      </c>
      <c r="C3068" s="110">
        <v>15081</v>
      </c>
      <c r="D3068" s="109" t="s">
        <v>120</v>
      </c>
      <c r="E3068" s="109">
        <v>151</v>
      </c>
      <c r="F3068" s="110">
        <v>4292</v>
      </c>
      <c r="G3068" s="109" t="s">
        <v>120</v>
      </c>
      <c r="H3068" s="109">
        <v>28</v>
      </c>
      <c r="I3068" s="109">
        <v>670</v>
      </c>
      <c r="J3068" s="110">
        <v>1926</v>
      </c>
    </row>
    <row r="3069" spans="1:10">
      <c r="A3069" s="103" t="s">
        <v>5003</v>
      </c>
      <c r="B3069" s="124" t="s">
        <v>5004</v>
      </c>
      <c r="C3069" s="110">
        <v>13137</v>
      </c>
      <c r="D3069" s="109" t="s">
        <v>120</v>
      </c>
      <c r="E3069" s="109">
        <v>131</v>
      </c>
      <c r="F3069" s="110">
        <v>3149</v>
      </c>
      <c r="G3069" s="109" t="s">
        <v>120</v>
      </c>
      <c r="H3069" s="109">
        <v>24</v>
      </c>
      <c r="I3069" s="109">
        <v>893</v>
      </c>
      <c r="J3069" s="110">
        <v>2174</v>
      </c>
    </row>
    <row r="3070" spans="1:10">
      <c r="A3070" s="103" t="s">
        <v>5005</v>
      </c>
      <c r="B3070" s="124" t="s">
        <v>5006</v>
      </c>
      <c r="C3070" s="110">
        <v>12362</v>
      </c>
      <c r="D3070" s="109" t="s">
        <v>120</v>
      </c>
      <c r="E3070" s="109">
        <v>124</v>
      </c>
      <c r="F3070" s="110">
        <v>2919</v>
      </c>
      <c r="G3070" s="109" t="s">
        <v>120</v>
      </c>
      <c r="H3070" s="109">
        <v>24</v>
      </c>
      <c r="I3070" s="109">
        <v>1004</v>
      </c>
      <c r="J3070" s="110">
        <v>2209</v>
      </c>
    </row>
    <row r="3071" spans="1:10">
      <c r="A3071" s="103" t="s">
        <v>5007</v>
      </c>
      <c r="B3071" s="124" t="s">
        <v>5008</v>
      </c>
      <c r="C3071" s="110">
        <v>14224</v>
      </c>
      <c r="D3071" s="109" t="s">
        <v>120</v>
      </c>
      <c r="E3071" s="109">
        <v>142</v>
      </c>
      <c r="F3071" s="110">
        <v>5907</v>
      </c>
      <c r="G3071" s="109" t="s">
        <v>120</v>
      </c>
      <c r="H3071" s="109">
        <v>42</v>
      </c>
      <c r="I3071" s="109">
        <v>756</v>
      </c>
      <c r="J3071" s="110">
        <v>1531</v>
      </c>
    </row>
    <row r="3072" spans="1:10">
      <c r="A3072" s="103" t="s">
        <v>5009</v>
      </c>
      <c r="B3072" s="124" t="s">
        <v>5010</v>
      </c>
      <c r="C3072" s="110">
        <v>10346</v>
      </c>
      <c r="D3072" s="109" t="s">
        <v>120</v>
      </c>
      <c r="E3072" s="109">
        <v>103</v>
      </c>
      <c r="F3072" s="110">
        <v>2322</v>
      </c>
      <c r="G3072" s="109" t="s">
        <v>120</v>
      </c>
      <c r="H3072" s="109">
        <v>22</v>
      </c>
      <c r="I3072" s="109">
        <v>1330</v>
      </c>
      <c r="J3072" s="110">
        <v>2275</v>
      </c>
    </row>
    <row r="3073" spans="1:10">
      <c r="A3073" s="103" t="s">
        <v>5011</v>
      </c>
      <c r="B3073" s="124" t="s">
        <v>5012</v>
      </c>
      <c r="C3073" s="110">
        <v>26461</v>
      </c>
      <c r="D3073" s="109" t="s">
        <v>120</v>
      </c>
      <c r="E3073" s="109">
        <v>265</v>
      </c>
      <c r="F3073" s="110">
        <v>7739</v>
      </c>
      <c r="G3073" s="109" t="s">
        <v>120</v>
      </c>
      <c r="H3073" s="109">
        <v>29</v>
      </c>
      <c r="I3073" s="109">
        <v>144</v>
      </c>
      <c r="J3073" s="110">
        <v>1162</v>
      </c>
    </row>
    <row r="3074" spans="1:10">
      <c r="A3074" s="103" t="s">
        <v>5013</v>
      </c>
      <c r="B3074" s="124" t="s">
        <v>5014</v>
      </c>
      <c r="C3074" s="110">
        <v>15643</v>
      </c>
      <c r="D3074" s="109" t="s">
        <v>120</v>
      </c>
      <c r="E3074" s="109">
        <v>156</v>
      </c>
      <c r="F3074" s="110">
        <v>3901</v>
      </c>
      <c r="G3074" s="109" t="s">
        <v>120</v>
      </c>
      <c r="H3074" s="109">
        <v>25</v>
      </c>
      <c r="I3074" s="109">
        <v>622</v>
      </c>
      <c r="J3074" s="110">
        <v>2012</v>
      </c>
    </row>
    <row r="3075" spans="1:10">
      <c r="A3075" s="103" t="s">
        <v>5015</v>
      </c>
      <c r="B3075" s="124" t="s">
        <v>5016</v>
      </c>
      <c r="C3075" s="110">
        <v>11190</v>
      </c>
      <c r="D3075" s="109" t="s">
        <v>120</v>
      </c>
      <c r="E3075" s="109">
        <v>112</v>
      </c>
      <c r="F3075" s="110">
        <v>2341</v>
      </c>
      <c r="G3075" s="109" t="s">
        <v>120</v>
      </c>
      <c r="H3075" s="109">
        <v>21</v>
      </c>
      <c r="I3075" s="109">
        <v>1179</v>
      </c>
      <c r="J3075" s="110">
        <v>2273</v>
      </c>
    </row>
    <row r="3076" spans="1:10" s="119" customFormat="1">
      <c r="A3076" s="123" t="s">
        <v>120</v>
      </c>
      <c r="B3076" s="273" t="s">
        <v>5017</v>
      </c>
      <c r="C3076" s="274"/>
      <c r="D3076" s="274"/>
      <c r="E3076" s="274"/>
      <c r="F3076" s="274"/>
      <c r="G3076" s="274"/>
      <c r="H3076" s="274"/>
      <c r="I3076" s="274"/>
      <c r="J3076" s="274"/>
    </row>
    <row r="3077" spans="1:10" s="119" customFormat="1">
      <c r="A3077" s="123" t="s">
        <v>120</v>
      </c>
      <c r="B3077" s="275" t="s">
        <v>922</v>
      </c>
      <c r="C3077" s="276"/>
      <c r="D3077" s="276"/>
      <c r="E3077" s="276"/>
      <c r="F3077" s="276"/>
      <c r="G3077" s="276"/>
      <c r="H3077" s="276"/>
      <c r="I3077" s="276"/>
      <c r="J3077" s="276"/>
    </row>
    <row r="3078" spans="1:10">
      <c r="A3078" s="103" t="s">
        <v>5018</v>
      </c>
      <c r="B3078" s="124" t="s">
        <v>5019</v>
      </c>
      <c r="C3078" s="110">
        <v>1524</v>
      </c>
      <c r="D3078" s="109" t="s">
        <v>120</v>
      </c>
      <c r="E3078" s="109">
        <v>15</v>
      </c>
      <c r="F3078" s="110">
        <v>9341</v>
      </c>
      <c r="G3078" s="109" t="s">
        <v>120</v>
      </c>
      <c r="H3078" s="109">
        <v>613</v>
      </c>
      <c r="I3078" s="109">
        <v>2279</v>
      </c>
      <c r="J3078" s="110">
        <v>936</v>
      </c>
    </row>
    <row r="3079" spans="1:10" s="119" customFormat="1">
      <c r="A3079" s="123" t="s">
        <v>120</v>
      </c>
      <c r="B3079" s="275" t="s">
        <v>924</v>
      </c>
      <c r="C3079" s="276"/>
      <c r="D3079" s="276"/>
      <c r="E3079" s="276"/>
      <c r="F3079" s="276"/>
      <c r="G3079" s="276"/>
      <c r="H3079" s="276"/>
      <c r="I3079" s="276"/>
      <c r="J3079" s="276"/>
    </row>
    <row r="3080" spans="1:10">
      <c r="A3080" s="103" t="s">
        <v>5020</v>
      </c>
      <c r="B3080" s="124" t="s">
        <v>5021</v>
      </c>
      <c r="C3080" s="110">
        <v>12385</v>
      </c>
      <c r="D3080" s="109" t="s">
        <v>120</v>
      </c>
      <c r="E3080" s="109">
        <v>124</v>
      </c>
      <c r="F3080" s="110">
        <v>4346</v>
      </c>
      <c r="G3080" s="109" t="s">
        <v>120</v>
      </c>
      <c r="H3080" s="109">
        <v>35</v>
      </c>
      <c r="I3080" s="109">
        <v>998</v>
      </c>
      <c r="J3080" s="110">
        <v>1909</v>
      </c>
    </row>
    <row r="3081" spans="1:10">
      <c r="A3081" s="103" t="s">
        <v>5022</v>
      </c>
      <c r="B3081" s="124" t="s">
        <v>5023</v>
      </c>
      <c r="C3081" s="110">
        <v>11942</v>
      </c>
      <c r="D3081" s="109" t="s">
        <v>120</v>
      </c>
      <c r="E3081" s="109">
        <v>119</v>
      </c>
      <c r="F3081" s="110">
        <v>3197</v>
      </c>
      <c r="G3081" s="109" t="s">
        <v>120</v>
      </c>
      <c r="H3081" s="109">
        <v>27</v>
      </c>
      <c r="I3081" s="109">
        <v>1063</v>
      </c>
      <c r="J3081" s="110">
        <v>2163</v>
      </c>
    </row>
    <row r="3082" spans="1:10">
      <c r="A3082" s="103" t="s">
        <v>5024</v>
      </c>
      <c r="B3082" s="124" t="s">
        <v>5025</v>
      </c>
      <c r="C3082" s="110">
        <v>11532</v>
      </c>
      <c r="D3082" s="109" t="s">
        <v>120</v>
      </c>
      <c r="E3082" s="109">
        <v>115</v>
      </c>
      <c r="F3082" s="110">
        <v>3072</v>
      </c>
      <c r="G3082" s="109" t="s">
        <v>120</v>
      </c>
      <c r="H3082" s="109">
        <v>27</v>
      </c>
      <c r="I3082" s="109">
        <v>1123</v>
      </c>
      <c r="J3082" s="110">
        <v>2187</v>
      </c>
    </row>
    <row r="3083" spans="1:10">
      <c r="A3083" s="103" t="s">
        <v>5026</v>
      </c>
      <c r="B3083" s="124" t="s">
        <v>5027</v>
      </c>
      <c r="C3083" s="110">
        <v>10970</v>
      </c>
      <c r="D3083" s="109" t="s">
        <v>120</v>
      </c>
      <c r="E3083" s="109">
        <v>110</v>
      </c>
      <c r="F3083" s="110">
        <v>3861</v>
      </c>
      <c r="G3083" s="109" t="s">
        <v>120</v>
      </c>
      <c r="H3083" s="109">
        <v>35</v>
      </c>
      <c r="I3083" s="109">
        <v>1230</v>
      </c>
      <c r="J3083" s="110">
        <v>2028</v>
      </c>
    </row>
    <row r="3084" spans="1:10">
      <c r="A3084" s="103" t="s">
        <v>5028</v>
      </c>
      <c r="B3084" s="124" t="s">
        <v>5029</v>
      </c>
      <c r="C3084" s="110">
        <v>15560</v>
      </c>
      <c r="D3084" s="109" t="s">
        <v>120</v>
      </c>
      <c r="E3084" s="109">
        <v>156</v>
      </c>
      <c r="F3084" s="110">
        <v>5743</v>
      </c>
      <c r="G3084" s="109" t="s">
        <v>120</v>
      </c>
      <c r="H3084" s="109">
        <v>37</v>
      </c>
      <c r="I3084" s="109">
        <v>627</v>
      </c>
      <c r="J3084" s="110">
        <v>1569</v>
      </c>
    </row>
    <row r="3085" spans="1:10">
      <c r="A3085" s="103" t="s">
        <v>5030</v>
      </c>
      <c r="B3085" s="124" t="s">
        <v>5019</v>
      </c>
      <c r="C3085" s="110">
        <v>16648</v>
      </c>
      <c r="D3085" s="109" t="s">
        <v>120</v>
      </c>
      <c r="E3085" s="109">
        <v>167</v>
      </c>
      <c r="F3085" s="110">
        <v>5481</v>
      </c>
      <c r="G3085" s="109" t="s">
        <v>120</v>
      </c>
      <c r="H3085" s="109">
        <v>33</v>
      </c>
      <c r="I3085" s="109">
        <v>547</v>
      </c>
      <c r="J3085" s="110">
        <v>1619</v>
      </c>
    </row>
    <row r="3086" spans="1:10" s="119" customFormat="1">
      <c r="A3086" s="123" t="s">
        <v>120</v>
      </c>
      <c r="B3086" s="275" t="s">
        <v>1101</v>
      </c>
      <c r="C3086" s="276"/>
      <c r="D3086" s="276"/>
      <c r="E3086" s="276"/>
      <c r="F3086" s="276"/>
      <c r="G3086" s="276"/>
      <c r="H3086" s="276"/>
      <c r="I3086" s="276"/>
      <c r="J3086" s="276"/>
    </row>
    <row r="3087" spans="1:10">
      <c r="A3087" s="103" t="s">
        <v>5031</v>
      </c>
      <c r="B3087" s="124" t="s">
        <v>5032</v>
      </c>
      <c r="C3087" s="110">
        <v>20118</v>
      </c>
      <c r="D3087" s="109" t="s">
        <v>120</v>
      </c>
      <c r="E3087" s="109">
        <v>201</v>
      </c>
      <c r="F3087" s="110">
        <v>8577</v>
      </c>
      <c r="G3087" s="109" t="s">
        <v>120</v>
      </c>
      <c r="H3087" s="109">
        <v>43</v>
      </c>
      <c r="I3087" s="109">
        <v>339</v>
      </c>
      <c r="J3087" s="110">
        <v>1040</v>
      </c>
    </row>
    <row r="3088" spans="1:10">
      <c r="A3088" s="103" t="s">
        <v>5033</v>
      </c>
      <c r="B3088" s="124" t="s">
        <v>932</v>
      </c>
      <c r="C3088" s="110">
        <v>1953</v>
      </c>
      <c r="D3088" s="109" t="s">
        <v>120</v>
      </c>
      <c r="E3088" s="109">
        <v>20</v>
      </c>
      <c r="F3088" s="110">
        <v>4613</v>
      </c>
      <c r="G3088" s="109" t="s">
        <v>120</v>
      </c>
      <c r="H3088" s="109">
        <v>236</v>
      </c>
      <c r="I3088" s="109" t="s">
        <v>122</v>
      </c>
      <c r="J3088" s="110" t="s">
        <v>122</v>
      </c>
    </row>
    <row r="3089" spans="1:10">
      <c r="A3089" s="103" t="s">
        <v>5034</v>
      </c>
      <c r="B3089" s="124" t="s">
        <v>934</v>
      </c>
      <c r="C3089" s="110">
        <v>18165</v>
      </c>
      <c r="D3089" s="109" t="s">
        <v>120</v>
      </c>
      <c r="E3089" s="109">
        <v>181</v>
      </c>
      <c r="F3089" s="110">
        <v>3964</v>
      </c>
      <c r="G3089" s="109" t="s">
        <v>120</v>
      </c>
      <c r="H3089" s="109">
        <v>22</v>
      </c>
      <c r="I3089" s="109" t="s">
        <v>122</v>
      </c>
      <c r="J3089" s="110" t="s">
        <v>122</v>
      </c>
    </row>
    <row r="3090" spans="1:10">
      <c r="A3090" s="103" t="s">
        <v>5035</v>
      </c>
      <c r="B3090" s="124" t="s">
        <v>5036</v>
      </c>
      <c r="C3090" s="110">
        <v>13040</v>
      </c>
      <c r="D3090" s="109" t="s">
        <v>120</v>
      </c>
      <c r="E3090" s="109">
        <v>130</v>
      </c>
      <c r="F3090" s="110">
        <v>6352</v>
      </c>
      <c r="G3090" s="109" t="s">
        <v>120</v>
      </c>
      <c r="H3090" s="109">
        <v>49</v>
      </c>
      <c r="I3090" s="109">
        <v>904</v>
      </c>
      <c r="J3090" s="110">
        <v>1433</v>
      </c>
    </row>
    <row r="3091" spans="1:10">
      <c r="A3091" s="103" t="s">
        <v>5037</v>
      </c>
      <c r="B3091" s="124" t="s">
        <v>932</v>
      </c>
      <c r="C3091" s="110">
        <v>523</v>
      </c>
      <c r="D3091" s="109" t="s">
        <v>120</v>
      </c>
      <c r="E3091" s="109">
        <v>5</v>
      </c>
      <c r="F3091" s="110">
        <v>2647</v>
      </c>
      <c r="G3091" s="109" t="s">
        <v>120</v>
      </c>
      <c r="H3091" s="109">
        <v>506</v>
      </c>
      <c r="I3091" s="109" t="s">
        <v>122</v>
      </c>
      <c r="J3091" s="110" t="s">
        <v>122</v>
      </c>
    </row>
    <row r="3092" spans="1:10">
      <c r="A3092" s="103" t="s">
        <v>5038</v>
      </c>
      <c r="B3092" s="124" t="s">
        <v>934</v>
      </c>
      <c r="C3092" s="110">
        <v>12517</v>
      </c>
      <c r="D3092" s="109" t="s">
        <v>120</v>
      </c>
      <c r="E3092" s="109">
        <v>125</v>
      </c>
      <c r="F3092" s="110">
        <v>3705</v>
      </c>
      <c r="G3092" s="109" t="s">
        <v>120</v>
      </c>
      <c r="H3092" s="109">
        <v>30</v>
      </c>
      <c r="I3092" s="109" t="s">
        <v>122</v>
      </c>
      <c r="J3092" s="110" t="s">
        <v>122</v>
      </c>
    </row>
    <row r="3093" spans="1:10">
      <c r="A3093" s="103" t="s">
        <v>5039</v>
      </c>
      <c r="B3093" s="124" t="s">
        <v>5040</v>
      </c>
      <c r="C3093" s="110">
        <v>15172</v>
      </c>
      <c r="D3093" s="109" t="s">
        <v>120</v>
      </c>
      <c r="E3093" s="109">
        <v>152</v>
      </c>
      <c r="F3093" s="110">
        <v>6890</v>
      </c>
      <c r="G3093" s="109" t="s">
        <v>120</v>
      </c>
      <c r="H3093" s="109">
        <v>45</v>
      </c>
      <c r="I3093" s="109">
        <v>657</v>
      </c>
      <c r="J3093" s="110">
        <v>1318</v>
      </c>
    </row>
    <row r="3094" spans="1:10">
      <c r="A3094" s="103" t="s">
        <v>5041</v>
      </c>
      <c r="B3094" s="124" t="s">
        <v>932</v>
      </c>
      <c r="C3094" s="110">
        <v>284</v>
      </c>
      <c r="D3094" s="109" t="s">
        <v>120</v>
      </c>
      <c r="E3094" s="109">
        <v>3</v>
      </c>
      <c r="F3094" s="110">
        <v>2165</v>
      </c>
      <c r="G3094" s="109" t="s">
        <v>120</v>
      </c>
      <c r="H3094" s="109">
        <v>762</v>
      </c>
      <c r="I3094" s="109" t="s">
        <v>122</v>
      </c>
      <c r="J3094" s="110" t="s">
        <v>122</v>
      </c>
    </row>
    <row r="3095" spans="1:10">
      <c r="A3095" s="103" t="s">
        <v>5042</v>
      </c>
      <c r="B3095" s="124" t="s">
        <v>934</v>
      </c>
      <c r="C3095" s="110">
        <v>14888</v>
      </c>
      <c r="D3095" s="109" t="s">
        <v>120</v>
      </c>
      <c r="E3095" s="109">
        <v>149</v>
      </c>
      <c r="F3095" s="110">
        <v>4725</v>
      </c>
      <c r="G3095" s="109" t="s">
        <v>120</v>
      </c>
      <c r="H3095" s="109">
        <v>32</v>
      </c>
      <c r="I3095" s="109" t="s">
        <v>122</v>
      </c>
      <c r="J3095" s="110" t="s">
        <v>122</v>
      </c>
    </row>
    <row r="3096" spans="1:10" s="119" customFormat="1">
      <c r="A3096" s="123" t="s">
        <v>120</v>
      </c>
      <c r="B3096" s="273" t="s">
        <v>5043</v>
      </c>
      <c r="C3096" s="274"/>
      <c r="D3096" s="274"/>
      <c r="E3096" s="274"/>
      <c r="F3096" s="274"/>
      <c r="G3096" s="274"/>
      <c r="H3096" s="274"/>
      <c r="I3096" s="274"/>
      <c r="J3096" s="274"/>
    </row>
    <row r="3097" spans="1:10" s="119" customFormat="1">
      <c r="A3097" s="123" t="s">
        <v>120</v>
      </c>
      <c r="B3097" s="275" t="s">
        <v>922</v>
      </c>
      <c r="C3097" s="276"/>
      <c r="D3097" s="276"/>
      <c r="E3097" s="276"/>
      <c r="F3097" s="276"/>
      <c r="G3097" s="276"/>
      <c r="H3097" s="276"/>
      <c r="I3097" s="276"/>
      <c r="J3097" s="276"/>
    </row>
    <row r="3098" spans="1:10">
      <c r="A3098" s="103" t="s">
        <v>5044</v>
      </c>
      <c r="B3098" s="124" t="s">
        <v>5045</v>
      </c>
      <c r="C3098" s="110">
        <v>1902</v>
      </c>
      <c r="D3098" s="109" t="s">
        <v>120</v>
      </c>
      <c r="E3098" s="109">
        <v>19</v>
      </c>
      <c r="F3098" s="110">
        <v>22018</v>
      </c>
      <c r="G3098" s="109" t="s">
        <v>120</v>
      </c>
      <c r="H3098" s="109">
        <v>1158</v>
      </c>
      <c r="I3098" s="109">
        <v>2247</v>
      </c>
      <c r="J3098" s="110">
        <v>301</v>
      </c>
    </row>
    <row r="3099" spans="1:10" s="119" customFormat="1">
      <c r="A3099" s="123" t="s">
        <v>120</v>
      </c>
      <c r="B3099" s="275" t="s">
        <v>1022</v>
      </c>
      <c r="C3099" s="276"/>
      <c r="D3099" s="276"/>
      <c r="E3099" s="276"/>
      <c r="F3099" s="276"/>
      <c r="G3099" s="276"/>
      <c r="H3099" s="276"/>
      <c r="I3099" s="276"/>
      <c r="J3099" s="276"/>
    </row>
    <row r="3100" spans="1:10">
      <c r="A3100" s="103" t="s">
        <v>5046</v>
      </c>
      <c r="B3100" s="124" t="s">
        <v>5047</v>
      </c>
      <c r="C3100" s="110">
        <v>7365</v>
      </c>
      <c r="D3100" s="109" t="s">
        <v>120</v>
      </c>
      <c r="E3100" s="109">
        <v>74</v>
      </c>
      <c r="F3100" s="110">
        <v>2289</v>
      </c>
      <c r="G3100" s="109" t="s">
        <v>120</v>
      </c>
      <c r="H3100" s="109">
        <v>31</v>
      </c>
      <c r="I3100" s="109">
        <v>1795</v>
      </c>
      <c r="J3100" s="110">
        <v>2281</v>
      </c>
    </row>
    <row r="3101" spans="1:10">
      <c r="A3101" s="103" t="s">
        <v>5048</v>
      </c>
      <c r="B3101" s="124" t="s">
        <v>5049</v>
      </c>
      <c r="C3101" s="110">
        <v>19999</v>
      </c>
      <c r="D3101" s="109" t="s">
        <v>120</v>
      </c>
      <c r="E3101" s="109">
        <v>200</v>
      </c>
      <c r="F3101" s="110">
        <v>5514</v>
      </c>
      <c r="G3101" s="109" t="s">
        <v>120</v>
      </c>
      <c r="H3101" s="109">
        <v>28</v>
      </c>
      <c r="I3101" s="109">
        <v>346</v>
      </c>
      <c r="J3101" s="110">
        <v>1611</v>
      </c>
    </row>
    <row r="3102" spans="1:10">
      <c r="A3102" s="103" t="s">
        <v>5050</v>
      </c>
      <c r="B3102" s="124" t="s">
        <v>5051</v>
      </c>
      <c r="C3102" s="110">
        <v>14106</v>
      </c>
      <c r="D3102" s="109" t="s">
        <v>120</v>
      </c>
      <c r="E3102" s="109">
        <v>141</v>
      </c>
      <c r="F3102" s="110">
        <v>4809</v>
      </c>
      <c r="G3102" s="109" t="s">
        <v>120</v>
      </c>
      <c r="H3102" s="109">
        <v>34</v>
      </c>
      <c r="I3102" s="109">
        <v>770</v>
      </c>
      <c r="J3102" s="110">
        <v>1790</v>
      </c>
    </row>
    <row r="3103" spans="1:10">
      <c r="A3103" s="103" t="s">
        <v>5052</v>
      </c>
      <c r="B3103" s="124" t="s">
        <v>5045</v>
      </c>
      <c r="C3103" s="110">
        <v>29940</v>
      </c>
      <c r="D3103" s="109" t="s">
        <v>120</v>
      </c>
      <c r="E3103" s="109">
        <v>299</v>
      </c>
      <c r="F3103" s="110">
        <v>8875</v>
      </c>
      <c r="G3103" s="109" t="s">
        <v>120</v>
      </c>
      <c r="H3103" s="109">
        <v>30</v>
      </c>
      <c r="I3103" s="109">
        <v>98</v>
      </c>
      <c r="J3103" s="110">
        <v>1001</v>
      </c>
    </row>
    <row r="3104" spans="1:10" s="119" customFormat="1">
      <c r="A3104" s="123" t="s">
        <v>120</v>
      </c>
      <c r="B3104" s="273" t="s">
        <v>2900</v>
      </c>
      <c r="C3104" s="274"/>
      <c r="D3104" s="274"/>
      <c r="E3104" s="274"/>
      <c r="F3104" s="274"/>
      <c r="G3104" s="274"/>
      <c r="H3104" s="274"/>
      <c r="I3104" s="274"/>
      <c r="J3104" s="274"/>
    </row>
    <row r="3105" spans="1:10">
      <c r="A3105" s="103" t="s">
        <v>5053</v>
      </c>
      <c r="B3105" s="124" t="s">
        <v>5054</v>
      </c>
      <c r="C3105" s="110">
        <v>10213</v>
      </c>
      <c r="D3105" s="109" t="s">
        <v>120</v>
      </c>
      <c r="E3105" s="109">
        <v>102</v>
      </c>
      <c r="F3105" s="110">
        <v>297554</v>
      </c>
      <c r="G3105" s="105" t="s">
        <v>927</v>
      </c>
      <c r="H3105" s="109">
        <v>2913</v>
      </c>
      <c r="I3105" s="109">
        <v>1353</v>
      </c>
      <c r="J3105" s="110">
        <v>10</v>
      </c>
    </row>
    <row r="3106" spans="1:10">
      <c r="A3106" s="103" t="s">
        <v>5055</v>
      </c>
      <c r="B3106" s="124" t="s">
        <v>4897</v>
      </c>
      <c r="C3106" s="110">
        <v>3267</v>
      </c>
      <c r="D3106" s="109" t="s">
        <v>120</v>
      </c>
      <c r="E3106" s="109">
        <v>33</v>
      </c>
      <c r="F3106" s="110">
        <v>62945</v>
      </c>
      <c r="G3106" s="109" t="s">
        <v>120</v>
      </c>
      <c r="H3106" s="109">
        <v>1927</v>
      </c>
      <c r="I3106" s="109">
        <v>2151</v>
      </c>
      <c r="J3106" s="110">
        <v>64</v>
      </c>
    </row>
    <row r="3107" spans="1:10">
      <c r="A3107" s="103" t="s">
        <v>5056</v>
      </c>
      <c r="B3107" s="124" t="s">
        <v>5012</v>
      </c>
      <c r="C3107" s="110">
        <v>6551</v>
      </c>
      <c r="D3107" s="109" t="s">
        <v>120</v>
      </c>
      <c r="E3107" s="109">
        <v>66</v>
      </c>
      <c r="F3107" s="110">
        <v>69758</v>
      </c>
      <c r="G3107" s="109" t="s">
        <v>120</v>
      </c>
      <c r="H3107" s="109">
        <v>1065</v>
      </c>
      <c r="I3107" s="109">
        <v>1900</v>
      </c>
      <c r="J3107" s="110">
        <v>55</v>
      </c>
    </row>
    <row r="3108" spans="1:10" s="119" customFormat="1">
      <c r="A3108" s="123" t="s">
        <v>120</v>
      </c>
      <c r="B3108" s="273" t="s">
        <v>21</v>
      </c>
      <c r="C3108" s="274"/>
      <c r="D3108" s="274"/>
      <c r="E3108" s="274"/>
      <c r="F3108" s="274"/>
      <c r="G3108" s="274"/>
      <c r="H3108" s="274"/>
      <c r="I3108" s="274"/>
      <c r="J3108" s="274"/>
    </row>
    <row r="3109" spans="1:10" s="119" customFormat="1">
      <c r="A3109" s="123" t="s">
        <v>120</v>
      </c>
      <c r="B3109" s="273" t="s">
        <v>5057</v>
      </c>
      <c r="C3109" s="274"/>
      <c r="D3109" s="274"/>
      <c r="E3109" s="274"/>
      <c r="F3109" s="274"/>
      <c r="G3109" s="274"/>
      <c r="H3109" s="274"/>
      <c r="I3109" s="274"/>
      <c r="J3109" s="274"/>
    </row>
    <row r="3110" spans="1:10" s="119" customFormat="1">
      <c r="A3110" s="123" t="s">
        <v>120</v>
      </c>
      <c r="B3110" s="275" t="s">
        <v>924</v>
      </c>
      <c r="C3110" s="276"/>
      <c r="D3110" s="276"/>
      <c r="E3110" s="276"/>
      <c r="F3110" s="276"/>
      <c r="G3110" s="276"/>
      <c r="H3110" s="276"/>
      <c r="I3110" s="276"/>
      <c r="J3110" s="276"/>
    </row>
    <row r="3111" spans="1:10">
      <c r="A3111" s="103" t="s">
        <v>5058</v>
      </c>
      <c r="B3111" s="124" t="s">
        <v>5059</v>
      </c>
      <c r="C3111" s="110">
        <v>10852</v>
      </c>
      <c r="D3111" s="109" t="s">
        <v>120</v>
      </c>
      <c r="E3111" s="109">
        <v>109</v>
      </c>
      <c r="F3111" s="110">
        <v>3364</v>
      </c>
      <c r="G3111" s="109" t="s">
        <v>120</v>
      </c>
      <c r="H3111" s="109">
        <v>31</v>
      </c>
      <c r="I3111" s="109">
        <v>1247</v>
      </c>
      <c r="J3111" s="110">
        <v>2133</v>
      </c>
    </row>
    <row r="3112" spans="1:10">
      <c r="A3112" s="103" t="s">
        <v>5060</v>
      </c>
      <c r="B3112" s="124" t="s">
        <v>5061</v>
      </c>
      <c r="C3112" s="110">
        <v>29806</v>
      </c>
      <c r="D3112" s="109" t="s">
        <v>120</v>
      </c>
      <c r="E3112" s="109">
        <v>298</v>
      </c>
      <c r="F3112" s="110">
        <v>5917</v>
      </c>
      <c r="G3112" s="109" t="s">
        <v>120</v>
      </c>
      <c r="H3112" s="109">
        <v>20</v>
      </c>
      <c r="I3112" s="109">
        <v>99</v>
      </c>
      <c r="J3112" s="110">
        <v>1527</v>
      </c>
    </row>
    <row r="3113" spans="1:10">
      <c r="A3113" s="103" t="s">
        <v>5062</v>
      </c>
      <c r="B3113" s="124" t="s">
        <v>5063</v>
      </c>
      <c r="C3113" s="110">
        <v>17002</v>
      </c>
      <c r="D3113" s="109" t="s">
        <v>120</v>
      </c>
      <c r="E3113" s="109">
        <v>170</v>
      </c>
      <c r="F3113" s="110">
        <v>4237</v>
      </c>
      <c r="G3113" s="109" t="s">
        <v>120</v>
      </c>
      <c r="H3113" s="109">
        <v>25</v>
      </c>
      <c r="I3113" s="109">
        <v>520</v>
      </c>
      <c r="J3113" s="110">
        <v>1942</v>
      </c>
    </row>
    <row r="3114" spans="1:10">
      <c r="A3114" s="103" t="s">
        <v>5064</v>
      </c>
      <c r="B3114" s="124" t="s">
        <v>5065</v>
      </c>
      <c r="C3114" s="110">
        <v>30881</v>
      </c>
      <c r="D3114" s="109" t="s">
        <v>120</v>
      </c>
      <c r="E3114" s="109">
        <v>308</v>
      </c>
      <c r="F3114" s="110">
        <v>5216</v>
      </c>
      <c r="G3114" s="109" t="s">
        <v>120</v>
      </c>
      <c r="H3114" s="109">
        <v>17</v>
      </c>
      <c r="I3114" s="109">
        <v>89</v>
      </c>
      <c r="J3114" s="110">
        <v>1683</v>
      </c>
    </row>
    <row r="3115" spans="1:10">
      <c r="A3115" s="103" t="s">
        <v>5066</v>
      </c>
      <c r="B3115" s="124" t="s">
        <v>5067</v>
      </c>
      <c r="C3115" s="110">
        <v>13121</v>
      </c>
      <c r="D3115" s="109" t="s">
        <v>120</v>
      </c>
      <c r="E3115" s="109">
        <v>131</v>
      </c>
      <c r="F3115" s="110">
        <v>3795</v>
      </c>
      <c r="G3115" s="109" t="s">
        <v>120</v>
      </c>
      <c r="H3115" s="109">
        <v>29</v>
      </c>
      <c r="I3115" s="109">
        <v>895</v>
      </c>
      <c r="J3115" s="110">
        <v>2044</v>
      </c>
    </row>
    <row r="3116" spans="1:10">
      <c r="A3116" s="103" t="s">
        <v>5068</v>
      </c>
      <c r="B3116" s="124" t="s">
        <v>5069</v>
      </c>
      <c r="C3116" s="110">
        <v>17626</v>
      </c>
      <c r="D3116" s="109" t="s">
        <v>120</v>
      </c>
      <c r="E3116" s="109">
        <v>176</v>
      </c>
      <c r="F3116" s="110">
        <v>3760</v>
      </c>
      <c r="G3116" s="109" t="s">
        <v>120</v>
      </c>
      <c r="H3116" s="109">
        <v>21</v>
      </c>
      <c r="I3116" s="109">
        <v>478</v>
      </c>
      <c r="J3116" s="110">
        <v>2051</v>
      </c>
    </row>
    <row r="3117" spans="1:10">
      <c r="A3117" s="103" t="s">
        <v>5070</v>
      </c>
      <c r="B3117" s="124" t="s">
        <v>5071</v>
      </c>
      <c r="C3117" s="110">
        <v>22597</v>
      </c>
      <c r="D3117" s="109" t="s">
        <v>120</v>
      </c>
      <c r="E3117" s="109">
        <v>226</v>
      </c>
      <c r="F3117" s="110">
        <v>3696</v>
      </c>
      <c r="G3117" s="109" t="s">
        <v>120</v>
      </c>
      <c r="H3117" s="109">
        <v>16</v>
      </c>
      <c r="I3117" s="109">
        <v>246</v>
      </c>
      <c r="J3117" s="110">
        <v>2066</v>
      </c>
    </row>
    <row r="3118" spans="1:10">
      <c r="A3118" s="103" t="s">
        <v>5072</v>
      </c>
      <c r="B3118" s="124" t="s">
        <v>5073</v>
      </c>
      <c r="C3118" s="110">
        <v>11020</v>
      </c>
      <c r="D3118" s="109" t="s">
        <v>120</v>
      </c>
      <c r="E3118" s="109">
        <v>111</v>
      </c>
      <c r="F3118" s="110">
        <v>4284</v>
      </c>
      <c r="G3118" s="109" t="s">
        <v>120</v>
      </c>
      <c r="H3118" s="109">
        <v>39</v>
      </c>
      <c r="I3118" s="109">
        <v>1221</v>
      </c>
      <c r="J3118" s="110">
        <v>1930</v>
      </c>
    </row>
    <row r="3119" spans="1:10" s="119" customFormat="1">
      <c r="A3119" s="123" t="s">
        <v>120</v>
      </c>
      <c r="B3119" s="275" t="s">
        <v>947</v>
      </c>
      <c r="C3119" s="276"/>
      <c r="D3119" s="276"/>
      <c r="E3119" s="276"/>
      <c r="F3119" s="276"/>
      <c r="G3119" s="276"/>
      <c r="H3119" s="276"/>
      <c r="I3119" s="276"/>
      <c r="J3119" s="276"/>
    </row>
    <row r="3120" spans="1:10">
      <c r="A3120" s="103" t="s">
        <v>5074</v>
      </c>
      <c r="B3120" s="124" t="s">
        <v>5075</v>
      </c>
      <c r="C3120" s="110">
        <v>19692</v>
      </c>
      <c r="D3120" s="109" t="s">
        <v>120</v>
      </c>
      <c r="E3120" s="109">
        <v>197</v>
      </c>
      <c r="F3120" s="110">
        <v>25420</v>
      </c>
      <c r="G3120" s="109" t="s">
        <v>120</v>
      </c>
      <c r="H3120" s="109">
        <v>129</v>
      </c>
      <c r="I3120" s="109">
        <v>366</v>
      </c>
      <c r="J3120" s="110">
        <v>243</v>
      </c>
    </row>
    <row r="3121" spans="1:10">
      <c r="A3121" s="103" t="s">
        <v>5076</v>
      </c>
      <c r="B3121" s="124" t="s">
        <v>932</v>
      </c>
      <c r="C3121" s="110">
        <v>872</v>
      </c>
      <c r="D3121" s="109" t="s">
        <v>120</v>
      </c>
      <c r="E3121" s="109">
        <v>9</v>
      </c>
      <c r="F3121" s="110">
        <v>16881</v>
      </c>
      <c r="G3121" s="109" t="s">
        <v>120</v>
      </c>
      <c r="H3121" s="109">
        <v>1936</v>
      </c>
      <c r="I3121" s="109" t="s">
        <v>122</v>
      </c>
      <c r="J3121" s="110" t="s">
        <v>122</v>
      </c>
    </row>
    <row r="3122" spans="1:10">
      <c r="A3122" s="103" t="s">
        <v>5077</v>
      </c>
      <c r="B3122" s="124" t="s">
        <v>934</v>
      </c>
      <c r="C3122" s="110">
        <v>18820</v>
      </c>
      <c r="D3122" s="109" t="s">
        <v>120</v>
      </c>
      <c r="E3122" s="109">
        <v>188</v>
      </c>
      <c r="F3122" s="110">
        <v>8539</v>
      </c>
      <c r="G3122" s="109" t="s">
        <v>120</v>
      </c>
      <c r="H3122" s="109">
        <v>45</v>
      </c>
      <c r="I3122" s="109" t="s">
        <v>122</v>
      </c>
      <c r="J3122" s="110" t="s">
        <v>122</v>
      </c>
    </row>
    <row r="3123" spans="1:10">
      <c r="A3123" s="103" t="s">
        <v>5078</v>
      </c>
      <c r="B3123" s="124" t="s">
        <v>5079</v>
      </c>
      <c r="C3123" s="110">
        <v>46610</v>
      </c>
      <c r="D3123" s="105" t="s">
        <v>927</v>
      </c>
      <c r="E3123" s="109">
        <v>466</v>
      </c>
      <c r="F3123" s="110">
        <v>19509</v>
      </c>
      <c r="G3123" s="109" t="s">
        <v>120</v>
      </c>
      <c r="H3123" s="109">
        <v>42</v>
      </c>
      <c r="I3123" s="109">
        <v>9</v>
      </c>
      <c r="J3123" s="110">
        <v>357</v>
      </c>
    </row>
    <row r="3124" spans="1:10">
      <c r="A3124" s="103" t="s">
        <v>5080</v>
      </c>
      <c r="B3124" s="124" t="s">
        <v>932</v>
      </c>
      <c r="C3124" s="110">
        <v>568</v>
      </c>
      <c r="D3124" s="109" t="s">
        <v>120</v>
      </c>
      <c r="E3124" s="109">
        <v>6</v>
      </c>
      <c r="F3124" s="110">
        <v>10384</v>
      </c>
      <c r="G3124" s="109" t="s">
        <v>120</v>
      </c>
      <c r="H3124" s="109">
        <v>1828</v>
      </c>
      <c r="I3124" s="109" t="s">
        <v>122</v>
      </c>
      <c r="J3124" s="110" t="s">
        <v>122</v>
      </c>
    </row>
    <row r="3125" spans="1:10">
      <c r="A3125" s="103" t="s">
        <v>5081</v>
      </c>
      <c r="B3125" s="124" t="s">
        <v>934</v>
      </c>
      <c r="C3125" s="110">
        <v>46042</v>
      </c>
      <c r="D3125" s="109" t="s">
        <v>120</v>
      </c>
      <c r="E3125" s="109">
        <v>460</v>
      </c>
      <c r="F3125" s="110">
        <v>9125</v>
      </c>
      <c r="G3125" s="109" t="s">
        <v>120</v>
      </c>
      <c r="H3125" s="109">
        <v>20</v>
      </c>
      <c r="I3125" s="109" t="s">
        <v>122</v>
      </c>
      <c r="J3125" s="110" t="s">
        <v>122</v>
      </c>
    </row>
    <row r="3126" spans="1:10" s="119" customFormat="1">
      <c r="A3126" s="123" t="s">
        <v>120</v>
      </c>
      <c r="B3126" s="273" t="s">
        <v>5082</v>
      </c>
      <c r="C3126" s="274"/>
      <c r="D3126" s="274"/>
      <c r="E3126" s="274"/>
      <c r="F3126" s="274"/>
      <c r="G3126" s="274"/>
      <c r="H3126" s="274"/>
      <c r="I3126" s="274"/>
      <c r="J3126" s="274"/>
    </row>
    <row r="3127" spans="1:10" s="119" customFormat="1">
      <c r="A3127" s="123" t="s">
        <v>120</v>
      </c>
      <c r="B3127" s="275" t="s">
        <v>922</v>
      </c>
      <c r="C3127" s="276"/>
      <c r="D3127" s="276"/>
      <c r="E3127" s="276"/>
      <c r="F3127" s="276"/>
      <c r="G3127" s="276"/>
      <c r="H3127" s="276"/>
      <c r="I3127" s="276"/>
      <c r="J3127" s="276"/>
    </row>
    <row r="3128" spans="1:10">
      <c r="A3128" s="103" t="s">
        <v>5083</v>
      </c>
      <c r="B3128" s="124" t="s">
        <v>5084</v>
      </c>
      <c r="C3128" s="110">
        <v>2104</v>
      </c>
      <c r="D3128" s="109" t="s">
        <v>120</v>
      </c>
      <c r="E3128" s="109">
        <v>21</v>
      </c>
      <c r="F3128" s="110">
        <v>39804</v>
      </c>
      <c r="G3128" s="109" t="s">
        <v>120</v>
      </c>
      <c r="H3128" s="109">
        <v>1892</v>
      </c>
      <c r="I3128" s="109">
        <v>2226</v>
      </c>
      <c r="J3128" s="110">
        <v>129</v>
      </c>
    </row>
    <row r="3129" spans="1:10" s="119" customFormat="1">
      <c r="A3129" s="123" t="s">
        <v>120</v>
      </c>
      <c r="B3129" s="275" t="s">
        <v>943</v>
      </c>
      <c r="C3129" s="276"/>
      <c r="D3129" s="276"/>
      <c r="E3129" s="276"/>
      <c r="F3129" s="276"/>
      <c r="G3129" s="276"/>
      <c r="H3129" s="276"/>
      <c r="I3129" s="276"/>
      <c r="J3129" s="276"/>
    </row>
    <row r="3130" spans="1:10">
      <c r="A3130" s="103" t="s">
        <v>5085</v>
      </c>
      <c r="B3130" s="124" t="s">
        <v>5084</v>
      </c>
      <c r="C3130" s="110">
        <v>45821</v>
      </c>
      <c r="D3130" s="109" t="s">
        <v>120</v>
      </c>
      <c r="E3130" s="109">
        <v>458</v>
      </c>
      <c r="F3130" s="110">
        <v>19311</v>
      </c>
      <c r="G3130" s="109" t="s">
        <v>120</v>
      </c>
      <c r="H3130" s="109">
        <v>42</v>
      </c>
      <c r="I3130" s="109">
        <v>10</v>
      </c>
      <c r="J3130" s="110">
        <v>360</v>
      </c>
    </row>
    <row r="3131" spans="1:10">
      <c r="A3131" s="103" t="s">
        <v>5086</v>
      </c>
      <c r="B3131" s="124" t="s">
        <v>5087</v>
      </c>
      <c r="C3131" s="110">
        <v>10440</v>
      </c>
      <c r="D3131" s="109" t="s">
        <v>120</v>
      </c>
      <c r="E3131" s="109">
        <v>105</v>
      </c>
      <c r="F3131" s="110">
        <v>2311</v>
      </c>
      <c r="G3131" s="109" t="s">
        <v>120</v>
      </c>
      <c r="H3131" s="109">
        <v>22</v>
      </c>
      <c r="I3131" s="109">
        <v>1312</v>
      </c>
      <c r="J3131" s="110">
        <v>2279</v>
      </c>
    </row>
    <row r="3132" spans="1:10" s="119" customFormat="1">
      <c r="A3132" s="123" t="s">
        <v>120</v>
      </c>
      <c r="B3132" s="275" t="s">
        <v>1101</v>
      </c>
      <c r="C3132" s="276"/>
      <c r="D3132" s="276"/>
      <c r="E3132" s="276"/>
      <c r="F3132" s="276"/>
      <c r="G3132" s="276"/>
      <c r="H3132" s="276"/>
      <c r="I3132" s="276"/>
      <c r="J3132" s="276"/>
    </row>
    <row r="3133" spans="1:10">
      <c r="A3133" s="103" t="s">
        <v>5088</v>
      </c>
      <c r="B3133" s="124" t="s">
        <v>5089</v>
      </c>
      <c r="C3133" s="110">
        <v>40045</v>
      </c>
      <c r="D3133" s="109" t="s">
        <v>120</v>
      </c>
      <c r="E3133" s="109">
        <v>400</v>
      </c>
      <c r="F3133" s="110">
        <v>14575</v>
      </c>
      <c r="G3133" s="109" t="s">
        <v>120</v>
      </c>
      <c r="H3133" s="109">
        <v>36</v>
      </c>
      <c r="I3133" s="109">
        <v>25</v>
      </c>
      <c r="J3133" s="110">
        <v>536</v>
      </c>
    </row>
    <row r="3134" spans="1:10">
      <c r="A3134" s="103" t="s">
        <v>5090</v>
      </c>
      <c r="B3134" s="124" t="s">
        <v>932</v>
      </c>
      <c r="C3134" s="110">
        <v>520</v>
      </c>
      <c r="D3134" s="109" t="s">
        <v>120</v>
      </c>
      <c r="E3134" s="109">
        <v>5</v>
      </c>
      <c r="F3134" s="110">
        <v>5182</v>
      </c>
      <c r="G3134" s="109" t="s">
        <v>120</v>
      </c>
      <c r="H3134" s="109">
        <v>997</v>
      </c>
      <c r="I3134" s="109" t="s">
        <v>122</v>
      </c>
      <c r="J3134" s="110" t="s">
        <v>122</v>
      </c>
    </row>
    <row r="3135" spans="1:10">
      <c r="A3135" s="103" t="s">
        <v>5091</v>
      </c>
      <c r="B3135" s="124" t="s">
        <v>934</v>
      </c>
      <c r="C3135" s="110">
        <v>39525</v>
      </c>
      <c r="D3135" s="109" t="s">
        <v>120</v>
      </c>
      <c r="E3135" s="109">
        <v>395</v>
      </c>
      <c r="F3135" s="110">
        <v>9393</v>
      </c>
      <c r="G3135" s="109" t="s">
        <v>120</v>
      </c>
      <c r="H3135" s="109">
        <v>24</v>
      </c>
      <c r="I3135" s="109" t="s">
        <v>122</v>
      </c>
      <c r="J3135" s="110" t="s">
        <v>122</v>
      </c>
    </row>
    <row r="3136" spans="1:10">
      <c r="A3136" s="103" t="s">
        <v>5092</v>
      </c>
      <c r="B3136" s="124" t="s">
        <v>5093</v>
      </c>
      <c r="C3136" s="110">
        <v>38011</v>
      </c>
      <c r="D3136" s="109" t="s">
        <v>120</v>
      </c>
      <c r="E3136" s="109">
        <v>380</v>
      </c>
      <c r="F3136" s="110">
        <v>21644</v>
      </c>
      <c r="G3136" s="109" t="s">
        <v>120</v>
      </c>
      <c r="H3136" s="109">
        <v>57</v>
      </c>
      <c r="I3136" s="109">
        <v>29</v>
      </c>
      <c r="J3136" s="110">
        <v>311</v>
      </c>
    </row>
    <row r="3137" spans="1:10">
      <c r="A3137" s="103" t="s">
        <v>5094</v>
      </c>
      <c r="B3137" s="124" t="s">
        <v>932</v>
      </c>
      <c r="C3137" s="110">
        <v>973</v>
      </c>
      <c r="D3137" s="109" t="s">
        <v>120</v>
      </c>
      <c r="E3137" s="109">
        <v>10</v>
      </c>
      <c r="F3137" s="110">
        <v>9920</v>
      </c>
      <c r="G3137" s="109" t="s">
        <v>120</v>
      </c>
      <c r="H3137" s="109">
        <v>1020</v>
      </c>
      <c r="I3137" s="109" t="s">
        <v>122</v>
      </c>
      <c r="J3137" s="110" t="s">
        <v>122</v>
      </c>
    </row>
    <row r="3138" spans="1:10">
      <c r="A3138" s="103" t="s">
        <v>5095</v>
      </c>
      <c r="B3138" s="124" t="s">
        <v>934</v>
      </c>
      <c r="C3138" s="110">
        <v>37038</v>
      </c>
      <c r="D3138" s="109" t="s">
        <v>120</v>
      </c>
      <c r="E3138" s="109">
        <v>370</v>
      </c>
      <c r="F3138" s="110">
        <v>11724</v>
      </c>
      <c r="G3138" s="109" t="s">
        <v>120</v>
      </c>
      <c r="H3138" s="109">
        <v>32</v>
      </c>
      <c r="I3138" s="109" t="s">
        <v>122</v>
      </c>
      <c r="J3138" s="110" t="s">
        <v>122</v>
      </c>
    </row>
    <row r="3139" spans="1:10" s="119" customFormat="1">
      <c r="A3139" s="123" t="s">
        <v>120</v>
      </c>
      <c r="B3139" s="273" t="s">
        <v>5096</v>
      </c>
      <c r="C3139" s="274"/>
      <c r="D3139" s="274"/>
      <c r="E3139" s="274"/>
      <c r="F3139" s="274"/>
      <c r="G3139" s="274"/>
      <c r="H3139" s="274"/>
      <c r="I3139" s="274"/>
      <c r="J3139" s="274"/>
    </row>
    <row r="3140" spans="1:10" s="119" customFormat="1">
      <c r="A3140" s="123" t="s">
        <v>120</v>
      </c>
      <c r="B3140" s="275" t="s">
        <v>957</v>
      </c>
      <c r="C3140" s="276"/>
      <c r="D3140" s="276"/>
      <c r="E3140" s="276"/>
      <c r="F3140" s="276"/>
      <c r="G3140" s="276"/>
      <c r="H3140" s="276"/>
      <c r="I3140" s="276"/>
      <c r="J3140" s="276"/>
    </row>
    <row r="3141" spans="1:10">
      <c r="A3141" s="103" t="s">
        <v>5097</v>
      </c>
      <c r="B3141" s="124" t="s">
        <v>5098</v>
      </c>
      <c r="C3141" s="110">
        <v>1278</v>
      </c>
      <c r="D3141" s="109" t="s">
        <v>120</v>
      </c>
      <c r="E3141" s="109">
        <v>13</v>
      </c>
      <c r="F3141" s="110">
        <v>13624</v>
      </c>
      <c r="G3141" s="109" t="s">
        <v>120</v>
      </c>
      <c r="H3141" s="109">
        <v>1066</v>
      </c>
      <c r="I3141" s="109">
        <v>2303</v>
      </c>
      <c r="J3141" s="110">
        <v>587</v>
      </c>
    </row>
    <row r="3142" spans="1:10" s="119" customFormat="1">
      <c r="A3142" s="123" t="s">
        <v>120</v>
      </c>
      <c r="B3142" s="275" t="s">
        <v>986</v>
      </c>
      <c r="C3142" s="276"/>
      <c r="D3142" s="276"/>
      <c r="E3142" s="276"/>
      <c r="F3142" s="276"/>
      <c r="G3142" s="276"/>
      <c r="H3142" s="276"/>
      <c r="I3142" s="276"/>
      <c r="J3142" s="276"/>
    </row>
    <row r="3143" spans="1:10">
      <c r="A3143" s="103" t="s">
        <v>5099</v>
      </c>
      <c r="B3143" s="124" t="s">
        <v>5098</v>
      </c>
      <c r="C3143" s="110">
        <v>36147</v>
      </c>
      <c r="D3143" s="109" t="s">
        <v>120</v>
      </c>
      <c r="E3143" s="109">
        <v>361</v>
      </c>
      <c r="F3143" s="110">
        <v>11128</v>
      </c>
      <c r="G3143" s="109" t="s">
        <v>120</v>
      </c>
      <c r="H3143" s="109">
        <v>31</v>
      </c>
      <c r="I3143" s="109">
        <v>45</v>
      </c>
      <c r="J3143" s="110">
        <v>777</v>
      </c>
    </row>
    <row r="3144" spans="1:10">
      <c r="A3144" s="103" t="s">
        <v>5100</v>
      </c>
      <c r="B3144" s="124" t="s">
        <v>5101</v>
      </c>
      <c r="C3144" s="110">
        <v>22339</v>
      </c>
      <c r="D3144" s="109" t="s">
        <v>120</v>
      </c>
      <c r="E3144" s="109">
        <v>223</v>
      </c>
      <c r="F3144" s="110">
        <v>3356</v>
      </c>
      <c r="G3144" s="109" t="s">
        <v>120</v>
      </c>
      <c r="H3144" s="109">
        <v>15</v>
      </c>
      <c r="I3144" s="109">
        <v>251</v>
      </c>
      <c r="J3144" s="110">
        <v>2136</v>
      </c>
    </row>
    <row r="3145" spans="1:10">
      <c r="A3145" s="103" t="s">
        <v>5102</v>
      </c>
      <c r="B3145" s="124" t="s">
        <v>5103</v>
      </c>
      <c r="C3145" s="110">
        <v>24397</v>
      </c>
      <c r="D3145" s="109" t="s">
        <v>120</v>
      </c>
      <c r="E3145" s="109">
        <v>244</v>
      </c>
      <c r="F3145" s="110">
        <v>6331</v>
      </c>
      <c r="G3145" s="109" t="s">
        <v>120</v>
      </c>
      <c r="H3145" s="109">
        <v>26</v>
      </c>
      <c r="I3145" s="109">
        <v>195</v>
      </c>
      <c r="J3145" s="110">
        <v>1438</v>
      </c>
    </row>
    <row r="3146" spans="1:10">
      <c r="A3146" s="103" t="s">
        <v>5104</v>
      </c>
      <c r="B3146" s="124" t="s">
        <v>5105</v>
      </c>
      <c r="C3146" s="110">
        <v>27480</v>
      </c>
      <c r="D3146" s="109" t="s">
        <v>120</v>
      </c>
      <c r="E3146" s="109">
        <v>275</v>
      </c>
      <c r="F3146" s="110">
        <v>3607</v>
      </c>
      <c r="G3146" s="109" t="s">
        <v>120</v>
      </c>
      <c r="H3146" s="109">
        <v>13</v>
      </c>
      <c r="I3146" s="109">
        <v>133</v>
      </c>
      <c r="J3146" s="110">
        <v>2089</v>
      </c>
    </row>
    <row r="3147" spans="1:10" s="119" customFormat="1">
      <c r="A3147" s="123" t="s">
        <v>120</v>
      </c>
      <c r="B3147" s="275" t="s">
        <v>1101</v>
      </c>
      <c r="C3147" s="276"/>
      <c r="D3147" s="276"/>
      <c r="E3147" s="276"/>
      <c r="F3147" s="276"/>
      <c r="G3147" s="276"/>
      <c r="H3147" s="276"/>
      <c r="I3147" s="276"/>
      <c r="J3147" s="276"/>
    </row>
    <row r="3148" spans="1:10">
      <c r="A3148" s="103" t="s">
        <v>5106</v>
      </c>
      <c r="B3148" s="124" t="s">
        <v>5107</v>
      </c>
      <c r="C3148" s="110">
        <v>23483</v>
      </c>
      <c r="D3148" s="109" t="s">
        <v>120</v>
      </c>
      <c r="E3148" s="109">
        <v>235</v>
      </c>
      <c r="F3148" s="110">
        <v>9055</v>
      </c>
      <c r="G3148" s="109" t="s">
        <v>120</v>
      </c>
      <c r="H3148" s="109">
        <v>39</v>
      </c>
      <c r="I3148" s="109">
        <v>218</v>
      </c>
      <c r="J3148" s="110">
        <v>978</v>
      </c>
    </row>
    <row r="3149" spans="1:10">
      <c r="A3149" s="103" t="s">
        <v>5108</v>
      </c>
      <c r="B3149" s="124" t="s">
        <v>932</v>
      </c>
      <c r="C3149" s="110">
        <v>4643</v>
      </c>
      <c r="D3149" s="109" t="s">
        <v>120</v>
      </c>
      <c r="E3149" s="109">
        <v>46</v>
      </c>
      <c r="F3149" s="110">
        <v>5889</v>
      </c>
      <c r="G3149" s="109" t="s">
        <v>120</v>
      </c>
      <c r="H3149" s="109">
        <v>127</v>
      </c>
      <c r="I3149" s="109" t="s">
        <v>122</v>
      </c>
      <c r="J3149" s="110" t="s">
        <v>122</v>
      </c>
    </row>
    <row r="3150" spans="1:10">
      <c r="A3150" s="103" t="s">
        <v>5109</v>
      </c>
      <c r="B3150" s="124" t="s">
        <v>934</v>
      </c>
      <c r="C3150" s="110">
        <v>18840</v>
      </c>
      <c r="D3150" s="109" t="s">
        <v>120</v>
      </c>
      <c r="E3150" s="109">
        <v>189</v>
      </c>
      <c r="F3150" s="110">
        <v>3166</v>
      </c>
      <c r="G3150" s="109" t="s">
        <v>120</v>
      </c>
      <c r="H3150" s="109">
        <v>17</v>
      </c>
      <c r="I3150" s="109" t="s">
        <v>122</v>
      </c>
      <c r="J3150" s="110" t="s">
        <v>122</v>
      </c>
    </row>
    <row r="3151" spans="1:10">
      <c r="A3151" s="103" t="s">
        <v>5110</v>
      </c>
      <c r="B3151" s="124" t="s">
        <v>5111</v>
      </c>
      <c r="C3151" s="110">
        <v>22403</v>
      </c>
      <c r="D3151" s="109" t="s">
        <v>120</v>
      </c>
      <c r="E3151" s="109">
        <v>224</v>
      </c>
      <c r="F3151" s="110">
        <v>8984</v>
      </c>
      <c r="G3151" s="109" t="s">
        <v>120</v>
      </c>
      <c r="H3151" s="109">
        <v>40</v>
      </c>
      <c r="I3151" s="109">
        <v>250</v>
      </c>
      <c r="J3151" s="110">
        <v>987</v>
      </c>
    </row>
    <row r="3152" spans="1:10">
      <c r="A3152" s="103" t="s">
        <v>5112</v>
      </c>
      <c r="B3152" s="124" t="s">
        <v>932</v>
      </c>
      <c r="C3152" s="110">
        <v>751</v>
      </c>
      <c r="D3152" s="109" t="s">
        <v>120</v>
      </c>
      <c r="E3152" s="109">
        <v>7</v>
      </c>
      <c r="F3152" s="110">
        <v>5066</v>
      </c>
      <c r="G3152" s="109" t="s">
        <v>120</v>
      </c>
      <c r="H3152" s="109">
        <v>675</v>
      </c>
      <c r="I3152" s="109" t="s">
        <v>122</v>
      </c>
      <c r="J3152" s="110" t="s">
        <v>122</v>
      </c>
    </row>
    <row r="3153" spans="1:10">
      <c r="A3153" s="103" t="s">
        <v>5113</v>
      </c>
      <c r="B3153" s="124" t="s">
        <v>934</v>
      </c>
      <c r="C3153" s="110">
        <v>21652</v>
      </c>
      <c r="D3153" s="109" t="s">
        <v>120</v>
      </c>
      <c r="E3153" s="109">
        <v>217</v>
      </c>
      <c r="F3153" s="110">
        <v>3918</v>
      </c>
      <c r="G3153" s="109" t="s">
        <v>120</v>
      </c>
      <c r="H3153" s="109">
        <v>18</v>
      </c>
      <c r="I3153" s="109" t="s">
        <v>122</v>
      </c>
      <c r="J3153" s="110" t="s">
        <v>122</v>
      </c>
    </row>
    <row r="3154" spans="1:10" s="119" customFormat="1">
      <c r="A3154" s="123" t="s">
        <v>120</v>
      </c>
      <c r="B3154" s="273" t="s">
        <v>5114</v>
      </c>
      <c r="C3154" s="274"/>
      <c r="D3154" s="274"/>
      <c r="E3154" s="274"/>
      <c r="F3154" s="274"/>
      <c r="G3154" s="274"/>
      <c r="H3154" s="274"/>
      <c r="I3154" s="274"/>
      <c r="J3154" s="274"/>
    </row>
    <row r="3155" spans="1:10" s="119" customFormat="1">
      <c r="A3155" s="123" t="s">
        <v>120</v>
      </c>
      <c r="B3155" s="275" t="s">
        <v>922</v>
      </c>
      <c r="C3155" s="276"/>
      <c r="D3155" s="276"/>
      <c r="E3155" s="276"/>
      <c r="F3155" s="276"/>
      <c r="G3155" s="276"/>
      <c r="H3155" s="276"/>
      <c r="I3155" s="276"/>
      <c r="J3155" s="276"/>
    </row>
    <row r="3156" spans="1:10">
      <c r="A3156" s="103" t="s">
        <v>5115</v>
      </c>
      <c r="B3156" s="124" t="s">
        <v>5116</v>
      </c>
      <c r="C3156" s="110">
        <v>1647</v>
      </c>
      <c r="D3156" s="109" t="s">
        <v>120</v>
      </c>
      <c r="E3156" s="109">
        <v>16</v>
      </c>
      <c r="F3156" s="110">
        <v>31326</v>
      </c>
      <c r="G3156" s="109" t="s">
        <v>120</v>
      </c>
      <c r="H3156" s="109">
        <v>1902</v>
      </c>
      <c r="I3156" s="109">
        <v>2265</v>
      </c>
      <c r="J3156" s="110">
        <v>179</v>
      </c>
    </row>
    <row r="3157" spans="1:10" s="119" customFormat="1">
      <c r="A3157" s="123" t="s">
        <v>120</v>
      </c>
      <c r="B3157" s="275" t="s">
        <v>924</v>
      </c>
      <c r="C3157" s="276"/>
      <c r="D3157" s="276"/>
      <c r="E3157" s="276"/>
      <c r="F3157" s="276"/>
      <c r="G3157" s="276"/>
      <c r="H3157" s="276"/>
      <c r="I3157" s="276"/>
      <c r="J3157" s="276"/>
    </row>
    <row r="3158" spans="1:10">
      <c r="A3158" s="103" t="s">
        <v>5117</v>
      </c>
      <c r="B3158" s="124" t="s">
        <v>5118</v>
      </c>
      <c r="C3158" s="110">
        <v>12427</v>
      </c>
      <c r="D3158" s="109" t="s">
        <v>120</v>
      </c>
      <c r="E3158" s="109">
        <v>124</v>
      </c>
      <c r="F3158" s="110">
        <v>6965</v>
      </c>
      <c r="G3158" s="109" t="s">
        <v>120</v>
      </c>
      <c r="H3158" s="109">
        <v>56</v>
      </c>
      <c r="I3158" s="109">
        <v>990</v>
      </c>
      <c r="J3158" s="110">
        <v>1301</v>
      </c>
    </row>
    <row r="3159" spans="1:10">
      <c r="A3159" s="103" t="s">
        <v>5119</v>
      </c>
      <c r="B3159" s="124" t="s">
        <v>5120</v>
      </c>
      <c r="C3159" s="110">
        <v>8266</v>
      </c>
      <c r="D3159" s="109" t="s">
        <v>120</v>
      </c>
      <c r="E3159" s="109">
        <v>83</v>
      </c>
      <c r="F3159" s="110">
        <v>17839</v>
      </c>
      <c r="G3159" s="109" t="s">
        <v>120</v>
      </c>
      <c r="H3159" s="109">
        <v>216</v>
      </c>
      <c r="I3159" s="109">
        <v>1662</v>
      </c>
      <c r="J3159" s="110">
        <v>405</v>
      </c>
    </row>
    <row r="3160" spans="1:10">
      <c r="A3160" s="103" t="s">
        <v>5121</v>
      </c>
      <c r="B3160" s="124" t="s">
        <v>5116</v>
      </c>
      <c r="C3160" s="110">
        <v>14380</v>
      </c>
      <c r="D3160" s="109" t="s">
        <v>120</v>
      </c>
      <c r="E3160" s="109">
        <v>144</v>
      </c>
      <c r="F3160" s="110">
        <v>31321</v>
      </c>
      <c r="G3160" s="109" t="s">
        <v>120</v>
      </c>
      <c r="H3160" s="109">
        <v>218</v>
      </c>
      <c r="I3160" s="109">
        <v>744</v>
      </c>
      <c r="J3160" s="110">
        <v>180</v>
      </c>
    </row>
    <row r="3161" spans="1:10">
      <c r="A3161" s="103" t="s">
        <v>5122</v>
      </c>
      <c r="B3161" s="124" t="s">
        <v>5123</v>
      </c>
      <c r="C3161" s="110">
        <v>12934</v>
      </c>
      <c r="D3161" s="109" t="s">
        <v>120</v>
      </c>
      <c r="E3161" s="109">
        <v>129</v>
      </c>
      <c r="F3161" s="110">
        <v>5957</v>
      </c>
      <c r="G3161" s="109" t="s">
        <v>120</v>
      </c>
      <c r="H3161" s="109">
        <v>46</v>
      </c>
      <c r="I3161" s="109">
        <v>918</v>
      </c>
      <c r="J3161" s="110">
        <v>1521</v>
      </c>
    </row>
    <row r="3162" spans="1:10">
      <c r="A3162" s="103" t="s">
        <v>5124</v>
      </c>
      <c r="B3162" s="124" t="s">
        <v>5125</v>
      </c>
      <c r="C3162" s="110">
        <v>5012</v>
      </c>
      <c r="D3162" s="109" t="s">
        <v>120</v>
      </c>
      <c r="E3162" s="109">
        <v>50</v>
      </c>
      <c r="F3162" s="110">
        <v>9713</v>
      </c>
      <c r="G3162" s="109" t="s">
        <v>120</v>
      </c>
      <c r="H3162" s="109">
        <v>194</v>
      </c>
      <c r="I3162" s="109">
        <v>2019</v>
      </c>
      <c r="J3162" s="110">
        <v>902</v>
      </c>
    </row>
    <row r="3163" spans="1:10">
      <c r="A3163" s="103" t="s">
        <v>5126</v>
      </c>
      <c r="B3163" s="124" t="s">
        <v>5127</v>
      </c>
      <c r="C3163" s="110">
        <v>8451</v>
      </c>
      <c r="D3163" s="109" t="s">
        <v>120</v>
      </c>
      <c r="E3163" s="109">
        <v>85</v>
      </c>
      <c r="F3163" s="110">
        <v>4223</v>
      </c>
      <c r="G3163" s="109" t="s">
        <v>120</v>
      </c>
      <c r="H3163" s="109">
        <v>50</v>
      </c>
      <c r="I3163" s="109">
        <v>1629</v>
      </c>
      <c r="J3163" s="110">
        <v>1947</v>
      </c>
    </row>
    <row r="3164" spans="1:10">
      <c r="A3164" s="103" t="s">
        <v>5128</v>
      </c>
      <c r="B3164" s="124" t="s">
        <v>5129</v>
      </c>
      <c r="C3164" s="110">
        <v>16258</v>
      </c>
      <c r="D3164" s="109" t="s">
        <v>120</v>
      </c>
      <c r="E3164" s="109">
        <v>163</v>
      </c>
      <c r="F3164" s="110">
        <v>11145</v>
      </c>
      <c r="G3164" s="109" t="s">
        <v>120</v>
      </c>
      <c r="H3164" s="109">
        <v>69</v>
      </c>
      <c r="I3164" s="109">
        <v>575</v>
      </c>
      <c r="J3164" s="110">
        <v>773</v>
      </c>
    </row>
    <row r="3165" spans="1:10" s="119" customFormat="1">
      <c r="A3165" s="123" t="s">
        <v>120</v>
      </c>
      <c r="B3165" s="273" t="s">
        <v>5130</v>
      </c>
      <c r="C3165" s="274"/>
      <c r="D3165" s="274"/>
      <c r="E3165" s="274"/>
      <c r="F3165" s="274"/>
      <c r="G3165" s="274"/>
      <c r="H3165" s="274"/>
      <c r="I3165" s="274"/>
      <c r="J3165" s="274"/>
    </row>
    <row r="3166" spans="1:10" s="119" customFormat="1">
      <c r="A3166" s="123" t="s">
        <v>120</v>
      </c>
      <c r="B3166" s="275" t="s">
        <v>943</v>
      </c>
      <c r="C3166" s="276"/>
      <c r="D3166" s="276"/>
      <c r="E3166" s="276"/>
      <c r="F3166" s="276"/>
      <c r="G3166" s="276"/>
      <c r="H3166" s="276"/>
      <c r="I3166" s="276"/>
      <c r="J3166" s="276"/>
    </row>
    <row r="3167" spans="1:10">
      <c r="A3167" s="103" t="s">
        <v>5131</v>
      </c>
      <c r="B3167" s="124" t="s">
        <v>5132</v>
      </c>
      <c r="C3167" s="110">
        <v>7861</v>
      </c>
      <c r="D3167" s="109" t="s">
        <v>120</v>
      </c>
      <c r="E3167" s="109">
        <v>79</v>
      </c>
      <c r="F3167" s="110">
        <v>7805</v>
      </c>
      <c r="G3167" s="109" t="s">
        <v>120</v>
      </c>
      <c r="H3167" s="109">
        <v>99</v>
      </c>
      <c r="I3167" s="109">
        <v>1720</v>
      </c>
      <c r="J3167" s="110">
        <v>1154</v>
      </c>
    </row>
    <row r="3168" spans="1:10">
      <c r="A3168" s="103" t="s">
        <v>5133</v>
      </c>
      <c r="B3168" s="124" t="s">
        <v>5134</v>
      </c>
      <c r="C3168" s="110">
        <v>8518</v>
      </c>
      <c r="D3168" s="109" t="s">
        <v>120</v>
      </c>
      <c r="E3168" s="109">
        <v>85</v>
      </c>
      <c r="F3168" s="110">
        <v>9663</v>
      </c>
      <c r="G3168" s="109" t="s">
        <v>120</v>
      </c>
      <c r="H3168" s="109">
        <v>113</v>
      </c>
      <c r="I3168" s="109">
        <v>1615</v>
      </c>
      <c r="J3168" s="110">
        <v>911</v>
      </c>
    </row>
    <row r="3169" spans="1:10">
      <c r="A3169" s="103" t="s">
        <v>5135</v>
      </c>
      <c r="B3169" s="124" t="s">
        <v>5136</v>
      </c>
      <c r="C3169" s="110">
        <v>18222</v>
      </c>
      <c r="D3169" s="109" t="s">
        <v>120</v>
      </c>
      <c r="E3169" s="109">
        <v>183</v>
      </c>
      <c r="F3169" s="110">
        <v>20054</v>
      </c>
      <c r="G3169" s="109" t="s">
        <v>120</v>
      </c>
      <c r="H3169" s="109">
        <v>110</v>
      </c>
      <c r="I3169" s="109">
        <v>437</v>
      </c>
      <c r="J3169" s="110">
        <v>342</v>
      </c>
    </row>
    <row r="3170" spans="1:10">
      <c r="A3170" s="103" t="s">
        <v>5137</v>
      </c>
      <c r="B3170" s="124" t="s">
        <v>5138</v>
      </c>
      <c r="C3170" s="110">
        <v>11211</v>
      </c>
      <c r="D3170" s="109" t="s">
        <v>120</v>
      </c>
      <c r="E3170" s="109">
        <v>112</v>
      </c>
      <c r="F3170" s="110">
        <v>10814</v>
      </c>
      <c r="G3170" s="109" t="s">
        <v>120</v>
      </c>
      <c r="H3170" s="109">
        <v>96</v>
      </c>
      <c r="I3170" s="109">
        <v>1174</v>
      </c>
      <c r="J3170" s="110">
        <v>802</v>
      </c>
    </row>
    <row r="3171" spans="1:10">
      <c r="A3171" s="103" t="s">
        <v>5139</v>
      </c>
      <c r="B3171" s="124" t="s">
        <v>2140</v>
      </c>
      <c r="C3171" s="110">
        <v>16047</v>
      </c>
      <c r="D3171" s="109" t="s">
        <v>120</v>
      </c>
      <c r="E3171" s="109">
        <v>161</v>
      </c>
      <c r="F3171" s="110">
        <v>10664</v>
      </c>
      <c r="G3171" s="109" t="s">
        <v>120</v>
      </c>
      <c r="H3171" s="109">
        <v>66</v>
      </c>
      <c r="I3171" s="109">
        <v>592</v>
      </c>
      <c r="J3171" s="110">
        <v>815</v>
      </c>
    </row>
    <row r="3172" spans="1:10">
      <c r="A3172" s="103" t="s">
        <v>5140</v>
      </c>
      <c r="B3172" s="124" t="s">
        <v>5141</v>
      </c>
      <c r="C3172" s="110">
        <v>13146</v>
      </c>
      <c r="D3172" s="109" t="s">
        <v>120</v>
      </c>
      <c r="E3172" s="109">
        <v>131</v>
      </c>
      <c r="F3172" s="110">
        <v>5547</v>
      </c>
      <c r="G3172" s="109" t="s">
        <v>120</v>
      </c>
      <c r="H3172" s="109">
        <v>42</v>
      </c>
      <c r="I3172" s="109">
        <v>890</v>
      </c>
      <c r="J3172" s="110">
        <v>1604</v>
      </c>
    </row>
    <row r="3173" spans="1:10" s="119" customFormat="1">
      <c r="A3173" s="123" t="s">
        <v>120</v>
      </c>
      <c r="B3173" s="275" t="s">
        <v>947</v>
      </c>
      <c r="C3173" s="276"/>
      <c r="D3173" s="276"/>
      <c r="E3173" s="276"/>
      <c r="F3173" s="276"/>
      <c r="G3173" s="276"/>
      <c r="H3173" s="276"/>
      <c r="I3173" s="276"/>
      <c r="J3173" s="276"/>
    </row>
    <row r="3174" spans="1:10">
      <c r="A3174" s="103" t="s">
        <v>5142</v>
      </c>
      <c r="B3174" s="124" t="s">
        <v>5143</v>
      </c>
      <c r="C3174" s="110">
        <v>20645</v>
      </c>
      <c r="D3174" s="109" t="s">
        <v>120</v>
      </c>
      <c r="E3174" s="109">
        <v>206</v>
      </c>
      <c r="F3174" s="110">
        <v>34013</v>
      </c>
      <c r="G3174" s="109" t="s">
        <v>120</v>
      </c>
      <c r="H3174" s="109">
        <v>165</v>
      </c>
      <c r="I3174" s="109">
        <v>309</v>
      </c>
      <c r="J3174" s="110">
        <v>159</v>
      </c>
    </row>
    <row r="3175" spans="1:10">
      <c r="A3175" s="103" t="s">
        <v>5144</v>
      </c>
      <c r="B3175" s="124" t="s">
        <v>932</v>
      </c>
      <c r="C3175" s="110">
        <v>735</v>
      </c>
      <c r="D3175" s="109" t="s">
        <v>120</v>
      </c>
      <c r="E3175" s="109">
        <v>7</v>
      </c>
      <c r="F3175" s="110">
        <v>14483</v>
      </c>
      <c r="G3175" s="109" t="s">
        <v>120</v>
      </c>
      <c r="H3175" s="109">
        <v>1970</v>
      </c>
      <c r="I3175" s="109" t="s">
        <v>122</v>
      </c>
      <c r="J3175" s="110" t="s">
        <v>122</v>
      </c>
    </row>
    <row r="3176" spans="1:10">
      <c r="A3176" s="103" t="s">
        <v>5145</v>
      </c>
      <c r="B3176" s="124" t="s">
        <v>934</v>
      </c>
      <c r="C3176" s="110">
        <v>19910</v>
      </c>
      <c r="D3176" s="109" t="s">
        <v>120</v>
      </c>
      <c r="E3176" s="109">
        <v>199</v>
      </c>
      <c r="F3176" s="110">
        <v>19530</v>
      </c>
      <c r="G3176" s="109" t="s">
        <v>120</v>
      </c>
      <c r="H3176" s="109">
        <v>98</v>
      </c>
      <c r="I3176" s="109" t="s">
        <v>122</v>
      </c>
      <c r="J3176" s="110" t="s">
        <v>122</v>
      </c>
    </row>
    <row r="3177" spans="1:10">
      <c r="A3177" s="103" t="s">
        <v>5146</v>
      </c>
      <c r="B3177" s="124" t="s">
        <v>5147</v>
      </c>
      <c r="C3177" s="110">
        <v>16404</v>
      </c>
      <c r="D3177" s="109" t="s">
        <v>120</v>
      </c>
      <c r="E3177" s="109">
        <v>164</v>
      </c>
      <c r="F3177" s="110">
        <v>40837</v>
      </c>
      <c r="G3177" s="109" t="s">
        <v>120</v>
      </c>
      <c r="H3177" s="109">
        <v>249</v>
      </c>
      <c r="I3177" s="109">
        <v>560</v>
      </c>
      <c r="J3177" s="110">
        <v>125</v>
      </c>
    </row>
    <row r="3178" spans="1:10">
      <c r="A3178" s="103" t="s">
        <v>5148</v>
      </c>
      <c r="B3178" s="124" t="s">
        <v>932</v>
      </c>
      <c r="C3178" s="110">
        <v>473</v>
      </c>
      <c r="D3178" s="109" t="s">
        <v>120</v>
      </c>
      <c r="E3178" s="109">
        <v>5</v>
      </c>
      <c r="F3178" s="110">
        <v>6689</v>
      </c>
      <c r="G3178" s="109" t="s">
        <v>120</v>
      </c>
      <c r="H3178" s="109">
        <v>1414</v>
      </c>
      <c r="I3178" s="109" t="s">
        <v>122</v>
      </c>
      <c r="J3178" s="110" t="s">
        <v>122</v>
      </c>
    </row>
    <row r="3179" spans="1:10">
      <c r="A3179" s="103" t="s">
        <v>5149</v>
      </c>
      <c r="B3179" s="124" t="s">
        <v>934</v>
      </c>
      <c r="C3179" s="110">
        <v>15931</v>
      </c>
      <c r="D3179" s="109" t="s">
        <v>120</v>
      </c>
      <c r="E3179" s="109">
        <v>159</v>
      </c>
      <c r="F3179" s="110">
        <v>34148</v>
      </c>
      <c r="G3179" s="109" t="s">
        <v>120</v>
      </c>
      <c r="H3179" s="109">
        <v>214</v>
      </c>
      <c r="I3179" s="109" t="s">
        <v>122</v>
      </c>
      <c r="J3179" s="110" t="s">
        <v>122</v>
      </c>
    </row>
    <row r="3180" spans="1:10" s="119" customFormat="1">
      <c r="A3180" s="123" t="s">
        <v>120</v>
      </c>
      <c r="B3180" s="273" t="s">
        <v>5150</v>
      </c>
      <c r="C3180" s="274"/>
      <c r="D3180" s="274"/>
      <c r="E3180" s="274"/>
      <c r="F3180" s="274"/>
      <c r="G3180" s="274"/>
      <c r="H3180" s="274"/>
      <c r="I3180" s="274"/>
      <c r="J3180" s="274"/>
    </row>
    <row r="3181" spans="1:10" s="119" customFormat="1">
      <c r="A3181" s="123" t="s">
        <v>120</v>
      </c>
      <c r="B3181" s="275" t="s">
        <v>922</v>
      </c>
      <c r="C3181" s="276"/>
      <c r="D3181" s="276"/>
      <c r="E3181" s="276"/>
      <c r="F3181" s="276"/>
      <c r="G3181" s="276"/>
      <c r="H3181" s="276"/>
      <c r="I3181" s="276"/>
      <c r="J3181" s="276"/>
    </row>
    <row r="3182" spans="1:10">
      <c r="A3182" s="103" t="s">
        <v>5151</v>
      </c>
      <c r="B3182" s="124" t="s">
        <v>5152</v>
      </c>
      <c r="C3182" s="110">
        <v>1586</v>
      </c>
      <c r="D3182" s="109" t="s">
        <v>120</v>
      </c>
      <c r="E3182" s="109">
        <v>16</v>
      </c>
      <c r="F3182" s="110">
        <v>23742</v>
      </c>
      <c r="G3182" s="109" t="s">
        <v>120</v>
      </c>
      <c r="H3182" s="109">
        <v>1497</v>
      </c>
      <c r="I3182" s="109">
        <v>2273</v>
      </c>
      <c r="J3182" s="110">
        <v>272</v>
      </c>
    </row>
    <row r="3183" spans="1:10" s="119" customFormat="1">
      <c r="A3183" s="123" t="s">
        <v>120</v>
      </c>
      <c r="B3183" s="275" t="s">
        <v>943</v>
      </c>
      <c r="C3183" s="276"/>
      <c r="D3183" s="276"/>
      <c r="E3183" s="276"/>
      <c r="F3183" s="276"/>
      <c r="G3183" s="276"/>
      <c r="H3183" s="276"/>
      <c r="I3183" s="276"/>
      <c r="J3183" s="276"/>
    </row>
    <row r="3184" spans="1:10">
      <c r="A3184" s="103" t="s">
        <v>5153</v>
      </c>
      <c r="B3184" s="124" t="s">
        <v>5154</v>
      </c>
      <c r="C3184" s="110">
        <v>12538</v>
      </c>
      <c r="D3184" s="109" t="s">
        <v>120</v>
      </c>
      <c r="E3184" s="109">
        <v>125</v>
      </c>
      <c r="F3184" s="110">
        <v>4410</v>
      </c>
      <c r="G3184" s="109" t="s">
        <v>120</v>
      </c>
      <c r="H3184" s="109">
        <v>35</v>
      </c>
      <c r="I3184" s="109">
        <v>974</v>
      </c>
      <c r="J3184" s="110">
        <v>1887</v>
      </c>
    </row>
    <row r="3185" spans="1:10">
      <c r="A3185" s="103" t="s">
        <v>5155</v>
      </c>
      <c r="B3185" s="124" t="s">
        <v>5156</v>
      </c>
      <c r="C3185" s="110">
        <v>16943</v>
      </c>
      <c r="D3185" s="109" t="s">
        <v>120</v>
      </c>
      <c r="E3185" s="109">
        <v>169</v>
      </c>
      <c r="F3185" s="110">
        <v>6239</v>
      </c>
      <c r="G3185" s="109" t="s">
        <v>120</v>
      </c>
      <c r="H3185" s="109">
        <v>37</v>
      </c>
      <c r="I3185" s="109">
        <v>527</v>
      </c>
      <c r="J3185" s="110">
        <v>1452</v>
      </c>
    </row>
    <row r="3186" spans="1:10">
      <c r="A3186" s="103" t="s">
        <v>5157</v>
      </c>
      <c r="B3186" s="124" t="s">
        <v>5152</v>
      </c>
      <c r="C3186" s="110">
        <v>30989</v>
      </c>
      <c r="D3186" s="109" t="s">
        <v>120</v>
      </c>
      <c r="E3186" s="109">
        <v>311</v>
      </c>
      <c r="F3186" s="110">
        <v>16091</v>
      </c>
      <c r="G3186" s="109" t="s">
        <v>120</v>
      </c>
      <c r="H3186" s="109">
        <v>52</v>
      </c>
      <c r="I3186" s="109">
        <v>88</v>
      </c>
      <c r="J3186" s="110">
        <v>472</v>
      </c>
    </row>
    <row r="3187" spans="1:10">
      <c r="A3187" s="103" t="s">
        <v>5158</v>
      </c>
      <c r="B3187" s="124" t="s">
        <v>5159</v>
      </c>
      <c r="C3187" s="110">
        <v>11003</v>
      </c>
      <c r="D3187" s="109" t="s">
        <v>120</v>
      </c>
      <c r="E3187" s="109">
        <v>110</v>
      </c>
      <c r="F3187" s="110">
        <v>4597</v>
      </c>
      <c r="G3187" s="109" t="s">
        <v>120</v>
      </c>
      <c r="H3187" s="109">
        <v>42</v>
      </c>
      <c r="I3187" s="109">
        <v>1226</v>
      </c>
      <c r="J3187" s="110">
        <v>1843</v>
      </c>
    </row>
    <row r="3188" spans="1:10">
      <c r="A3188" s="103" t="s">
        <v>5160</v>
      </c>
      <c r="B3188" s="124" t="s">
        <v>5161</v>
      </c>
      <c r="C3188" s="110">
        <v>10895</v>
      </c>
      <c r="D3188" s="109" t="s">
        <v>120</v>
      </c>
      <c r="E3188" s="109">
        <v>109</v>
      </c>
      <c r="F3188" s="110">
        <v>3744</v>
      </c>
      <c r="G3188" s="109" t="s">
        <v>120</v>
      </c>
      <c r="H3188" s="109">
        <v>34</v>
      </c>
      <c r="I3188" s="109">
        <v>1240</v>
      </c>
      <c r="J3188" s="110">
        <v>2058</v>
      </c>
    </row>
    <row r="3189" spans="1:10">
      <c r="A3189" s="103" t="s">
        <v>5162</v>
      </c>
      <c r="B3189" s="124" t="s">
        <v>5163</v>
      </c>
      <c r="C3189" s="110">
        <v>11340</v>
      </c>
      <c r="D3189" s="109" t="s">
        <v>120</v>
      </c>
      <c r="E3189" s="109">
        <v>113</v>
      </c>
      <c r="F3189" s="110">
        <v>7049</v>
      </c>
      <c r="G3189" s="109" t="s">
        <v>120</v>
      </c>
      <c r="H3189" s="109">
        <v>62</v>
      </c>
      <c r="I3189" s="109">
        <v>1153</v>
      </c>
      <c r="J3189" s="110">
        <v>1285</v>
      </c>
    </row>
    <row r="3190" spans="1:10">
      <c r="A3190" s="103" t="s">
        <v>5164</v>
      </c>
      <c r="B3190" s="124" t="s">
        <v>5165</v>
      </c>
      <c r="C3190" s="110">
        <v>21273</v>
      </c>
      <c r="D3190" s="109" t="s">
        <v>120</v>
      </c>
      <c r="E3190" s="109">
        <v>213</v>
      </c>
      <c r="F3190" s="110">
        <v>6816</v>
      </c>
      <c r="G3190" s="109" t="s">
        <v>120</v>
      </c>
      <c r="H3190" s="109">
        <v>32</v>
      </c>
      <c r="I3190" s="109">
        <v>282</v>
      </c>
      <c r="J3190" s="110">
        <v>1337</v>
      </c>
    </row>
    <row r="3191" spans="1:10" s="119" customFormat="1">
      <c r="A3191" s="123" t="s">
        <v>120</v>
      </c>
      <c r="B3191" s="273" t="s">
        <v>5166</v>
      </c>
      <c r="C3191" s="274"/>
      <c r="D3191" s="274"/>
      <c r="E3191" s="274"/>
      <c r="F3191" s="274"/>
      <c r="G3191" s="274"/>
      <c r="H3191" s="274"/>
      <c r="I3191" s="274"/>
      <c r="J3191" s="274"/>
    </row>
    <row r="3192" spans="1:10" s="119" customFormat="1">
      <c r="A3192" s="123" t="s">
        <v>120</v>
      </c>
      <c r="B3192" s="275" t="s">
        <v>1019</v>
      </c>
      <c r="C3192" s="276"/>
      <c r="D3192" s="276"/>
      <c r="E3192" s="276"/>
      <c r="F3192" s="276"/>
      <c r="G3192" s="276"/>
      <c r="H3192" s="276"/>
      <c r="I3192" s="276"/>
      <c r="J3192" s="276"/>
    </row>
    <row r="3193" spans="1:10">
      <c r="A3193" s="103" t="s">
        <v>5167</v>
      </c>
      <c r="B3193" s="124" t="s">
        <v>5168</v>
      </c>
      <c r="C3193" s="110">
        <v>2154</v>
      </c>
      <c r="D3193" s="109" t="s">
        <v>120</v>
      </c>
      <c r="E3193" s="109">
        <v>22</v>
      </c>
      <c r="F3193" s="110">
        <v>38418</v>
      </c>
      <c r="G3193" s="109" t="s">
        <v>120</v>
      </c>
      <c r="H3193" s="109">
        <v>1784</v>
      </c>
      <c r="I3193" s="109">
        <v>2221</v>
      </c>
      <c r="J3193" s="110">
        <v>134</v>
      </c>
    </row>
    <row r="3194" spans="1:10" s="119" customFormat="1">
      <c r="A3194" s="123" t="s">
        <v>120</v>
      </c>
      <c r="B3194" s="275" t="s">
        <v>943</v>
      </c>
      <c r="C3194" s="276"/>
      <c r="D3194" s="276"/>
      <c r="E3194" s="276"/>
      <c r="F3194" s="276"/>
      <c r="G3194" s="276"/>
      <c r="H3194" s="276"/>
      <c r="I3194" s="276"/>
      <c r="J3194" s="276"/>
    </row>
    <row r="3195" spans="1:10">
      <c r="A3195" s="103" t="s">
        <v>5169</v>
      </c>
      <c r="B3195" s="124" t="s">
        <v>5170</v>
      </c>
      <c r="C3195" s="110">
        <v>19270</v>
      </c>
      <c r="D3195" s="109" t="s">
        <v>120</v>
      </c>
      <c r="E3195" s="109">
        <v>193</v>
      </c>
      <c r="F3195" s="110">
        <v>8421</v>
      </c>
      <c r="G3195" s="109" t="s">
        <v>120</v>
      </c>
      <c r="H3195" s="109">
        <v>44</v>
      </c>
      <c r="I3195" s="109">
        <v>381</v>
      </c>
      <c r="J3195" s="110">
        <v>1062</v>
      </c>
    </row>
    <row r="3196" spans="1:10">
      <c r="A3196" s="103" t="s">
        <v>5171</v>
      </c>
      <c r="B3196" s="124" t="s">
        <v>5168</v>
      </c>
      <c r="C3196" s="110">
        <v>20737</v>
      </c>
      <c r="D3196" s="109" t="s">
        <v>120</v>
      </c>
      <c r="E3196" s="109">
        <v>207</v>
      </c>
      <c r="F3196" s="110">
        <v>11429</v>
      </c>
      <c r="G3196" s="109" t="s">
        <v>120</v>
      </c>
      <c r="H3196" s="109">
        <v>55</v>
      </c>
      <c r="I3196" s="109">
        <v>305</v>
      </c>
      <c r="J3196" s="110">
        <v>749</v>
      </c>
    </row>
    <row r="3197" spans="1:10">
      <c r="A3197" s="103" t="s">
        <v>5172</v>
      </c>
      <c r="B3197" s="124" t="s">
        <v>5173</v>
      </c>
      <c r="C3197" s="110">
        <v>10371</v>
      </c>
      <c r="D3197" s="109" t="s">
        <v>120</v>
      </c>
      <c r="E3197" s="109">
        <v>104</v>
      </c>
      <c r="F3197" s="110">
        <v>5831</v>
      </c>
      <c r="G3197" s="109" t="s">
        <v>120</v>
      </c>
      <c r="H3197" s="109">
        <v>56</v>
      </c>
      <c r="I3197" s="109">
        <v>1324</v>
      </c>
      <c r="J3197" s="110">
        <v>1548</v>
      </c>
    </row>
    <row r="3198" spans="1:10">
      <c r="A3198" s="103" t="s">
        <v>5174</v>
      </c>
      <c r="B3198" s="124" t="s">
        <v>5175</v>
      </c>
      <c r="C3198" s="110">
        <v>11225</v>
      </c>
      <c r="D3198" s="109" t="s">
        <v>120</v>
      </c>
      <c r="E3198" s="109">
        <v>112</v>
      </c>
      <c r="F3198" s="110">
        <v>5984</v>
      </c>
      <c r="G3198" s="109" t="s">
        <v>120</v>
      </c>
      <c r="H3198" s="109">
        <v>53</v>
      </c>
      <c r="I3198" s="109">
        <v>1171</v>
      </c>
      <c r="J3198" s="110">
        <v>1509</v>
      </c>
    </row>
    <row r="3199" spans="1:10" s="119" customFormat="1">
      <c r="A3199" s="123" t="s">
        <v>120</v>
      </c>
      <c r="B3199" s="275" t="s">
        <v>929</v>
      </c>
      <c r="C3199" s="276"/>
      <c r="D3199" s="276"/>
      <c r="E3199" s="276"/>
      <c r="F3199" s="276"/>
      <c r="G3199" s="276"/>
      <c r="H3199" s="276"/>
      <c r="I3199" s="276"/>
      <c r="J3199" s="276"/>
    </row>
    <row r="3200" spans="1:10">
      <c r="A3200" s="103" t="s">
        <v>5176</v>
      </c>
      <c r="B3200" s="124" t="s">
        <v>5177</v>
      </c>
      <c r="C3200" s="110">
        <v>19713</v>
      </c>
      <c r="D3200" s="109" t="s">
        <v>120</v>
      </c>
      <c r="E3200" s="109">
        <v>197</v>
      </c>
      <c r="F3200" s="110">
        <v>13091</v>
      </c>
      <c r="G3200" s="109" t="s">
        <v>120</v>
      </c>
      <c r="H3200" s="109">
        <v>66</v>
      </c>
      <c r="I3200" s="109">
        <v>363</v>
      </c>
      <c r="J3200" s="110">
        <v>624</v>
      </c>
    </row>
    <row r="3201" spans="1:10">
      <c r="A3201" s="103" t="s">
        <v>5178</v>
      </c>
      <c r="B3201" s="124" t="s">
        <v>932</v>
      </c>
      <c r="C3201" s="110">
        <v>729</v>
      </c>
      <c r="D3201" s="109" t="s">
        <v>120</v>
      </c>
      <c r="E3201" s="109">
        <v>7</v>
      </c>
      <c r="F3201" s="110">
        <v>8684</v>
      </c>
      <c r="G3201" s="109" t="s">
        <v>120</v>
      </c>
      <c r="H3201" s="109">
        <v>1191</v>
      </c>
      <c r="I3201" s="109" t="s">
        <v>122</v>
      </c>
      <c r="J3201" s="110" t="s">
        <v>122</v>
      </c>
    </row>
    <row r="3202" spans="1:10">
      <c r="A3202" s="103" t="s">
        <v>5179</v>
      </c>
      <c r="B3202" s="124" t="s">
        <v>934</v>
      </c>
      <c r="C3202" s="110">
        <v>18984</v>
      </c>
      <c r="D3202" s="109" t="s">
        <v>120</v>
      </c>
      <c r="E3202" s="109">
        <v>190</v>
      </c>
      <c r="F3202" s="110">
        <v>4407</v>
      </c>
      <c r="G3202" s="109" t="s">
        <v>120</v>
      </c>
      <c r="H3202" s="109">
        <v>23</v>
      </c>
      <c r="I3202" s="109" t="s">
        <v>122</v>
      </c>
      <c r="J3202" s="110" t="s">
        <v>122</v>
      </c>
    </row>
    <row r="3203" spans="1:10" s="119" customFormat="1">
      <c r="A3203" s="123" t="s">
        <v>120</v>
      </c>
      <c r="B3203" s="273" t="s">
        <v>5180</v>
      </c>
      <c r="C3203" s="274"/>
      <c r="D3203" s="274"/>
      <c r="E3203" s="274"/>
      <c r="F3203" s="274"/>
      <c r="G3203" s="274"/>
      <c r="H3203" s="274"/>
      <c r="I3203" s="274"/>
      <c r="J3203" s="274"/>
    </row>
    <row r="3204" spans="1:10" s="119" customFormat="1">
      <c r="A3204" s="123" t="s">
        <v>120</v>
      </c>
      <c r="B3204" s="275" t="s">
        <v>1032</v>
      </c>
      <c r="C3204" s="276"/>
      <c r="D3204" s="276"/>
      <c r="E3204" s="276"/>
      <c r="F3204" s="276"/>
      <c r="G3204" s="276"/>
      <c r="H3204" s="276"/>
      <c r="I3204" s="276"/>
      <c r="J3204" s="276"/>
    </row>
    <row r="3205" spans="1:10">
      <c r="A3205" s="103" t="s">
        <v>5181</v>
      </c>
      <c r="B3205" s="124" t="s">
        <v>5182</v>
      </c>
      <c r="C3205" s="110">
        <v>1786</v>
      </c>
      <c r="D3205" s="109" t="s">
        <v>120</v>
      </c>
      <c r="E3205" s="109">
        <v>18</v>
      </c>
      <c r="F3205" s="110">
        <v>35273</v>
      </c>
      <c r="G3205" s="109" t="s">
        <v>120</v>
      </c>
      <c r="H3205" s="109">
        <v>1975</v>
      </c>
      <c r="I3205" s="109">
        <v>2255</v>
      </c>
      <c r="J3205" s="110">
        <v>151</v>
      </c>
    </row>
    <row r="3206" spans="1:10">
      <c r="A3206" s="103" t="s">
        <v>5183</v>
      </c>
      <c r="B3206" s="124" t="s">
        <v>5184</v>
      </c>
      <c r="C3206" s="110">
        <v>1656</v>
      </c>
      <c r="D3206" s="109" t="s">
        <v>120</v>
      </c>
      <c r="E3206" s="109">
        <v>17</v>
      </c>
      <c r="F3206" s="110">
        <v>3601</v>
      </c>
      <c r="G3206" s="109" t="s">
        <v>120</v>
      </c>
      <c r="H3206" s="109">
        <v>217</v>
      </c>
      <c r="I3206" s="109">
        <v>2264</v>
      </c>
      <c r="J3206" s="110">
        <v>2090</v>
      </c>
    </row>
    <row r="3207" spans="1:10" s="119" customFormat="1">
      <c r="A3207" s="123" t="s">
        <v>120</v>
      </c>
      <c r="B3207" s="275" t="s">
        <v>943</v>
      </c>
      <c r="C3207" s="276"/>
      <c r="D3207" s="276"/>
      <c r="E3207" s="276"/>
      <c r="F3207" s="276"/>
      <c r="G3207" s="276"/>
      <c r="H3207" s="276"/>
      <c r="I3207" s="276"/>
      <c r="J3207" s="276"/>
    </row>
    <row r="3208" spans="1:10">
      <c r="A3208" s="103" t="s">
        <v>5185</v>
      </c>
      <c r="B3208" s="124" t="s">
        <v>5186</v>
      </c>
      <c r="C3208" s="110">
        <v>18761</v>
      </c>
      <c r="D3208" s="109" t="s">
        <v>120</v>
      </c>
      <c r="E3208" s="109">
        <v>188</v>
      </c>
      <c r="F3208" s="110">
        <v>7577</v>
      </c>
      <c r="G3208" s="109" t="s">
        <v>120</v>
      </c>
      <c r="H3208" s="109">
        <v>40</v>
      </c>
      <c r="I3208" s="109">
        <v>406</v>
      </c>
      <c r="J3208" s="110">
        <v>1189</v>
      </c>
    </row>
    <row r="3209" spans="1:10">
      <c r="A3209" s="103" t="s">
        <v>5187</v>
      </c>
      <c r="B3209" s="124" t="s">
        <v>5188</v>
      </c>
      <c r="C3209" s="110">
        <v>27045</v>
      </c>
      <c r="D3209" s="109" t="s">
        <v>120</v>
      </c>
      <c r="E3209" s="109">
        <v>270</v>
      </c>
      <c r="F3209" s="110">
        <v>13645</v>
      </c>
      <c r="G3209" s="109" t="s">
        <v>120</v>
      </c>
      <c r="H3209" s="109">
        <v>50</v>
      </c>
      <c r="I3209" s="109">
        <v>135</v>
      </c>
      <c r="J3209" s="110">
        <v>585</v>
      </c>
    </row>
    <row r="3210" spans="1:10">
      <c r="A3210" s="103" t="s">
        <v>5189</v>
      </c>
      <c r="B3210" s="124" t="s">
        <v>5190</v>
      </c>
      <c r="C3210" s="110">
        <v>21529</v>
      </c>
      <c r="D3210" s="109" t="s">
        <v>120</v>
      </c>
      <c r="E3210" s="109">
        <v>215</v>
      </c>
      <c r="F3210" s="110">
        <v>6019</v>
      </c>
      <c r="G3210" s="109" t="s">
        <v>120</v>
      </c>
      <c r="H3210" s="109">
        <v>28</v>
      </c>
      <c r="I3210" s="109">
        <v>272</v>
      </c>
      <c r="J3210" s="110">
        <v>1498</v>
      </c>
    </row>
    <row r="3211" spans="1:10" s="119" customFormat="1">
      <c r="A3211" s="123" t="s">
        <v>120</v>
      </c>
      <c r="B3211" s="273" t="s">
        <v>5191</v>
      </c>
      <c r="C3211" s="274"/>
      <c r="D3211" s="274"/>
      <c r="E3211" s="274"/>
      <c r="F3211" s="274"/>
      <c r="G3211" s="274"/>
      <c r="H3211" s="274"/>
      <c r="I3211" s="274"/>
      <c r="J3211" s="274"/>
    </row>
    <row r="3212" spans="1:10" s="119" customFormat="1">
      <c r="A3212" s="123" t="s">
        <v>120</v>
      </c>
      <c r="B3212" s="275" t="s">
        <v>1019</v>
      </c>
      <c r="C3212" s="276"/>
      <c r="D3212" s="276"/>
      <c r="E3212" s="276"/>
      <c r="F3212" s="276"/>
      <c r="G3212" s="276"/>
      <c r="H3212" s="276"/>
      <c r="I3212" s="276"/>
      <c r="J3212" s="276"/>
    </row>
    <row r="3213" spans="1:10">
      <c r="A3213" s="103" t="s">
        <v>5192</v>
      </c>
      <c r="B3213" s="124" t="s">
        <v>5193</v>
      </c>
      <c r="C3213" s="110">
        <v>1716</v>
      </c>
      <c r="D3213" s="109" t="s">
        <v>120</v>
      </c>
      <c r="E3213" s="109">
        <v>17</v>
      </c>
      <c r="F3213" s="110">
        <v>38345</v>
      </c>
      <c r="G3213" s="109" t="s">
        <v>120</v>
      </c>
      <c r="H3213" s="109">
        <v>2235</v>
      </c>
      <c r="I3213" s="109">
        <v>2261</v>
      </c>
      <c r="J3213" s="110">
        <v>135</v>
      </c>
    </row>
    <row r="3214" spans="1:10" s="119" customFormat="1">
      <c r="A3214" s="123" t="s">
        <v>120</v>
      </c>
      <c r="B3214" s="275" t="s">
        <v>924</v>
      </c>
      <c r="C3214" s="276"/>
      <c r="D3214" s="276"/>
      <c r="E3214" s="276"/>
      <c r="F3214" s="276"/>
      <c r="G3214" s="276"/>
      <c r="H3214" s="276"/>
      <c r="I3214" s="276"/>
      <c r="J3214" s="276"/>
    </row>
    <row r="3215" spans="1:10">
      <c r="A3215" s="103" t="s">
        <v>5194</v>
      </c>
      <c r="B3215" s="124" t="s">
        <v>5195</v>
      </c>
      <c r="C3215" s="110">
        <v>8891</v>
      </c>
      <c r="D3215" s="109" t="s">
        <v>120</v>
      </c>
      <c r="E3215" s="109">
        <v>89</v>
      </c>
      <c r="F3215" s="110">
        <v>4613</v>
      </c>
      <c r="G3215" s="109" t="s">
        <v>120</v>
      </c>
      <c r="H3215" s="109">
        <v>52</v>
      </c>
      <c r="I3215" s="109">
        <v>1545</v>
      </c>
      <c r="J3215" s="110">
        <v>1838</v>
      </c>
    </row>
    <row r="3216" spans="1:10">
      <c r="A3216" s="103" t="s">
        <v>5196</v>
      </c>
      <c r="B3216" s="124" t="s">
        <v>5193</v>
      </c>
      <c r="C3216" s="110">
        <v>10067</v>
      </c>
      <c r="D3216" s="109" t="s">
        <v>120</v>
      </c>
      <c r="E3216" s="109">
        <v>101</v>
      </c>
      <c r="F3216" s="110">
        <v>4831</v>
      </c>
      <c r="G3216" s="109" t="s">
        <v>120</v>
      </c>
      <c r="H3216" s="109">
        <v>48</v>
      </c>
      <c r="I3216" s="109">
        <v>1378</v>
      </c>
      <c r="J3216" s="110">
        <v>1785</v>
      </c>
    </row>
    <row r="3217" spans="1:10">
      <c r="A3217" s="103" t="s">
        <v>5197</v>
      </c>
      <c r="B3217" s="124" t="s">
        <v>5198</v>
      </c>
      <c r="C3217" s="110">
        <v>9370</v>
      </c>
      <c r="D3217" s="109" t="s">
        <v>120</v>
      </c>
      <c r="E3217" s="109">
        <v>94</v>
      </c>
      <c r="F3217" s="110">
        <v>3348</v>
      </c>
      <c r="G3217" s="109" t="s">
        <v>120</v>
      </c>
      <c r="H3217" s="109">
        <v>36</v>
      </c>
      <c r="I3217" s="109">
        <v>1489</v>
      </c>
      <c r="J3217" s="110">
        <v>2137</v>
      </c>
    </row>
    <row r="3218" spans="1:10">
      <c r="A3218" s="103" t="s">
        <v>5199</v>
      </c>
      <c r="B3218" s="124" t="s">
        <v>5200</v>
      </c>
      <c r="C3218" s="110">
        <v>7949</v>
      </c>
      <c r="D3218" s="109" t="s">
        <v>120</v>
      </c>
      <c r="E3218" s="109">
        <v>79</v>
      </c>
      <c r="F3218" s="110">
        <v>4696</v>
      </c>
      <c r="G3218" s="109" t="s">
        <v>120</v>
      </c>
      <c r="H3218" s="109">
        <v>59</v>
      </c>
      <c r="I3218" s="109">
        <v>1707</v>
      </c>
      <c r="J3218" s="110">
        <v>1818</v>
      </c>
    </row>
    <row r="3219" spans="1:10" s="119" customFormat="1">
      <c r="A3219" s="123" t="s">
        <v>120</v>
      </c>
      <c r="B3219" s="275" t="s">
        <v>1026</v>
      </c>
      <c r="C3219" s="276"/>
      <c r="D3219" s="276"/>
      <c r="E3219" s="276"/>
      <c r="F3219" s="276"/>
      <c r="G3219" s="276"/>
      <c r="H3219" s="276"/>
      <c r="I3219" s="276"/>
      <c r="J3219" s="276"/>
    </row>
    <row r="3220" spans="1:10">
      <c r="A3220" s="103" t="s">
        <v>5201</v>
      </c>
      <c r="B3220" s="124" t="s">
        <v>5202</v>
      </c>
      <c r="C3220" s="110">
        <v>11430</v>
      </c>
      <c r="D3220" s="109" t="s">
        <v>120</v>
      </c>
      <c r="E3220" s="109">
        <v>114</v>
      </c>
      <c r="F3220" s="110">
        <v>7637</v>
      </c>
      <c r="G3220" s="109" t="s">
        <v>120</v>
      </c>
      <c r="H3220" s="109">
        <v>67</v>
      </c>
      <c r="I3220" s="109">
        <v>1136</v>
      </c>
      <c r="J3220" s="110">
        <v>1180</v>
      </c>
    </row>
    <row r="3221" spans="1:10">
      <c r="A3221" s="103" t="s">
        <v>5203</v>
      </c>
      <c r="B3221" s="124" t="s">
        <v>932</v>
      </c>
      <c r="C3221" s="110">
        <v>467</v>
      </c>
      <c r="D3221" s="109" t="s">
        <v>120</v>
      </c>
      <c r="E3221" s="109">
        <v>5</v>
      </c>
      <c r="F3221" s="110">
        <v>4233</v>
      </c>
      <c r="G3221" s="109" t="s">
        <v>120</v>
      </c>
      <c r="H3221" s="109">
        <v>906</v>
      </c>
      <c r="I3221" s="109" t="s">
        <v>122</v>
      </c>
      <c r="J3221" s="110" t="s">
        <v>122</v>
      </c>
    </row>
    <row r="3222" spans="1:10">
      <c r="A3222" s="103" t="s">
        <v>5204</v>
      </c>
      <c r="B3222" s="124" t="s">
        <v>934</v>
      </c>
      <c r="C3222" s="110">
        <v>10963</v>
      </c>
      <c r="D3222" s="109" t="s">
        <v>120</v>
      </c>
      <c r="E3222" s="109">
        <v>109</v>
      </c>
      <c r="F3222" s="110">
        <v>3404</v>
      </c>
      <c r="G3222" s="109" t="s">
        <v>120</v>
      </c>
      <c r="H3222" s="109">
        <v>31</v>
      </c>
      <c r="I3222" s="109" t="s">
        <v>122</v>
      </c>
      <c r="J3222" s="110" t="s">
        <v>122</v>
      </c>
    </row>
    <row r="3223" spans="1:10" s="119" customFormat="1">
      <c r="A3223" s="123" t="s">
        <v>120</v>
      </c>
      <c r="B3223" s="273" t="s">
        <v>5205</v>
      </c>
      <c r="C3223" s="274"/>
      <c r="D3223" s="274"/>
      <c r="E3223" s="274"/>
      <c r="F3223" s="274"/>
      <c r="G3223" s="274"/>
      <c r="H3223" s="274"/>
      <c r="I3223" s="274"/>
      <c r="J3223" s="274"/>
    </row>
    <row r="3224" spans="1:10" s="119" customFormat="1">
      <c r="A3224" s="123" t="s">
        <v>120</v>
      </c>
      <c r="B3224" s="275" t="s">
        <v>922</v>
      </c>
      <c r="C3224" s="276"/>
      <c r="D3224" s="276"/>
      <c r="E3224" s="276"/>
      <c r="F3224" s="276"/>
      <c r="G3224" s="276"/>
      <c r="H3224" s="276"/>
      <c r="I3224" s="276"/>
      <c r="J3224" s="276"/>
    </row>
    <row r="3225" spans="1:10">
      <c r="A3225" s="103" t="s">
        <v>5206</v>
      </c>
      <c r="B3225" s="124" t="s">
        <v>5207</v>
      </c>
      <c r="C3225" s="110">
        <v>11856</v>
      </c>
      <c r="D3225" s="109" t="s">
        <v>120</v>
      </c>
      <c r="E3225" s="109">
        <v>118</v>
      </c>
      <c r="F3225" s="110">
        <v>1286</v>
      </c>
      <c r="G3225" s="105" t="s">
        <v>1075</v>
      </c>
      <c r="H3225" s="109">
        <v>11</v>
      </c>
      <c r="I3225" s="109">
        <v>1073</v>
      </c>
      <c r="J3225" s="110">
        <v>2309</v>
      </c>
    </row>
    <row r="3226" spans="1:10" s="119" customFormat="1">
      <c r="A3226" s="123" t="s">
        <v>120</v>
      </c>
      <c r="B3226" s="275" t="s">
        <v>924</v>
      </c>
      <c r="C3226" s="276"/>
      <c r="D3226" s="276"/>
      <c r="E3226" s="276"/>
      <c r="F3226" s="276"/>
      <c r="G3226" s="276"/>
      <c r="H3226" s="276"/>
      <c r="I3226" s="276"/>
      <c r="J3226" s="276"/>
    </row>
    <row r="3227" spans="1:10">
      <c r="A3227" s="103" t="s">
        <v>5208</v>
      </c>
      <c r="B3227" s="124" t="s">
        <v>5209</v>
      </c>
      <c r="C3227" s="110">
        <v>6070</v>
      </c>
      <c r="D3227" s="109" t="s">
        <v>120</v>
      </c>
      <c r="E3227" s="109">
        <v>61</v>
      </c>
      <c r="F3227" s="110">
        <v>3216</v>
      </c>
      <c r="G3227" s="109" t="s">
        <v>120</v>
      </c>
      <c r="H3227" s="109">
        <v>53</v>
      </c>
      <c r="I3227" s="109">
        <v>1943</v>
      </c>
      <c r="J3227" s="110">
        <v>2161</v>
      </c>
    </row>
    <row r="3228" spans="1:10">
      <c r="A3228" s="103" t="s">
        <v>5210</v>
      </c>
      <c r="B3228" s="124" t="s">
        <v>5211</v>
      </c>
      <c r="C3228" s="110">
        <v>17009</v>
      </c>
      <c r="D3228" s="109" t="s">
        <v>120</v>
      </c>
      <c r="E3228" s="109">
        <v>170</v>
      </c>
      <c r="F3228" s="110">
        <v>9749</v>
      </c>
      <c r="G3228" s="109" t="s">
        <v>120</v>
      </c>
      <c r="H3228" s="109">
        <v>57</v>
      </c>
      <c r="I3228" s="109">
        <v>519</v>
      </c>
      <c r="J3228" s="110">
        <v>899</v>
      </c>
    </row>
    <row r="3229" spans="1:10">
      <c r="A3229" s="103" t="s">
        <v>5212</v>
      </c>
      <c r="B3229" s="124" t="s">
        <v>5213</v>
      </c>
      <c r="C3229" s="110">
        <v>11153</v>
      </c>
      <c r="D3229" s="109" t="s">
        <v>120</v>
      </c>
      <c r="E3229" s="109">
        <v>112</v>
      </c>
      <c r="F3229" s="110">
        <v>3634</v>
      </c>
      <c r="G3229" s="109" t="s">
        <v>120</v>
      </c>
      <c r="H3229" s="109">
        <v>33</v>
      </c>
      <c r="I3229" s="109">
        <v>1190</v>
      </c>
      <c r="J3229" s="110">
        <v>2079</v>
      </c>
    </row>
    <row r="3230" spans="1:10" s="119" customFormat="1">
      <c r="A3230" s="123" t="s">
        <v>120</v>
      </c>
      <c r="B3230" s="275" t="s">
        <v>929</v>
      </c>
      <c r="C3230" s="276"/>
      <c r="D3230" s="276"/>
      <c r="E3230" s="276"/>
      <c r="F3230" s="276"/>
      <c r="G3230" s="276"/>
      <c r="H3230" s="276"/>
      <c r="I3230" s="276"/>
      <c r="J3230" s="276"/>
    </row>
    <row r="3231" spans="1:10">
      <c r="A3231" s="103" t="s">
        <v>5214</v>
      </c>
      <c r="B3231" s="124" t="s">
        <v>5215</v>
      </c>
      <c r="C3231" s="110">
        <v>21320</v>
      </c>
      <c r="D3231" s="109" t="s">
        <v>120</v>
      </c>
      <c r="E3231" s="109">
        <v>213</v>
      </c>
      <c r="F3231" s="110">
        <v>17695</v>
      </c>
      <c r="G3231" s="109" t="s">
        <v>120</v>
      </c>
      <c r="H3231" s="109">
        <v>83</v>
      </c>
      <c r="I3231" s="109">
        <v>278</v>
      </c>
      <c r="J3231" s="110">
        <v>412</v>
      </c>
    </row>
    <row r="3232" spans="1:10">
      <c r="A3232" s="103" t="s">
        <v>5216</v>
      </c>
      <c r="B3232" s="124" t="s">
        <v>932</v>
      </c>
      <c r="C3232" s="110">
        <v>507</v>
      </c>
      <c r="D3232" s="109" t="s">
        <v>120</v>
      </c>
      <c r="E3232" s="109">
        <v>5</v>
      </c>
      <c r="F3232" s="110">
        <v>9888</v>
      </c>
      <c r="G3232" s="109" t="s">
        <v>120</v>
      </c>
      <c r="H3232" s="109">
        <v>1950</v>
      </c>
      <c r="I3232" s="109" t="s">
        <v>122</v>
      </c>
      <c r="J3232" s="110" t="s">
        <v>122</v>
      </c>
    </row>
    <row r="3233" spans="1:10">
      <c r="A3233" s="103" t="s">
        <v>5217</v>
      </c>
      <c r="B3233" s="124" t="s">
        <v>934</v>
      </c>
      <c r="C3233" s="110">
        <v>20813</v>
      </c>
      <c r="D3233" s="109" t="s">
        <v>120</v>
      </c>
      <c r="E3233" s="109">
        <v>208</v>
      </c>
      <c r="F3233" s="110">
        <v>7807</v>
      </c>
      <c r="G3233" s="109" t="s">
        <v>120</v>
      </c>
      <c r="H3233" s="109">
        <v>38</v>
      </c>
      <c r="I3233" s="109" t="s">
        <v>122</v>
      </c>
      <c r="J3233" s="110" t="s">
        <v>122</v>
      </c>
    </row>
    <row r="3234" spans="1:10" s="119" customFormat="1">
      <c r="A3234" s="123" t="s">
        <v>120</v>
      </c>
      <c r="B3234" s="273" t="s">
        <v>5218</v>
      </c>
      <c r="C3234" s="274"/>
      <c r="D3234" s="274"/>
      <c r="E3234" s="274"/>
      <c r="F3234" s="274"/>
      <c r="G3234" s="274"/>
      <c r="H3234" s="274"/>
      <c r="I3234" s="274"/>
      <c r="J3234" s="274"/>
    </row>
    <row r="3235" spans="1:10" s="119" customFormat="1">
      <c r="A3235" s="123" t="s">
        <v>120</v>
      </c>
      <c r="B3235" s="275" t="s">
        <v>1032</v>
      </c>
      <c r="C3235" s="276"/>
      <c r="D3235" s="276"/>
      <c r="E3235" s="276"/>
      <c r="F3235" s="276"/>
      <c r="G3235" s="276"/>
      <c r="H3235" s="276"/>
      <c r="I3235" s="276"/>
      <c r="J3235" s="276"/>
    </row>
    <row r="3236" spans="1:10">
      <c r="A3236" s="103" t="s">
        <v>5219</v>
      </c>
      <c r="B3236" s="124" t="s">
        <v>5220</v>
      </c>
      <c r="C3236" s="110">
        <v>2295</v>
      </c>
      <c r="D3236" s="109" t="s">
        <v>120</v>
      </c>
      <c r="E3236" s="109">
        <v>23</v>
      </c>
      <c r="F3236" s="110">
        <v>3261</v>
      </c>
      <c r="G3236" s="109" t="s">
        <v>120</v>
      </c>
      <c r="H3236" s="109">
        <v>142</v>
      </c>
      <c r="I3236" s="109">
        <v>2211</v>
      </c>
      <c r="J3236" s="110">
        <v>2156</v>
      </c>
    </row>
    <row r="3237" spans="1:10">
      <c r="A3237" s="103" t="s">
        <v>5221</v>
      </c>
      <c r="B3237" s="124" t="s">
        <v>5222</v>
      </c>
      <c r="C3237" s="110">
        <v>479</v>
      </c>
      <c r="D3237" s="109" t="s">
        <v>120</v>
      </c>
      <c r="E3237" s="109">
        <v>5</v>
      </c>
      <c r="F3237" s="110">
        <v>11241</v>
      </c>
      <c r="G3237" s="109" t="s">
        <v>120</v>
      </c>
      <c r="H3237" s="109">
        <v>2347</v>
      </c>
      <c r="I3237" s="109">
        <v>2339</v>
      </c>
      <c r="J3237" s="110">
        <v>763</v>
      </c>
    </row>
    <row r="3238" spans="1:10" s="119" customFormat="1">
      <c r="A3238" s="123" t="s">
        <v>120</v>
      </c>
      <c r="B3238" s="275" t="s">
        <v>924</v>
      </c>
      <c r="C3238" s="276"/>
      <c r="D3238" s="276"/>
      <c r="E3238" s="276"/>
      <c r="F3238" s="276"/>
      <c r="G3238" s="276"/>
      <c r="H3238" s="276"/>
      <c r="I3238" s="276"/>
      <c r="J3238" s="276"/>
    </row>
    <row r="3239" spans="1:10">
      <c r="A3239" s="103" t="s">
        <v>5223</v>
      </c>
      <c r="B3239" s="124" t="s">
        <v>5224</v>
      </c>
      <c r="C3239" s="110">
        <v>5014</v>
      </c>
      <c r="D3239" s="109" t="s">
        <v>120</v>
      </c>
      <c r="E3239" s="109">
        <v>50</v>
      </c>
      <c r="F3239" s="110">
        <v>15589</v>
      </c>
      <c r="G3239" s="109" t="s">
        <v>120</v>
      </c>
      <c r="H3239" s="109">
        <v>311</v>
      </c>
      <c r="I3239" s="109">
        <v>2018</v>
      </c>
      <c r="J3239" s="110">
        <v>491</v>
      </c>
    </row>
    <row r="3240" spans="1:10">
      <c r="A3240" s="103" t="s">
        <v>5225</v>
      </c>
      <c r="B3240" s="124" t="s">
        <v>5226</v>
      </c>
      <c r="C3240" s="110">
        <v>21375</v>
      </c>
      <c r="D3240" s="109" t="s">
        <v>120</v>
      </c>
      <c r="E3240" s="109">
        <v>214</v>
      </c>
      <c r="F3240" s="110">
        <v>10816</v>
      </c>
      <c r="G3240" s="109" t="s">
        <v>120</v>
      </c>
      <c r="H3240" s="109">
        <v>51</v>
      </c>
      <c r="I3240" s="109">
        <v>277</v>
      </c>
      <c r="J3240" s="110">
        <v>801</v>
      </c>
    </row>
    <row r="3241" spans="1:10">
      <c r="A3241" s="103" t="s">
        <v>5227</v>
      </c>
      <c r="B3241" s="124" t="s">
        <v>5222</v>
      </c>
      <c r="C3241" s="110">
        <v>23738</v>
      </c>
      <c r="D3241" s="109" t="s">
        <v>120</v>
      </c>
      <c r="E3241" s="109">
        <v>237</v>
      </c>
      <c r="F3241" s="110">
        <v>26699</v>
      </c>
      <c r="G3241" s="109" t="s">
        <v>120</v>
      </c>
      <c r="H3241" s="109">
        <v>112</v>
      </c>
      <c r="I3241" s="109">
        <v>210</v>
      </c>
      <c r="J3241" s="110">
        <v>226</v>
      </c>
    </row>
    <row r="3242" spans="1:10" s="119" customFormat="1">
      <c r="A3242" s="123" t="s">
        <v>120</v>
      </c>
      <c r="B3242" s="275" t="s">
        <v>947</v>
      </c>
      <c r="C3242" s="276"/>
      <c r="D3242" s="276"/>
      <c r="E3242" s="276"/>
      <c r="F3242" s="276"/>
      <c r="G3242" s="276"/>
      <c r="H3242" s="276"/>
      <c r="I3242" s="276"/>
      <c r="J3242" s="276"/>
    </row>
    <row r="3243" spans="1:10">
      <c r="A3243" s="103" t="s">
        <v>5228</v>
      </c>
      <c r="B3243" s="124" t="s">
        <v>5229</v>
      </c>
      <c r="C3243" s="110">
        <v>998</v>
      </c>
      <c r="D3243" s="109" t="s">
        <v>120</v>
      </c>
      <c r="E3243" s="109">
        <v>10</v>
      </c>
      <c r="F3243" s="110">
        <v>3690</v>
      </c>
      <c r="G3243" s="109" t="s">
        <v>120</v>
      </c>
      <c r="H3243" s="109">
        <v>370</v>
      </c>
      <c r="I3243" s="109">
        <v>2324</v>
      </c>
      <c r="J3243" s="110">
        <v>2068</v>
      </c>
    </row>
    <row r="3244" spans="1:10">
      <c r="A3244" s="103" t="s">
        <v>5230</v>
      </c>
      <c r="B3244" s="124" t="s">
        <v>5231</v>
      </c>
      <c r="C3244" s="110">
        <v>506</v>
      </c>
      <c r="D3244" s="109" t="s">
        <v>120</v>
      </c>
      <c r="E3244" s="109">
        <v>5</v>
      </c>
      <c r="F3244" s="110">
        <v>2708</v>
      </c>
      <c r="G3244" s="109" t="s">
        <v>120</v>
      </c>
      <c r="H3244" s="109">
        <v>535</v>
      </c>
      <c r="I3244" s="109" t="s">
        <v>122</v>
      </c>
      <c r="J3244" s="110" t="s">
        <v>122</v>
      </c>
    </row>
    <row r="3245" spans="1:10">
      <c r="A3245" s="103" t="s">
        <v>5232</v>
      </c>
      <c r="B3245" s="124" t="s">
        <v>934</v>
      </c>
      <c r="C3245" s="110">
        <v>492</v>
      </c>
      <c r="D3245" s="109" t="s">
        <v>120</v>
      </c>
      <c r="E3245" s="109">
        <v>5</v>
      </c>
      <c r="F3245" s="110">
        <v>982</v>
      </c>
      <c r="G3245" s="109" t="s">
        <v>120</v>
      </c>
      <c r="H3245" s="109">
        <v>200</v>
      </c>
      <c r="I3245" s="109" t="s">
        <v>122</v>
      </c>
      <c r="J3245" s="110" t="s">
        <v>122</v>
      </c>
    </row>
    <row r="3246" spans="1:10">
      <c r="A3246" s="103" t="s">
        <v>5233</v>
      </c>
      <c r="B3246" s="124" t="s">
        <v>5234</v>
      </c>
      <c r="C3246" s="110">
        <v>4219</v>
      </c>
      <c r="D3246" s="109" t="s">
        <v>120</v>
      </c>
      <c r="E3246" s="109">
        <v>42</v>
      </c>
      <c r="F3246" s="110">
        <v>15388</v>
      </c>
      <c r="G3246" s="109" t="s">
        <v>120</v>
      </c>
      <c r="H3246" s="109">
        <v>365</v>
      </c>
      <c r="I3246" s="109">
        <v>2076</v>
      </c>
      <c r="J3246" s="110">
        <v>501</v>
      </c>
    </row>
    <row r="3247" spans="1:10">
      <c r="A3247" s="103" t="s">
        <v>5235</v>
      </c>
      <c r="B3247" s="124" t="s">
        <v>5231</v>
      </c>
      <c r="C3247" s="110">
        <v>1367</v>
      </c>
      <c r="D3247" s="109" t="s">
        <v>120</v>
      </c>
      <c r="E3247" s="109">
        <v>13</v>
      </c>
      <c r="F3247" s="110">
        <v>9931</v>
      </c>
      <c r="G3247" s="109" t="s">
        <v>120</v>
      </c>
      <c r="H3247" s="109">
        <v>726</v>
      </c>
      <c r="I3247" s="109" t="s">
        <v>122</v>
      </c>
      <c r="J3247" s="110" t="s">
        <v>122</v>
      </c>
    </row>
    <row r="3248" spans="1:10">
      <c r="A3248" s="103" t="s">
        <v>5236</v>
      </c>
      <c r="B3248" s="124" t="s">
        <v>934</v>
      </c>
      <c r="C3248" s="110">
        <v>2852</v>
      </c>
      <c r="D3248" s="109" t="s">
        <v>120</v>
      </c>
      <c r="E3248" s="109">
        <v>29</v>
      </c>
      <c r="F3248" s="110">
        <v>5457</v>
      </c>
      <c r="G3248" s="109" t="s">
        <v>120</v>
      </c>
      <c r="H3248" s="109">
        <v>191</v>
      </c>
      <c r="I3248" s="109" t="s">
        <v>122</v>
      </c>
      <c r="J3248" s="110" t="s">
        <v>122</v>
      </c>
    </row>
    <row r="3249" spans="1:10" s="119" customFormat="1">
      <c r="A3249" s="123" t="s">
        <v>120</v>
      </c>
      <c r="B3249" s="273" t="s">
        <v>5237</v>
      </c>
      <c r="C3249" s="274"/>
      <c r="D3249" s="274"/>
      <c r="E3249" s="274"/>
      <c r="F3249" s="274"/>
      <c r="G3249" s="274"/>
      <c r="H3249" s="274"/>
      <c r="I3249" s="274"/>
      <c r="J3249" s="274"/>
    </row>
    <row r="3250" spans="1:10" s="119" customFormat="1">
      <c r="A3250" s="123" t="s">
        <v>120</v>
      </c>
      <c r="B3250" s="275" t="s">
        <v>957</v>
      </c>
      <c r="C3250" s="276"/>
      <c r="D3250" s="276"/>
      <c r="E3250" s="276"/>
      <c r="F3250" s="276"/>
      <c r="G3250" s="276"/>
      <c r="H3250" s="276"/>
      <c r="I3250" s="276"/>
      <c r="J3250" s="276"/>
    </row>
    <row r="3251" spans="1:10">
      <c r="A3251" s="103" t="s">
        <v>5238</v>
      </c>
      <c r="B3251" s="124" t="s">
        <v>5239</v>
      </c>
      <c r="C3251" s="110">
        <v>1019</v>
      </c>
      <c r="D3251" s="109" t="s">
        <v>120</v>
      </c>
      <c r="E3251" s="109">
        <v>10</v>
      </c>
      <c r="F3251" s="110">
        <v>15367</v>
      </c>
      <c r="G3251" s="109" t="s">
        <v>120</v>
      </c>
      <c r="H3251" s="109">
        <v>1508</v>
      </c>
      <c r="I3251" s="109">
        <v>2320</v>
      </c>
      <c r="J3251" s="110">
        <v>502</v>
      </c>
    </row>
    <row r="3252" spans="1:10" s="119" customFormat="1">
      <c r="A3252" s="123" t="s">
        <v>120</v>
      </c>
      <c r="B3252" s="275" t="s">
        <v>943</v>
      </c>
      <c r="C3252" s="276"/>
      <c r="D3252" s="276"/>
      <c r="E3252" s="276"/>
      <c r="F3252" s="276"/>
      <c r="G3252" s="276"/>
      <c r="H3252" s="276"/>
      <c r="I3252" s="276"/>
      <c r="J3252" s="276"/>
    </row>
    <row r="3253" spans="1:10">
      <c r="A3253" s="103" t="s">
        <v>5240</v>
      </c>
      <c r="B3253" s="124" t="s">
        <v>5241</v>
      </c>
      <c r="C3253" s="110">
        <v>16766</v>
      </c>
      <c r="D3253" s="109" t="s">
        <v>120</v>
      </c>
      <c r="E3253" s="109">
        <v>168</v>
      </c>
      <c r="F3253" s="110">
        <v>6093</v>
      </c>
      <c r="G3253" s="109" t="s">
        <v>120</v>
      </c>
      <c r="H3253" s="109">
        <v>36</v>
      </c>
      <c r="I3253" s="109">
        <v>535</v>
      </c>
      <c r="J3253" s="110">
        <v>1481</v>
      </c>
    </row>
    <row r="3254" spans="1:10">
      <c r="A3254" s="103" t="s">
        <v>5242</v>
      </c>
      <c r="B3254" s="124" t="s">
        <v>5243</v>
      </c>
      <c r="C3254" s="110">
        <v>29952</v>
      </c>
      <c r="D3254" s="109" t="s">
        <v>120</v>
      </c>
      <c r="E3254" s="109">
        <v>300</v>
      </c>
      <c r="F3254" s="110">
        <v>9534</v>
      </c>
      <c r="G3254" s="109" t="s">
        <v>120</v>
      </c>
      <c r="H3254" s="109">
        <v>32</v>
      </c>
      <c r="I3254" s="109">
        <v>97</v>
      </c>
      <c r="J3254" s="110">
        <v>922</v>
      </c>
    </row>
    <row r="3255" spans="1:10">
      <c r="A3255" s="103" t="s">
        <v>5244</v>
      </c>
      <c r="B3255" s="124" t="s">
        <v>5245</v>
      </c>
      <c r="C3255" s="110">
        <v>32197</v>
      </c>
      <c r="D3255" s="109" t="s">
        <v>120</v>
      </c>
      <c r="E3255" s="109">
        <v>322</v>
      </c>
      <c r="F3255" s="110">
        <v>8979</v>
      </c>
      <c r="G3255" s="109" t="s">
        <v>120</v>
      </c>
      <c r="H3255" s="109">
        <v>28</v>
      </c>
      <c r="I3255" s="109">
        <v>75</v>
      </c>
      <c r="J3255" s="110">
        <v>988</v>
      </c>
    </row>
    <row r="3256" spans="1:10">
      <c r="A3256" s="103" t="s">
        <v>5246</v>
      </c>
      <c r="B3256" s="124" t="s">
        <v>5247</v>
      </c>
      <c r="C3256" s="110">
        <v>24391</v>
      </c>
      <c r="D3256" s="109" t="s">
        <v>120</v>
      </c>
      <c r="E3256" s="109">
        <v>244</v>
      </c>
      <c r="F3256" s="110">
        <v>12848</v>
      </c>
      <c r="G3256" s="109" t="s">
        <v>120</v>
      </c>
      <c r="H3256" s="109">
        <v>53</v>
      </c>
      <c r="I3256" s="109">
        <v>196</v>
      </c>
      <c r="J3256" s="110">
        <v>642</v>
      </c>
    </row>
    <row r="3257" spans="1:10">
      <c r="A3257" s="103" t="s">
        <v>5248</v>
      </c>
      <c r="B3257" s="124" t="s">
        <v>5249</v>
      </c>
      <c r="C3257" s="110">
        <v>22846</v>
      </c>
      <c r="D3257" s="109" t="s">
        <v>120</v>
      </c>
      <c r="E3257" s="109">
        <v>228</v>
      </c>
      <c r="F3257" s="110">
        <v>6882</v>
      </c>
      <c r="G3257" s="109" t="s">
        <v>120</v>
      </c>
      <c r="H3257" s="109">
        <v>30</v>
      </c>
      <c r="I3257" s="109">
        <v>234</v>
      </c>
      <c r="J3257" s="110">
        <v>1321</v>
      </c>
    </row>
    <row r="3258" spans="1:10">
      <c r="A3258" s="103" t="s">
        <v>5250</v>
      </c>
      <c r="B3258" s="124" t="s">
        <v>5251</v>
      </c>
      <c r="C3258" s="110">
        <v>26173</v>
      </c>
      <c r="D3258" s="109" t="s">
        <v>120</v>
      </c>
      <c r="E3258" s="109">
        <v>262</v>
      </c>
      <c r="F3258" s="110">
        <v>18206</v>
      </c>
      <c r="G3258" s="109" t="s">
        <v>120</v>
      </c>
      <c r="H3258" s="109">
        <v>70</v>
      </c>
      <c r="I3258" s="109">
        <v>152</v>
      </c>
      <c r="J3258" s="110">
        <v>395</v>
      </c>
    </row>
    <row r="3259" spans="1:10">
      <c r="A3259" s="103" t="s">
        <v>5252</v>
      </c>
      <c r="B3259" s="124" t="s">
        <v>5253</v>
      </c>
      <c r="C3259" s="110">
        <v>26029</v>
      </c>
      <c r="D3259" s="109" t="s">
        <v>120</v>
      </c>
      <c r="E3259" s="109">
        <v>260</v>
      </c>
      <c r="F3259" s="110">
        <v>3375</v>
      </c>
      <c r="G3259" s="109" t="s">
        <v>120</v>
      </c>
      <c r="H3259" s="109">
        <v>13</v>
      </c>
      <c r="I3259" s="109">
        <v>155</v>
      </c>
      <c r="J3259" s="110">
        <v>2129</v>
      </c>
    </row>
    <row r="3260" spans="1:10">
      <c r="A3260" s="103" t="s">
        <v>5254</v>
      </c>
      <c r="B3260" s="124" t="s">
        <v>5255</v>
      </c>
      <c r="C3260" s="110">
        <v>21746</v>
      </c>
      <c r="D3260" s="109" t="s">
        <v>120</v>
      </c>
      <c r="E3260" s="109">
        <v>217</v>
      </c>
      <c r="F3260" s="110">
        <v>8339</v>
      </c>
      <c r="G3260" s="109" t="s">
        <v>120</v>
      </c>
      <c r="H3260" s="109">
        <v>38</v>
      </c>
      <c r="I3260" s="109">
        <v>264</v>
      </c>
      <c r="J3260" s="110">
        <v>1071</v>
      </c>
    </row>
    <row r="3261" spans="1:10" s="119" customFormat="1">
      <c r="A3261" s="123" t="s">
        <v>120</v>
      </c>
      <c r="B3261" s="275" t="s">
        <v>1026</v>
      </c>
      <c r="C3261" s="276"/>
      <c r="D3261" s="276"/>
      <c r="E3261" s="276"/>
      <c r="F3261" s="276"/>
      <c r="G3261" s="276"/>
      <c r="H3261" s="276"/>
      <c r="I3261" s="276"/>
      <c r="J3261" s="276"/>
    </row>
    <row r="3262" spans="1:10">
      <c r="A3262" s="103" t="s">
        <v>5256</v>
      </c>
      <c r="B3262" s="124" t="s">
        <v>5257</v>
      </c>
      <c r="C3262" s="110">
        <v>29305</v>
      </c>
      <c r="D3262" s="109" t="s">
        <v>120</v>
      </c>
      <c r="E3262" s="109">
        <v>293</v>
      </c>
      <c r="F3262" s="110">
        <v>9063</v>
      </c>
      <c r="G3262" s="109" t="s">
        <v>120</v>
      </c>
      <c r="H3262" s="109">
        <v>31</v>
      </c>
      <c r="I3262" s="109">
        <v>108</v>
      </c>
      <c r="J3262" s="110">
        <v>975</v>
      </c>
    </row>
    <row r="3263" spans="1:10">
      <c r="A3263" s="103" t="s">
        <v>5258</v>
      </c>
      <c r="B3263" s="124" t="s">
        <v>932</v>
      </c>
      <c r="C3263" s="110">
        <v>611</v>
      </c>
      <c r="D3263" s="109" t="s">
        <v>120</v>
      </c>
      <c r="E3263" s="109">
        <v>6</v>
      </c>
      <c r="F3263" s="110">
        <v>3575</v>
      </c>
      <c r="G3263" s="109" t="s">
        <v>120</v>
      </c>
      <c r="H3263" s="109">
        <v>585</v>
      </c>
      <c r="I3263" s="109" t="s">
        <v>122</v>
      </c>
      <c r="J3263" s="110" t="s">
        <v>122</v>
      </c>
    </row>
    <row r="3264" spans="1:10">
      <c r="A3264" s="103" t="s">
        <v>5259</v>
      </c>
      <c r="B3264" s="124" t="s">
        <v>934</v>
      </c>
      <c r="C3264" s="110">
        <v>28694</v>
      </c>
      <c r="D3264" s="109" t="s">
        <v>120</v>
      </c>
      <c r="E3264" s="109">
        <v>287</v>
      </c>
      <c r="F3264" s="110">
        <v>5488</v>
      </c>
      <c r="G3264" s="109" t="s">
        <v>120</v>
      </c>
      <c r="H3264" s="109">
        <v>19</v>
      </c>
      <c r="I3264" s="109" t="s">
        <v>122</v>
      </c>
      <c r="J3264" s="110" t="s">
        <v>122</v>
      </c>
    </row>
    <row r="3265" spans="1:10" s="119" customFormat="1">
      <c r="A3265" s="123" t="s">
        <v>120</v>
      </c>
      <c r="B3265" s="273" t="s">
        <v>5260</v>
      </c>
      <c r="C3265" s="274"/>
      <c r="D3265" s="274"/>
      <c r="E3265" s="274"/>
      <c r="F3265" s="274"/>
      <c r="G3265" s="274"/>
      <c r="H3265" s="274"/>
      <c r="I3265" s="274"/>
      <c r="J3265" s="274"/>
    </row>
    <row r="3266" spans="1:10" s="119" customFormat="1">
      <c r="A3266" s="123" t="s">
        <v>120</v>
      </c>
      <c r="B3266" s="275" t="s">
        <v>936</v>
      </c>
      <c r="C3266" s="276"/>
      <c r="D3266" s="276"/>
      <c r="E3266" s="276"/>
      <c r="F3266" s="276"/>
      <c r="G3266" s="276"/>
      <c r="H3266" s="276"/>
      <c r="I3266" s="276"/>
      <c r="J3266" s="276"/>
    </row>
    <row r="3267" spans="1:10">
      <c r="A3267" s="103" t="s">
        <v>5261</v>
      </c>
      <c r="B3267" s="124" t="s">
        <v>5262</v>
      </c>
      <c r="C3267" s="110">
        <v>363</v>
      </c>
      <c r="D3267" s="105" t="s">
        <v>1075</v>
      </c>
      <c r="E3267" s="109">
        <v>4</v>
      </c>
      <c r="F3267" s="110">
        <v>3623</v>
      </c>
      <c r="G3267" s="109" t="s">
        <v>120</v>
      </c>
      <c r="H3267" s="109">
        <v>998</v>
      </c>
      <c r="I3267" s="109">
        <v>2343</v>
      </c>
      <c r="J3267" s="110">
        <v>2084</v>
      </c>
    </row>
    <row r="3268" spans="1:10">
      <c r="A3268" s="103" t="s">
        <v>5263</v>
      </c>
      <c r="B3268" s="124" t="s">
        <v>5264</v>
      </c>
      <c r="C3268" s="110">
        <v>2528</v>
      </c>
      <c r="D3268" s="109" t="s">
        <v>120</v>
      </c>
      <c r="E3268" s="109">
        <v>25</v>
      </c>
      <c r="F3268" s="110">
        <v>47671</v>
      </c>
      <c r="G3268" s="109" t="s">
        <v>120</v>
      </c>
      <c r="H3268" s="109">
        <v>1886</v>
      </c>
      <c r="I3268" s="109">
        <v>2196</v>
      </c>
      <c r="J3268" s="110">
        <v>99</v>
      </c>
    </row>
    <row r="3269" spans="1:10" s="119" customFormat="1">
      <c r="A3269" s="123" t="s">
        <v>120</v>
      </c>
      <c r="B3269" s="275" t="s">
        <v>924</v>
      </c>
      <c r="C3269" s="276"/>
      <c r="D3269" s="276"/>
      <c r="E3269" s="276"/>
      <c r="F3269" s="276"/>
      <c r="G3269" s="276"/>
      <c r="H3269" s="276"/>
      <c r="I3269" s="276"/>
      <c r="J3269" s="276"/>
    </row>
    <row r="3270" spans="1:10">
      <c r="A3270" s="103" t="s">
        <v>5265</v>
      </c>
      <c r="B3270" s="124" t="s">
        <v>5266</v>
      </c>
      <c r="C3270" s="110">
        <v>5163</v>
      </c>
      <c r="D3270" s="109" t="s">
        <v>120</v>
      </c>
      <c r="E3270" s="109">
        <v>52</v>
      </c>
      <c r="F3270" s="110">
        <v>3202</v>
      </c>
      <c r="G3270" s="109" t="s">
        <v>120</v>
      </c>
      <c r="H3270" s="109">
        <v>62</v>
      </c>
      <c r="I3270" s="109">
        <v>2004</v>
      </c>
      <c r="J3270" s="110">
        <v>2162</v>
      </c>
    </row>
    <row r="3271" spans="1:10">
      <c r="A3271" s="103" t="s">
        <v>5267</v>
      </c>
      <c r="B3271" s="124" t="s">
        <v>5268</v>
      </c>
      <c r="C3271" s="110">
        <v>11058</v>
      </c>
      <c r="D3271" s="109" t="s">
        <v>120</v>
      </c>
      <c r="E3271" s="109">
        <v>111</v>
      </c>
      <c r="F3271" s="110">
        <v>5401</v>
      </c>
      <c r="G3271" s="109" t="s">
        <v>120</v>
      </c>
      <c r="H3271" s="109">
        <v>49</v>
      </c>
      <c r="I3271" s="109">
        <v>1210</v>
      </c>
      <c r="J3271" s="110">
        <v>1637</v>
      </c>
    </row>
    <row r="3272" spans="1:10">
      <c r="A3272" s="103" t="s">
        <v>5269</v>
      </c>
      <c r="B3272" s="124" t="s">
        <v>5270</v>
      </c>
      <c r="C3272" s="110">
        <v>16090</v>
      </c>
      <c r="D3272" s="109" t="s">
        <v>120</v>
      </c>
      <c r="E3272" s="109">
        <v>160</v>
      </c>
      <c r="F3272" s="110">
        <v>6646</v>
      </c>
      <c r="G3272" s="109" t="s">
        <v>120</v>
      </c>
      <c r="H3272" s="109">
        <v>41</v>
      </c>
      <c r="I3272" s="109">
        <v>589</v>
      </c>
      <c r="J3272" s="110">
        <v>1371</v>
      </c>
    </row>
    <row r="3273" spans="1:10">
      <c r="A3273" s="103" t="s">
        <v>5271</v>
      </c>
      <c r="B3273" s="124" t="s">
        <v>5272</v>
      </c>
      <c r="C3273" s="110">
        <v>12298</v>
      </c>
      <c r="D3273" s="109" t="s">
        <v>120</v>
      </c>
      <c r="E3273" s="109">
        <v>123</v>
      </c>
      <c r="F3273" s="110">
        <v>2880</v>
      </c>
      <c r="G3273" s="109" t="s">
        <v>120</v>
      </c>
      <c r="H3273" s="109">
        <v>23</v>
      </c>
      <c r="I3273" s="109">
        <v>1010</v>
      </c>
      <c r="J3273" s="110">
        <v>2214</v>
      </c>
    </row>
    <row r="3274" spans="1:10">
      <c r="A3274" s="103" t="s">
        <v>5273</v>
      </c>
      <c r="B3274" s="124" t="s">
        <v>1427</v>
      </c>
      <c r="C3274" s="110">
        <v>15616</v>
      </c>
      <c r="D3274" s="109" t="s">
        <v>120</v>
      </c>
      <c r="E3274" s="109">
        <v>156</v>
      </c>
      <c r="F3274" s="110">
        <v>2376</v>
      </c>
      <c r="G3274" s="109" t="s">
        <v>120</v>
      </c>
      <c r="H3274" s="109">
        <v>15</v>
      </c>
      <c r="I3274" s="109">
        <v>624</v>
      </c>
      <c r="J3274" s="110">
        <v>2270</v>
      </c>
    </row>
    <row r="3275" spans="1:10">
      <c r="A3275" s="103" t="s">
        <v>5274</v>
      </c>
      <c r="B3275" s="124" t="s">
        <v>5262</v>
      </c>
      <c r="C3275" s="110">
        <v>9686</v>
      </c>
      <c r="D3275" s="109" t="s">
        <v>120</v>
      </c>
      <c r="E3275" s="109">
        <v>97</v>
      </c>
      <c r="F3275" s="110">
        <v>4592</v>
      </c>
      <c r="G3275" s="109" t="s">
        <v>120</v>
      </c>
      <c r="H3275" s="109">
        <v>47</v>
      </c>
      <c r="I3275" s="109">
        <v>1431</v>
      </c>
      <c r="J3275" s="110">
        <v>1845</v>
      </c>
    </row>
    <row r="3276" spans="1:10">
      <c r="A3276" s="103" t="s">
        <v>5275</v>
      </c>
      <c r="B3276" s="124" t="s">
        <v>5276</v>
      </c>
      <c r="C3276" s="110">
        <v>8601</v>
      </c>
      <c r="D3276" s="109" t="s">
        <v>120</v>
      </c>
      <c r="E3276" s="109">
        <v>86</v>
      </c>
      <c r="F3276" s="110">
        <v>5185</v>
      </c>
      <c r="G3276" s="109" t="s">
        <v>120</v>
      </c>
      <c r="H3276" s="109">
        <v>60</v>
      </c>
      <c r="I3276" s="109">
        <v>1595</v>
      </c>
      <c r="J3276" s="110">
        <v>1693</v>
      </c>
    </row>
    <row r="3277" spans="1:10">
      <c r="A3277" s="103" t="s">
        <v>5277</v>
      </c>
      <c r="B3277" s="124" t="s">
        <v>5264</v>
      </c>
      <c r="C3277" s="110">
        <v>19621</v>
      </c>
      <c r="D3277" s="109" t="s">
        <v>120</v>
      </c>
      <c r="E3277" s="109">
        <v>195</v>
      </c>
      <c r="F3277" s="110">
        <v>16713</v>
      </c>
      <c r="G3277" s="109" t="s">
        <v>120</v>
      </c>
      <c r="H3277" s="109">
        <v>85</v>
      </c>
      <c r="I3277" s="109">
        <v>371</v>
      </c>
      <c r="J3277" s="110">
        <v>444</v>
      </c>
    </row>
    <row r="3278" spans="1:10">
      <c r="A3278" s="103" t="s">
        <v>5278</v>
      </c>
      <c r="B3278" s="124" t="s">
        <v>5279</v>
      </c>
      <c r="C3278" s="110">
        <v>13779</v>
      </c>
      <c r="D3278" s="109" t="s">
        <v>120</v>
      </c>
      <c r="E3278" s="109">
        <v>138</v>
      </c>
      <c r="F3278" s="110">
        <v>11832</v>
      </c>
      <c r="G3278" s="109" t="s">
        <v>120</v>
      </c>
      <c r="H3278" s="109">
        <v>86</v>
      </c>
      <c r="I3278" s="109">
        <v>807</v>
      </c>
      <c r="J3278" s="110">
        <v>712</v>
      </c>
    </row>
    <row r="3279" spans="1:10" s="119" customFormat="1">
      <c r="A3279" s="123" t="s">
        <v>120</v>
      </c>
      <c r="B3279" s="275" t="s">
        <v>947</v>
      </c>
      <c r="C3279" s="276"/>
      <c r="D3279" s="276"/>
      <c r="E3279" s="276"/>
      <c r="F3279" s="276"/>
      <c r="G3279" s="276"/>
      <c r="H3279" s="276"/>
      <c r="I3279" s="276"/>
      <c r="J3279" s="276"/>
    </row>
    <row r="3280" spans="1:10">
      <c r="A3280" s="103" t="s">
        <v>5280</v>
      </c>
      <c r="B3280" s="124" t="s">
        <v>5281</v>
      </c>
      <c r="C3280" s="110">
        <v>2773</v>
      </c>
      <c r="D3280" s="109" t="s">
        <v>120</v>
      </c>
      <c r="E3280" s="109">
        <v>28</v>
      </c>
      <c r="F3280" s="110">
        <v>3141</v>
      </c>
      <c r="G3280" s="109" t="s">
        <v>120</v>
      </c>
      <c r="H3280" s="109">
        <v>113</v>
      </c>
      <c r="I3280" s="109">
        <v>2177</v>
      </c>
      <c r="J3280" s="110">
        <v>2176</v>
      </c>
    </row>
    <row r="3281" spans="1:10">
      <c r="A3281" s="103" t="s">
        <v>5282</v>
      </c>
      <c r="B3281" s="124" t="s">
        <v>932</v>
      </c>
      <c r="C3281" s="110">
        <v>994</v>
      </c>
      <c r="D3281" s="109" t="s">
        <v>120</v>
      </c>
      <c r="E3281" s="109">
        <v>10</v>
      </c>
      <c r="F3281" s="110">
        <v>2769</v>
      </c>
      <c r="G3281" s="109" t="s">
        <v>120</v>
      </c>
      <c r="H3281" s="109">
        <v>279</v>
      </c>
      <c r="I3281" s="109" t="s">
        <v>122</v>
      </c>
      <c r="J3281" s="110" t="s">
        <v>122</v>
      </c>
    </row>
    <row r="3282" spans="1:10">
      <c r="A3282" s="103" t="s">
        <v>5283</v>
      </c>
      <c r="B3282" s="124" t="s">
        <v>934</v>
      </c>
      <c r="C3282" s="110">
        <v>1779</v>
      </c>
      <c r="D3282" s="109" t="s">
        <v>120</v>
      </c>
      <c r="E3282" s="109">
        <v>18</v>
      </c>
      <c r="F3282" s="110">
        <v>372</v>
      </c>
      <c r="G3282" s="109" t="s">
        <v>120</v>
      </c>
      <c r="H3282" s="109">
        <v>21</v>
      </c>
      <c r="I3282" s="109" t="s">
        <v>122</v>
      </c>
      <c r="J3282" s="110" t="s">
        <v>122</v>
      </c>
    </row>
    <row r="3283" spans="1:10">
      <c r="A3283" s="103" t="s">
        <v>5284</v>
      </c>
      <c r="B3283" s="124" t="s">
        <v>5285</v>
      </c>
      <c r="C3283" s="110">
        <v>16958</v>
      </c>
      <c r="D3283" s="109" t="s">
        <v>120</v>
      </c>
      <c r="E3283" s="109">
        <v>170</v>
      </c>
      <c r="F3283" s="110">
        <v>14924</v>
      </c>
      <c r="G3283" s="109" t="s">
        <v>120</v>
      </c>
      <c r="H3283" s="109">
        <v>88</v>
      </c>
      <c r="I3283" s="109">
        <v>524</v>
      </c>
      <c r="J3283" s="110">
        <v>522</v>
      </c>
    </row>
    <row r="3284" spans="1:10">
      <c r="A3284" s="103" t="s">
        <v>5286</v>
      </c>
      <c r="B3284" s="124" t="s">
        <v>932</v>
      </c>
      <c r="C3284" s="110">
        <v>1079</v>
      </c>
      <c r="D3284" s="109" t="s">
        <v>120</v>
      </c>
      <c r="E3284" s="109">
        <v>11</v>
      </c>
      <c r="F3284" s="110">
        <v>7012</v>
      </c>
      <c r="G3284" s="109" t="s">
        <v>120</v>
      </c>
      <c r="H3284" s="109">
        <v>650</v>
      </c>
      <c r="I3284" s="109" t="s">
        <v>122</v>
      </c>
      <c r="J3284" s="110" t="s">
        <v>122</v>
      </c>
    </row>
    <row r="3285" spans="1:10">
      <c r="A3285" s="103" t="s">
        <v>5287</v>
      </c>
      <c r="B3285" s="124" t="s">
        <v>934</v>
      </c>
      <c r="C3285" s="110">
        <v>15879</v>
      </c>
      <c r="D3285" s="109" t="s">
        <v>120</v>
      </c>
      <c r="E3285" s="109">
        <v>159</v>
      </c>
      <c r="F3285" s="110">
        <v>7912</v>
      </c>
      <c r="G3285" s="109" t="s">
        <v>120</v>
      </c>
      <c r="H3285" s="109">
        <v>50</v>
      </c>
      <c r="I3285" s="109" t="s">
        <v>122</v>
      </c>
      <c r="J3285" s="110" t="s">
        <v>122</v>
      </c>
    </row>
    <row r="3286" spans="1:10" s="119" customFormat="1">
      <c r="A3286" s="123" t="s">
        <v>120</v>
      </c>
      <c r="B3286" s="273" t="s">
        <v>5288</v>
      </c>
      <c r="C3286" s="274"/>
      <c r="D3286" s="274"/>
      <c r="E3286" s="274"/>
      <c r="F3286" s="274"/>
      <c r="G3286" s="274"/>
      <c r="H3286" s="274"/>
      <c r="I3286" s="274"/>
      <c r="J3286" s="274"/>
    </row>
    <row r="3287" spans="1:10" s="119" customFormat="1">
      <c r="A3287" s="123" t="s">
        <v>120</v>
      </c>
      <c r="B3287" s="275" t="s">
        <v>924</v>
      </c>
      <c r="C3287" s="276"/>
      <c r="D3287" s="276"/>
      <c r="E3287" s="276"/>
      <c r="F3287" s="276"/>
      <c r="G3287" s="276"/>
      <c r="H3287" s="276"/>
      <c r="I3287" s="276"/>
      <c r="J3287" s="276"/>
    </row>
    <row r="3288" spans="1:10">
      <c r="A3288" s="103" t="s">
        <v>5289</v>
      </c>
      <c r="B3288" s="124" t="s">
        <v>5290</v>
      </c>
      <c r="C3288" s="110">
        <v>9160</v>
      </c>
      <c r="D3288" s="109" t="s">
        <v>120</v>
      </c>
      <c r="E3288" s="109">
        <v>92</v>
      </c>
      <c r="F3288" s="110">
        <v>3627</v>
      </c>
      <c r="G3288" s="109" t="s">
        <v>120</v>
      </c>
      <c r="H3288" s="109">
        <v>40</v>
      </c>
      <c r="I3288" s="109">
        <v>1515</v>
      </c>
      <c r="J3288" s="110">
        <v>2082</v>
      </c>
    </row>
    <row r="3289" spans="1:10">
      <c r="A3289" s="103" t="s">
        <v>5291</v>
      </c>
      <c r="B3289" s="124" t="s">
        <v>5292</v>
      </c>
      <c r="C3289" s="110">
        <v>18570</v>
      </c>
      <c r="D3289" s="109" t="s">
        <v>120</v>
      </c>
      <c r="E3289" s="109">
        <v>186</v>
      </c>
      <c r="F3289" s="110">
        <v>3913</v>
      </c>
      <c r="G3289" s="109" t="s">
        <v>120</v>
      </c>
      <c r="H3289" s="109">
        <v>21</v>
      </c>
      <c r="I3289" s="109">
        <v>419</v>
      </c>
      <c r="J3289" s="110">
        <v>2010</v>
      </c>
    </row>
    <row r="3290" spans="1:10">
      <c r="A3290" s="103" t="s">
        <v>5293</v>
      </c>
      <c r="B3290" s="124" t="s">
        <v>5294</v>
      </c>
      <c r="C3290" s="110">
        <v>14135</v>
      </c>
      <c r="D3290" s="109" t="s">
        <v>120</v>
      </c>
      <c r="E3290" s="109">
        <v>141</v>
      </c>
      <c r="F3290" s="110">
        <v>6246</v>
      </c>
      <c r="G3290" s="109" t="s">
        <v>120</v>
      </c>
      <c r="H3290" s="109">
        <v>44</v>
      </c>
      <c r="I3290" s="109">
        <v>766</v>
      </c>
      <c r="J3290" s="110">
        <v>1449</v>
      </c>
    </row>
    <row r="3291" spans="1:10" s="119" customFormat="1">
      <c r="A3291" s="123" t="s">
        <v>120</v>
      </c>
      <c r="B3291" s="275" t="s">
        <v>1047</v>
      </c>
      <c r="C3291" s="276"/>
      <c r="D3291" s="276"/>
      <c r="E3291" s="276"/>
      <c r="F3291" s="276"/>
      <c r="G3291" s="276"/>
      <c r="H3291" s="276"/>
      <c r="I3291" s="276"/>
      <c r="J3291" s="276"/>
    </row>
    <row r="3292" spans="1:10">
      <c r="A3292" s="103" t="s">
        <v>5295</v>
      </c>
      <c r="B3292" s="124" t="s">
        <v>5296</v>
      </c>
      <c r="C3292" s="110">
        <v>13103</v>
      </c>
      <c r="D3292" s="109" t="s">
        <v>120</v>
      </c>
      <c r="E3292" s="109">
        <v>131</v>
      </c>
      <c r="F3292" s="110">
        <v>9225</v>
      </c>
      <c r="G3292" s="109" t="s">
        <v>120</v>
      </c>
      <c r="H3292" s="109">
        <v>70</v>
      </c>
      <c r="I3292" s="109">
        <v>896</v>
      </c>
      <c r="J3292" s="110">
        <v>950</v>
      </c>
    </row>
    <row r="3293" spans="1:10">
      <c r="A3293" s="103" t="s">
        <v>5297</v>
      </c>
      <c r="B3293" s="124" t="s">
        <v>932</v>
      </c>
      <c r="C3293" s="110">
        <v>390</v>
      </c>
      <c r="D3293" s="109" t="s">
        <v>120</v>
      </c>
      <c r="E3293" s="109">
        <v>4</v>
      </c>
      <c r="F3293" s="110">
        <v>5335</v>
      </c>
      <c r="G3293" s="109" t="s">
        <v>120</v>
      </c>
      <c r="H3293" s="109">
        <v>1368</v>
      </c>
      <c r="I3293" s="109" t="s">
        <v>122</v>
      </c>
      <c r="J3293" s="110" t="s">
        <v>122</v>
      </c>
    </row>
    <row r="3294" spans="1:10">
      <c r="A3294" s="103" t="s">
        <v>5298</v>
      </c>
      <c r="B3294" s="124" t="s">
        <v>934</v>
      </c>
      <c r="C3294" s="110">
        <v>12713</v>
      </c>
      <c r="D3294" s="109" t="s">
        <v>120</v>
      </c>
      <c r="E3294" s="109">
        <v>127</v>
      </c>
      <c r="F3294" s="110">
        <v>3890</v>
      </c>
      <c r="G3294" s="109" t="s">
        <v>120</v>
      </c>
      <c r="H3294" s="109">
        <v>31</v>
      </c>
      <c r="I3294" s="109" t="s">
        <v>122</v>
      </c>
      <c r="J3294" s="110" t="s">
        <v>122</v>
      </c>
    </row>
    <row r="3295" spans="1:10">
      <c r="A3295" s="103" t="s">
        <v>5299</v>
      </c>
      <c r="B3295" s="124" t="s">
        <v>5300</v>
      </c>
      <c r="C3295" s="110">
        <v>18106</v>
      </c>
      <c r="D3295" s="109" t="s">
        <v>120</v>
      </c>
      <c r="E3295" s="109">
        <v>181</v>
      </c>
      <c r="F3295" s="110">
        <v>18291</v>
      </c>
      <c r="G3295" s="109" t="s">
        <v>120</v>
      </c>
      <c r="H3295" s="109">
        <v>101</v>
      </c>
      <c r="I3295" s="109">
        <v>442</v>
      </c>
      <c r="J3295" s="110">
        <v>391</v>
      </c>
    </row>
    <row r="3296" spans="1:10">
      <c r="A3296" s="103" t="s">
        <v>5301</v>
      </c>
      <c r="B3296" s="124" t="s">
        <v>932</v>
      </c>
      <c r="C3296" s="110">
        <v>459</v>
      </c>
      <c r="D3296" s="109" t="s">
        <v>120</v>
      </c>
      <c r="E3296" s="109">
        <v>5</v>
      </c>
      <c r="F3296" s="110">
        <v>9870</v>
      </c>
      <c r="G3296" s="109" t="s">
        <v>120</v>
      </c>
      <c r="H3296" s="109">
        <v>2150</v>
      </c>
      <c r="I3296" s="109" t="s">
        <v>122</v>
      </c>
      <c r="J3296" s="110" t="s">
        <v>122</v>
      </c>
    </row>
    <row r="3297" spans="1:10">
      <c r="A3297" s="103" t="s">
        <v>5302</v>
      </c>
      <c r="B3297" s="124" t="s">
        <v>934</v>
      </c>
      <c r="C3297" s="110">
        <v>17647</v>
      </c>
      <c r="D3297" s="109" t="s">
        <v>120</v>
      </c>
      <c r="E3297" s="109">
        <v>176</v>
      </c>
      <c r="F3297" s="110">
        <v>8421</v>
      </c>
      <c r="G3297" s="109" t="s">
        <v>120</v>
      </c>
      <c r="H3297" s="109">
        <v>48</v>
      </c>
      <c r="I3297" s="109" t="s">
        <v>122</v>
      </c>
      <c r="J3297" s="110" t="s">
        <v>122</v>
      </c>
    </row>
    <row r="3298" spans="1:10" s="119" customFormat="1">
      <c r="A3298" s="123" t="s">
        <v>120</v>
      </c>
      <c r="B3298" s="273" t="s">
        <v>5303</v>
      </c>
      <c r="C3298" s="274"/>
      <c r="D3298" s="274"/>
      <c r="E3298" s="274"/>
      <c r="F3298" s="274"/>
      <c r="G3298" s="274"/>
      <c r="H3298" s="274"/>
      <c r="I3298" s="274"/>
      <c r="J3298" s="274"/>
    </row>
    <row r="3299" spans="1:10" s="119" customFormat="1">
      <c r="A3299" s="123" t="s">
        <v>120</v>
      </c>
      <c r="B3299" s="275" t="s">
        <v>1019</v>
      </c>
      <c r="C3299" s="276"/>
      <c r="D3299" s="276"/>
      <c r="E3299" s="276"/>
      <c r="F3299" s="276"/>
      <c r="G3299" s="276"/>
      <c r="H3299" s="276"/>
      <c r="I3299" s="276"/>
      <c r="J3299" s="276"/>
    </row>
    <row r="3300" spans="1:10">
      <c r="A3300" s="103" t="s">
        <v>5304</v>
      </c>
      <c r="B3300" s="124" t="s">
        <v>5305</v>
      </c>
      <c r="C3300" s="110">
        <v>2238</v>
      </c>
      <c r="D3300" s="109" t="s">
        <v>120</v>
      </c>
      <c r="E3300" s="109">
        <v>22</v>
      </c>
      <c r="F3300" s="110">
        <v>59951</v>
      </c>
      <c r="G3300" s="109" t="s">
        <v>120</v>
      </c>
      <c r="H3300" s="109">
        <v>2679</v>
      </c>
      <c r="I3300" s="109">
        <v>2212</v>
      </c>
      <c r="J3300" s="110">
        <v>76</v>
      </c>
    </row>
    <row r="3301" spans="1:10" s="119" customFormat="1">
      <c r="A3301" s="123" t="s">
        <v>120</v>
      </c>
      <c r="B3301" s="275" t="s">
        <v>1022</v>
      </c>
      <c r="C3301" s="276"/>
      <c r="D3301" s="276"/>
      <c r="E3301" s="276"/>
      <c r="F3301" s="276"/>
      <c r="G3301" s="276"/>
      <c r="H3301" s="276"/>
      <c r="I3301" s="276"/>
      <c r="J3301" s="276"/>
    </row>
    <row r="3302" spans="1:10">
      <c r="A3302" s="103" t="s">
        <v>5306</v>
      </c>
      <c r="B3302" s="124" t="s">
        <v>5307</v>
      </c>
      <c r="C3302" s="110">
        <v>9119</v>
      </c>
      <c r="D3302" s="109" t="s">
        <v>120</v>
      </c>
      <c r="E3302" s="109">
        <v>91</v>
      </c>
      <c r="F3302" s="110">
        <v>3649</v>
      </c>
      <c r="G3302" s="109" t="s">
        <v>120</v>
      </c>
      <c r="H3302" s="109">
        <v>40</v>
      </c>
      <c r="I3302" s="109">
        <v>1519</v>
      </c>
      <c r="J3302" s="110">
        <v>2075</v>
      </c>
    </row>
    <row r="3303" spans="1:10">
      <c r="A3303" s="103" t="s">
        <v>5308</v>
      </c>
      <c r="B3303" s="124" t="s">
        <v>5309</v>
      </c>
      <c r="C3303" s="110">
        <v>7780</v>
      </c>
      <c r="D3303" s="109" t="s">
        <v>120</v>
      </c>
      <c r="E3303" s="109">
        <v>78</v>
      </c>
      <c r="F3303" s="110">
        <v>5484</v>
      </c>
      <c r="G3303" s="109" t="s">
        <v>120</v>
      </c>
      <c r="H3303" s="109">
        <v>70</v>
      </c>
      <c r="I3303" s="109">
        <v>1731</v>
      </c>
      <c r="J3303" s="110">
        <v>1618</v>
      </c>
    </row>
    <row r="3304" spans="1:10">
      <c r="A3304" s="103" t="s">
        <v>5310</v>
      </c>
      <c r="B3304" s="124" t="s">
        <v>5305</v>
      </c>
      <c r="C3304" s="110">
        <v>17060</v>
      </c>
      <c r="D3304" s="109" t="s">
        <v>120</v>
      </c>
      <c r="E3304" s="109">
        <v>171</v>
      </c>
      <c r="F3304" s="110">
        <v>15035</v>
      </c>
      <c r="G3304" s="109" t="s">
        <v>120</v>
      </c>
      <c r="H3304" s="109">
        <v>88</v>
      </c>
      <c r="I3304" s="109">
        <v>513</v>
      </c>
      <c r="J3304" s="110">
        <v>517</v>
      </c>
    </row>
    <row r="3305" spans="1:10" s="119" customFormat="1">
      <c r="A3305" s="123" t="s">
        <v>120</v>
      </c>
      <c r="B3305" s="275" t="s">
        <v>947</v>
      </c>
      <c r="C3305" s="276"/>
      <c r="D3305" s="276"/>
      <c r="E3305" s="276"/>
      <c r="F3305" s="276"/>
      <c r="G3305" s="276"/>
      <c r="H3305" s="276"/>
      <c r="I3305" s="276"/>
      <c r="J3305" s="276"/>
    </row>
    <row r="3306" spans="1:10">
      <c r="A3306" s="103" t="s">
        <v>5311</v>
      </c>
      <c r="B3306" s="124" t="s">
        <v>5312</v>
      </c>
      <c r="C3306" s="110">
        <v>19412</v>
      </c>
      <c r="D3306" s="109" t="s">
        <v>120</v>
      </c>
      <c r="E3306" s="109">
        <v>194</v>
      </c>
      <c r="F3306" s="110">
        <v>15443</v>
      </c>
      <c r="G3306" s="109" t="s">
        <v>120</v>
      </c>
      <c r="H3306" s="109">
        <v>80</v>
      </c>
      <c r="I3306" s="109">
        <v>378</v>
      </c>
      <c r="J3306" s="110">
        <v>498</v>
      </c>
    </row>
    <row r="3307" spans="1:10">
      <c r="A3307" s="103" t="s">
        <v>5313</v>
      </c>
      <c r="B3307" s="124" t="s">
        <v>932</v>
      </c>
      <c r="C3307" s="110">
        <v>604</v>
      </c>
      <c r="D3307" s="109" t="s">
        <v>120</v>
      </c>
      <c r="E3307" s="109">
        <v>7</v>
      </c>
      <c r="F3307" s="110">
        <v>6661</v>
      </c>
      <c r="G3307" s="109" t="s">
        <v>120</v>
      </c>
      <c r="H3307" s="109">
        <v>1103</v>
      </c>
      <c r="I3307" s="109" t="s">
        <v>122</v>
      </c>
      <c r="J3307" s="110" t="s">
        <v>122</v>
      </c>
    </row>
    <row r="3308" spans="1:10">
      <c r="A3308" s="103" t="s">
        <v>5314</v>
      </c>
      <c r="B3308" s="124" t="s">
        <v>934</v>
      </c>
      <c r="C3308" s="110">
        <v>18808</v>
      </c>
      <c r="D3308" s="109" t="s">
        <v>120</v>
      </c>
      <c r="E3308" s="109">
        <v>187</v>
      </c>
      <c r="F3308" s="110">
        <v>8782</v>
      </c>
      <c r="G3308" s="109" t="s">
        <v>120</v>
      </c>
      <c r="H3308" s="109">
        <v>47</v>
      </c>
      <c r="I3308" s="109" t="s">
        <v>122</v>
      </c>
      <c r="J3308" s="110" t="s">
        <v>122</v>
      </c>
    </row>
    <row r="3309" spans="1:10">
      <c r="A3309" s="103" t="s">
        <v>5315</v>
      </c>
      <c r="B3309" s="124" t="s">
        <v>5316</v>
      </c>
      <c r="C3309" s="110">
        <v>14102</v>
      </c>
      <c r="D3309" s="109" t="s">
        <v>120</v>
      </c>
      <c r="E3309" s="109">
        <v>141</v>
      </c>
      <c r="F3309" s="110">
        <v>16166</v>
      </c>
      <c r="G3309" s="109" t="s">
        <v>120</v>
      </c>
      <c r="H3309" s="109">
        <v>115</v>
      </c>
      <c r="I3309" s="109">
        <v>772</v>
      </c>
      <c r="J3309" s="110">
        <v>464</v>
      </c>
    </row>
    <row r="3310" spans="1:10">
      <c r="A3310" s="103" t="s">
        <v>5317</v>
      </c>
      <c r="B3310" s="124" t="s">
        <v>932</v>
      </c>
      <c r="C3310" s="110">
        <v>442</v>
      </c>
      <c r="D3310" s="109" t="s">
        <v>120</v>
      </c>
      <c r="E3310" s="109">
        <v>4</v>
      </c>
      <c r="F3310" s="110">
        <v>7737</v>
      </c>
      <c r="G3310" s="109" t="s">
        <v>120</v>
      </c>
      <c r="H3310" s="109">
        <v>1750</v>
      </c>
      <c r="I3310" s="109" t="s">
        <v>122</v>
      </c>
      <c r="J3310" s="110" t="s">
        <v>122</v>
      </c>
    </row>
    <row r="3311" spans="1:10">
      <c r="A3311" s="103" t="s">
        <v>5318</v>
      </c>
      <c r="B3311" s="124" t="s">
        <v>934</v>
      </c>
      <c r="C3311" s="110">
        <v>13660</v>
      </c>
      <c r="D3311" s="109" t="s">
        <v>120</v>
      </c>
      <c r="E3311" s="109">
        <v>137</v>
      </c>
      <c r="F3311" s="110">
        <v>8429</v>
      </c>
      <c r="G3311" s="109" t="s">
        <v>120</v>
      </c>
      <c r="H3311" s="109">
        <v>62</v>
      </c>
      <c r="I3311" s="109" t="s">
        <v>122</v>
      </c>
      <c r="J3311" s="110" t="s">
        <v>122</v>
      </c>
    </row>
    <row r="3312" spans="1:10" s="119" customFormat="1">
      <c r="A3312" s="123" t="s">
        <v>120</v>
      </c>
      <c r="B3312" s="273" t="s">
        <v>5319</v>
      </c>
      <c r="C3312" s="274"/>
      <c r="D3312" s="274"/>
      <c r="E3312" s="274"/>
      <c r="F3312" s="274"/>
      <c r="G3312" s="274"/>
      <c r="H3312" s="274"/>
      <c r="I3312" s="274"/>
      <c r="J3312" s="274"/>
    </row>
    <row r="3313" spans="1:10" s="119" customFormat="1">
      <c r="A3313" s="123" t="s">
        <v>120</v>
      </c>
      <c r="B3313" s="275" t="s">
        <v>1032</v>
      </c>
      <c r="C3313" s="276"/>
      <c r="D3313" s="276"/>
      <c r="E3313" s="276"/>
      <c r="F3313" s="276"/>
      <c r="G3313" s="276"/>
      <c r="H3313" s="276"/>
      <c r="I3313" s="276"/>
      <c r="J3313" s="276"/>
    </row>
    <row r="3314" spans="1:10">
      <c r="A3314" s="103" t="s">
        <v>5320</v>
      </c>
      <c r="B3314" s="124" t="s">
        <v>5321</v>
      </c>
      <c r="C3314" s="110">
        <v>3346</v>
      </c>
      <c r="D3314" s="109" t="s">
        <v>120</v>
      </c>
      <c r="E3314" s="109">
        <v>34</v>
      </c>
      <c r="F3314" s="110">
        <v>26307</v>
      </c>
      <c r="G3314" s="109" t="s">
        <v>120</v>
      </c>
      <c r="H3314" s="109">
        <v>786</v>
      </c>
      <c r="I3314" s="109">
        <v>2144</v>
      </c>
      <c r="J3314" s="110">
        <v>231</v>
      </c>
    </row>
    <row r="3315" spans="1:10">
      <c r="A3315" s="103" t="s">
        <v>5322</v>
      </c>
      <c r="B3315" s="124" t="s">
        <v>5323</v>
      </c>
      <c r="C3315" s="110">
        <v>3010</v>
      </c>
      <c r="D3315" s="109" t="s">
        <v>120</v>
      </c>
      <c r="E3315" s="109">
        <v>30</v>
      </c>
      <c r="F3315" s="110">
        <v>49230</v>
      </c>
      <c r="G3315" s="109" t="s">
        <v>120</v>
      </c>
      <c r="H3315" s="109">
        <v>1636</v>
      </c>
      <c r="I3315" s="109">
        <v>2168</v>
      </c>
      <c r="J3315" s="110">
        <v>92</v>
      </c>
    </row>
    <row r="3316" spans="1:10">
      <c r="A3316" s="103" t="s">
        <v>5324</v>
      </c>
      <c r="B3316" s="124" t="s">
        <v>5325</v>
      </c>
      <c r="C3316" s="110">
        <v>2699</v>
      </c>
      <c r="D3316" s="109" t="s">
        <v>120</v>
      </c>
      <c r="E3316" s="109">
        <v>27</v>
      </c>
      <c r="F3316" s="110">
        <v>49505</v>
      </c>
      <c r="G3316" s="109" t="s">
        <v>120</v>
      </c>
      <c r="H3316" s="109">
        <v>1834</v>
      </c>
      <c r="I3316" s="109">
        <v>2186</v>
      </c>
      <c r="J3316" s="110">
        <v>91</v>
      </c>
    </row>
    <row r="3317" spans="1:10" s="119" customFormat="1">
      <c r="A3317" s="123" t="s">
        <v>120</v>
      </c>
      <c r="B3317" s="275" t="s">
        <v>1022</v>
      </c>
      <c r="C3317" s="276"/>
      <c r="D3317" s="276"/>
      <c r="E3317" s="276"/>
      <c r="F3317" s="276"/>
      <c r="G3317" s="276"/>
      <c r="H3317" s="276"/>
      <c r="I3317" s="276"/>
      <c r="J3317" s="276"/>
    </row>
    <row r="3318" spans="1:10">
      <c r="A3318" s="103" t="s">
        <v>5326</v>
      </c>
      <c r="B3318" s="124" t="s">
        <v>5327</v>
      </c>
      <c r="C3318" s="110">
        <v>18313</v>
      </c>
      <c r="D3318" s="109" t="s">
        <v>120</v>
      </c>
      <c r="E3318" s="109">
        <v>183</v>
      </c>
      <c r="F3318" s="110">
        <v>5495</v>
      </c>
      <c r="G3318" s="109" t="s">
        <v>120</v>
      </c>
      <c r="H3318" s="109">
        <v>30</v>
      </c>
      <c r="I3318" s="109">
        <v>434</v>
      </c>
      <c r="J3318" s="110">
        <v>1617</v>
      </c>
    </row>
    <row r="3319" spans="1:10">
      <c r="A3319" s="103" t="s">
        <v>5328</v>
      </c>
      <c r="B3319" s="124" t="s">
        <v>5329</v>
      </c>
      <c r="C3319" s="110">
        <v>17627</v>
      </c>
      <c r="D3319" s="109" t="s">
        <v>120</v>
      </c>
      <c r="E3319" s="109">
        <v>176</v>
      </c>
      <c r="F3319" s="110">
        <v>7436</v>
      </c>
      <c r="G3319" s="109" t="s">
        <v>120</v>
      </c>
      <c r="H3319" s="109">
        <v>42</v>
      </c>
      <c r="I3319" s="109">
        <v>477</v>
      </c>
      <c r="J3319" s="110">
        <v>1217</v>
      </c>
    </row>
    <row r="3320" spans="1:10">
      <c r="A3320" s="103" t="s">
        <v>5330</v>
      </c>
      <c r="B3320" s="124" t="s">
        <v>5331</v>
      </c>
      <c r="C3320" s="110">
        <v>11981</v>
      </c>
      <c r="D3320" s="109" t="s">
        <v>120</v>
      </c>
      <c r="E3320" s="109">
        <v>120</v>
      </c>
      <c r="F3320" s="110">
        <v>6432</v>
      </c>
      <c r="G3320" s="109" t="s">
        <v>120</v>
      </c>
      <c r="H3320" s="109">
        <v>54</v>
      </c>
      <c r="I3320" s="109">
        <v>1055</v>
      </c>
      <c r="J3320" s="110">
        <v>1415</v>
      </c>
    </row>
    <row r="3321" spans="1:10">
      <c r="A3321" s="103" t="s">
        <v>5332</v>
      </c>
      <c r="B3321" s="124" t="s">
        <v>5333</v>
      </c>
      <c r="C3321" s="110">
        <v>11147</v>
      </c>
      <c r="D3321" s="109" t="s">
        <v>120</v>
      </c>
      <c r="E3321" s="109">
        <v>111</v>
      </c>
      <c r="F3321" s="110">
        <v>16539</v>
      </c>
      <c r="G3321" s="109" t="s">
        <v>120</v>
      </c>
      <c r="H3321" s="109">
        <v>148</v>
      </c>
      <c r="I3321" s="109">
        <v>1192</v>
      </c>
      <c r="J3321" s="110">
        <v>452</v>
      </c>
    </row>
    <row r="3322" spans="1:10">
      <c r="A3322" s="103" t="s">
        <v>5334</v>
      </c>
      <c r="B3322" s="124" t="s">
        <v>5335</v>
      </c>
      <c r="C3322" s="110">
        <v>23286</v>
      </c>
      <c r="D3322" s="109" t="s">
        <v>120</v>
      </c>
      <c r="E3322" s="109">
        <v>233</v>
      </c>
      <c r="F3322" s="110">
        <v>12084</v>
      </c>
      <c r="G3322" s="109" t="s">
        <v>120</v>
      </c>
      <c r="H3322" s="109">
        <v>52</v>
      </c>
      <c r="I3322" s="109">
        <v>222</v>
      </c>
      <c r="J3322" s="110">
        <v>693</v>
      </c>
    </row>
    <row r="3323" spans="1:10">
      <c r="A3323" s="103" t="s">
        <v>5336</v>
      </c>
      <c r="B3323" s="124" t="s">
        <v>5337</v>
      </c>
      <c r="C3323" s="110">
        <v>17691</v>
      </c>
      <c r="D3323" s="109" t="s">
        <v>120</v>
      </c>
      <c r="E3323" s="109">
        <v>177</v>
      </c>
      <c r="F3323" s="110">
        <v>18240</v>
      </c>
      <c r="G3323" s="109" t="s">
        <v>120</v>
      </c>
      <c r="H3323" s="109">
        <v>103</v>
      </c>
      <c r="I3323" s="109">
        <v>472</v>
      </c>
      <c r="J3323" s="110">
        <v>393</v>
      </c>
    </row>
    <row r="3324" spans="1:10">
      <c r="A3324" s="103" t="s">
        <v>5338</v>
      </c>
      <c r="B3324" s="124" t="s">
        <v>5325</v>
      </c>
      <c r="C3324" s="110">
        <v>19425</v>
      </c>
      <c r="D3324" s="109" t="s">
        <v>120</v>
      </c>
      <c r="E3324" s="109">
        <v>194</v>
      </c>
      <c r="F3324" s="110">
        <v>26578</v>
      </c>
      <c r="G3324" s="109" t="s">
        <v>120</v>
      </c>
      <c r="H3324" s="109">
        <v>137</v>
      </c>
      <c r="I3324" s="109">
        <v>375</v>
      </c>
      <c r="J3324" s="110">
        <v>228</v>
      </c>
    </row>
    <row r="3325" spans="1:10" s="119" customFormat="1">
      <c r="A3325" s="123" t="s">
        <v>120</v>
      </c>
      <c r="B3325" s="273" t="s">
        <v>1389</v>
      </c>
      <c r="C3325" s="274"/>
      <c r="D3325" s="274"/>
      <c r="E3325" s="274"/>
      <c r="F3325" s="274"/>
      <c r="G3325" s="274"/>
      <c r="H3325" s="274"/>
      <c r="I3325" s="274"/>
      <c r="J3325" s="274"/>
    </row>
    <row r="3326" spans="1:10">
      <c r="A3326" s="103" t="s">
        <v>5339</v>
      </c>
      <c r="B3326" s="124" t="s">
        <v>5340</v>
      </c>
      <c r="C3326" s="110">
        <v>26196</v>
      </c>
      <c r="D3326" s="109" t="s">
        <v>120</v>
      </c>
      <c r="E3326" s="109">
        <v>262</v>
      </c>
      <c r="F3326" s="110">
        <v>470907</v>
      </c>
      <c r="G3326" s="105" t="s">
        <v>927</v>
      </c>
      <c r="H3326" s="109">
        <v>1798</v>
      </c>
      <c r="I3326" s="109">
        <v>150</v>
      </c>
      <c r="J3326" s="110">
        <v>6</v>
      </c>
    </row>
    <row r="3327" spans="1:10">
      <c r="A3327" s="103" t="s">
        <v>5341</v>
      </c>
      <c r="B3327" s="124" t="s">
        <v>5342</v>
      </c>
      <c r="C3327" s="110">
        <v>13514</v>
      </c>
      <c r="D3327" s="109" t="s">
        <v>120</v>
      </c>
      <c r="E3327" s="109">
        <v>135</v>
      </c>
      <c r="F3327" s="110">
        <v>246348</v>
      </c>
      <c r="G3327" s="109" t="s">
        <v>120</v>
      </c>
      <c r="H3327" s="109">
        <v>1823</v>
      </c>
      <c r="I3327" s="109">
        <v>835</v>
      </c>
      <c r="J3327" s="110">
        <v>12</v>
      </c>
    </row>
    <row r="3328" spans="1:10">
      <c r="A3328" s="103" t="s">
        <v>5343</v>
      </c>
      <c r="B3328" s="124" t="s">
        <v>5251</v>
      </c>
      <c r="C3328" s="110">
        <v>4315</v>
      </c>
      <c r="D3328" s="109" t="s">
        <v>120</v>
      </c>
      <c r="E3328" s="109">
        <v>43</v>
      </c>
      <c r="F3328" s="110">
        <v>90681</v>
      </c>
      <c r="G3328" s="109" t="s">
        <v>120</v>
      </c>
      <c r="H3328" s="109">
        <v>2102</v>
      </c>
      <c r="I3328" s="109">
        <v>2070</v>
      </c>
      <c r="J3328" s="110">
        <v>42</v>
      </c>
    </row>
    <row r="3329" spans="1:10">
      <c r="A3329" s="103" t="s">
        <v>5344</v>
      </c>
      <c r="B3329" s="124" t="s">
        <v>5345</v>
      </c>
      <c r="C3329" s="110">
        <v>1728</v>
      </c>
      <c r="D3329" s="109" t="s">
        <v>120</v>
      </c>
      <c r="E3329" s="109">
        <v>17</v>
      </c>
      <c r="F3329" s="110">
        <v>35719</v>
      </c>
      <c r="G3329" s="109" t="s">
        <v>120</v>
      </c>
      <c r="H3329" s="109">
        <v>2067</v>
      </c>
      <c r="I3329" s="109">
        <v>2259</v>
      </c>
      <c r="J3329" s="110">
        <v>148</v>
      </c>
    </row>
    <row r="3330" spans="1:10" s="119" customFormat="1">
      <c r="A3330" s="123" t="s">
        <v>120</v>
      </c>
      <c r="B3330" s="273" t="s">
        <v>22</v>
      </c>
      <c r="C3330" s="274"/>
      <c r="D3330" s="274"/>
      <c r="E3330" s="274"/>
      <c r="F3330" s="274"/>
      <c r="G3330" s="274"/>
      <c r="H3330" s="274"/>
      <c r="I3330" s="274"/>
      <c r="J3330" s="274"/>
    </row>
    <row r="3331" spans="1:10" s="119" customFormat="1">
      <c r="A3331" s="123" t="s">
        <v>120</v>
      </c>
      <c r="B3331" s="273" t="s">
        <v>5346</v>
      </c>
      <c r="C3331" s="274"/>
      <c r="D3331" s="274"/>
      <c r="E3331" s="274"/>
      <c r="F3331" s="274"/>
      <c r="G3331" s="274"/>
      <c r="H3331" s="274"/>
      <c r="I3331" s="274"/>
      <c r="J3331" s="274"/>
    </row>
    <row r="3332" spans="1:10" s="119" customFormat="1">
      <c r="A3332" s="123" t="s">
        <v>120</v>
      </c>
      <c r="B3332" s="275" t="s">
        <v>1032</v>
      </c>
      <c r="C3332" s="276"/>
      <c r="D3332" s="276"/>
      <c r="E3332" s="276"/>
      <c r="F3332" s="276"/>
      <c r="G3332" s="276"/>
      <c r="H3332" s="276"/>
      <c r="I3332" s="276"/>
      <c r="J3332" s="276"/>
    </row>
    <row r="3333" spans="1:10">
      <c r="A3333" s="103" t="s">
        <v>5347</v>
      </c>
      <c r="B3333" s="124" t="s">
        <v>5348</v>
      </c>
      <c r="C3333" s="110">
        <v>3737</v>
      </c>
      <c r="D3333" s="109" t="s">
        <v>120</v>
      </c>
      <c r="E3333" s="109">
        <v>37</v>
      </c>
      <c r="F3333" s="110">
        <v>56354</v>
      </c>
      <c r="G3333" s="109" t="s">
        <v>120</v>
      </c>
      <c r="H3333" s="109">
        <v>1508</v>
      </c>
      <c r="I3333" s="109">
        <v>2112</v>
      </c>
      <c r="J3333" s="110">
        <v>81</v>
      </c>
    </row>
    <row r="3334" spans="1:10">
      <c r="A3334" s="103" t="s">
        <v>5349</v>
      </c>
      <c r="B3334" s="124" t="s">
        <v>5350</v>
      </c>
      <c r="C3334" s="110">
        <v>1638</v>
      </c>
      <c r="D3334" s="109" t="s">
        <v>120</v>
      </c>
      <c r="E3334" s="109">
        <v>16</v>
      </c>
      <c r="F3334" s="110">
        <v>31405</v>
      </c>
      <c r="G3334" s="109" t="s">
        <v>120</v>
      </c>
      <c r="H3334" s="109">
        <v>1917</v>
      </c>
      <c r="I3334" s="109">
        <v>2268</v>
      </c>
      <c r="J3334" s="110">
        <v>178</v>
      </c>
    </row>
    <row r="3335" spans="1:10">
      <c r="A3335" s="103" t="s">
        <v>5351</v>
      </c>
      <c r="B3335" s="124" t="s">
        <v>5352</v>
      </c>
      <c r="C3335" s="110">
        <v>3667</v>
      </c>
      <c r="D3335" s="109" t="s">
        <v>120</v>
      </c>
      <c r="E3335" s="109">
        <v>37</v>
      </c>
      <c r="F3335" s="110">
        <v>6983</v>
      </c>
      <c r="G3335" s="109" t="s">
        <v>120</v>
      </c>
      <c r="H3335" s="109">
        <v>190</v>
      </c>
      <c r="I3335" s="109">
        <v>2115</v>
      </c>
      <c r="J3335" s="110">
        <v>1300</v>
      </c>
    </row>
    <row r="3336" spans="1:10">
      <c r="A3336" s="103" t="s">
        <v>5353</v>
      </c>
      <c r="B3336" s="124" t="s">
        <v>5354</v>
      </c>
      <c r="C3336" s="110">
        <v>1279</v>
      </c>
      <c r="D3336" s="109" t="s">
        <v>120</v>
      </c>
      <c r="E3336" s="109">
        <v>13</v>
      </c>
      <c r="F3336" s="110">
        <v>8942</v>
      </c>
      <c r="G3336" s="109" t="s">
        <v>120</v>
      </c>
      <c r="H3336" s="109">
        <v>699</v>
      </c>
      <c r="I3336" s="109">
        <v>2302</v>
      </c>
      <c r="J3336" s="110">
        <v>992</v>
      </c>
    </row>
    <row r="3337" spans="1:10" s="119" customFormat="1">
      <c r="A3337" s="123" t="s">
        <v>120</v>
      </c>
      <c r="B3337" s="275" t="s">
        <v>1022</v>
      </c>
      <c r="C3337" s="276"/>
      <c r="D3337" s="276"/>
      <c r="E3337" s="276"/>
      <c r="F3337" s="276"/>
      <c r="G3337" s="276"/>
      <c r="H3337" s="276"/>
      <c r="I3337" s="276"/>
      <c r="J3337" s="276"/>
    </row>
    <row r="3338" spans="1:10">
      <c r="A3338" s="103" t="s">
        <v>5355</v>
      </c>
      <c r="B3338" s="124" t="s">
        <v>1536</v>
      </c>
      <c r="C3338" s="110">
        <v>5148</v>
      </c>
      <c r="D3338" s="109" t="s">
        <v>120</v>
      </c>
      <c r="E3338" s="109">
        <v>52</v>
      </c>
      <c r="F3338" s="110">
        <v>12132</v>
      </c>
      <c r="G3338" s="109" t="s">
        <v>120</v>
      </c>
      <c r="H3338" s="109">
        <v>236</v>
      </c>
      <c r="I3338" s="109">
        <v>2005</v>
      </c>
      <c r="J3338" s="110">
        <v>688</v>
      </c>
    </row>
    <row r="3339" spans="1:10">
      <c r="A3339" s="103" t="s">
        <v>5356</v>
      </c>
      <c r="B3339" s="124" t="s">
        <v>5357</v>
      </c>
      <c r="C3339" s="110">
        <v>4943</v>
      </c>
      <c r="D3339" s="109" t="s">
        <v>120</v>
      </c>
      <c r="E3339" s="109">
        <v>49</v>
      </c>
      <c r="F3339" s="110">
        <v>7635</v>
      </c>
      <c r="G3339" s="109" t="s">
        <v>120</v>
      </c>
      <c r="H3339" s="109">
        <v>154</v>
      </c>
      <c r="I3339" s="109">
        <v>2024</v>
      </c>
      <c r="J3339" s="110">
        <v>1182</v>
      </c>
    </row>
    <row r="3340" spans="1:10">
      <c r="A3340" s="103" t="s">
        <v>5358</v>
      </c>
      <c r="B3340" s="124" t="s">
        <v>5359</v>
      </c>
      <c r="C3340" s="110">
        <v>4616</v>
      </c>
      <c r="D3340" s="109" t="s">
        <v>120</v>
      </c>
      <c r="E3340" s="109">
        <v>46</v>
      </c>
      <c r="F3340" s="110">
        <v>12221</v>
      </c>
      <c r="G3340" s="109" t="s">
        <v>120</v>
      </c>
      <c r="H3340" s="109">
        <v>265</v>
      </c>
      <c r="I3340" s="109">
        <v>2052</v>
      </c>
      <c r="J3340" s="110">
        <v>683</v>
      </c>
    </row>
    <row r="3341" spans="1:10" s="119" customFormat="1">
      <c r="A3341" s="123" t="s">
        <v>120</v>
      </c>
      <c r="B3341" s="275" t="s">
        <v>1026</v>
      </c>
      <c r="C3341" s="276"/>
      <c r="D3341" s="276"/>
      <c r="E3341" s="276"/>
      <c r="F3341" s="276"/>
      <c r="G3341" s="276"/>
      <c r="H3341" s="276"/>
      <c r="I3341" s="276"/>
      <c r="J3341" s="276"/>
    </row>
    <row r="3342" spans="1:10">
      <c r="A3342" s="103" t="s">
        <v>5360</v>
      </c>
      <c r="B3342" s="124" t="s">
        <v>5361</v>
      </c>
      <c r="C3342" s="110">
        <v>11385</v>
      </c>
      <c r="D3342" s="109" t="s">
        <v>120</v>
      </c>
      <c r="E3342" s="109">
        <v>114</v>
      </c>
      <c r="F3342" s="110">
        <v>12417</v>
      </c>
      <c r="G3342" s="109" t="s">
        <v>120</v>
      </c>
      <c r="H3342" s="109">
        <v>109</v>
      </c>
      <c r="I3342" s="109">
        <v>1143</v>
      </c>
      <c r="J3342" s="110">
        <v>671</v>
      </c>
    </row>
    <row r="3343" spans="1:10">
      <c r="A3343" s="103" t="s">
        <v>5362</v>
      </c>
      <c r="B3343" s="124" t="s">
        <v>932</v>
      </c>
      <c r="C3343" s="110">
        <v>3866</v>
      </c>
      <c r="D3343" s="109" t="s">
        <v>120</v>
      </c>
      <c r="E3343" s="109">
        <v>39</v>
      </c>
      <c r="F3343" s="110">
        <v>5568</v>
      </c>
      <c r="G3343" s="109" t="s">
        <v>120</v>
      </c>
      <c r="H3343" s="109">
        <v>144</v>
      </c>
      <c r="I3343" s="109" t="s">
        <v>122</v>
      </c>
      <c r="J3343" s="110" t="s">
        <v>122</v>
      </c>
    </row>
    <row r="3344" spans="1:10">
      <c r="A3344" s="103" t="s">
        <v>5363</v>
      </c>
      <c r="B3344" s="124" t="s">
        <v>934</v>
      </c>
      <c r="C3344" s="110">
        <v>7519</v>
      </c>
      <c r="D3344" s="109" t="s">
        <v>120</v>
      </c>
      <c r="E3344" s="109">
        <v>75</v>
      </c>
      <c r="F3344" s="110">
        <v>6849</v>
      </c>
      <c r="G3344" s="109" t="s">
        <v>120</v>
      </c>
      <c r="H3344" s="109">
        <v>91</v>
      </c>
      <c r="I3344" s="109" t="s">
        <v>122</v>
      </c>
      <c r="J3344" s="110" t="s">
        <v>122</v>
      </c>
    </row>
    <row r="3345" spans="1:10" s="119" customFormat="1">
      <c r="A3345" s="123" t="s">
        <v>120</v>
      </c>
      <c r="B3345" s="273" t="s">
        <v>5364</v>
      </c>
      <c r="C3345" s="274"/>
      <c r="D3345" s="274"/>
      <c r="E3345" s="274"/>
      <c r="F3345" s="274"/>
      <c r="G3345" s="274"/>
      <c r="H3345" s="274"/>
      <c r="I3345" s="274"/>
      <c r="J3345" s="274"/>
    </row>
    <row r="3346" spans="1:10" s="119" customFormat="1">
      <c r="A3346" s="123" t="s">
        <v>120</v>
      </c>
      <c r="B3346" s="275" t="s">
        <v>1019</v>
      </c>
      <c r="C3346" s="276"/>
      <c r="D3346" s="276"/>
      <c r="E3346" s="276"/>
      <c r="F3346" s="276"/>
      <c r="G3346" s="276"/>
      <c r="H3346" s="276"/>
      <c r="I3346" s="276"/>
      <c r="J3346" s="276"/>
    </row>
    <row r="3347" spans="1:10">
      <c r="A3347" s="103" t="s">
        <v>5365</v>
      </c>
      <c r="B3347" s="124" t="s">
        <v>5366</v>
      </c>
      <c r="C3347" s="110">
        <v>3907</v>
      </c>
      <c r="D3347" s="109" t="s">
        <v>120</v>
      </c>
      <c r="E3347" s="109">
        <v>39</v>
      </c>
      <c r="F3347" s="110">
        <v>5751</v>
      </c>
      <c r="G3347" s="109" t="s">
        <v>120</v>
      </c>
      <c r="H3347" s="109">
        <v>147</v>
      </c>
      <c r="I3347" s="109">
        <v>2101</v>
      </c>
      <c r="J3347" s="110">
        <v>1567</v>
      </c>
    </row>
    <row r="3348" spans="1:10" s="119" customFormat="1">
      <c r="A3348" s="123" t="s">
        <v>120</v>
      </c>
      <c r="B3348" s="275" t="s">
        <v>924</v>
      </c>
      <c r="C3348" s="276"/>
      <c r="D3348" s="276"/>
      <c r="E3348" s="276"/>
      <c r="F3348" s="276"/>
      <c r="G3348" s="276"/>
      <c r="H3348" s="276"/>
      <c r="I3348" s="276"/>
      <c r="J3348" s="276"/>
    </row>
    <row r="3349" spans="1:10">
      <c r="A3349" s="103" t="s">
        <v>5367</v>
      </c>
      <c r="B3349" s="124" t="s">
        <v>5368</v>
      </c>
      <c r="C3349" s="110">
        <v>3792</v>
      </c>
      <c r="D3349" s="109" t="s">
        <v>120</v>
      </c>
      <c r="E3349" s="109">
        <v>38</v>
      </c>
      <c r="F3349" s="110">
        <v>11909</v>
      </c>
      <c r="G3349" s="109" t="s">
        <v>120</v>
      </c>
      <c r="H3349" s="109">
        <v>314</v>
      </c>
      <c r="I3349" s="109">
        <v>2109</v>
      </c>
      <c r="J3349" s="110">
        <v>706</v>
      </c>
    </row>
    <row r="3350" spans="1:10">
      <c r="A3350" s="103" t="s">
        <v>5369</v>
      </c>
      <c r="B3350" s="124" t="s">
        <v>5370</v>
      </c>
      <c r="C3350" s="110">
        <v>1946</v>
      </c>
      <c r="D3350" s="109" t="s">
        <v>120</v>
      </c>
      <c r="E3350" s="109">
        <v>19</v>
      </c>
      <c r="F3350" s="110">
        <v>11227</v>
      </c>
      <c r="G3350" s="109" t="s">
        <v>120</v>
      </c>
      <c r="H3350" s="109">
        <v>577</v>
      </c>
      <c r="I3350" s="109">
        <v>2243</v>
      </c>
      <c r="J3350" s="110">
        <v>764</v>
      </c>
    </row>
    <row r="3351" spans="1:10">
      <c r="A3351" s="103" t="s">
        <v>5371</v>
      </c>
      <c r="B3351" s="124" t="s">
        <v>5372</v>
      </c>
      <c r="C3351" s="110">
        <v>9167</v>
      </c>
      <c r="D3351" s="109" t="s">
        <v>120</v>
      </c>
      <c r="E3351" s="109">
        <v>93</v>
      </c>
      <c r="F3351" s="110">
        <v>24419</v>
      </c>
      <c r="G3351" s="109" t="s">
        <v>120</v>
      </c>
      <c r="H3351" s="109">
        <v>266</v>
      </c>
      <c r="I3351" s="109">
        <v>1514</v>
      </c>
      <c r="J3351" s="110">
        <v>257</v>
      </c>
    </row>
    <row r="3352" spans="1:10">
      <c r="A3352" s="103" t="s">
        <v>5373</v>
      </c>
      <c r="B3352" s="124" t="s">
        <v>5374</v>
      </c>
      <c r="C3352" s="110">
        <v>2113</v>
      </c>
      <c r="D3352" s="109" t="s">
        <v>120</v>
      </c>
      <c r="E3352" s="109">
        <v>21</v>
      </c>
      <c r="F3352" s="110">
        <v>7395</v>
      </c>
      <c r="G3352" s="109" t="s">
        <v>120</v>
      </c>
      <c r="H3352" s="109">
        <v>350</v>
      </c>
      <c r="I3352" s="109">
        <v>2223</v>
      </c>
      <c r="J3352" s="110">
        <v>1227</v>
      </c>
    </row>
    <row r="3353" spans="1:10">
      <c r="A3353" s="103" t="s">
        <v>5375</v>
      </c>
      <c r="B3353" s="124" t="s">
        <v>5376</v>
      </c>
      <c r="C3353" s="110">
        <v>2674</v>
      </c>
      <c r="D3353" s="109" t="s">
        <v>120</v>
      </c>
      <c r="E3353" s="109">
        <v>27</v>
      </c>
      <c r="F3353" s="110">
        <v>13024</v>
      </c>
      <c r="G3353" s="109" t="s">
        <v>120</v>
      </c>
      <c r="H3353" s="109">
        <v>487</v>
      </c>
      <c r="I3353" s="109">
        <v>2187</v>
      </c>
      <c r="J3353" s="110">
        <v>628</v>
      </c>
    </row>
    <row r="3354" spans="1:10">
      <c r="A3354" s="103" t="s">
        <v>5377</v>
      </c>
      <c r="B3354" s="124" t="s">
        <v>5378</v>
      </c>
      <c r="C3354" s="110">
        <v>6443</v>
      </c>
      <c r="D3354" s="109" t="s">
        <v>120</v>
      </c>
      <c r="E3354" s="109">
        <v>65</v>
      </c>
      <c r="F3354" s="110">
        <v>15630</v>
      </c>
      <c r="G3354" s="109" t="s">
        <v>120</v>
      </c>
      <c r="H3354" s="109">
        <v>243</v>
      </c>
      <c r="I3354" s="109">
        <v>1910</v>
      </c>
      <c r="J3354" s="110">
        <v>490</v>
      </c>
    </row>
    <row r="3355" spans="1:10">
      <c r="A3355" s="103" t="s">
        <v>5379</v>
      </c>
      <c r="B3355" s="124" t="s">
        <v>5380</v>
      </c>
      <c r="C3355" s="110">
        <v>3440</v>
      </c>
      <c r="D3355" s="109" t="s">
        <v>120</v>
      </c>
      <c r="E3355" s="109">
        <v>34</v>
      </c>
      <c r="F3355" s="110">
        <v>13421</v>
      </c>
      <c r="G3355" s="109" t="s">
        <v>120</v>
      </c>
      <c r="H3355" s="109">
        <v>390</v>
      </c>
      <c r="I3355" s="109">
        <v>2136</v>
      </c>
      <c r="J3355" s="110">
        <v>597</v>
      </c>
    </row>
    <row r="3356" spans="1:10" s="119" customFormat="1">
      <c r="A3356" s="123" t="s">
        <v>120</v>
      </c>
      <c r="B3356" s="275" t="s">
        <v>1101</v>
      </c>
      <c r="C3356" s="276"/>
      <c r="D3356" s="276"/>
      <c r="E3356" s="276"/>
      <c r="F3356" s="276"/>
      <c r="G3356" s="276"/>
      <c r="H3356" s="276"/>
      <c r="I3356" s="276"/>
      <c r="J3356" s="276"/>
    </row>
    <row r="3357" spans="1:10">
      <c r="A3357" s="103" t="s">
        <v>5381</v>
      </c>
      <c r="B3357" s="124" t="s">
        <v>5382</v>
      </c>
      <c r="C3357" s="110">
        <v>6648</v>
      </c>
      <c r="D3357" s="109" t="s">
        <v>120</v>
      </c>
      <c r="E3357" s="109">
        <v>66</v>
      </c>
      <c r="F3357" s="110">
        <v>45489</v>
      </c>
      <c r="G3357" s="109" t="s">
        <v>120</v>
      </c>
      <c r="H3357" s="109">
        <v>684</v>
      </c>
      <c r="I3357" s="109">
        <v>1886</v>
      </c>
      <c r="J3357" s="110">
        <v>109</v>
      </c>
    </row>
    <row r="3358" spans="1:10">
      <c r="A3358" s="103" t="s">
        <v>5383</v>
      </c>
      <c r="B3358" s="124" t="s">
        <v>932</v>
      </c>
      <c r="C3358" s="110">
        <v>3291</v>
      </c>
      <c r="D3358" s="109" t="s">
        <v>120</v>
      </c>
      <c r="E3358" s="109">
        <v>33</v>
      </c>
      <c r="F3358" s="110">
        <v>35925</v>
      </c>
      <c r="G3358" s="109" t="s">
        <v>120</v>
      </c>
      <c r="H3358" s="109">
        <v>1092</v>
      </c>
      <c r="I3358" s="109" t="s">
        <v>122</v>
      </c>
      <c r="J3358" s="110" t="s">
        <v>122</v>
      </c>
    </row>
    <row r="3359" spans="1:10">
      <c r="A3359" s="103" t="s">
        <v>5384</v>
      </c>
      <c r="B3359" s="124" t="s">
        <v>934</v>
      </c>
      <c r="C3359" s="110">
        <v>3357</v>
      </c>
      <c r="D3359" s="109" t="s">
        <v>120</v>
      </c>
      <c r="E3359" s="109">
        <v>33</v>
      </c>
      <c r="F3359" s="110">
        <v>9564</v>
      </c>
      <c r="G3359" s="109" t="s">
        <v>120</v>
      </c>
      <c r="H3359" s="109">
        <v>285</v>
      </c>
      <c r="I3359" s="109" t="s">
        <v>122</v>
      </c>
      <c r="J3359" s="110" t="s">
        <v>122</v>
      </c>
    </row>
    <row r="3360" spans="1:10">
      <c r="A3360" s="103" t="s">
        <v>5385</v>
      </c>
      <c r="B3360" s="124" t="s">
        <v>5386</v>
      </c>
      <c r="C3360" s="110">
        <v>5734</v>
      </c>
      <c r="D3360" s="109" t="s">
        <v>120</v>
      </c>
      <c r="E3360" s="109">
        <v>57</v>
      </c>
      <c r="F3360" s="110">
        <v>17695</v>
      </c>
      <c r="G3360" s="109" t="s">
        <v>120</v>
      </c>
      <c r="H3360" s="109">
        <v>309</v>
      </c>
      <c r="I3360" s="109">
        <v>1966</v>
      </c>
      <c r="J3360" s="110">
        <v>412</v>
      </c>
    </row>
    <row r="3361" spans="1:10">
      <c r="A3361" s="103" t="s">
        <v>5387</v>
      </c>
      <c r="B3361" s="124" t="s">
        <v>932</v>
      </c>
      <c r="C3361" s="110">
        <v>1036</v>
      </c>
      <c r="D3361" s="109" t="s">
        <v>120</v>
      </c>
      <c r="E3361" s="109">
        <v>10</v>
      </c>
      <c r="F3361" s="110">
        <v>3113</v>
      </c>
      <c r="G3361" s="109" t="s">
        <v>120</v>
      </c>
      <c r="H3361" s="109">
        <v>300</v>
      </c>
      <c r="I3361" s="109" t="s">
        <v>122</v>
      </c>
      <c r="J3361" s="110" t="s">
        <v>122</v>
      </c>
    </row>
    <row r="3362" spans="1:10">
      <c r="A3362" s="103" t="s">
        <v>5388</v>
      </c>
      <c r="B3362" s="124" t="s">
        <v>934</v>
      </c>
      <c r="C3362" s="110">
        <v>4698</v>
      </c>
      <c r="D3362" s="109" t="s">
        <v>120</v>
      </c>
      <c r="E3362" s="109">
        <v>47</v>
      </c>
      <c r="F3362" s="110">
        <v>14582</v>
      </c>
      <c r="G3362" s="109" t="s">
        <v>120</v>
      </c>
      <c r="H3362" s="109">
        <v>310</v>
      </c>
      <c r="I3362" s="109" t="s">
        <v>122</v>
      </c>
      <c r="J3362" s="110" t="s">
        <v>122</v>
      </c>
    </row>
    <row r="3363" spans="1:10" s="119" customFormat="1">
      <c r="A3363" s="123" t="s">
        <v>120</v>
      </c>
      <c r="B3363" s="273" t="s">
        <v>5389</v>
      </c>
      <c r="C3363" s="274"/>
      <c r="D3363" s="274"/>
      <c r="E3363" s="274"/>
      <c r="F3363" s="274"/>
      <c r="G3363" s="274"/>
      <c r="H3363" s="274"/>
      <c r="I3363" s="274"/>
      <c r="J3363" s="274"/>
    </row>
    <row r="3364" spans="1:10" s="119" customFormat="1">
      <c r="A3364" s="123" t="s">
        <v>120</v>
      </c>
      <c r="B3364" s="275" t="s">
        <v>1032</v>
      </c>
      <c r="C3364" s="276"/>
      <c r="D3364" s="276"/>
      <c r="E3364" s="276"/>
      <c r="F3364" s="276"/>
      <c r="G3364" s="276"/>
      <c r="H3364" s="276"/>
      <c r="I3364" s="276"/>
      <c r="J3364" s="276"/>
    </row>
    <row r="3365" spans="1:10">
      <c r="A3365" s="103" t="s">
        <v>5390</v>
      </c>
      <c r="B3365" s="124" t="s">
        <v>5391</v>
      </c>
      <c r="C3365" s="110">
        <v>4049</v>
      </c>
      <c r="D3365" s="109" t="s">
        <v>120</v>
      </c>
      <c r="E3365" s="109">
        <v>40</v>
      </c>
      <c r="F3365" s="110">
        <v>19507</v>
      </c>
      <c r="G3365" s="109" t="s">
        <v>120</v>
      </c>
      <c r="H3365" s="109">
        <v>482</v>
      </c>
      <c r="I3365" s="109">
        <v>2090</v>
      </c>
      <c r="J3365" s="110">
        <v>358</v>
      </c>
    </row>
    <row r="3366" spans="1:10">
      <c r="A3366" s="103" t="s">
        <v>5392</v>
      </c>
      <c r="B3366" s="124" t="s">
        <v>5393</v>
      </c>
      <c r="C3366" s="110">
        <v>2799</v>
      </c>
      <c r="D3366" s="109" t="s">
        <v>120</v>
      </c>
      <c r="E3366" s="109">
        <v>28</v>
      </c>
      <c r="F3366" s="110">
        <v>9189</v>
      </c>
      <c r="G3366" s="109" t="s">
        <v>120</v>
      </c>
      <c r="H3366" s="109">
        <v>328</v>
      </c>
      <c r="I3366" s="109">
        <v>2175</v>
      </c>
      <c r="J3366" s="110">
        <v>954</v>
      </c>
    </row>
    <row r="3367" spans="1:10">
      <c r="A3367" s="103" t="s">
        <v>5394</v>
      </c>
      <c r="B3367" s="124" t="s">
        <v>5395</v>
      </c>
      <c r="C3367" s="110">
        <v>3165</v>
      </c>
      <c r="D3367" s="109" t="s">
        <v>120</v>
      </c>
      <c r="E3367" s="109">
        <v>32</v>
      </c>
      <c r="F3367" s="110">
        <v>16798</v>
      </c>
      <c r="G3367" s="109" t="s">
        <v>120</v>
      </c>
      <c r="H3367" s="109">
        <v>531</v>
      </c>
      <c r="I3367" s="109">
        <v>2160</v>
      </c>
      <c r="J3367" s="110">
        <v>441</v>
      </c>
    </row>
    <row r="3368" spans="1:10" s="119" customFormat="1">
      <c r="A3368" s="123" t="s">
        <v>120</v>
      </c>
      <c r="B3368" s="275" t="s">
        <v>924</v>
      </c>
      <c r="C3368" s="276"/>
      <c r="D3368" s="276"/>
      <c r="E3368" s="276"/>
      <c r="F3368" s="276"/>
      <c r="G3368" s="276"/>
      <c r="H3368" s="276"/>
      <c r="I3368" s="276"/>
      <c r="J3368" s="276"/>
    </row>
    <row r="3369" spans="1:10">
      <c r="A3369" s="103" t="s">
        <v>5396</v>
      </c>
      <c r="B3369" s="124" t="s">
        <v>5397</v>
      </c>
      <c r="C3369" s="110">
        <v>3469</v>
      </c>
      <c r="D3369" s="109" t="s">
        <v>120</v>
      </c>
      <c r="E3369" s="109">
        <v>35</v>
      </c>
      <c r="F3369" s="110">
        <v>7924</v>
      </c>
      <c r="G3369" s="109" t="s">
        <v>120</v>
      </c>
      <c r="H3369" s="109">
        <v>228</v>
      </c>
      <c r="I3369" s="109">
        <v>2131</v>
      </c>
      <c r="J3369" s="110">
        <v>1136</v>
      </c>
    </row>
    <row r="3370" spans="1:10">
      <c r="A3370" s="103" t="s">
        <v>5398</v>
      </c>
      <c r="B3370" s="124" t="s">
        <v>5399</v>
      </c>
      <c r="C3370" s="110">
        <v>2333</v>
      </c>
      <c r="D3370" s="109" t="s">
        <v>120</v>
      </c>
      <c r="E3370" s="109">
        <v>23</v>
      </c>
      <c r="F3370" s="110">
        <v>6358</v>
      </c>
      <c r="G3370" s="109" t="s">
        <v>120</v>
      </c>
      <c r="H3370" s="109">
        <v>273</v>
      </c>
      <c r="I3370" s="109">
        <v>2209</v>
      </c>
      <c r="J3370" s="110">
        <v>1432</v>
      </c>
    </row>
    <row r="3371" spans="1:10" s="119" customFormat="1">
      <c r="A3371" s="123" t="s">
        <v>120</v>
      </c>
      <c r="B3371" s="273" t="s">
        <v>5400</v>
      </c>
      <c r="C3371" s="274"/>
      <c r="D3371" s="274"/>
      <c r="E3371" s="274"/>
      <c r="F3371" s="274"/>
      <c r="G3371" s="274"/>
      <c r="H3371" s="274"/>
      <c r="I3371" s="274"/>
      <c r="J3371" s="274"/>
    </row>
    <row r="3372" spans="1:10" s="119" customFormat="1">
      <c r="A3372" s="123" t="s">
        <v>120</v>
      </c>
      <c r="B3372" s="275" t="s">
        <v>936</v>
      </c>
      <c r="C3372" s="276"/>
      <c r="D3372" s="276"/>
      <c r="E3372" s="276"/>
      <c r="F3372" s="276"/>
      <c r="G3372" s="276"/>
      <c r="H3372" s="276"/>
      <c r="I3372" s="276"/>
      <c r="J3372" s="276"/>
    </row>
    <row r="3373" spans="1:10">
      <c r="A3373" s="103" t="s">
        <v>5401</v>
      </c>
      <c r="B3373" s="124" t="s">
        <v>5402</v>
      </c>
      <c r="C3373" s="110">
        <v>2861</v>
      </c>
      <c r="D3373" s="109" t="s">
        <v>120</v>
      </c>
      <c r="E3373" s="109">
        <v>29</v>
      </c>
      <c r="F3373" s="110">
        <v>34424</v>
      </c>
      <c r="G3373" s="109" t="s">
        <v>120</v>
      </c>
      <c r="H3373" s="109">
        <v>1203</v>
      </c>
      <c r="I3373" s="109">
        <v>2173</v>
      </c>
      <c r="J3373" s="110">
        <v>154</v>
      </c>
    </row>
    <row r="3374" spans="1:10">
      <c r="A3374" s="103" t="s">
        <v>5403</v>
      </c>
      <c r="B3374" s="124" t="s">
        <v>5404</v>
      </c>
      <c r="C3374" s="110">
        <v>5903</v>
      </c>
      <c r="D3374" s="109" t="s">
        <v>120</v>
      </c>
      <c r="E3374" s="109">
        <v>59</v>
      </c>
      <c r="F3374" s="110">
        <v>16067</v>
      </c>
      <c r="G3374" s="109" t="s">
        <v>120</v>
      </c>
      <c r="H3374" s="109">
        <v>272</v>
      </c>
      <c r="I3374" s="109">
        <v>1953</v>
      </c>
      <c r="J3374" s="110">
        <v>474</v>
      </c>
    </row>
    <row r="3375" spans="1:10">
      <c r="A3375" s="103" t="s">
        <v>5405</v>
      </c>
      <c r="B3375" s="124" t="s">
        <v>5406</v>
      </c>
      <c r="C3375" s="110">
        <v>11017</v>
      </c>
      <c r="D3375" s="109" t="s">
        <v>120</v>
      </c>
      <c r="E3375" s="109">
        <v>109</v>
      </c>
      <c r="F3375" s="110">
        <v>11096</v>
      </c>
      <c r="G3375" s="109" t="s">
        <v>120</v>
      </c>
      <c r="H3375" s="109">
        <v>101</v>
      </c>
      <c r="I3375" s="109">
        <v>1222</v>
      </c>
      <c r="J3375" s="110">
        <v>779</v>
      </c>
    </row>
    <row r="3376" spans="1:10" s="119" customFormat="1">
      <c r="A3376" s="123" t="s">
        <v>120</v>
      </c>
      <c r="B3376" s="275" t="s">
        <v>924</v>
      </c>
      <c r="C3376" s="276"/>
      <c r="D3376" s="276"/>
      <c r="E3376" s="276"/>
      <c r="F3376" s="276"/>
      <c r="G3376" s="276"/>
      <c r="H3376" s="276"/>
      <c r="I3376" s="276"/>
      <c r="J3376" s="276"/>
    </row>
    <row r="3377" spans="1:10">
      <c r="A3377" s="103" t="s">
        <v>5407</v>
      </c>
      <c r="B3377" s="124" t="s">
        <v>5408</v>
      </c>
      <c r="C3377" s="110">
        <v>9561</v>
      </c>
      <c r="D3377" s="109" t="s">
        <v>120</v>
      </c>
      <c r="E3377" s="109">
        <v>95</v>
      </c>
      <c r="F3377" s="110">
        <v>11285</v>
      </c>
      <c r="G3377" s="109" t="s">
        <v>120</v>
      </c>
      <c r="H3377" s="109">
        <v>118</v>
      </c>
      <c r="I3377" s="109">
        <v>1460</v>
      </c>
      <c r="J3377" s="110">
        <v>759</v>
      </c>
    </row>
    <row r="3378" spans="1:10">
      <c r="A3378" s="103" t="s">
        <v>5409</v>
      </c>
      <c r="B3378" s="124" t="s">
        <v>5410</v>
      </c>
      <c r="C3378" s="110">
        <v>3175</v>
      </c>
      <c r="D3378" s="109" t="s">
        <v>120</v>
      </c>
      <c r="E3378" s="109">
        <v>32</v>
      </c>
      <c r="F3378" s="110">
        <v>9825</v>
      </c>
      <c r="G3378" s="109" t="s">
        <v>120</v>
      </c>
      <c r="H3378" s="109">
        <v>309</v>
      </c>
      <c r="I3378" s="109">
        <v>2159</v>
      </c>
      <c r="J3378" s="110">
        <v>893</v>
      </c>
    </row>
    <row r="3379" spans="1:10">
      <c r="A3379" s="103" t="s">
        <v>5411</v>
      </c>
      <c r="B3379" s="124" t="s">
        <v>4441</v>
      </c>
      <c r="C3379" s="110">
        <v>4264</v>
      </c>
      <c r="D3379" s="109" t="s">
        <v>120</v>
      </c>
      <c r="E3379" s="109">
        <v>43</v>
      </c>
      <c r="F3379" s="110">
        <v>5833</v>
      </c>
      <c r="G3379" s="109" t="s">
        <v>120</v>
      </c>
      <c r="H3379" s="109">
        <v>137</v>
      </c>
      <c r="I3379" s="109">
        <v>2074</v>
      </c>
      <c r="J3379" s="110">
        <v>1546</v>
      </c>
    </row>
    <row r="3380" spans="1:10">
      <c r="A3380" s="103" t="s">
        <v>5412</v>
      </c>
      <c r="B3380" s="124" t="s">
        <v>5413</v>
      </c>
      <c r="C3380" s="110">
        <v>6587</v>
      </c>
      <c r="D3380" s="109" t="s">
        <v>120</v>
      </c>
      <c r="E3380" s="109">
        <v>66</v>
      </c>
      <c r="F3380" s="110">
        <v>13142</v>
      </c>
      <c r="G3380" s="109" t="s">
        <v>120</v>
      </c>
      <c r="H3380" s="109">
        <v>200</v>
      </c>
      <c r="I3380" s="109">
        <v>1895</v>
      </c>
      <c r="J3380" s="110">
        <v>618</v>
      </c>
    </row>
    <row r="3381" spans="1:10">
      <c r="A3381" s="103" t="s">
        <v>5414</v>
      </c>
      <c r="B3381" s="124" t="s">
        <v>5415</v>
      </c>
      <c r="C3381" s="110">
        <v>4878</v>
      </c>
      <c r="D3381" s="109" t="s">
        <v>120</v>
      </c>
      <c r="E3381" s="109">
        <v>49</v>
      </c>
      <c r="F3381" s="110">
        <v>10915</v>
      </c>
      <c r="G3381" s="109" t="s">
        <v>120</v>
      </c>
      <c r="H3381" s="109">
        <v>224</v>
      </c>
      <c r="I3381" s="109">
        <v>2029</v>
      </c>
      <c r="J3381" s="110">
        <v>788</v>
      </c>
    </row>
    <row r="3382" spans="1:10">
      <c r="A3382" s="103" t="s">
        <v>5416</v>
      </c>
      <c r="B3382" s="124" t="s">
        <v>5417</v>
      </c>
      <c r="C3382" s="110">
        <v>8432</v>
      </c>
      <c r="D3382" s="109" t="s">
        <v>120</v>
      </c>
      <c r="E3382" s="109">
        <v>84</v>
      </c>
      <c r="F3382" s="110">
        <v>12159</v>
      </c>
      <c r="G3382" s="109" t="s">
        <v>120</v>
      </c>
      <c r="H3382" s="109">
        <v>144</v>
      </c>
      <c r="I3382" s="109">
        <v>1631</v>
      </c>
      <c r="J3382" s="110">
        <v>687</v>
      </c>
    </row>
    <row r="3383" spans="1:10">
      <c r="A3383" s="103" t="s">
        <v>5418</v>
      </c>
      <c r="B3383" s="124" t="s">
        <v>5419</v>
      </c>
      <c r="C3383" s="110">
        <v>4142</v>
      </c>
      <c r="D3383" s="109" t="s">
        <v>120</v>
      </c>
      <c r="E3383" s="109">
        <v>41</v>
      </c>
      <c r="F3383" s="110">
        <v>13263</v>
      </c>
      <c r="G3383" s="109" t="s">
        <v>120</v>
      </c>
      <c r="H3383" s="109">
        <v>320</v>
      </c>
      <c r="I3383" s="109">
        <v>2081</v>
      </c>
      <c r="J3383" s="110">
        <v>609</v>
      </c>
    </row>
    <row r="3384" spans="1:10" s="119" customFormat="1">
      <c r="A3384" s="123" t="s">
        <v>120</v>
      </c>
      <c r="B3384" s="275" t="s">
        <v>1101</v>
      </c>
      <c r="C3384" s="276"/>
      <c r="D3384" s="276"/>
      <c r="E3384" s="276"/>
      <c r="F3384" s="276"/>
      <c r="G3384" s="276"/>
      <c r="H3384" s="276"/>
      <c r="I3384" s="276"/>
      <c r="J3384" s="276"/>
    </row>
    <row r="3385" spans="1:10">
      <c r="A3385" s="103" t="s">
        <v>5420</v>
      </c>
      <c r="B3385" s="124" t="s">
        <v>5421</v>
      </c>
      <c r="C3385" s="110">
        <v>6355</v>
      </c>
      <c r="D3385" s="109" t="s">
        <v>120</v>
      </c>
      <c r="E3385" s="109">
        <v>64</v>
      </c>
      <c r="F3385" s="110">
        <v>26910</v>
      </c>
      <c r="G3385" s="109" t="s">
        <v>120</v>
      </c>
      <c r="H3385" s="109">
        <v>423</v>
      </c>
      <c r="I3385" s="109">
        <v>1918</v>
      </c>
      <c r="J3385" s="110">
        <v>221</v>
      </c>
    </row>
    <row r="3386" spans="1:10">
      <c r="A3386" s="103" t="s">
        <v>5422</v>
      </c>
      <c r="B3386" s="124" t="s">
        <v>932</v>
      </c>
      <c r="C3386" s="110">
        <v>985</v>
      </c>
      <c r="D3386" s="109" t="s">
        <v>120</v>
      </c>
      <c r="E3386" s="109">
        <v>10</v>
      </c>
      <c r="F3386" s="110">
        <v>14302</v>
      </c>
      <c r="G3386" s="109" t="s">
        <v>120</v>
      </c>
      <c r="H3386" s="109">
        <v>1452</v>
      </c>
      <c r="I3386" s="109" t="s">
        <v>122</v>
      </c>
      <c r="J3386" s="110" t="s">
        <v>122</v>
      </c>
    </row>
    <row r="3387" spans="1:10">
      <c r="A3387" s="103" t="s">
        <v>5423</v>
      </c>
      <c r="B3387" s="124" t="s">
        <v>934</v>
      </c>
      <c r="C3387" s="110">
        <v>5370</v>
      </c>
      <c r="D3387" s="109" t="s">
        <v>120</v>
      </c>
      <c r="E3387" s="109">
        <v>54</v>
      </c>
      <c r="F3387" s="110">
        <v>12608</v>
      </c>
      <c r="G3387" s="109" t="s">
        <v>120</v>
      </c>
      <c r="H3387" s="109">
        <v>235</v>
      </c>
      <c r="I3387" s="109" t="s">
        <v>122</v>
      </c>
      <c r="J3387" s="110" t="s">
        <v>122</v>
      </c>
    </row>
    <row r="3388" spans="1:10">
      <c r="A3388" s="103" t="s">
        <v>5424</v>
      </c>
      <c r="B3388" s="124" t="s">
        <v>5425</v>
      </c>
      <c r="C3388" s="110">
        <v>5854</v>
      </c>
      <c r="D3388" s="109" t="s">
        <v>120</v>
      </c>
      <c r="E3388" s="109">
        <v>59</v>
      </c>
      <c r="F3388" s="110">
        <v>13272</v>
      </c>
      <c r="G3388" s="109" t="s">
        <v>120</v>
      </c>
      <c r="H3388" s="109">
        <v>227</v>
      </c>
      <c r="I3388" s="109">
        <v>1956</v>
      </c>
      <c r="J3388" s="110">
        <v>607</v>
      </c>
    </row>
    <row r="3389" spans="1:10">
      <c r="A3389" s="103" t="s">
        <v>5426</v>
      </c>
      <c r="B3389" s="124" t="s">
        <v>932</v>
      </c>
      <c r="C3389" s="110">
        <v>629</v>
      </c>
      <c r="D3389" s="109" t="s">
        <v>120</v>
      </c>
      <c r="E3389" s="109">
        <v>6</v>
      </c>
      <c r="F3389" s="110">
        <v>3697</v>
      </c>
      <c r="G3389" s="109" t="s">
        <v>120</v>
      </c>
      <c r="H3389" s="109">
        <v>588</v>
      </c>
      <c r="I3389" s="109" t="s">
        <v>122</v>
      </c>
      <c r="J3389" s="110" t="s">
        <v>122</v>
      </c>
    </row>
    <row r="3390" spans="1:10">
      <c r="A3390" s="103" t="s">
        <v>5427</v>
      </c>
      <c r="B3390" s="124" t="s">
        <v>934</v>
      </c>
      <c r="C3390" s="110">
        <v>5225</v>
      </c>
      <c r="D3390" s="109" t="s">
        <v>120</v>
      </c>
      <c r="E3390" s="109">
        <v>53</v>
      </c>
      <c r="F3390" s="110">
        <v>9575</v>
      </c>
      <c r="G3390" s="109" t="s">
        <v>120</v>
      </c>
      <c r="H3390" s="109">
        <v>183</v>
      </c>
      <c r="I3390" s="109" t="s">
        <v>122</v>
      </c>
      <c r="J3390" s="110" t="s">
        <v>122</v>
      </c>
    </row>
    <row r="3391" spans="1:10" s="119" customFormat="1">
      <c r="A3391" s="123" t="s">
        <v>120</v>
      </c>
      <c r="B3391" s="273" t="s">
        <v>5428</v>
      </c>
      <c r="C3391" s="274"/>
      <c r="D3391" s="274"/>
      <c r="E3391" s="274"/>
      <c r="F3391" s="274"/>
      <c r="G3391" s="274"/>
      <c r="H3391" s="274"/>
      <c r="I3391" s="274"/>
      <c r="J3391" s="274"/>
    </row>
    <row r="3392" spans="1:10" s="119" customFormat="1">
      <c r="A3392" s="123" t="s">
        <v>120</v>
      </c>
      <c r="B3392" s="275" t="s">
        <v>943</v>
      </c>
      <c r="C3392" s="276"/>
      <c r="D3392" s="276"/>
      <c r="E3392" s="276"/>
      <c r="F3392" s="276"/>
      <c r="G3392" s="276"/>
      <c r="H3392" s="276"/>
      <c r="I3392" s="276"/>
      <c r="J3392" s="276"/>
    </row>
    <row r="3393" spans="1:10">
      <c r="A3393" s="103" t="s">
        <v>5429</v>
      </c>
      <c r="B3393" s="124" t="s">
        <v>5430</v>
      </c>
      <c r="C3393" s="110">
        <v>10021</v>
      </c>
      <c r="D3393" s="109" t="s">
        <v>120</v>
      </c>
      <c r="E3393" s="109">
        <v>100</v>
      </c>
      <c r="F3393" s="110">
        <v>3860</v>
      </c>
      <c r="G3393" s="109" t="s">
        <v>120</v>
      </c>
      <c r="H3393" s="109">
        <v>39</v>
      </c>
      <c r="I3393" s="109">
        <v>1384</v>
      </c>
      <c r="J3393" s="110">
        <v>2029</v>
      </c>
    </row>
    <row r="3394" spans="1:10">
      <c r="A3394" s="103" t="s">
        <v>5431</v>
      </c>
      <c r="B3394" s="124" t="s">
        <v>4971</v>
      </c>
      <c r="C3394" s="110">
        <v>14675</v>
      </c>
      <c r="D3394" s="109" t="s">
        <v>120</v>
      </c>
      <c r="E3394" s="109">
        <v>146</v>
      </c>
      <c r="F3394" s="110">
        <v>5984</v>
      </c>
      <c r="G3394" s="109" t="s">
        <v>120</v>
      </c>
      <c r="H3394" s="109">
        <v>41</v>
      </c>
      <c r="I3394" s="109">
        <v>708</v>
      </c>
      <c r="J3394" s="110">
        <v>1509</v>
      </c>
    </row>
    <row r="3395" spans="1:10">
      <c r="A3395" s="103" t="s">
        <v>5432</v>
      </c>
      <c r="B3395" s="124" t="s">
        <v>5433</v>
      </c>
      <c r="C3395" s="110">
        <v>4645</v>
      </c>
      <c r="D3395" s="109" t="s">
        <v>120</v>
      </c>
      <c r="E3395" s="109">
        <v>46</v>
      </c>
      <c r="F3395" s="110">
        <v>5567</v>
      </c>
      <c r="G3395" s="109" t="s">
        <v>120</v>
      </c>
      <c r="H3395" s="109">
        <v>120</v>
      </c>
      <c r="I3395" s="109">
        <v>2048</v>
      </c>
      <c r="J3395" s="110">
        <v>1601</v>
      </c>
    </row>
    <row r="3396" spans="1:10">
      <c r="A3396" s="103" t="s">
        <v>5434</v>
      </c>
      <c r="B3396" s="124" t="s">
        <v>5435</v>
      </c>
      <c r="C3396" s="110">
        <v>14773</v>
      </c>
      <c r="D3396" s="109" t="s">
        <v>120</v>
      </c>
      <c r="E3396" s="109">
        <v>147</v>
      </c>
      <c r="F3396" s="110">
        <v>13471</v>
      </c>
      <c r="G3396" s="109" t="s">
        <v>120</v>
      </c>
      <c r="H3396" s="109">
        <v>91</v>
      </c>
      <c r="I3396" s="109">
        <v>698</v>
      </c>
      <c r="J3396" s="110">
        <v>593</v>
      </c>
    </row>
    <row r="3397" spans="1:10">
      <c r="A3397" s="103" t="s">
        <v>5436</v>
      </c>
      <c r="B3397" s="124" t="s">
        <v>5437</v>
      </c>
      <c r="C3397" s="110">
        <v>7851</v>
      </c>
      <c r="D3397" s="109" t="s">
        <v>120</v>
      </c>
      <c r="E3397" s="109">
        <v>79</v>
      </c>
      <c r="F3397" s="110">
        <v>10736</v>
      </c>
      <c r="G3397" s="109" t="s">
        <v>120</v>
      </c>
      <c r="H3397" s="109">
        <v>137</v>
      </c>
      <c r="I3397" s="109">
        <v>1723</v>
      </c>
      <c r="J3397" s="110">
        <v>810</v>
      </c>
    </row>
    <row r="3398" spans="1:10">
      <c r="A3398" s="103" t="s">
        <v>5438</v>
      </c>
      <c r="B3398" s="124" t="s">
        <v>5439</v>
      </c>
      <c r="C3398" s="110">
        <v>9355</v>
      </c>
      <c r="D3398" s="109" t="s">
        <v>120</v>
      </c>
      <c r="E3398" s="109">
        <v>94</v>
      </c>
      <c r="F3398" s="110">
        <v>4806</v>
      </c>
      <c r="G3398" s="109" t="s">
        <v>120</v>
      </c>
      <c r="H3398" s="109">
        <v>51</v>
      </c>
      <c r="I3398" s="109">
        <v>1491</v>
      </c>
      <c r="J3398" s="110">
        <v>1792</v>
      </c>
    </row>
    <row r="3399" spans="1:10">
      <c r="A3399" s="103" t="s">
        <v>5440</v>
      </c>
      <c r="B3399" s="124" t="s">
        <v>5441</v>
      </c>
      <c r="C3399" s="110">
        <v>12369</v>
      </c>
      <c r="D3399" s="109" t="s">
        <v>120</v>
      </c>
      <c r="E3399" s="109">
        <v>124</v>
      </c>
      <c r="F3399" s="110">
        <v>4824</v>
      </c>
      <c r="G3399" s="109" t="s">
        <v>120</v>
      </c>
      <c r="H3399" s="109">
        <v>39</v>
      </c>
      <c r="I3399" s="109">
        <v>1003</v>
      </c>
      <c r="J3399" s="110">
        <v>1787</v>
      </c>
    </row>
    <row r="3400" spans="1:10">
      <c r="A3400" s="103" t="s">
        <v>5442</v>
      </c>
      <c r="B3400" s="124" t="s">
        <v>5443</v>
      </c>
      <c r="C3400" s="110">
        <v>11957</v>
      </c>
      <c r="D3400" s="109" t="s">
        <v>120</v>
      </c>
      <c r="E3400" s="109">
        <v>120</v>
      </c>
      <c r="F3400" s="110">
        <v>10834</v>
      </c>
      <c r="G3400" s="109" t="s">
        <v>120</v>
      </c>
      <c r="H3400" s="109">
        <v>91</v>
      </c>
      <c r="I3400" s="109">
        <v>1059</v>
      </c>
      <c r="J3400" s="110">
        <v>798</v>
      </c>
    </row>
    <row r="3401" spans="1:10">
      <c r="A3401" s="103" t="s">
        <v>5444</v>
      </c>
      <c r="B3401" s="124" t="s">
        <v>5445</v>
      </c>
      <c r="C3401" s="110">
        <v>14156</v>
      </c>
      <c r="D3401" s="109" t="s">
        <v>120</v>
      </c>
      <c r="E3401" s="109">
        <v>141</v>
      </c>
      <c r="F3401" s="110">
        <v>15104</v>
      </c>
      <c r="G3401" s="109" t="s">
        <v>120</v>
      </c>
      <c r="H3401" s="109">
        <v>107</v>
      </c>
      <c r="I3401" s="109">
        <v>761</v>
      </c>
      <c r="J3401" s="110">
        <v>515</v>
      </c>
    </row>
    <row r="3402" spans="1:10">
      <c r="A3402" s="103" t="s">
        <v>5446</v>
      </c>
      <c r="B3402" s="124" t="s">
        <v>5447</v>
      </c>
      <c r="C3402" s="110">
        <v>10910</v>
      </c>
      <c r="D3402" s="109" t="s">
        <v>120</v>
      </c>
      <c r="E3402" s="109">
        <v>109</v>
      </c>
      <c r="F3402" s="110">
        <v>7810</v>
      </c>
      <c r="G3402" s="109" t="s">
        <v>120</v>
      </c>
      <c r="H3402" s="109">
        <v>72</v>
      </c>
      <c r="I3402" s="109">
        <v>1238</v>
      </c>
      <c r="J3402" s="110">
        <v>1152</v>
      </c>
    </row>
    <row r="3403" spans="1:10">
      <c r="A3403" s="103" t="s">
        <v>5448</v>
      </c>
      <c r="B3403" s="124" t="s">
        <v>5449</v>
      </c>
      <c r="C3403" s="110">
        <v>5998</v>
      </c>
      <c r="D3403" s="109" t="s">
        <v>120</v>
      </c>
      <c r="E3403" s="109">
        <v>60</v>
      </c>
      <c r="F3403" s="110">
        <v>12707</v>
      </c>
      <c r="G3403" s="109" t="s">
        <v>120</v>
      </c>
      <c r="H3403" s="109">
        <v>212</v>
      </c>
      <c r="I3403" s="109">
        <v>1950</v>
      </c>
      <c r="J3403" s="110">
        <v>651</v>
      </c>
    </row>
    <row r="3404" spans="1:10">
      <c r="A3404" s="103" t="s">
        <v>5450</v>
      </c>
      <c r="B3404" s="124" t="s">
        <v>5451</v>
      </c>
      <c r="C3404" s="110">
        <v>8040</v>
      </c>
      <c r="D3404" s="109" t="s">
        <v>120</v>
      </c>
      <c r="E3404" s="109">
        <v>80</v>
      </c>
      <c r="F3404" s="110">
        <v>3752</v>
      </c>
      <c r="G3404" s="109" t="s">
        <v>120</v>
      </c>
      <c r="H3404" s="109">
        <v>47</v>
      </c>
      <c r="I3404" s="109">
        <v>1696</v>
      </c>
      <c r="J3404" s="110">
        <v>2056</v>
      </c>
    </row>
    <row r="3405" spans="1:10">
      <c r="A3405" s="103" t="s">
        <v>5452</v>
      </c>
      <c r="B3405" s="124" t="s">
        <v>5453</v>
      </c>
      <c r="C3405" s="110">
        <v>4123</v>
      </c>
      <c r="D3405" s="109" t="s">
        <v>120</v>
      </c>
      <c r="E3405" s="109">
        <v>41</v>
      </c>
      <c r="F3405" s="110">
        <v>9933</v>
      </c>
      <c r="G3405" s="109" t="s">
        <v>120</v>
      </c>
      <c r="H3405" s="109">
        <v>241</v>
      </c>
      <c r="I3405" s="109">
        <v>2083</v>
      </c>
      <c r="J3405" s="110">
        <v>883</v>
      </c>
    </row>
    <row r="3406" spans="1:10">
      <c r="A3406" s="103" t="s">
        <v>5454</v>
      </c>
      <c r="B3406" s="124" t="s">
        <v>5455</v>
      </c>
      <c r="C3406" s="110">
        <v>2009</v>
      </c>
      <c r="D3406" s="109" t="s">
        <v>120</v>
      </c>
      <c r="E3406" s="109">
        <v>20</v>
      </c>
      <c r="F3406" s="110">
        <v>2829</v>
      </c>
      <c r="G3406" s="109" t="s">
        <v>120</v>
      </c>
      <c r="H3406" s="109">
        <v>141</v>
      </c>
      <c r="I3406" s="109">
        <v>2237</v>
      </c>
      <c r="J3406" s="110">
        <v>2220</v>
      </c>
    </row>
    <row r="3407" spans="1:10" s="119" customFormat="1">
      <c r="A3407" s="123" t="s">
        <v>120</v>
      </c>
      <c r="B3407" s="275" t="s">
        <v>1101</v>
      </c>
      <c r="C3407" s="276"/>
      <c r="D3407" s="276"/>
      <c r="E3407" s="276"/>
      <c r="F3407" s="276"/>
      <c r="G3407" s="276"/>
      <c r="H3407" s="276"/>
      <c r="I3407" s="276"/>
      <c r="J3407" s="276"/>
    </row>
    <row r="3408" spans="1:10">
      <c r="A3408" s="103" t="s">
        <v>5456</v>
      </c>
      <c r="B3408" s="124" t="s">
        <v>5457</v>
      </c>
      <c r="C3408" s="110">
        <v>6661</v>
      </c>
      <c r="D3408" s="109" t="s">
        <v>120</v>
      </c>
      <c r="E3408" s="109">
        <v>67</v>
      </c>
      <c r="F3408" s="110">
        <v>12930</v>
      </c>
      <c r="G3408" s="109" t="s">
        <v>120</v>
      </c>
      <c r="H3408" s="109">
        <v>194</v>
      </c>
      <c r="I3408" s="109">
        <v>1885</v>
      </c>
      <c r="J3408" s="110">
        <v>638</v>
      </c>
    </row>
    <row r="3409" spans="1:10">
      <c r="A3409" s="103" t="s">
        <v>5458</v>
      </c>
      <c r="B3409" s="124" t="s">
        <v>932</v>
      </c>
      <c r="C3409" s="110">
        <v>3666</v>
      </c>
      <c r="D3409" s="109" t="s">
        <v>120</v>
      </c>
      <c r="E3409" s="109">
        <v>36</v>
      </c>
      <c r="F3409" s="110">
        <v>9555</v>
      </c>
      <c r="G3409" s="109" t="s">
        <v>120</v>
      </c>
      <c r="H3409" s="109">
        <v>261</v>
      </c>
      <c r="I3409" s="109" t="s">
        <v>122</v>
      </c>
      <c r="J3409" s="110" t="s">
        <v>122</v>
      </c>
    </row>
    <row r="3410" spans="1:10">
      <c r="A3410" s="103" t="s">
        <v>5459</v>
      </c>
      <c r="B3410" s="124" t="s">
        <v>934</v>
      </c>
      <c r="C3410" s="110">
        <v>2995</v>
      </c>
      <c r="D3410" s="109" t="s">
        <v>120</v>
      </c>
      <c r="E3410" s="109">
        <v>31</v>
      </c>
      <c r="F3410" s="110">
        <v>3375</v>
      </c>
      <c r="G3410" s="109" t="s">
        <v>120</v>
      </c>
      <c r="H3410" s="109">
        <v>113</v>
      </c>
      <c r="I3410" s="109" t="s">
        <v>122</v>
      </c>
      <c r="J3410" s="110" t="s">
        <v>122</v>
      </c>
    </row>
    <row r="3411" spans="1:10">
      <c r="A3411" s="103" t="s">
        <v>5460</v>
      </c>
      <c r="B3411" s="124" t="s">
        <v>5461</v>
      </c>
      <c r="C3411" s="110">
        <v>14662</v>
      </c>
      <c r="D3411" s="109" t="s">
        <v>120</v>
      </c>
      <c r="E3411" s="109">
        <v>147</v>
      </c>
      <c r="F3411" s="110">
        <v>9408</v>
      </c>
      <c r="G3411" s="109" t="s">
        <v>120</v>
      </c>
      <c r="H3411" s="109">
        <v>64</v>
      </c>
      <c r="I3411" s="109">
        <v>712</v>
      </c>
      <c r="J3411" s="110">
        <v>931</v>
      </c>
    </row>
    <row r="3412" spans="1:10">
      <c r="A3412" s="103" t="s">
        <v>5462</v>
      </c>
      <c r="B3412" s="124" t="s">
        <v>932</v>
      </c>
      <c r="C3412" s="110">
        <v>3692</v>
      </c>
      <c r="D3412" s="109" t="s">
        <v>120</v>
      </c>
      <c r="E3412" s="109">
        <v>37</v>
      </c>
      <c r="F3412" s="110">
        <v>5902</v>
      </c>
      <c r="G3412" s="109" t="s">
        <v>120</v>
      </c>
      <c r="H3412" s="109">
        <v>160</v>
      </c>
      <c r="I3412" s="109" t="s">
        <v>122</v>
      </c>
      <c r="J3412" s="110" t="s">
        <v>122</v>
      </c>
    </row>
    <row r="3413" spans="1:10">
      <c r="A3413" s="103" t="s">
        <v>5463</v>
      </c>
      <c r="B3413" s="124" t="s">
        <v>934</v>
      </c>
      <c r="C3413" s="110">
        <v>10970</v>
      </c>
      <c r="D3413" s="109" t="s">
        <v>120</v>
      </c>
      <c r="E3413" s="109">
        <v>110</v>
      </c>
      <c r="F3413" s="110">
        <v>3506</v>
      </c>
      <c r="G3413" s="109" t="s">
        <v>120</v>
      </c>
      <c r="H3413" s="109">
        <v>32</v>
      </c>
      <c r="I3413" s="109" t="s">
        <v>122</v>
      </c>
      <c r="J3413" s="110" t="s">
        <v>122</v>
      </c>
    </row>
    <row r="3414" spans="1:10" s="119" customFormat="1">
      <c r="A3414" s="123" t="s">
        <v>120</v>
      </c>
      <c r="B3414" s="273" t="s">
        <v>5464</v>
      </c>
      <c r="C3414" s="274"/>
      <c r="D3414" s="274"/>
      <c r="E3414" s="274"/>
      <c r="F3414" s="274"/>
      <c r="G3414" s="274"/>
      <c r="H3414" s="274"/>
      <c r="I3414" s="274"/>
      <c r="J3414" s="274"/>
    </row>
    <row r="3415" spans="1:10" s="119" customFormat="1">
      <c r="A3415" s="123" t="s">
        <v>120</v>
      </c>
      <c r="B3415" s="275" t="s">
        <v>936</v>
      </c>
      <c r="C3415" s="276"/>
      <c r="D3415" s="276"/>
      <c r="E3415" s="276"/>
      <c r="F3415" s="276"/>
      <c r="G3415" s="276"/>
      <c r="H3415" s="276"/>
      <c r="I3415" s="276"/>
      <c r="J3415" s="276"/>
    </row>
    <row r="3416" spans="1:10">
      <c r="A3416" s="103" t="s">
        <v>5465</v>
      </c>
      <c r="B3416" s="124" t="s">
        <v>5466</v>
      </c>
      <c r="C3416" s="110">
        <v>3395</v>
      </c>
      <c r="D3416" s="109" t="s">
        <v>120</v>
      </c>
      <c r="E3416" s="109">
        <v>34</v>
      </c>
      <c r="F3416" s="110">
        <v>38112</v>
      </c>
      <c r="G3416" s="109" t="s">
        <v>120</v>
      </c>
      <c r="H3416" s="109">
        <v>1123</v>
      </c>
      <c r="I3416" s="109">
        <v>2138</v>
      </c>
      <c r="J3416" s="110">
        <v>136</v>
      </c>
    </row>
    <row r="3417" spans="1:10">
      <c r="A3417" s="103" t="s">
        <v>5467</v>
      </c>
      <c r="B3417" s="124" t="s">
        <v>5468</v>
      </c>
      <c r="C3417" s="110">
        <v>3089</v>
      </c>
      <c r="D3417" s="109" t="s">
        <v>120</v>
      </c>
      <c r="E3417" s="109">
        <v>31</v>
      </c>
      <c r="F3417" s="110">
        <v>18429</v>
      </c>
      <c r="G3417" s="109" t="s">
        <v>120</v>
      </c>
      <c r="H3417" s="109">
        <v>597</v>
      </c>
      <c r="I3417" s="109">
        <v>2163</v>
      </c>
      <c r="J3417" s="110">
        <v>384</v>
      </c>
    </row>
    <row r="3418" spans="1:10" s="119" customFormat="1">
      <c r="A3418" s="123" t="s">
        <v>120</v>
      </c>
      <c r="B3418" s="275" t="s">
        <v>924</v>
      </c>
      <c r="C3418" s="276"/>
      <c r="D3418" s="276"/>
      <c r="E3418" s="276"/>
      <c r="F3418" s="276"/>
      <c r="G3418" s="276"/>
      <c r="H3418" s="276"/>
      <c r="I3418" s="276"/>
      <c r="J3418" s="276"/>
    </row>
    <row r="3419" spans="1:10">
      <c r="A3419" s="103" t="s">
        <v>5469</v>
      </c>
      <c r="B3419" s="124" t="s">
        <v>5470</v>
      </c>
      <c r="C3419" s="110">
        <v>3806</v>
      </c>
      <c r="D3419" s="109" t="s">
        <v>120</v>
      </c>
      <c r="E3419" s="109">
        <v>38</v>
      </c>
      <c r="F3419" s="110">
        <v>12183</v>
      </c>
      <c r="G3419" s="109" t="s">
        <v>120</v>
      </c>
      <c r="H3419" s="109">
        <v>320</v>
      </c>
      <c r="I3419" s="109">
        <v>2106</v>
      </c>
      <c r="J3419" s="110">
        <v>685</v>
      </c>
    </row>
    <row r="3420" spans="1:10">
      <c r="A3420" s="103" t="s">
        <v>5471</v>
      </c>
      <c r="B3420" s="124" t="s">
        <v>5472</v>
      </c>
      <c r="C3420" s="110">
        <v>6983</v>
      </c>
      <c r="D3420" s="109" t="s">
        <v>120</v>
      </c>
      <c r="E3420" s="109">
        <v>70</v>
      </c>
      <c r="F3420" s="110">
        <v>12013</v>
      </c>
      <c r="G3420" s="109" t="s">
        <v>120</v>
      </c>
      <c r="H3420" s="109">
        <v>172</v>
      </c>
      <c r="I3420" s="109">
        <v>1848</v>
      </c>
      <c r="J3420" s="110">
        <v>695</v>
      </c>
    </row>
    <row r="3421" spans="1:10">
      <c r="A3421" s="103" t="s">
        <v>5473</v>
      </c>
      <c r="B3421" s="124" t="s">
        <v>5474</v>
      </c>
      <c r="C3421" s="110">
        <v>15914</v>
      </c>
      <c r="D3421" s="109" t="s">
        <v>120</v>
      </c>
      <c r="E3421" s="109">
        <v>159</v>
      </c>
      <c r="F3421" s="110">
        <v>10643</v>
      </c>
      <c r="G3421" s="109" t="s">
        <v>120</v>
      </c>
      <c r="H3421" s="109">
        <v>67</v>
      </c>
      <c r="I3421" s="109">
        <v>607</v>
      </c>
      <c r="J3421" s="110">
        <v>818</v>
      </c>
    </row>
    <row r="3422" spans="1:10">
      <c r="A3422" s="103" t="s">
        <v>5475</v>
      </c>
      <c r="B3422" s="124" t="s">
        <v>5476</v>
      </c>
      <c r="C3422" s="110">
        <v>11618</v>
      </c>
      <c r="D3422" s="109" t="s">
        <v>120</v>
      </c>
      <c r="E3422" s="109">
        <v>116</v>
      </c>
      <c r="F3422" s="110">
        <v>5856</v>
      </c>
      <c r="G3422" s="109" t="s">
        <v>120</v>
      </c>
      <c r="H3422" s="109">
        <v>50</v>
      </c>
      <c r="I3422" s="109">
        <v>1110</v>
      </c>
      <c r="J3422" s="110">
        <v>1541</v>
      </c>
    </row>
    <row r="3423" spans="1:10" s="119" customFormat="1">
      <c r="A3423" s="123" t="s">
        <v>120</v>
      </c>
      <c r="B3423" s="275" t="s">
        <v>1047</v>
      </c>
      <c r="C3423" s="276"/>
      <c r="D3423" s="276"/>
      <c r="E3423" s="276"/>
      <c r="F3423" s="276"/>
      <c r="G3423" s="276"/>
      <c r="H3423" s="276"/>
      <c r="I3423" s="276"/>
      <c r="J3423" s="276"/>
    </row>
    <row r="3424" spans="1:10">
      <c r="A3424" s="103" t="s">
        <v>5477</v>
      </c>
      <c r="B3424" s="124" t="s">
        <v>5478</v>
      </c>
      <c r="C3424" s="110">
        <v>11650</v>
      </c>
      <c r="D3424" s="109" t="s">
        <v>120</v>
      </c>
      <c r="E3424" s="109">
        <v>116</v>
      </c>
      <c r="F3424" s="110">
        <v>8909</v>
      </c>
      <c r="G3424" s="109" t="s">
        <v>120</v>
      </c>
      <c r="H3424" s="109">
        <v>76</v>
      </c>
      <c r="I3424" s="109">
        <v>1106</v>
      </c>
      <c r="J3424" s="110">
        <v>995</v>
      </c>
    </row>
    <row r="3425" spans="1:10">
      <c r="A3425" s="103" t="s">
        <v>5479</v>
      </c>
      <c r="B3425" s="124" t="s">
        <v>932</v>
      </c>
      <c r="C3425" s="110">
        <v>1167</v>
      </c>
      <c r="D3425" s="109" t="s">
        <v>120</v>
      </c>
      <c r="E3425" s="109">
        <v>11</v>
      </c>
      <c r="F3425" s="110">
        <v>1906</v>
      </c>
      <c r="G3425" s="109" t="s">
        <v>120</v>
      </c>
      <c r="H3425" s="109">
        <v>163</v>
      </c>
      <c r="I3425" s="109" t="s">
        <v>122</v>
      </c>
      <c r="J3425" s="110" t="s">
        <v>122</v>
      </c>
    </row>
    <row r="3426" spans="1:10">
      <c r="A3426" s="103" t="s">
        <v>5480</v>
      </c>
      <c r="B3426" s="124" t="s">
        <v>934</v>
      </c>
      <c r="C3426" s="110">
        <v>10483</v>
      </c>
      <c r="D3426" s="109" t="s">
        <v>120</v>
      </c>
      <c r="E3426" s="109">
        <v>105</v>
      </c>
      <c r="F3426" s="110">
        <v>7003</v>
      </c>
      <c r="G3426" s="109" t="s">
        <v>120</v>
      </c>
      <c r="H3426" s="109">
        <v>67</v>
      </c>
      <c r="I3426" s="109" t="s">
        <v>122</v>
      </c>
      <c r="J3426" s="110" t="s">
        <v>122</v>
      </c>
    </row>
    <row r="3427" spans="1:10">
      <c r="A3427" s="103" t="s">
        <v>5481</v>
      </c>
      <c r="B3427" s="124" t="s">
        <v>5482</v>
      </c>
      <c r="C3427" s="110">
        <v>9982</v>
      </c>
      <c r="D3427" s="109" t="s">
        <v>120</v>
      </c>
      <c r="E3427" s="109">
        <v>100</v>
      </c>
      <c r="F3427" s="110">
        <v>9383</v>
      </c>
      <c r="G3427" s="109" t="s">
        <v>120</v>
      </c>
      <c r="H3427" s="109">
        <v>94</v>
      </c>
      <c r="I3427" s="109">
        <v>1394</v>
      </c>
      <c r="J3427" s="110">
        <v>932</v>
      </c>
    </row>
    <row r="3428" spans="1:10">
      <c r="A3428" s="103" t="s">
        <v>5483</v>
      </c>
      <c r="B3428" s="124" t="s">
        <v>932</v>
      </c>
      <c r="C3428" s="110">
        <v>971</v>
      </c>
      <c r="D3428" s="109" t="s">
        <v>120</v>
      </c>
      <c r="E3428" s="109">
        <v>10</v>
      </c>
      <c r="F3428" s="110">
        <v>3589</v>
      </c>
      <c r="G3428" s="109" t="s">
        <v>120</v>
      </c>
      <c r="H3428" s="109">
        <v>370</v>
      </c>
      <c r="I3428" s="109" t="s">
        <v>122</v>
      </c>
      <c r="J3428" s="110" t="s">
        <v>122</v>
      </c>
    </row>
    <row r="3429" spans="1:10">
      <c r="A3429" s="103" t="s">
        <v>5484</v>
      </c>
      <c r="B3429" s="124" t="s">
        <v>934</v>
      </c>
      <c r="C3429" s="110">
        <v>9011</v>
      </c>
      <c r="D3429" s="109" t="s">
        <v>120</v>
      </c>
      <c r="E3429" s="109">
        <v>90</v>
      </c>
      <c r="F3429" s="110">
        <v>5794</v>
      </c>
      <c r="G3429" s="109" t="s">
        <v>120</v>
      </c>
      <c r="H3429" s="109">
        <v>64</v>
      </c>
      <c r="I3429" s="109" t="s">
        <v>122</v>
      </c>
      <c r="J3429" s="110" t="s">
        <v>122</v>
      </c>
    </row>
    <row r="3430" spans="1:10" s="119" customFormat="1">
      <c r="A3430" s="123" t="s">
        <v>120</v>
      </c>
      <c r="B3430" s="273" t="s">
        <v>5485</v>
      </c>
      <c r="C3430" s="274"/>
      <c r="D3430" s="274"/>
      <c r="E3430" s="274"/>
      <c r="F3430" s="274"/>
      <c r="G3430" s="274"/>
      <c r="H3430" s="274"/>
      <c r="I3430" s="274"/>
      <c r="J3430" s="274"/>
    </row>
    <row r="3431" spans="1:10" s="119" customFormat="1">
      <c r="A3431" s="123" t="s">
        <v>120</v>
      </c>
      <c r="B3431" s="275" t="s">
        <v>943</v>
      </c>
      <c r="C3431" s="276"/>
      <c r="D3431" s="276"/>
      <c r="E3431" s="276"/>
      <c r="F3431" s="276"/>
      <c r="G3431" s="276"/>
      <c r="H3431" s="276"/>
      <c r="I3431" s="276"/>
      <c r="J3431" s="276"/>
    </row>
    <row r="3432" spans="1:10">
      <c r="A3432" s="103" t="s">
        <v>5486</v>
      </c>
      <c r="B3432" s="124" t="s">
        <v>5487</v>
      </c>
      <c r="C3432" s="110">
        <v>9905</v>
      </c>
      <c r="D3432" s="109" t="s">
        <v>120</v>
      </c>
      <c r="E3432" s="109">
        <v>99</v>
      </c>
      <c r="F3432" s="110">
        <v>6224</v>
      </c>
      <c r="G3432" s="109" t="s">
        <v>120</v>
      </c>
      <c r="H3432" s="109">
        <v>63</v>
      </c>
      <c r="I3432" s="109">
        <v>1405</v>
      </c>
      <c r="J3432" s="110">
        <v>1457</v>
      </c>
    </row>
    <row r="3433" spans="1:10">
      <c r="A3433" s="103" t="s">
        <v>5488</v>
      </c>
      <c r="B3433" s="124" t="s">
        <v>5489</v>
      </c>
      <c r="C3433" s="110">
        <v>11277</v>
      </c>
      <c r="D3433" s="109" t="s">
        <v>120</v>
      </c>
      <c r="E3433" s="109">
        <v>113</v>
      </c>
      <c r="F3433" s="110">
        <v>7548</v>
      </c>
      <c r="G3433" s="109" t="s">
        <v>120</v>
      </c>
      <c r="H3433" s="109">
        <v>67</v>
      </c>
      <c r="I3433" s="109">
        <v>1163</v>
      </c>
      <c r="J3433" s="110">
        <v>1194</v>
      </c>
    </row>
    <row r="3434" spans="1:10">
      <c r="A3434" s="103" t="s">
        <v>5490</v>
      </c>
      <c r="B3434" s="124" t="s">
        <v>5491</v>
      </c>
      <c r="C3434" s="110">
        <v>7348</v>
      </c>
      <c r="D3434" s="109" t="s">
        <v>120</v>
      </c>
      <c r="E3434" s="109">
        <v>73</v>
      </c>
      <c r="F3434" s="110">
        <v>6818</v>
      </c>
      <c r="G3434" s="109" t="s">
        <v>120</v>
      </c>
      <c r="H3434" s="109">
        <v>93</v>
      </c>
      <c r="I3434" s="109">
        <v>1799</v>
      </c>
      <c r="J3434" s="110">
        <v>1336</v>
      </c>
    </row>
    <row r="3435" spans="1:10">
      <c r="A3435" s="103" t="s">
        <v>5492</v>
      </c>
      <c r="B3435" s="124" t="s">
        <v>5493</v>
      </c>
      <c r="C3435" s="110">
        <v>5494</v>
      </c>
      <c r="D3435" s="109" t="s">
        <v>120</v>
      </c>
      <c r="E3435" s="109">
        <v>55</v>
      </c>
      <c r="F3435" s="110">
        <v>5039</v>
      </c>
      <c r="G3435" s="109" t="s">
        <v>120</v>
      </c>
      <c r="H3435" s="109">
        <v>92</v>
      </c>
      <c r="I3435" s="109">
        <v>1986</v>
      </c>
      <c r="J3435" s="110">
        <v>1734</v>
      </c>
    </row>
    <row r="3436" spans="1:10">
      <c r="A3436" s="103" t="s">
        <v>5494</v>
      </c>
      <c r="B3436" s="124" t="s">
        <v>5495</v>
      </c>
      <c r="C3436" s="110">
        <v>10229</v>
      </c>
      <c r="D3436" s="109" t="s">
        <v>120</v>
      </c>
      <c r="E3436" s="109">
        <v>102</v>
      </c>
      <c r="F3436" s="110">
        <v>5874</v>
      </c>
      <c r="G3436" s="109" t="s">
        <v>120</v>
      </c>
      <c r="H3436" s="109">
        <v>57</v>
      </c>
      <c r="I3436" s="109">
        <v>1350</v>
      </c>
      <c r="J3436" s="110">
        <v>1538</v>
      </c>
    </row>
    <row r="3437" spans="1:10">
      <c r="A3437" s="103" t="s">
        <v>5496</v>
      </c>
      <c r="B3437" s="124" t="s">
        <v>5497</v>
      </c>
      <c r="C3437" s="110">
        <v>8883</v>
      </c>
      <c r="D3437" s="109" t="s">
        <v>120</v>
      </c>
      <c r="E3437" s="109">
        <v>89</v>
      </c>
      <c r="F3437" s="110">
        <v>5876</v>
      </c>
      <c r="G3437" s="109" t="s">
        <v>120</v>
      </c>
      <c r="H3437" s="109">
        <v>66</v>
      </c>
      <c r="I3437" s="109">
        <v>1547</v>
      </c>
      <c r="J3437" s="110">
        <v>1537</v>
      </c>
    </row>
    <row r="3438" spans="1:10">
      <c r="A3438" s="103" t="s">
        <v>5498</v>
      </c>
      <c r="B3438" s="124" t="s">
        <v>5499</v>
      </c>
      <c r="C3438" s="110">
        <v>14828</v>
      </c>
      <c r="D3438" s="109" t="s">
        <v>120</v>
      </c>
      <c r="E3438" s="109">
        <v>149</v>
      </c>
      <c r="F3438" s="110">
        <v>17774</v>
      </c>
      <c r="G3438" s="109" t="s">
        <v>120</v>
      </c>
      <c r="H3438" s="109">
        <v>120</v>
      </c>
      <c r="I3438" s="109">
        <v>691</v>
      </c>
      <c r="J3438" s="110">
        <v>406</v>
      </c>
    </row>
    <row r="3439" spans="1:10" s="119" customFormat="1">
      <c r="A3439" s="123" t="s">
        <v>120</v>
      </c>
      <c r="B3439" s="275" t="s">
        <v>947</v>
      </c>
      <c r="C3439" s="276"/>
      <c r="D3439" s="276"/>
      <c r="E3439" s="276"/>
      <c r="F3439" s="276"/>
      <c r="G3439" s="276"/>
      <c r="H3439" s="276"/>
      <c r="I3439" s="276"/>
      <c r="J3439" s="276"/>
    </row>
    <row r="3440" spans="1:10">
      <c r="A3440" s="103" t="s">
        <v>5500</v>
      </c>
      <c r="B3440" s="124" t="s">
        <v>5501</v>
      </c>
      <c r="C3440" s="110">
        <v>13001</v>
      </c>
      <c r="D3440" s="109" t="s">
        <v>120</v>
      </c>
      <c r="E3440" s="109">
        <v>130</v>
      </c>
      <c r="F3440" s="110">
        <v>20327</v>
      </c>
      <c r="G3440" s="109" t="s">
        <v>120</v>
      </c>
      <c r="H3440" s="109">
        <v>156</v>
      </c>
      <c r="I3440" s="109">
        <v>909</v>
      </c>
      <c r="J3440" s="110">
        <v>333</v>
      </c>
    </row>
    <row r="3441" spans="1:10">
      <c r="A3441" s="103" t="s">
        <v>5502</v>
      </c>
      <c r="B3441" s="124" t="s">
        <v>932</v>
      </c>
      <c r="C3441" s="110">
        <v>4746</v>
      </c>
      <c r="D3441" s="109" t="s">
        <v>120</v>
      </c>
      <c r="E3441" s="109">
        <v>47</v>
      </c>
      <c r="F3441" s="110">
        <v>12862</v>
      </c>
      <c r="G3441" s="109" t="s">
        <v>120</v>
      </c>
      <c r="H3441" s="109">
        <v>271</v>
      </c>
      <c r="I3441" s="109" t="s">
        <v>122</v>
      </c>
      <c r="J3441" s="110" t="s">
        <v>122</v>
      </c>
    </row>
    <row r="3442" spans="1:10">
      <c r="A3442" s="103" t="s">
        <v>5503</v>
      </c>
      <c r="B3442" s="124" t="s">
        <v>934</v>
      </c>
      <c r="C3442" s="110">
        <v>8255</v>
      </c>
      <c r="D3442" s="109" t="s">
        <v>120</v>
      </c>
      <c r="E3442" s="109">
        <v>83</v>
      </c>
      <c r="F3442" s="110">
        <v>7465</v>
      </c>
      <c r="G3442" s="109" t="s">
        <v>120</v>
      </c>
      <c r="H3442" s="109">
        <v>90</v>
      </c>
      <c r="I3442" s="109" t="s">
        <v>122</v>
      </c>
      <c r="J3442" s="110" t="s">
        <v>122</v>
      </c>
    </row>
    <row r="3443" spans="1:10">
      <c r="A3443" s="103" t="s">
        <v>5504</v>
      </c>
      <c r="B3443" s="124" t="s">
        <v>5505</v>
      </c>
      <c r="C3443" s="110">
        <v>7894</v>
      </c>
      <c r="D3443" s="109" t="s">
        <v>120</v>
      </c>
      <c r="E3443" s="109">
        <v>79</v>
      </c>
      <c r="F3443" s="110">
        <v>9111</v>
      </c>
      <c r="G3443" s="109" t="s">
        <v>120</v>
      </c>
      <c r="H3443" s="109">
        <v>115</v>
      </c>
      <c r="I3443" s="109">
        <v>1717</v>
      </c>
      <c r="J3443" s="110">
        <v>963</v>
      </c>
    </row>
    <row r="3444" spans="1:10">
      <c r="A3444" s="103" t="s">
        <v>5506</v>
      </c>
      <c r="B3444" s="124" t="s">
        <v>932</v>
      </c>
      <c r="C3444" s="110">
        <v>2766</v>
      </c>
      <c r="D3444" s="109" t="s">
        <v>120</v>
      </c>
      <c r="E3444" s="109">
        <v>28</v>
      </c>
      <c r="F3444" s="110">
        <v>4421</v>
      </c>
      <c r="G3444" s="109" t="s">
        <v>120</v>
      </c>
      <c r="H3444" s="109">
        <v>160</v>
      </c>
      <c r="I3444" s="109" t="s">
        <v>122</v>
      </c>
      <c r="J3444" s="110" t="s">
        <v>122</v>
      </c>
    </row>
    <row r="3445" spans="1:10">
      <c r="A3445" s="103" t="s">
        <v>5507</v>
      </c>
      <c r="B3445" s="124" t="s">
        <v>934</v>
      </c>
      <c r="C3445" s="110">
        <v>5128</v>
      </c>
      <c r="D3445" s="109" t="s">
        <v>120</v>
      </c>
      <c r="E3445" s="109">
        <v>51</v>
      </c>
      <c r="F3445" s="110">
        <v>4690</v>
      </c>
      <c r="G3445" s="109" t="s">
        <v>120</v>
      </c>
      <c r="H3445" s="109">
        <v>91</v>
      </c>
      <c r="I3445" s="109" t="s">
        <v>122</v>
      </c>
      <c r="J3445" s="110" t="s">
        <v>122</v>
      </c>
    </row>
    <row r="3446" spans="1:10" s="119" customFormat="1">
      <c r="A3446" s="123" t="s">
        <v>120</v>
      </c>
      <c r="B3446" s="273" t="s">
        <v>5508</v>
      </c>
      <c r="C3446" s="274"/>
      <c r="D3446" s="274"/>
      <c r="E3446" s="274"/>
      <c r="F3446" s="274"/>
      <c r="G3446" s="274"/>
      <c r="H3446" s="274"/>
      <c r="I3446" s="274"/>
      <c r="J3446" s="274"/>
    </row>
    <row r="3447" spans="1:10" s="119" customFormat="1">
      <c r="A3447" s="123" t="s">
        <v>120</v>
      </c>
      <c r="B3447" s="275" t="s">
        <v>922</v>
      </c>
      <c r="C3447" s="276"/>
      <c r="D3447" s="276"/>
      <c r="E3447" s="276"/>
      <c r="F3447" s="276"/>
      <c r="G3447" s="276"/>
      <c r="H3447" s="276"/>
      <c r="I3447" s="276"/>
      <c r="J3447" s="276"/>
    </row>
    <row r="3448" spans="1:10">
      <c r="A3448" s="103" t="s">
        <v>5509</v>
      </c>
      <c r="B3448" s="124" t="s">
        <v>5510</v>
      </c>
      <c r="C3448" s="110">
        <v>8936</v>
      </c>
      <c r="D3448" s="109" t="s">
        <v>120</v>
      </c>
      <c r="E3448" s="109">
        <v>89</v>
      </c>
      <c r="F3448" s="110">
        <v>23757</v>
      </c>
      <c r="G3448" s="109" t="s">
        <v>120</v>
      </c>
      <c r="H3448" s="109">
        <v>266</v>
      </c>
      <c r="I3448" s="109">
        <v>1538</v>
      </c>
      <c r="J3448" s="110">
        <v>271</v>
      </c>
    </row>
    <row r="3449" spans="1:10" s="119" customFormat="1">
      <c r="A3449" s="123" t="s">
        <v>120</v>
      </c>
      <c r="B3449" s="275" t="s">
        <v>924</v>
      </c>
      <c r="C3449" s="276"/>
      <c r="D3449" s="276"/>
      <c r="E3449" s="276"/>
      <c r="F3449" s="276"/>
      <c r="G3449" s="276"/>
      <c r="H3449" s="276"/>
      <c r="I3449" s="276"/>
      <c r="J3449" s="276"/>
    </row>
    <row r="3450" spans="1:10">
      <c r="A3450" s="103" t="s">
        <v>5511</v>
      </c>
      <c r="B3450" s="124" t="s">
        <v>5512</v>
      </c>
      <c r="C3450" s="110">
        <v>5728</v>
      </c>
      <c r="D3450" s="109" t="s">
        <v>120</v>
      </c>
      <c r="E3450" s="109">
        <v>57</v>
      </c>
      <c r="F3450" s="110">
        <v>3436</v>
      </c>
      <c r="G3450" s="109" t="s">
        <v>120</v>
      </c>
      <c r="H3450" s="109">
        <v>60</v>
      </c>
      <c r="I3450" s="109">
        <v>1967</v>
      </c>
      <c r="J3450" s="110">
        <v>2120</v>
      </c>
    </row>
    <row r="3451" spans="1:10">
      <c r="A3451" s="103" t="s">
        <v>5513</v>
      </c>
      <c r="B3451" s="124" t="s">
        <v>5514</v>
      </c>
      <c r="C3451" s="110">
        <v>13395</v>
      </c>
      <c r="D3451" s="109" t="s">
        <v>120</v>
      </c>
      <c r="E3451" s="109">
        <v>134</v>
      </c>
      <c r="F3451" s="110">
        <v>7454</v>
      </c>
      <c r="G3451" s="109" t="s">
        <v>120</v>
      </c>
      <c r="H3451" s="109">
        <v>56</v>
      </c>
      <c r="I3451" s="109">
        <v>856</v>
      </c>
      <c r="J3451" s="110">
        <v>1210</v>
      </c>
    </row>
    <row r="3452" spans="1:10">
      <c r="A3452" s="103" t="s">
        <v>5515</v>
      </c>
      <c r="B3452" s="124" t="s">
        <v>5516</v>
      </c>
      <c r="C3452" s="110">
        <v>8591</v>
      </c>
      <c r="D3452" s="109" t="s">
        <v>120</v>
      </c>
      <c r="E3452" s="109">
        <v>86</v>
      </c>
      <c r="F3452" s="110">
        <v>6797</v>
      </c>
      <c r="G3452" s="109" t="s">
        <v>120</v>
      </c>
      <c r="H3452" s="109">
        <v>79</v>
      </c>
      <c r="I3452" s="109">
        <v>1598</v>
      </c>
      <c r="J3452" s="110">
        <v>1341</v>
      </c>
    </row>
    <row r="3453" spans="1:10">
      <c r="A3453" s="103" t="s">
        <v>5517</v>
      </c>
      <c r="B3453" s="124" t="s">
        <v>5518</v>
      </c>
      <c r="C3453" s="110">
        <v>8002</v>
      </c>
      <c r="D3453" s="109" t="s">
        <v>120</v>
      </c>
      <c r="E3453" s="109">
        <v>80</v>
      </c>
      <c r="F3453" s="110">
        <v>6938</v>
      </c>
      <c r="G3453" s="109" t="s">
        <v>120</v>
      </c>
      <c r="H3453" s="109">
        <v>87</v>
      </c>
      <c r="I3453" s="109">
        <v>1701</v>
      </c>
      <c r="J3453" s="110">
        <v>1309</v>
      </c>
    </row>
    <row r="3454" spans="1:10">
      <c r="A3454" s="103" t="s">
        <v>5519</v>
      </c>
      <c r="B3454" s="124" t="s">
        <v>5520</v>
      </c>
      <c r="C3454" s="110">
        <v>12918</v>
      </c>
      <c r="D3454" s="109" t="s">
        <v>120</v>
      </c>
      <c r="E3454" s="109">
        <v>129</v>
      </c>
      <c r="F3454" s="110">
        <v>11815</v>
      </c>
      <c r="G3454" s="109" t="s">
        <v>120</v>
      </c>
      <c r="H3454" s="109">
        <v>91</v>
      </c>
      <c r="I3454" s="109">
        <v>923</v>
      </c>
      <c r="J3454" s="110">
        <v>716</v>
      </c>
    </row>
    <row r="3455" spans="1:10">
      <c r="A3455" s="103" t="s">
        <v>5521</v>
      </c>
      <c r="B3455" s="124" t="s">
        <v>5522</v>
      </c>
      <c r="C3455" s="110">
        <v>11893</v>
      </c>
      <c r="D3455" s="109" t="s">
        <v>120</v>
      </c>
      <c r="E3455" s="109">
        <v>119</v>
      </c>
      <c r="F3455" s="110">
        <v>6635</v>
      </c>
      <c r="G3455" s="109" t="s">
        <v>120</v>
      </c>
      <c r="H3455" s="109">
        <v>56</v>
      </c>
      <c r="I3455" s="109">
        <v>1069</v>
      </c>
      <c r="J3455" s="110">
        <v>1373</v>
      </c>
    </row>
    <row r="3456" spans="1:10" s="119" customFormat="1">
      <c r="A3456" s="123" t="s">
        <v>120</v>
      </c>
      <c r="B3456" s="275" t="s">
        <v>929</v>
      </c>
      <c r="C3456" s="276"/>
      <c r="D3456" s="276"/>
      <c r="E3456" s="276"/>
      <c r="F3456" s="276"/>
      <c r="G3456" s="276"/>
      <c r="H3456" s="276"/>
      <c r="I3456" s="276"/>
      <c r="J3456" s="276"/>
    </row>
    <row r="3457" spans="1:10">
      <c r="A3457" s="103" t="s">
        <v>5523</v>
      </c>
      <c r="B3457" s="124" t="s">
        <v>5524</v>
      </c>
      <c r="C3457" s="110">
        <v>12762</v>
      </c>
      <c r="D3457" s="109" t="s">
        <v>120</v>
      </c>
      <c r="E3457" s="109">
        <v>128</v>
      </c>
      <c r="F3457" s="110">
        <v>9619</v>
      </c>
      <c r="G3457" s="109" t="s">
        <v>120</v>
      </c>
      <c r="H3457" s="109">
        <v>75</v>
      </c>
      <c r="I3457" s="109">
        <v>949</v>
      </c>
      <c r="J3457" s="110">
        <v>917</v>
      </c>
    </row>
    <row r="3458" spans="1:10">
      <c r="A3458" s="103" t="s">
        <v>5525</v>
      </c>
      <c r="B3458" s="124" t="s">
        <v>932</v>
      </c>
      <c r="C3458" s="110">
        <v>7101</v>
      </c>
      <c r="D3458" s="109" t="s">
        <v>120</v>
      </c>
      <c r="E3458" s="109">
        <v>71</v>
      </c>
      <c r="F3458" s="110">
        <v>4297</v>
      </c>
      <c r="G3458" s="109" t="s">
        <v>120</v>
      </c>
      <c r="H3458" s="109">
        <v>61</v>
      </c>
      <c r="I3458" s="109" t="s">
        <v>122</v>
      </c>
      <c r="J3458" s="110" t="s">
        <v>122</v>
      </c>
    </row>
    <row r="3459" spans="1:10">
      <c r="A3459" s="103" t="s">
        <v>5526</v>
      </c>
      <c r="B3459" s="124" t="s">
        <v>934</v>
      </c>
      <c r="C3459" s="110">
        <v>5661</v>
      </c>
      <c r="D3459" s="109" t="s">
        <v>120</v>
      </c>
      <c r="E3459" s="109">
        <v>57</v>
      </c>
      <c r="F3459" s="110">
        <v>5322</v>
      </c>
      <c r="G3459" s="109" t="s">
        <v>120</v>
      </c>
      <c r="H3459" s="109">
        <v>94</v>
      </c>
      <c r="I3459" s="109" t="s">
        <v>122</v>
      </c>
      <c r="J3459" s="110" t="s">
        <v>122</v>
      </c>
    </row>
    <row r="3460" spans="1:10" s="119" customFormat="1">
      <c r="A3460" s="123" t="s">
        <v>120</v>
      </c>
      <c r="B3460" s="273" t="s">
        <v>5527</v>
      </c>
      <c r="C3460" s="274"/>
      <c r="D3460" s="274"/>
      <c r="E3460" s="274"/>
      <c r="F3460" s="274"/>
      <c r="G3460" s="274"/>
      <c r="H3460" s="274"/>
      <c r="I3460" s="274"/>
      <c r="J3460" s="274"/>
    </row>
    <row r="3461" spans="1:10" s="119" customFormat="1">
      <c r="A3461" s="123" t="s">
        <v>120</v>
      </c>
      <c r="B3461" s="275" t="s">
        <v>936</v>
      </c>
      <c r="C3461" s="276"/>
      <c r="D3461" s="276"/>
      <c r="E3461" s="276"/>
      <c r="F3461" s="276"/>
      <c r="G3461" s="276"/>
      <c r="H3461" s="276"/>
      <c r="I3461" s="276"/>
      <c r="J3461" s="276"/>
    </row>
    <row r="3462" spans="1:10">
      <c r="A3462" s="103" t="s">
        <v>5528</v>
      </c>
      <c r="B3462" s="124" t="s">
        <v>5529</v>
      </c>
      <c r="C3462" s="110">
        <v>2011</v>
      </c>
      <c r="D3462" s="109" t="s">
        <v>120</v>
      </c>
      <c r="E3462" s="109">
        <v>20</v>
      </c>
      <c r="F3462" s="110">
        <v>22215</v>
      </c>
      <c r="G3462" s="109" t="s">
        <v>120</v>
      </c>
      <c r="H3462" s="109">
        <v>1105</v>
      </c>
      <c r="I3462" s="109">
        <v>2236</v>
      </c>
      <c r="J3462" s="110">
        <v>297</v>
      </c>
    </row>
    <row r="3463" spans="1:10">
      <c r="A3463" s="103" t="s">
        <v>5530</v>
      </c>
      <c r="B3463" s="124" t="s">
        <v>5531</v>
      </c>
      <c r="C3463" s="110">
        <v>7921</v>
      </c>
      <c r="D3463" s="109" t="s">
        <v>120</v>
      </c>
      <c r="E3463" s="109">
        <v>79</v>
      </c>
      <c r="F3463" s="110">
        <v>41014</v>
      </c>
      <c r="G3463" s="109" t="s">
        <v>120</v>
      </c>
      <c r="H3463" s="109">
        <v>518</v>
      </c>
      <c r="I3463" s="109">
        <v>1714</v>
      </c>
      <c r="J3463" s="110">
        <v>122</v>
      </c>
    </row>
    <row r="3464" spans="1:10">
      <c r="A3464" s="103" t="s">
        <v>5532</v>
      </c>
      <c r="B3464" s="124" t="s">
        <v>5533</v>
      </c>
      <c r="C3464" s="110">
        <v>8371</v>
      </c>
      <c r="D3464" s="109" t="s">
        <v>120</v>
      </c>
      <c r="E3464" s="109">
        <v>84</v>
      </c>
      <c r="F3464" s="110">
        <v>21176</v>
      </c>
      <c r="G3464" s="109" t="s">
        <v>120</v>
      </c>
      <c r="H3464" s="109">
        <v>253</v>
      </c>
      <c r="I3464" s="109">
        <v>1641</v>
      </c>
      <c r="J3464" s="110">
        <v>321</v>
      </c>
    </row>
    <row r="3465" spans="1:10" s="119" customFormat="1">
      <c r="A3465" s="123" t="s">
        <v>120</v>
      </c>
      <c r="B3465" s="275" t="s">
        <v>943</v>
      </c>
      <c r="C3465" s="276"/>
      <c r="D3465" s="276"/>
      <c r="E3465" s="276"/>
      <c r="F3465" s="276"/>
      <c r="G3465" s="276"/>
      <c r="H3465" s="276"/>
      <c r="I3465" s="276"/>
      <c r="J3465" s="276"/>
    </row>
    <row r="3466" spans="1:10">
      <c r="A3466" s="103" t="s">
        <v>5534</v>
      </c>
      <c r="B3466" s="124" t="s">
        <v>5535</v>
      </c>
      <c r="C3466" s="110">
        <v>1545</v>
      </c>
      <c r="D3466" s="109" t="s">
        <v>120</v>
      </c>
      <c r="E3466" s="109">
        <v>15</v>
      </c>
      <c r="F3466" s="110">
        <v>6176</v>
      </c>
      <c r="G3466" s="109" t="s">
        <v>120</v>
      </c>
      <c r="H3466" s="109">
        <v>400</v>
      </c>
      <c r="I3466" s="109">
        <v>2276</v>
      </c>
      <c r="J3466" s="110">
        <v>1465</v>
      </c>
    </row>
    <row r="3467" spans="1:10">
      <c r="A3467" s="103" t="s">
        <v>5536</v>
      </c>
      <c r="B3467" s="124" t="s">
        <v>5537</v>
      </c>
      <c r="C3467" s="110">
        <v>3462</v>
      </c>
      <c r="D3467" s="109" t="s">
        <v>120</v>
      </c>
      <c r="E3467" s="109">
        <v>35</v>
      </c>
      <c r="F3467" s="110">
        <v>8409</v>
      </c>
      <c r="G3467" s="109" t="s">
        <v>120</v>
      </c>
      <c r="H3467" s="109">
        <v>243</v>
      </c>
      <c r="I3467" s="109">
        <v>2133</v>
      </c>
      <c r="J3467" s="110">
        <v>1064</v>
      </c>
    </row>
    <row r="3468" spans="1:10" s="119" customFormat="1">
      <c r="A3468" s="123" t="s">
        <v>120</v>
      </c>
      <c r="B3468" s="273" t="s">
        <v>5538</v>
      </c>
      <c r="C3468" s="274"/>
      <c r="D3468" s="274"/>
      <c r="E3468" s="274"/>
      <c r="F3468" s="274"/>
      <c r="G3468" s="274"/>
      <c r="H3468" s="274"/>
      <c r="I3468" s="274"/>
      <c r="J3468" s="274"/>
    </row>
    <row r="3469" spans="1:10" s="119" customFormat="1">
      <c r="A3469" s="123" t="s">
        <v>120</v>
      </c>
      <c r="B3469" s="275" t="s">
        <v>1019</v>
      </c>
      <c r="C3469" s="276"/>
      <c r="D3469" s="276"/>
      <c r="E3469" s="276"/>
      <c r="F3469" s="276"/>
      <c r="G3469" s="276"/>
      <c r="H3469" s="276"/>
      <c r="I3469" s="276"/>
      <c r="J3469" s="276"/>
    </row>
    <row r="3470" spans="1:10">
      <c r="A3470" s="103" t="s">
        <v>5539</v>
      </c>
      <c r="B3470" s="124" t="s">
        <v>5540</v>
      </c>
      <c r="C3470" s="110">
        <v>7359</v>
      </c>
      <c r="D3470" s="109" t="s">
        <v>120</v>
      </c>
      <c r="E3470" s="109">
        <v>74</v>
      </c>
      <c r="F3470" s="110">
        <v>31585</v>
      </c>
      <c r="G3470" s="109" t="s">
        <v>120</v>
      </c>
      <c r="H3470" s="109">
        <v>429</v>
      </c>
      <c r="I3470" s="109">
        <v>1797</v>
      </c>
      <c r="J3470" s="110">
        <v>176</v>
      </c>
    </row>
    <row r="3471" spans="1:10" s="119" customFormat="1">
      <c r="A3471" s="123" t="s">
        <v>120</v>
      </c>
      <c r="B3471" s="275" t="s">
        <v>943</v>
      </c>
      <c r="C3471" s="276"/>
      <c r="D3471" s="276"/>
      <c r="E3471" s="276"/>
      <c r="F3471" s="276"/>
      <c r="G3471" s="276"/>
      <c r="H3471" s="276"/>
      <c r="I3471" s="276"/>
      <c r="J3471" s="276"/>
    </row>
    <row r="3472" spans="1:10">
      <c r="A3472" s="103" t="s">
        <v>5541</v>
      </c>
      <c r="B3472" s="124" t="s">
        <v>5542</v>
      </c>
      <c r="C3472" s="110">
        <v>8796</v>
      </c>
      <c r="D3472" s="109" t="s">
        <v>120</v>
      </c>
      <c r="E3472" s="109">
        <v>87</v>
      </c>
      <c r="F3472" s="110">
        <v>5608</v>
      </c>
      <c r="G3472" s="109" t="s">
        <v>120</v>
      </c>
      <c r="H3472" s="109">
        <v>64</v>
      </c>
      <c r="I3472" s="109">
        <v>1562</v>
      </c>
      <c r="J3472" s="110">
        <v>1590</v>
      </c>
    </row>
    <row r="3473" spans="1:10">
      <c r="A3473" s="103" t="s">
        <v>5543</v>
      </c>
      <c r="B3473" s="124" t="s">
        <v>5544</v>
      </c>
      <c r="C3473" s="110">
        <v>5706</v>
      </c>
      <c r="D3473" s="109" t="s">
        <v>120</v>
      </c>
      <c r="E3473" s="109">
        <v>57</v>
      </c>
      <c r="F3473" s="110">
        <v>10914</v>
      </c>
      <c r="G3473" s="109" t="s">
        <v>120</v>
      </c>
      <c r="H3473" s="109">
        <v>191</v>
      </c>
      <c r="I3473" s="109">
        <v>1972</v>
      </c>
      <c r="J3473" s="110">
        <v>789</v>
      </c>
    </row>
    <row r="3474" spans="1:10" s="119" customFormat="1">
      <c r="A3474" s="123" t="s">
        <v>120</v>
      </c>
      <c r="B3474" s="275" t="s">
        <v>1101</v>
      </c>
      <c r="C3474" s="276"/>
      <c r="D3474" s="276"/>
      <c r="E3474" s="276"/>
      <c r="F3474" s="276"/>
      <c r="G3474" s="276"/>
      <c r="H3474" s="276"/>
      <c r="I3474" s="276"/>
      <c r="J3474" s="276"/>
    </row>
    <row r="3475" spans="1:10">
      <c r="A3475" s="103" t="s">
        <v>5545</v>
      </c>
      <c r="B3475" s="124" t="s">
        <v>5546</v>
      </c>
      <c r="C3475" s="110">
        <v>15964</v>
      </c>
      <c r="D3475" s="109" t="s">
        <v>120</v>
      </c>
      <c r="E3475" s="109">
        <v>160</v>
      </c>
      <c r="F3475" s="110">
        <v>14320</v>
      </c>
      <c r="G3475" s="109" t="s">
        <v>120</v>
      </c>
      <c r="H3475" s="109">
        <v>90</v>
      </c>
      <c r="I3475" s="109">
        <v>601</v>
      </c>
      <c r="J3475" s="110">
        <v>552</v>
      </c>
    </row>
    <row r="3476" spans="1:10">
      <c r="A3476" s="103" t="s">
        <v>5547</v>
      </c>
      <c r="B3476" s="124" t="s">
        <v>932</v>
      </c>
      <c r="C3476" s="110">
        <v>2671</v>
      </c>
      <c r="D3476" s="109" t="s">
        <v>120</v>
      </c>
      <c r="E3476" s="109">
        <v>27</v>
      </c>
      <c r="F3476" s="110">
        <v>2445</v>
      </c>
      <c r="G3476" s="109" t="s">
        <v>120</v>
      </c>
      <c r="H3476" s="109">
        <v>92</v>
      </c>
      <c r="I3476" s="109" t="s">
        <v>122</v>
      </c>
      <c r="J3476" s="110" t="s">
        <v>122</v>
      </c>
    </row>
    <row r="3477" spans="1:10">
      <c r="A3477" s="103" t="s">
        <v>5548</v>
      </c>
      <c r="B3477" s="124" t="s">
        <v>934</v>
      </c>
      <c r="C3477" s="110">
        <v>13293</v>
      </c>
      <c r="D3477" s="109" t="s">
        <v>120</v>
      </c>
      <c r="E3477" s="109">
        <v>133</v>
      </c>
      <c r="F3477" s="110">
        <v>11875</v>
      </c>
      <c r="G3477" s="109" t="s">
        <v>120</v>
      </c>
      <c r="H3477" s="109">
        <v>89</v>
      </c>
      <c r="I3477" s="109" t="s">
        <v>122</v>
      </c>
      <c r="J3477" s="110" t="s">
        <v>122</v>
      </c>
    </row>
    <row r="3478" spans="1:10">
      <c r="A3478" s="103" t="s">
        <v>5549</v>
      </c>
      <c r="B3478" s="124" t="s">
        <v>5550</v>
      </c>
      <c r="C3478" s="110">
        <v>10100</v>
      </c>
      <c r="D3478" s="109" t="s">
        <v>120</v>
      </c>
      <c r="E3478" s="109">
        <v>101</v>
      </c>
      <c r="F3478" s="110">
        <v>8453</v>
      </c>
      <c r="G3478" s="109" t="s">
        <v>120</v>
      </c>
      <c r="H3478" s="109">
        <v>84</v>
      </c>
      <c r="I3478" s="109">
        <v>1371</v>
      </c>
      <c r="J3478" s="110">
        <v>1060</v>
      </c>
    </row>
    <row r="3479" spans="1:10">
      <c r="A3479" s="103" t="s">
        <v>5551</v>
      </c>
      <c r="B3479" s="124" t="s">
        <v>932</v>
      </c>
      <c r="C3479" s="110">
        <v>2544</v>
      </c>
      <c r="D3479" s="109" t="s">
        <v>120</v>
      </c>
      <c r="E3479" s="109">
        <v>25</v>
      </c>
      <c r="F3479" s="110">
        <v>4567</v>
      </c>
      <c r="G3479" s="109" t="s">
        <v>120</v>
      </c>
      <c r="H3479" s="109">
        <v>180</v>
      </c>
      <c r="I3479" s="109" t="s">
        <v>122</v>
      </c>
      <c r="J3479" s="110" t="s">
        <v>122</v>
      </c>
    </row>
    <row r="3480" spans="1:10">
      <c r="A3480" s="103" t="s">
        <v>5552</v>
      </c>
      <c r="B3480" s="124" t="s">
        <v>934</v>
      </c>
      <c r="C3480" s="110">
        <v>7556</v>
      </c>
      <c r="D3480" s="109" t="s">
        <v>120</v>
      </c>
      <c r="E3480" s="109">
        <v>76</v>
      </c>
      <c r="F3480" s="110">
        <v>3886</v>
      </c>
      <c r="G3480" s="109" t="s">
        <v>120</v>
      </c>
      <c r="H3480" s="109">
        <v>51</v>
      </c>
      <c r="I3480" s="109" t="s">
        <v>122</v>
      </c>
      <c r="J3480" s="110" t="s">
        <v>122</v>
      </c>
    </row>
    <row r="3481" spans="1:10" s="119" customFormat="1">
      <c r="A3481" s="123" t="s">
        <v>120</v>
      </c>
      <c r="B3481" s="273" t="s">
        <v>5553</v>
      </c>
      <c r="C3481" s="274"/>
      <c r="D3481" s="274"/>
      <c r="E3481" s="274"/>
      <c r="F3481" s="274"/>
      <c r="G3481" s="274"/>
      <c r="H3481" s="274"/>
      <c r="I3481" s="274"/>
      <c r="J3481" s="274"/>
    </row>
    <row r="3482" spans="1:10" s="119" customFormat="1">
      <c r="A3482" s="123" t="s">
        <v>120</v>
      </c>
      <c r="B3482" s="275" t="s">
        <v>1022</v>
      </c>
      <c r="C3482" s="276"/>
      <c r="D3482" s="276"/>
      <c r="E3482" s="276"/>
      <c r="F3482" s="276"/>
      <c r="G3482" s="276"/>
      <c r="H3482" s="276"/>
      <c r="I3482" s="276"/>
      <c r="J3482" s="276"/>
    </row>
    <row r="3483" spans="1:10">
      <c r="A3483" s="103" t="s">
        <v>5554</v>
      </c>
      <c r="B3483" s="124" t="s">
        <v>5555</v>
      </c>
      <c r="C3483" s="110">
        <v>4739</v>
      </c>
      <c r="D3483" s="109" t="s">
        <v>120</v>
      </c>
      <c r="E3483" s="109">
        <v>47</v>
      </c>
      <c r="F3483" s="110">
        <v>6755</v>
      </c>
      <c r="G3483" s="109" t="s">
        <v>120</v>
      </c>
      <c r="H3483" s="109">
        <v>143</v>
      </c>
      <c r="I3483" s="109">
        <v>2040</v>
      </c>
      <c r="J3483" s="110">
        <v>1352</v>
      </c>
    </row>
    <row r="3484" spans="1:10">
      <c r="A3484" s="103" t="s">
        <v>5556</v>
      </c>
      <c r="B3484" s="124" t="s">
        <v>5557</v>
      </c>
      <c r="C3484" s="110">
        <v>4819</v>
      </c>
      <c r="D3484" s="109" t="s">
        <v>120</v>
      </c>
      <c r="E3484" s="109">
        <v>48</v>
      </c>
      <c r="F3484" s="110">
        <v>4905</v>
      </c>
      <c r="G3484" s="109" t="s">
        <v>120</v>
      </c>
      <c r="H3484" s="109">
        <v>102</v>
      </c>
      <c r="I3484" s="109">
        <v>2035</v>
      </c>
      <c r="J3484" s="110">
        <v>1763</v>
      </c>
    </row>
    <row r="3485" spans="1:10">
      <c r="A3485" s="103" t="s">
        <v>5558</v>
      </c>
      <c r="B3485" s="124" t="s">
        <v>5559</v>
      </c>
      <c r="C3485" s="110">
        <v>5009</v>
      </c>
      <c r="D3485" s="109" t="s">
        <v>120</v>
      </c>
      <c r="E3485" s="109">
        <v>50</v>
      </c>
      <c r="F3485" s="110">
        <v>16590</v>
      </c>
      <c r="G3485" s="109" t="s">
        <v>120</v>
      </c>
      <c r="H3485" s="109">
        <v>331</v>
      </c>
      <c r="I3485" s="109">
        <v>2020</v>
      </c>
      <c r="J3485" s="110">
        <v>450</v>
      </c>
    </row>
    <row r="3486" spans="1:10">
      <c r="A3486" s="103" t="s">
        <v>5560</v>
      </c>
      <c r="B3486" s="124" t="s">
        <v>5561</v>
      </c>
      <c r="C3486" s="110">
        <v>7568</v>
      </c>
      <c r="D3486" s="109" t="s">
        <v>120</v>
      </c>
      <c r="E3486" s="109">
        <v>76</v>
      </c>
      <c r="F3486" s="110">
        <v>18172</v>
      </c>
      <c r="G3486" s="109" t="s">
        <v>120</v>
      </c>
      <c r="H3486" s="109">
        <v>240</v>
      </c>
      <c r="I3486" s="109">
        <v>1762</v>
      </c>
      <c r="J3486" s="110">
        <v>396</v>
      </c>
    </row>
    <row r="3487" spans="1:10">
      <c r="A3487" s="103" t="s">
        <v>5562</v>
      </c>
      <c r="B3487" s="124" t="s">
        <v>5563</v>
      </c>
      <c r="C3487" s="110">
        <v>7508</v>
      </c>
      <c r="D3487" s="109" t="s">
        <v>120</v>
      </c>
      <c r="E3487" s="109">
        <v>75</v>
      </c>
      <c r="F3487" s="110">
        <v>12347</v>
      </c>
      <c r="G3487" s="109" t="s">
        <v>120</v>
      </c>
      <c r="H3487" s="109">
        <v>164</v>
      </c>
      <c r="I3487" s="109">
        <v>1775</v>
      </c>
      <c r="J3487" s="110">
        <v>675</v>
      </c>
    </row>
    <row r="3488" spans="1:10" s="119" customFormat="1">
      <c r="A3488" s="123" t="s">
        <v>120</v>
      </c>
      <c r="B3488" s="275" t="s">
        <v>929</v>
      </c>
      <c r="C3488" s="276"/>
      <c r="D3488" s="276"/>
      <c r="E3488" s="276"/>
      <c r="F3488" s="276"/>
      <c r="G3488" s="276"/>
      <c r="H3488" s="276"/>
      <c r="I3488" s="276"/>
      <c r="J3488" s="276"/>
    </row>
    <row r="3489" spans="1:10">
      <c r="A3489" s="103" t="s">
        <v>5564</v>
      </c>
      <c r="B3489" s="124" t="s">
        <v>5565</v>
      </c>
      <c r="C3489" s="110">
        <v>17473</v>
      </c>
      <c r="D3489" s="109" t="s">
        <v>120</v>
      </c>
      <c r="E3489" s="109">
        <v>175</v>
      </c>
      <c r="F3489" s="110">
        <v>52770</v>
      </c>
      <c r="G3489" s="109" t="s">
        <v>120</v>
      </c>
      <c r="H3489" s="109">
        <v>302</v>
      </c>
      <c r="I3489" s="109">
        <v>489</v>
      </c>
      <c r="J3489" s="110">
        <v>86</v>
      </c>
    </row>
    <row r="3490" spans="1:10">
      <c r="A3490" s="103" t="s">
        <v>5566</v>
      </c>
      <c r="B3490" s="124" t="s">
        <v>932</v>
      </c>
      <c r="C3490" s="110">
        <v>2249</v>
      </c>
      <c r="D3490" s="109" t="s">
        <v>120</v>
      </c>
      <c r="E3490" s="109">
        <v>22</v>
      </c>
      <c r="F3490" s="110">
        <v>25833</v>
      </c>
      <c r="G3490" s="109" t="s">
        <v>120</v>
      </c>
      <c r="H3490" s="109">
        <v>1149</v>
      </c>
      <c r="I3490" s="109" t="s">
        <v>122</v>
      </c>
      <c r="J3490" s="110" t="s">
        <v>122</v>
      </c>
    </row>
    <row r="3491" spans="1:10">
      <c r="A3491" s="103" t="s">
        <v>5567</v>
      </c>
      <c r="B3491" s="124" t="s">
        <v>934</v>
      </c>
      <c r="C3491" s="110">
        <v>15224</v>
      </c>
      <c r="D3491" s="109" t="s">
        <v>120</v>
      </c>
      <c r="E3491" s="109">
        <v>153</v>
      </c>
      <c r="F3491" s="110">
        <v>26937</v>
      </c>
      <c r="G3491" s="109" t="s">
        <v>120</v>
      </c>
      <c r="H3491" s="109">
        <v>177</v>
      </c>
      <c r="I3491" s="109" t="s">
        <v>122</v>
      </c>
      <c r="J3491" s="110" t="s">
        <v>122</v>
      </c>
    </row>
    <row r="3492" spans="1:10" s="119" customFormat="1">
      <c r="A3492" s="123" t="s">
        <v>120</v>
      </c>
      <c r="B3492" s="273" t="s">
        <v>5568</v>
      </c>
      <c r="C3492" s="274"/>
      <c r="D3492" s="274"/>
      <c r="E3492" s="274"/>
      <c r="F3492" s="274"/>
      <c r="G3492" s="274"/>
      <c r="H3492" s="274"/>
      <c r="I3492" s="274"/>
      <c r="J3492" s="274"/>
    </row>
    <row r="3493" spans="1:10" s="119" customFormat="1">
      <c r="A3493" s="123" t="s">
        <v>120</v>
      </c>
      <c r="B3493" s="275" t="s">
        <v>1019</v>
      </c>
      <c r="C3493" s="276"/>
      <c r="D3493" s="276"/>
      <c r="E3493" s="276"/>
      <c r="F3493" s="276"/>
      <c r="G3493" s="276"/>
      <c r="H3493" s="276"/>
      <c r="I3493" s="276"/>
      <c r="J3493" s="276"/>
    </row>
    <row r="3494" spans="1:10">
      <c r="A3494" s="103" t="s">
        <v>5569</v>
      </c>
      <c r="B3494" s="124" t="s">
        <v>5570</v>
      </c>
      <c r="C3494" s="110">
        <v>7501</v>
      </c>
      <c r="D3494" s="109" t="s">
        <v>120</v>
      </c>
      <c r="E3494" s="109">
        <v>75</v>
      </c>
      <c r="F3494" s="110">
        <v>54739</v>
      </c>
      <c r="G3494" s="109" t="s">
        <v>120</v>
      </c>
      <c r="H3494" s="109">
        <v>730</v>
      </c>
      <c r="I3494" s="109">
        <v>1777</v>
      </c>
      <c r="J3494" s="110">
        <v>84</v>
      </c>
    </row>
    <row r="3495" spans="1:10" s="119" customFormat="1">
      <c r="A3495" s="123" t="s">
        <v>120</v>
      </c>
      <c r="B3495" s="275" t="s">
        <v>943</v>
      </c>
      <c r="C3495" s="276"/>
      <c r="D3495" s="276"/>
      <c r="E3495" s="276"/>
      <c r="F3495" s="276"/>
      <c r="G3495" s="276"/>
      <c r="H3495" s="276"/>
      <c r="I3495" s="276"/>
      <c r="J3495" s="276"/>
    </row>
    <row r="3496" spans="1:10">
      <c r="A3496" s="103" t="s">
        <v>5571</v>
      </c>
      <c r="B3496" s="124" t="s">
        <v>5572</v>
      </c>
      <c r="C3496" s="110">
        <v>2620</v>
      </c>
      <c r="D3496" s="109" t="s">
        <v>120</v>
      </c>
      <c r="E3496" s="109">
        <v>26</v>
      </c>
      <c r="F3496" s="110">
        <v>5159</v>
      </c>
      <c r="G3496" s="109" t="s">
        <v>120</v>
      </c>
      <c r="H3496" s="109">
        <v>197</v>
      </c>
      <c r="I3496" s="109">
        <v>2188</v>
      </c>
      <c r="J3496" s="110">
        <v>1703</v>
      </c>
    </row>
    <row r="3497" spans="1:10">
      <c r="A3497" s="103" t="s">
        <v>5573</v>
      </c>
      <c r="B3497" s="124" t="s">
        <v>5574</v>
      </c>
      <c r="C3497" s="110">
        <v>6970</v>
      </c>
      <c r="D3497" s="109" t="s">
        <v>120</v>
      </c>
      <c r="E3497" s="109">
        <v>70</v>
      </c>
      <c r="F3497" s="110">
        <v>11274</v>
      </c>
      <c r="G3497" s="109" t="s">
        <v>120</v>
      </c>
      <c r="H3497" s="109">
        <v>162</v>
      </c>
      <c r="I3497" s="109">
        <v>1850</v>
      </c>
      <c r="J3497" s="110">
        <v>760</v>
      </c>
    </row>
    <row r="3498" spans="1:10">
      <c r="A3498" s="103" t="s">
        <v>5575</v>
      </c>
      <c r="B3498" s="124" t="s">
        <v>5576</v>
      </c>
      <c r="C3498" s="110">
        <v>5722</v>
      </c>
      <c r="D3498" s="109" t="s">
        <v>120</v>
      </c>
      <c r="E3498" s="109">
        <v>57</v>
      </c>
      <c r="F3498" s="110">
        <v>7453</v>
      </c>
      <c r="G3498" s="109" t="s">
        <v>120</v>
      </c>
      <c r="H3498" s="109">
        <v>130</v>
      </c>
      <c r="I3498" s="109">
        <v>1968</v>
      </c>
      <c r="J3498" s="110">
        <v>1211</v>
      </c>
    </row>
    <row r="3499" spans="1:10">
      <c r="A3499" s="103" t="s">
        <v>5577</v>
      </c>
      <c r="B3499" s="124" t="s">
        <v>5578</v>
      </c>
      <c r="C3499" s="110">
        <v>6793</v>
      </c>
      <c r="D3499" s="109" t="s">
        <v>120</v>
      </c>
      <c r="E3499" s="109">
        <v>68</v>
      </c>
      <c r="F3499" s="110">
        <v>6883</v>
      </c>
      <c r="G3499" s="109" t="s">
        <v>120</v>
      </c>
      <c r="H3499" s="109">
        <v>101</v>
      </c>
      <c r="I3499" s="109">
        <v>1872</v>
      </c>
      <c r="J3499" s="110">
        <v>1320</v>
      </c>
    </row>
    <row r="3500" spans="1:10">
      <c r="A3500" s="103" t="s">
        <v>5579</v>
      </c>
      <c r="B3500" s="124" t="s">
        <v>1920</v>
      </c>
      <c r="C3500" s="110">
        <v>7388</v>
      </c>
      <c r="D3500" s="109" t="s">
        <v>120</v>
      </c>
      <c r="E3500" s="109">
        <v>74</v>
      </c>
      <c r="F3500" s="110">
        <v>5193</v>
      </c>
      <c r="G3500" s="109" t="s">
        <v>120</v>
      </c>
      <c r="H3500" s="109">
        <v>70</v>
      </c>
      <c r="I3500" s="109">
        <v>1793</v>
      </c>
      <c r="J3500" s="110">
        <v>1692</v>
      </c>
    </row>
    <row r="3501" spans="1:10" s="119" customFormat="1">
      <c r="A3501" s="123" t="s">
        <v>120</v>
      </c>
      <c r="B3501" s="275" t="s">
        <v>947</v>
      </c>
      <c r="C3501" s="276"/>
      <c r="D3501" s="276"/>
      <c r="E3501" s="276"/>
      <c r="F3501" s="276"/>
      <c r="G3501" s="276"/>
      <c r="H3501" s="276"/>
      <c r="I3501" s="276"/>
      <c r="J3501" s="276"/>
    </row>
    <row r="3502" spans="1:10">
      <c r="A3502" s="103" t="s">
        <v>5580</v>
      </c>
      <c r="B3502" s="124" t="s">
        <v>5581</v>
      </c>
      <c r="C3502" s="110">
        <v>4720</v>
      </c>
      <c r="D3502" s="109" t="s">
        <v>120</v>
      </c>
      <c r="E3502" s="109">
        <v>47</v>
      </c>
      <c r="F3502" s="110">
        <v>5742</v>
      </c>
      <c r="G3502" s="109" t="s">
        <v>120</v>
      </c>
      <c r="H3502" s="109">
        <v>122</v>
      </c>
      <c r="I3502" s="109">
        <v>2043</v>
      </c>
      <c r="J3502" s="110">
        <v>1570</v>
      </c>
    </row>
    <row r="3503" spans="1:10">
      <c r="A3503" s="103" t="s">
        <v>5582</v>
      </c>
      <c r="B3503" s="124" t="s">
        <v>932</v>
      </c>
      <c r="C3503" s="110">
        <v>308</v>
      </c>
      <c r="D3503" s="109" t="s">
        <v>120</v>
      </c>
      <c r="E3503" s="109">
        <v>4</v>
      </c>
      <c r="F3503" s="110">
        <v>2166</v>
      </c>
      <c r="G3503" s="109" t="s">
        <v>120</v>
      </c>
      <c r="H3503" s="109">
        <v>703</v>
      </c>
      <c r="I3503" s="109" t="s">
        <v>122</v>
      </c>
      <c r="J3503" s="110" t="s">
        <v>122</v>
      </c>
    </row>
    <row r="3504" spans="1:10">
      <c r="A3504" s="103" t="s">
        <v>5583</v>
      </c>
      <c r="B3504" s="124" t="s">
        <v>934</v>
      </c>
      <c r="C3504" s="110">
        <v>4412</v>
      </c>
      <c r="D3504" s="109" t="s">
        <v>120</v>
      </c>
      <c r="E3504" s="109">
        <v>43</v>
      </c>
      <c r="F3504" s="110">
        <v>3576</v>
      </c>
      <c r="G3504" s="109" t="s">
        <v>120</v>
      </c>
      <c r="H3504" s="109">
        <v>81</v>
      </c>
      <c r="I3504" s="109" t="s">
        <v>122</v>
      </c>
      <c r="J3504" s="110" t="s">
        <v>122</v>
      </c>
    </row>
    <row r="3505" spans="1:10">
      <c r="A3505" s="103" t="s">
        <v>5584</v>
      </c>
      <c r="B3505" s="124" t="s">
        <v>5585</v>
      </c>
      <c r="C3505" s="110">
        <v>12662</v>
      </c>
      <c r="D3505" s="109" t="s">
        <v>120</v>
      </c>
      <c r="E3505" s="109">
        <v>127</v>
      </c>
      <c r="F3505" s="110">
        <v>11768</v>
      </c>
      <c r="G3505" s="109" t="s">
        <v>120</v>
      </c>
      <c r="H3505" s="109">
        <v>93</v>
      </c>
      <c r="I3505" s="109">
        <v>962</v>
      </c>
      <c r="J3505" s="110">
        <v>721</v>
      </c>
    </row>
    <row r="3506" spans="1:10">
      <c r="A3506" s="103" t="s">
        <v>5586</v>
      </c>
      <c r="B3506" s="124" t="s">
        <v>932</v>
      </c>
      <c r="C3506" s="110">
        <v>3149</v>
      </c>
      <c r="D3506" s="109" t="s">
        <v>120</v>
      </c>
      <c r="E3506" s="109">
        <v>31</v>
      </c>
      <c r="F3506" s="110">
        <v>5305</v>
      </c>
      <c r="G3506" s="109" t="s">
        <v>120</v>
      </c>
      <c r="H3506" s="109">
        <v>168</v>
      </c>
      <c r="I3506" s="109" t="s">
        <v>122</v>
      </c>
      <c r="J3506" s="110" t="s">
        <v>122</v>
      </c>
    </row>
    <row r="3507" spans="1:10">
      <c r="A3507" s="103" t="s">
        <v>5587</v>
      </c>
      <c r="B3507" s="124" t="s">
        <v>934</v>
      </c>
      <c r="C3507" s="110">
        <v>9513</v>
      </c>
      <c r="D3507" s="109" t="s">
        <v>120</v>
      </c>
      <c r="E3507" s="109">
        <v>96</v>
      </c>
      <c r="F3507" s="110">
        <v>6463</v>
      </c>
      <c r="G3507" s="109" t="s">
        <v>120</v>
      </c>
      <c r="H3507" s="109">
        <v>68</v>
      </c>
      <c r="I3507" s="109" t="s">
        <v>122</v>
      </c>
      <c r="J3507" s="110" t="s">
        <v>122</v>
      </c>
    </row>
    <row r="3508" spans="1:10" s="119" customFormat="1">
      <c r="A3508" s="123" t="s">
        <v>120</v>
      </c>
      <c r="B3508" s="273" t="s">
        <v>5588</v>
      </c>
      <c r="C3508" s="274"/>
      <c r="D3508" s="274"/>
      <c r="E3508" s="274"/>
      <c r="F3508" s="274"/>
      <c r="G3508" s="274"/>
      <c r="H3508" s="274"/>
      <c r="I3508" s="274"/>
      <c r="J3508" s="274"/>
    </row>
    <row r="3509" spans="1:10" s="119" customFormat="1">
      <c r="A3509" s="123" t="s">
        <v>120</v>
      </c>
      <c r="B3509" s="275" t="s">
        <v>924</v>
      </c>
      <c r="C3509" s="276"/>
      <c r="D3509" s="276"/>
      <c r="E3509" s="276"/>
      <c r="F3509" s="276"/>
      <c r="G3509" s="276"/>
      <c r="H3509" s="276"/>
      <c r="I3509" s="276"/>
      <c r="J3509" s="276"/>
    </row>
    <row r="3510" spans="1:10">
      <c r="A3510" s="103" t="s">
        <v>5589</v>
      </c>
      <c r="B3510" s="124" t="s">
        <v>5590</v>
      </c>
      <c r="C3510" s="110">
        <v>1985</v>
      </c>
      <c r="D3510" s="109" t="s">
        <v>120</v>
      </c>
      <c r="E3510" s="109">
        <v>20</v>
      </c>
      <c r="F3510" s="110">
        <v>9798</v>
      </c>
      <c r="G3510" s="109" t="s">
        <v>120</v>
      </c>
      <c r="H3510" s="109">
        <v>494</v>
      </c>
      <c r="I3510" s="109">
        <v>2240</v>
      </c>
      <c r="J3510" s="110">
        <v>896</v>
      </c>
    </row>
    <row r="3511" spans="1:10">
      <c r="A3511" s="103" t="s">
        <v>5591</v>
      </c>
      <c r="B3511" s="124" t="s">
        <v>5592</v>
      </c>
      <c r="C3511" s="110">
        <v>759</v>
      </c>
      <c r="D3511" s="105" t="s">
        <v>1075</v>
      </c>
      <c r="E3511" s="109">
        <v>8</v>
      </c>
      <c r="F3511" s="110">
        <v>4154</v>
      </c>
      <c r="G3511" s="109" t="s">
        <v>120</v>
      </c>
      <c r="H3511" s="109">
        <v>547</v>
      </c>
      <c r="I3511" s="109">
        <v>2332</v>
      </c>
      <c r="J3511" s="110">
        <v>1960</v>
      </c>
    </row>
    <row r="3512" spans="1:10">
      <c r="A3512" s="103" t="s">
        <v>5593</v>
      </c>
      <c r="B3512" s="124" t="s">
        <v>5594</v>
      </c>
      <c r="C3512" s="110">
        <v>5739</v>
      </c>
      <c r="D3512" s="109" t="s">
        <v>120</v>
      </c>
      <c r="E3512" s="109">
        <v>57</v>
      </c>
      <c r="F3512" s="110">
        <v>9654</v>
      </c>
      <c r="G3512" s="109" t="s">
        <v>120</v>
      </c>
      <c r="H3512" s="109">
        <v>168</v>
      </c>
      <c r="I3512" s="109">
        <v>1965</v>
      </c>
      <c r="J3512" s="110">
        <v>913</v>
      </c>
    </row>
    <row r="3513" spans="1:10">
      <c r="A3513" s="103" t="s">
        <v>5595</v>
      </c>
      <c r="B3513" s="124" t="s">
        <v>5596</v>
      </c>
      <c r="C3513" s="110">
        <v>2417</v>
      </c>
      <c r="D3513" s="109" t="s">
        <v>120</v>
      </c>
      <c r="E3513" s="109">
        <v>24</v>
      </c>
      <c r="F3513" s="110">
        <v>12486</v>
      </c>
      <c r="G3513" s="109" t="s">
        <v>120</v>
      </c>
      <c r="H3513" s="109">
        <v>517</v>
      </c>
      <c r="I3513" s="109">
        <v>2202</v>
      </c>
      <c r="J3513" s="110">
        <v>664</v>
      </c>
    </row>
    <row r="3514" spans="1:10" s="119" customFormat="1">
      <c r="A3514" s="123" t="s">
        <v>120</v>
      </c>
      <c r="B3514" s="275" t="s">
        <v>1026</v>
      </c>
      <c r="C3514" s="276"/>
      <c r="D3514" s="276"/>
      <c r="E3514" s="276"/>
      <c r="F3514" s="276"/>
      <c r="G3514" s="276"/>
      <c r="H3514" s="276"/>
      <c r="I3514" s="276"/>
      <c r="J3514" s="276"/>
    </row>
    <row r="3515" spans="1:10">
      <c r="A3515" s="103" t="s">
        <v>5597</v>
      </c>
      <c r="B3515" s="124" t="s">
        <v>5598</v>
      </c>
      <c r="C3515" s="110">
        <v>11464</v>
      </c>
      <c r="D3515" s="109" t="s">
        <v>120</v>
      </c>
      <c r="E3515" s="109">
        <v>115</v>
      </c>
      <c r="F3515" s="110">
        <v>42121</v>
      </c>
      <c r="G3515" s="109" t="s">
        <v>120</v>
      </c>
      <c r="H3515" s="109">
        <v>367</v>
      </c>
      <c r="I3515" s="109">
        <v>1130</v>
      </c>
      <c r="J3515" s="110">
        <v>118</v>
      </c>
    </row>
    <row r="3516" spans="1:10">
      <c r="A3516" s="103" t="s">
        <v>5599</v>
      </c>
      <c r="B3516" s="124" t="s">
        <v>932</v>
      </c>
      <c r="C3516" s="110">
        <v>3763</v>
      </c>
      <c r="D3516" s="109" t="s">
        <v>120</v>
      </c>
      <c r="E3516" s="109">
        <v>38</v>
      </c>
      <c r="F3516" s="110">
        <v>28134</v>
      </c>
      <c r="G3516" s="109" t="s">
        <v>120</v>
      </c>
      <c r="H3516" s="109">
        <v>748</v>
      </c>
      <c r="I3516" s="109" t="s">
        <v>122</v>
      </c>
      <c r="J3516" s="110" t="s">
        <v>122</v>
      </c>
    </row>
    <row r="3517" spans="1:10">
      <c r="A3517" s="103" t="s">
        <v>5600</v>
      </c>
      <c r="B3517" s="124" t="s">
        <v>934</v>
      </c>
      <c r="C3517" s="110">
        <v>7701</v>
      </c>
      <c r="D3517" s="109" t="s">
        <v>120</v>
      </c>
      <c r="E3517" s="109">
        <v>77</v>
      </c>
      <c r="F3517" s="110">
        <v>13987</v>
      </c>
      <c r="G3517" s="109" t="s">
        <v>120</v>
      </c>
      <c r="H3517" s="109">
        <v>182</v>
      </c>
      <c r="I3517" s="109" t="s">
        <v>122</v>
      </c>
      <c r="J3517" s="110" t="s">
        <v>122</v>
      </c>
    </row>
    <row r="3518" spans="1:10" s="119" customFormat="1">
      <c r="A3518" s="123" t="s">
        <v>120</v>
      </c>
      <c r="B3518" s="273" t="s">
        <v>5601</v>
      </c>
      <c r="C3518" s="274"/>
      <c r="D3518" s="274"/>
      <c r="E3518" s="274"/>
      <c r="F3518" s="274"/>
      <c r="G3518" s="274"/>
      <c r="H3518" s="274"/>
      <c r="I3518" s="274"/>
      <c r="J3518" s="274"/>
    </row>
    <row r="3519" spans="1:10" s="119" customFormat="1">
      <c r="A3519" s="123" t="s">
        <v>120</v>
      </c>
      <c r="B3519" s="275" t="s">
        <v>936</v>
      </c>
      <c r="C3519" s="276"/>
      <c r="D3519" s="276"/>
      <c r="E3519" s="276"/>
      <c r="F3519" s="276"/>
      <c r="G3519" s="276"/>
      <c r="H3519" s="276"/>
      <c r="I3519" s="276"/>
      <c r="J3519" s="276"/>
    </row>
    <row r="3520" spans="1:10">
      <c r="A3520" s="103" t="s">
        <v>5602</v>
      </c>
      <c r="B3520" s="124" t="s">
        <v>5603</v>
      </c>
      <c r="C3520" s="110">
        <v>7629</v>
      </c>
      <c r="D3520" s="109" t="s">
        <v>120</v>
      </c>
      <c r="E3520" s="109">
        <v>76</v>
      </c>
      <c r="F3520" s="110">
        <v>8589</v>
      </c>
      <c r="G3520" s="109" t="s">
        <v>120</v>
      </c>
      <c r="H3520" s="109">
        <v>113</v>
      </c>
      <c r="I3520" s="109">
        <v>1755</v>
      </c>
      <c r="J3520" s="110">
        <v>1037</v>
      </c>
    </row>
    <row r="3521" spans="1:10">
      <c r="A3521" s="103" t="s">
        <v>5604</v>
      </c>
      <c r="B3521" s="124" t="s">
        <v>5605</v>
      </c>
      <c r="C3521" s="110">
        <v>6783</v>
      </c>
      <c r="D3521" s="109" t="s">
        <v>120</v>
      </c>
      <c r="E3521" s="109">
        <v>68</v>
      </c>
      <c r="F3521" s="110">
        <v>7442</v>
      </c>
      <c r="G3521" s="109" t="s">
        <v>120</v>
      </c>
      <c r="H3521" s="109">
        <v>110</v>
      </c>
      <c r="I3521" s="109">
        <v>1876</v>
      </c>
      <c r="J3521" s="110">
        <v>1214</v>
      </c>
    </row>
    <row r="3522" spans="1:10">
      <c r="A3522" s="103" t="s">
        <v>5606</v>
      </c>
      <c r="B3522" s="124" t="s">
        <v>5607</v>
      </c>
      <c r="C3522" s="110">
        <v>1320</v>
      </c>
      <c r="D3522" s="109" t="s">
        <v>120</v>
      </c>
      <c r="E3522" s="109">
        <v>13</v>
      </c>
      <c r="F3522" s="110">
        <v>16873</v>
      </c>
      <c r="G3522" s="109" t="s">
        <v>120</v>
      </c>
      <c r="H3522" s="109">
        <v>1278</v>
      </c>
      <c r="I3522" s="109">
        <v>2300</v>
      </c>
      <c r="J3522" s="110">
        <v>438</v>
      </c>
    </row>
    <row r="3523" spans="1:10">
      <c r="A3523" s="103" t="s">
        <v>5608</v>
      </c>
      <c r="B3523" s="124" t="s">
        <v>5609</v>
      </c>
      <c r="C3523" s="110">
        <v>8388</v>
      </c>
      <c r="D3523" s="109" t="s">
        <v>120</v>
      </c>
      <c r="E3523" s="109">
        <v>84</v>
      </c>
      <c r="F3523" s="110">
        <v>61686</v>
      </c>
      <c r="G3523" s="109" t="s">
        <v>120</v>
      </c>
      <c r="H3523" s="109">
        <v>735</v>
      </c>
      <c r="I3523" s="109">
        <v>1640</v>
      </c>
      <c r="J3523" s="110">
        <v>70</v>
      </c>
    </row>
    <row r="3524" spans="1:10" s="119" customFormat="1">
      <c r="A3524" s="123" t="s">
        <v>120</v>
      </c>
      <c r="B3524" s="275" t="s">
        <v>943</v>
      </c>
      <c r="C3524" s="276"/>
      <c r="D3524" s="276"/>
      <c r="E3524" s="276"/>
      <c r="F3524" s="276"/>
      <c r="G3524" s="276"/>
      <c r="H3524" s="276"/>
      <c r="I3524" s="276"/>
      <c r="J3524" s="276"/>
    </row>
    <row r="3525" spans="1:10">
      <c r="A3525" s="103" t="s">
        <v>5610</v>
      </c>
      <c r="B3525" s="124" t="s">
        <v>5611</v>
      </c>
      <c r="C3525" s="110">
        <v>3908</v>
      </c>
      <c r="D3525" s="109" t="s">
        <v>120</v>
      </c>
      <c r="E3525" s="109">
        <v>39</v>
      </c>
      <c r="F3525" s="110">
        <v>3185</v>
      </c>
      <c r="G3525" s="109" t="s">
        <v>120</v>
      </c>
      <c r="H3525" s="109">
        <v>81</v>
      </c>
      <c r="I3525" s="109">
        <v>2100</v>
      </c>
      <c r="J3525" s="110">
        <v>2165</v>
      </c>
    </row>
    <row r="3526" spans="1:10">
      <c r="A3526" s="103" t="s">
        <v>5612</v>
      </c>
      <c r="B3526" s="124" t="s">
        <v>5613</v>
      </c>
      <c r="C3526" s="110">
        <v>4588</v>
      </c>
      <c r="D3526" s="109" t="s">
        <v>120</v>
      </c>
      <c r="E3526" s="109">
        <v>46</v>
      </c>
      <c r="F3526" s="110">
        <v>5795</v>
      </c>
      <c r="G3526" s="109" t="s">
        <v>120</v>
      </c>
      <c r="H3526" s="109">
        <v>126</v>
      </c>
      <c r="I3526" s="109">
        <v>2056</v>
      </c>
      <c r="J3526" s="110">
        <v>1558</v>
      </c>
    </row>
    <row r="3527" spans="1:10">
      <c r="A3527" s="103" t="s">
        <v>5614</v>
      </c>
      <c r="B3527" s="124" t="s">
        <v>5615</v>
      </c>
      <c r="C3527" s="110">
        <v>4463</v>
      </c>
      <c r="D3527" s="109" t="s">
        <v>120</v>
      </c>
      <c r="E3527" s="109">
        <v>45</v>
      </c>
      <c r="F3527" s="110">
        <v>12401</v>
      </c>
      <c r="G3527" s="109" t="s">
        <v>120</v>
      </c>
      <c r="H3527" s="109">
        <v>278</v>
      </c>
      <c r="I3527" s="109">
        <v>2062</v>
      </c>
      <c r="J3527" s="110">
        <v>673</v>
      </c>
    </row>
    <row r="3528" spans="1:10">
      <c r="A3528" s="103" t="s">
        <v>5616</v>
      </c>
      <c r="B3528" s="124" t="s">
        <v>5617</v>
      </c>
      <c r="C3528" s="110">
        <v>12504</v>
      </c>
      <c r="D3528" s="109" t="s">
        <v>120</v>
      </c>
      <c r="E3528" s="109">
        <v>125</v>
      </c>
      <c r="F3528" s="110">
        <v>8287</v>
      </c>
      <c r="G3528" s="109" t="s">
        <v>120</v>
      </c>
      <c r="H3528" s="109">
        <v>66</v>
      </c>
      <c r="I3528" s="109">
        <v>977</v>
      </c>
      <c r="J3528" s="110">
        <v>1076</v>
      </c>
    </row>
    <row r="3529" spans="1:10">
      <c r="A3529" s="103" t="s">
        <v>5618</v>
      </c>
      <c r="B3529" s="124" t="s">
        <v>5619</v>
      </c>
      <c r="C3529" s="110">
        <v>14836</v>
      </c>
      <c r="D3529" s="109" t="s">
        <v>120</v>
      </c>
      <c r="E3529" s="109">
        <v>148</v>
      </c>
      <c r="F3529" s="110">
        <v>16261</v>
      </c>
      <c r="G3529" s="109" t="s">
        <v>120</v>
      </c>
      <c r="H3529" s="109">
        <v>110</v>
      </c>
      <c r="I3529" s="109">
        <v>690</v>
      </c>
      <c r="J3529" s="110">
        <v>462</v>
      </c>
    </row>
    <row r="3530" spans="1:10" s="119" customFormat="1">
      <c r="A3530" s="123" t="s">
        <v>120</v>
      </c>
      <c r="B3530" s="273" t="s">
        <v>5620</v>
      </c>
      <c r="C3530" s="274"/>
      <c r="D3530" s="274"/>
      <c r="E3530" s="274"/>
      <c r="F3530" s="274"/>
      <c r="G3530" s="274"/>
      <c r="H3530" s="274"/>
      <c r="I3530" s="274"/>
      <c r="J3530" s="274"/>
    </row>
    <row r="3531" spans="1:10" s="119" customFormat="1">
      <c r="A3531" s="123" t="s">
        <v>120</v>
      </c>
      <c r="B3531" s="275" t="s">
        <v>1032</v>
      </c>
      <c r="C3531" s="276"/>
      <c r="D3531" s="276"/>
      <c r="E3531" s="276"/>
      <c r="F3531" s="276"/>
      <c r="G3531" s="276"/>
      <c r="H3531" s="276"/>
      <c r="I3531" s="276"/>
      <c r="J3531" s="276"/>
    </row>
    <row r="3532" spans="1:10">
      <c r="A3532" s="103" t="s">
        <v>5621</v>
      </c>
      <c r="B3532" s="124" t="s">
        <v>5622</v>
      </c>
      <c r="C3532" s="110">
        <v>2044</v>
      </c>
      <c r="D3532" s="109" t="s">
        <v>120</v>
      </c>
      <c r="E3532" s="109">
        <v>20</v>
      </c>
      <c r="F3532" s="110">
        <v>13844</v>
      </c>
      <c r="G3532" s="109" t="s">
        <v>120</v>
      </c>
      <c r="H3532" s="109">
        <v>677</v>
      </c>
      <c r="I3532" s="109">
        <v>2233</v>
      </c>
      <c r="J3532" s="110">
        <v>575</v>
      </c>
    </row>
    <row r="3533" spans="1:10">
      <c r="A3533" s="103" t="s">
        <v>5623</v>
      </c>
      <c r="B3533" s="124" t="s">
        <v>5624</v>
      </c>
      <c r="C3533" s="110">
        <v>1253</v>
      </c>
      <c r="D3533" s="109" t="s">
        <v>120</v>
      </c>
      <c r="E3533" s="109">
        <v>13</v>
      </c>
      <c r="F3533" s="110">
        <v>17759</v>
      </c>
      <c r="G3533" s="109" t="s">
        <v>120</v>
      </c>
      <c r="H3533" s="109">
        <v>1417</v>
      </c>
      <c r="I3533" s="109">
        <v>2305</v>
      </c>
      <c r="J3533" s="110">
        <v>408</v>
      </c>
    </row>
    <row r="3534" spans="1:10">
      <c r="A3534" s="103" t="s">
        <v>5625</v>
      </c>
      <c r="B3534" s="124" t="s">
        <v>5626</v>
      </c>
      <c r="C3534" s="110">
        <v>1495</v>
      </c>
      <c r="D3534" s="109" t="s">
        <v>120</v>
      </c>
      <c r="E3534" s="109">
        <v>15</v>
      </c>
      <c r="F3534" s="110">
        <v>21514</v>
      </c>
      <c r="G3534" s="109" t="s">
        <v>120</v>
      </c>
      <c r="H3534" s="109">
        <v>1439</v>
      </c>
      <c r="I3534" s="109">
        <v>2280</v>
      </c>
      <c r="J3534" s="110">
        <v>316</v>
      </c>
    </row>
    <row r="3535" spans="1:10">
      <c r="A3535" s="103" t="s">
        <v>5627</v>
      </c>
      <c r="B3535" s="124" t="s">
        <v>5628</v>
      </c>
      <c r="C3535" s="110">
        <v>4951</v>
      </c>
      <c r="D3535" s="109" t="s">
        <v>120</v>
      </c>
      <c r="E3535" s="109">
        <v>50</v>
      </c>
      <c r="F3535" s="110">
        <v>47813</v>
      </c>
      <c r="G3535" s="109" t="s">
        <v>120</v>
      </c>
      <c r="H3535" s="109">
        <v>966</v>
      </c>
      <c r="I3535" s="109">
        <v>2022</v>
      </c>
      <c r="J3535" s="110">
        <v>98</v>
      </c>
    </row>
    <row r="3536" spans="1:10" s="119" customFormat="1">
      <c r="A3536" s="123" t="s">
        <v>120</v>
      </c>
      <c r="B3536" s="275" t="s">
        <v>986</v>
      </c>
      <c r="C3536" s="276"/>
      <c r="D3536" s="276"/>
      <c r="E3536" s="276"/>
      <c r="F3536" s="276"/>
      <c r="G3536" s="276"/>
      <c r="H3536" s="276"/>
      <c r="I3536" s="276"/>
      <c r="J3536" s="276"/>
    </row>
    <row r="3537" spans="1:10">
      <c r="A3537" s="103" t="s">
        <v>5629</v>
      </c>
      <c r="B3537" s="124" t="s">
        <v>5630</v>
      </c>
      <c r="C3537" s="110">
        <v>3805</v>
      </c>
      <c r="D3537" s="109" t="s">
        <v>120</v>
      </c>
      <c r="E3537" s="109">
        <v>38</v>
      </c>
      <c r="F3537" s="110">
        <v>13813</v>
      </c>
      <c r="G3537" s="109" t="s">
        <v>120</v>
      </c>
      <c r="H3537" s="109">
        <v>363</v>
      </c>
      <c r="I3537" s="109">
        <v>2107</v>
      </c>
      <c r="J3537" s="110">
        <v>576</v>
      </c>
    </row>
    <row r="3538" spans="1:10">
      <c r="A3538" s="103" t="s">
        <v>5631</v>
      </c>
      <c r="B3538" s="124" t="s">
        <v>4748</v>
      </c>
      <c r="C3538" s="110">
        <v>6458</v>
      </c>
      <c r="D3538" s="109" t="s">
        <v>120</v>
      </c>
      <c r="E3538" s="109">
        <v>64</v>
      </c>
      <c r="F3538" s="110">
        <v>21338</v>
      </c>
      <c r="G3538" s="109" t="s">
        <v>120</v>
      </c>
      <c r="H3538" s="109">
        <v>330</v>
      </c>
      <c r="I3538" s="109">
        <v>1908</v>
      </c>
      <c r="J3538" s="110">
        <v>317</v>
      </c>
    </row>
    <row r="3539" spans="1:10">
      <c r="A3539" s="103" t="s">
        <v>5632</v>
      </c>
      <c r="B3539" s="124" t="s">
        <v>5633</v>
      </c>
      <c r="C3539" s="110">
        <v>4178</v>
      </c>
      <c r="D3539" s="109" t="s">
        <v>120</v>
      </c>
      <c r="E3539" s="109">
        <v>42</v>
      </c>
      <c r="F3539" s="110">
        <v>7912</v>
      </c>
      <c r="G3539" s="109" t="s">
        <v>120</v>
      </c>
      <c r="H3539" s="109">
        <v>189</v>
      </c>
      <c r="I3539" s="109">
        <v>2079</v>
      </c>
      <c r="J3539" s="110">
        <v>1138</v>
      </c>
    </row>
    <row r="3540" spans="1:10">
      <c r="A3540" s="103" t="s">
        <v>5634</v>
      </c>
      <c r="B3540" s="124" t="s">
        <v>5635</v>
      </c>
      <c r="C3540" s="110">
        <v>1369</v>
      </c>
      <c r="D3540" s="109" t="s">
        <v>120</v>
      </c>
      <c r="E3540" s="109">
        <v>14</v>
      </c>
      <c r="F3540" s="110">
        <v>5405</v>
      </c>
      <c r="G3540" s="109" t="s">
        <v>120</v>
      </c>
      <c r="H3540" s="109">
        <v>395</v>
      </c>
      <c r="I3540" s="109">
        <v>2291</v>
      </c>
      <c r="J3540" s="110">
        <v>1633</v>
      </c>
    </row>
    <row r="3541" spans="1:10">
      <c r="A3541" s="103" t="s">
        <v>5636</v>
      </c>
      <c r="B3541" s="124" t="s">
        <v>5637</v>
      </c>
      <c r="C3541" s="110">
        <v>3122</v>
      </c>
      <c r="D3541" s="109" t="s">
        <v>120</v>
      </c>
      <c r="E3541" s="109">
        <v>31</v>
      </c>
      <c r="F3541" s="110">
        <v>7690</v>
      </c>
      <c r="G3541" s="109" t="s">
        <v>120</v>
      </c>
      <c r="H3541" s="109">
        <v>246</v>
      </c>
      <c r="I3541" s="109">
        <v>2162</v>
      </c>
      <c r="J3541" s="110">
        <v>1171</v>
      </c>
    </row>
    <row r="3542" spans="1:10" s="119" customFormat="1">
      <c r="A3542" s="123" t="s">
        <v>120</v>
      </c>
      <c r="B3542" s="273" t="s">
        <v>5638</v>
      </c>
      <c r="C3542" s="274"/>
      <c r="D3542" s="274"/>
      <c r="E3542" s="274"/>
      <c r="F3542" s="274"/>
      <c r="G3542" s="274"/>
      <c r="H3542" s="274"/>
      <c r="I3542" s="274"/>
      <c r="J3542" s="274"/>
    </row>
    <row r="3543" spans="1:10" s="119" customFormat="1">
      <c r="A3543" s="123" t="s">
        <v>120</v>
      </c>
      <c r="B3543" s="275" t="s">
        <v>936</v>
      </c>
      <c r="C3543" s="276"/>
      <c r="D3543" s="276"/>
      <c r="E3543" s="276"/>
      <c r="F3543" s="276"/>
      <c r="G3543" s="276"/>
      <c r="H3543" s="276"/>
      <c r="I3543" s="276"/>
      <c r="J3543" s="276"/>
    </row>
    <row r="3544" spans="1:10">
      <c r="A3544" s="103" t="s">
        <v>5639</v>
      </c>
      <c r="B3544" s="124" t="s">
        <v>5640</v>
      </c>
      <c r="C3544" s="110">
        <v>3999</v>
      </c>
      <c r="D3544" s="109" t="s">
        <v>120</v>
      </c>
      <c r="E3544" s="109">
        <v>40</v>
      </c>
      <c r="F3544" s="110">
        <v>8480</v>
      </c>
      <c r="G3544" s="109" t="s">
        <v>120</v>
      </c>
      <c r="H3544" s="109">
        <v>212</v>
      </c>
      <c r="I3544" s="109">
        <v>2094</v>
      </c>
      <c r="J3544" s="110">
        <v>1057</v>
      </c>
    </row>
    <row r="3545" spans="1:10">
      <c r="A3545" s="103" t="s">
        <v>5641</v>
      </c>
      <c r="B3545" s="124" t="s">
        <v>5642</v>
      </c>
      <c r="C3545" s="110">
        <v>8525</v>
      </c>
      <c r="D3545" s="109" t="s">
        <v>120</v>
      </c>
      <c r="E3545" s="109">
        <v>85</v>
      </c>
      <c r="F3545" s="110">
        <v>49204</v>
      </c>
      <c r="G3545" s="109" t="s">
        <v>120</v>
      </c>
      <c r="H3545" s="109">
        <v>577</v>
      </c>
      <c r="I3545" s="109">
        <v>1613</v>
      </c>
      <c r="J3545" s="110">
        <v>93</v>
      </c>
    </row>
    <row r="3546" spans="1:10" s="119" customFormat="1">
      <c r="A3546" s="123" t="s">
        <v>120</v>
      </c>
      <c r="B3546" s="275" t="s">
        <v>943</v>
      </c>
      <c r="C3546" s="276"/>
      <c r="D3546" s="276"/>
      <c r="E3546" s="276"/>
      <c r="F3546" s="276"/>
      <c r="G3546" s="276"/>
      <c r="H3546" s="276"/>
      <c r="I3546" s="276"/>
      <c r="J3546" s="276"/>
    </row>
    <row r="3547" spans="1:10">
      <c r="A3547" s="103" t="s">
        <v>5643</v>
      </c>
      <c r="B3547" s="124" t="s">
        <v>5644</v>
      </c>
      <c r="C3547" s="110">
        <v>7100</v>
      </c>
      <c r="D3547" s="109" t="s">
        <v>120</v>
      </c>
      <c r="E3547" s="109">
        <v>71</v>
      </c>
      <c r="F3547" s="110">
        <v>2601</v>
      </c>
      <c r="G3547" s="109" t="s">
        <v>120</v>
      </c>
      <c r="H3547" s="109">
        <v>37</v>
      </c>
      <c r="I3547" s="109">
        <v>1836</v>
      </c>
      <c r="J3547" s="110">
        <v>2248</v>
      </c>
    </row>
    <row r="3548" spans="1:10">
      <c r="A3548" s="103" t="s">
        <v>5645</v>
      </c>
      <c r="B3548" s="124" t="s">
        <v>5646</v>
      </c>
      <c r="C3548" s="110">
        <v>11005</v>
      </c>
      <c r="D3548" s="109" t="s">
        <v>120</v>
      </c>
      <c r="E3548" s="109">
        <v>110</v>
      </c>
      <c r="F3548" s="110">
        <v>6306</v>
      </c>
      <c r="G3548" s="109" t="s">
        <v>120</v>
      </c>
      <c r="H3548" s="109">
        <v>57</v>
      </c>
      <c r="I3548" s="109">
        <v>1225</v>
      </c>
      <c r="J3548" s="110">
        <v>1443</v>
      </c>
    </row>
    <row r="3549" spans="1:10">
      <c r="A3549" s="103" t="s">
        <v>5647</v>
      </c>
      <c r="B3549" s="124" t="s">
        <v>5648</v>
      </c>
      <c r="C3549" s="110">
        <v>7679</v>
      </c>
      <c r="D3549" s="109" t="s">
        <v>120</v>
      </c>
      <c r="E3549" s="109">
        <v>77</v>
      </c>
      <c r="F3549" s="110">
        <v>5254</v>
      </c>
      <c r="G3549" s="109" t="s">
        <v>120</v>
      </c>
      <c r="H3549" s="109">
        <v>68</v>
      </c>
      <c r="I3549" s="109">
        <v>1747</v>
      </c>
      <c r="J3549" s="110">
        <v>1677</v>
      </c>
    </row>
    <row r="3550" spans="1:10">
      <c r="A3550" s="103" t="s">
        <v>5649</v>
      </c>
      <c r="B3550" s="124" t="s">
        <v>5650</v>
      </c>
      <c r="C3550" s="110">
        <v>12480</v>
      </c>
      <c r="D3550" s="109" t="s">
        <v>120</v>
      </c>
      <c r="E3550" s="109">
        <v>125</v>
      </c>
      <c r="F3550" s="110">
        <v>4597</v>
      </c>
      <c r="G3550" s="109" t="s">
        <v>120</v>
      </c>
      <c r="H3550" s="109">
        <v>37</v>
      </c>
      <c r="I3550" s="109">
        <v>980</v>
      </c>
      <c r="J3550" s="110">
        <v>1843</v>
      </c>
    </row>
    <row r="3551" spans="1:10" s="119" customFormat="1">
      <c r="A3551" s="123" t="s">
        <v>120</v>
      </c>
      <c r="B3551" s="275" t="s">
        <v>947</v>
      </c>
      <c r="C3551" s="276"/>
      <c r="D3551" s="276"/>
      <c r="E3551" s="276"/>
      <c r="F3551" s="276"/>
      <c r="G3551" s="276"/>
      <c r="H3551" s="276"/>
      <c r="I3551" s="276"/>
      <c r="J3551" s="276"/>
    </row>
    <row r="3552" spans="1:10">
      <c r="A3552" s="103" t="s">
        <v>5651</v>
      </c>
      <c r="B3552" s="124" t="s">
        <v>5652</v>
      </c>
      <c r="C3552" s="110">
        <v>13293</v>
      </c>
      <c r="D3552" s="109" t="s">
        <v>120</v>
      </c>
      <c r="E3552" s="109">
        <v>133</v>
      </c>
      <c r="F3552" s="110">
        <v>15893</v>
      </c>
      <c r="G3552" s="109" t="s">
        <v>120</v>
      </c>
      <c r="H3552" s="109">
        <v>120</v>
      </c>
      <c r="I3552" s="109">
        <v>872</v>
      </c>
      <c r="J3552" s="110">
        <v>478</v>
      </c>
    </row>
    <row r="3553" spans="1:10">
      <c r="A3553" s="103" t="s">
        <v>5653</v>
      </c>
      <c r="B3553" s="124" t="s">
        <v>932</v>
      </c>
      <c r="C3553" s="110">
        <v>860</v>
      </c>
      <c r="D3553" s="109" t="s">
        <v>120</v>
      </c>
      <c r="E3553" s="109">
        <v>9</v>
      </c>
      <c r="F3553" s="110">
        <v>6798</v>
      </c>
      <c r="G3553" s="109" t="s">
        <v>120</v>
      </c>
      <c r="H3553" s="109">
        <v>790</v>
      </c>
      <c r="I3553" s="109" t="s">
        <v>122</v>
      </c>
      <c r="J3553" s="110" t="s">
        <v>122</v>
      </c>
    </row>
    <row r="3554" spans="1:10">
      <c r="A3554" s="103" t="s">
        <v>5654</v>
      </c>
      <c r="B3554" s="124" t="s">
        <v>934</v>
      </c>
      <c r="C3554" s="110">
        <v>12433</v>
      </c>
      <c r="D3554" s="109" t="s">
        <v>120</v>
      </c>
      <c r="E3554" s="109">
        <v>124</v>
      </c>
      <c r="F3554" s="110">
        <v>9095</v>
      </c>
      <c r="G3554" s="109" t="s">
        <v>120</v>
      </c>
      <c r="H3554" s="109">
        <v>73</v>
      </c>
      <c r="I3554" s="109" t="s">
        <v>122</v>
      </c>
      <c r="J3554" s="110" t="s">
        <v>122</v>
      </c>
    </row>
    <row r="3555" spans="1:10">
      <c r="A3555" s="103" t="s">
        <v>5655</v>
      </c>
      <c r="B3555" s="124" t="s">
        <v>5656</v>
      </c>
      <c r="C3555" s="110">
        <v>8473</v>
      </c>
      <c r="D3555" s="109" t="s">
        <v>120</v>
      </c>
      <c r="E3555" s="109">
        <v>85</v>
      </c>
      <c r="F3555" s="110">
        <v>9061</v>
      </c>
      <c r="G3555" s="109" t="s">
        <v>120</v>
      </c>
      <c r="H3555" s="109">
        <v>107</v>
      </c>
      <c r="I3555" s="109">
        <v>1623</v>
      </c>
      <c r="J3555" s="110">
        <v>976</v>
      </c>
    </row>
    <row r="3556" spans="1:10">
      <c r="A3556" s="103" t="s">
        <v>5657</v>
      </c>
      <c r="B3556" s="124" t="s">
        <v>932</v>
      </c>
      <c r="C3556" s="110">
        <v>2856</v>
      </c>
      <c r="D3556" s="109" t="s">
        <v>120</v>
      </c>
      <c r="E3556" s="109">
        <v>29</v>
      </c>
      <c r="F3556" s="110">
        <v>4258</v>
      </c>
      <c r="G3556" s="109" t="s">
        <v>120</v>
      </c>
      <c r="H3556" s="109">
        <v>149</v>
      </c>
      <c r="I3556" s="109" t="s">
        <v>122</v>
      </c>
      <c r="J3556" s="110" t="s">
        <v>122</v>
      </c>
    </row>
    <row r="3557" spans="1:10">
      <c r="A3557" s="103" t="s">
        <v>5658</v>
      </c>
      <c r="B3557" s="124" t="s">
        <v>934</v>
      </c>
      <c r="C3557" s="110">
        <v>5617</v>
      </c>
      <c r="D3557" s="109" t="s">
        <v>120</v>
      </c>
      <c r="E3557" s="109">
        <v>56</v>
      </c>
      <c r="F3557" s="110">
        <v>4803</v>
      </c>
      <c r="G3557" s="109" t="s">
        <v>120</v>
      </c>
      <c r="H3557" s="109">
        <v>86</v>
      </c>
      <c r="I3557" s="109" t="s">
        <v>122</v>
      </c>
      <c r="J3557" s="110" t="s">
        <v>122</v>
      </c>
    </row>
    <row r="3558" spans="1:10">
      <c r="A3558" s="103" t="s">
        <v>5659</v>
      </c>
      <c r="B3558" s="124" t="s">
        <v>5660</v>
      </c>
      <c r="C3558" s="110">
        <v>14276</v>
      </c>
      <c r="D3558" s="109" t="s">
        <v>120</v>
      </c>
      <c r="E3558" s="109">
        <v>143</v>
      </c>
      <c r="F3558" s="110">
        <v>8570</v>
      </c>
      <c r="G3558" s="109" t="s">
        <v>120</v>
      </c>
      <c r="H3558" s="109">
        <v>60</v>
      </c>
      <c r="I3558" s="109">
        <v>752</v>
      </c>
      <c r="J3558" s="110">
        <v>1041</v>
      </c>
    </row>
    <row r="3559" spans="1:10">
      <c r="A3559" s="103" t="s">
        <v>5661</v>
      </c>
      <c r="B3559" s="124" t="s">
        <v>932</v>
      </c>
      <c r="C3559" s="110">
        <v>822</v>
      </c>
      <c r="D3559" s="109" t="s">
        <v>120</v>
      </c>
      <c r="E3559" s="109">
        <v>8</v>
      </c>
      <c r="F3559" s="110">
        <v>1917</v>
      </c>
      <c r="G3559" s="109" t="s">
        <v>120</v>
      </c>
      <c r="H3559" s="109">
        <v>233</v>
      </c>
      <c r="I3559" s="109" t="s">
        <v>122</v>
      </c>
      <c r="J3559" s="110" t="s">
        <v>122</v>
      </c>
    </row>
    <row r="3560" spans="1:10">
      <c r="A3560" s="103" t="s">
        <v>5662</v>
      </c>
      <c r="B3560" s="124" t="s">
        <v>934</v>
      </c>
      <c r="C3560" s="110">
        <v>13454</v>
      </c>
      <c r="D3560" s="109" t="s">
        <v>120</v>
      </c>
      <c r="E3560" s="109">
        <v>135</v>
      </c>
      <c r="F3560" s="110">
        <v>6653</v>
      </c>
      <c r="G3560" s="109" t="s">
        <v>120</v>
      </c>
      <c r="H3560" s="109">
        <v>49</v>
      </c>
      <c r="I3560" s="109" t="s">
        <v>122</v>
      </c>
      <c r="J3560" s="110" t="s">
        <v>122</v>
      </c>
    </row>
    <row r="3561" spans="1:10">
      <c r="A3561" s="103" t="s">
        <v>5663</v>
      </c>
      <c r="B3561" s="124" t="s">
        <v>5664</v>
      </c>
      <c r="C3561" s="110">
        <v>13393</v>
      </c>
      <c r="D3561" s="109" t="s">
        <v>120</v>
      </c>
      <c r="E3561" s="109">
        <v>134</v>
      </c>
      <c r="F3561" s="110">
        <v>7658</v>
      </c>
      <c r="G3561" s="109" t="s">
        <v>120</v>
      </c>
      <c r="H3561" s="109">
        <v>57</v>
      </c>
      <c r="I3561" s="109">
        <v>857</v>
      </c>
      <c r="J3561" s="110">
        <v>1176</v>
      </c>
    </row>
    <row r="3562" spans="1:10">
      <c r="A3562" s="103" t="s">
        <v>5665</v>
      </c>
      <c r="B3562" s="124" t="s">
        <v>932</v>
      </c>
      <c r="C3562" s="110">
        <v>1803</v>
      </c>
      <c r="D3562" s="109" t="s">
        <v>120</v>
      </c>
      <c r="E3562" s="109">
        <v>18</v>
      </c>
      <c r="F3562" s="110">
        <v>3595</v>
      </c>
      <c r="G3562" s="109" t="s">
        <v>120</v>
      </c>
      <c r="H3562" s="109">
        <v>199</v>
      </c>
      <c r="I3562" s="109" t="s">
        <v>122</v>
      </c>
      <c r="J3562" s="110" t="s">
        <v>122</v>
      </c>
    </row>
    <row r="3563" spans="1:10">
      <c r="A3563" s="103" t="s">
        <v>5666</v>
      </c>
      <c r="B3563" s="124" t="s">
        <v>934</v>
      </c>
      <c r="C3563" s="110">
        <v>11590</v>
      </c>
      <c r="D3563" s="109" t="s">
        <v>120</v>
      </c>
      <c r="E3563" s="109">
        <v>116</v>
      </c>
      <c r="F3563" s="110">
        <v>4063</v>
      </c>
      <c r="G3563" s="109" t="s">
        <v>120</v>
      </c>
      <c r="H3563" s="109">
        <v>35</v>
      </c>
      <c r="I3563" s="109" t="s">
        <v>122</v>
      </c>
      <c r="J3563" s="110" t="s">
        <v>122</v>
      </c>
    </row>
    <row r="3564" spans="1:10" s="119" customFormat="1">
      <c r="A3564" s="123" t="s">
        <v>120</v>
      </c>
      <c r="B3564" s="273" t="s">
        <v>5667</v>
      </c>
      <c r="C3564" s="274"/>
      <c r="D3564" s="274"/>
      <c r="E3564" s="274"/>
      <c r="F3564" s="274"/>
      <c r="G3564" s="274"/>
      <c r="H3564" s="274"/>
      <c r="I3564" s="274"/>
      <c r="J3564" s="274"/>
    </row>
    <row r="3565" spans="1:10" s="119" customFormat="1">
      <c r="A3565" s="123" t="s">
        <v>120</v>
      </c>
      <c r="B3565" s="275" t="s">
        <v>922</v>
      </c>
      <c r="C3565" s="276"/>
      <c r="D3565" s="276"/>
      <c r="E3565" s="276"/>
      <c r="F3565" s="276"/>
      <c r="G3565" s="276"/>
      <c r="H3565" s="276"/>
      <c r="I3565" s="276"/>
      <c r="J3565" s="276"/>
    </row>
    <row r="3566" spans="1:10">
      <c r="A3566" s="103" t="s">
        <v>5668</v>
      </c>
      <c r="B3566" s="124" t="s">
        <v>5669</v>
      </c>
      <c r="C3566" s="110">
        <v>5054</v>
      </c>
      <c r="D3566" s="109" t="s">
        <v>120</v>
      </c>
      <c r="E3566" s="109">
        <v>51</v>
      </c>
      <c r="F3566" s="110">
        <v>31091</v>
      </c>
      <c r="G3566" s="109" t="s">
        <v>120</v>
      </c>
      <c r="H3566" s="109">
        <v>615</v>
      </c>
      <c r="I3566" s="109">
        <v>2015</v>
      </c>
      <c r="J3566" s="110">
        <v>182</v>
      </c>
    </row>
    <row r="3567" spans="1:10" s="119" customFormat="1">
      <c r="A3567" s="123" t="s">
        <v>120</v>
      </c>
      <c r="B3567" s="275" t="s">
        <v>1022</v>
      </c>
      <c r="C3567" s="276"/>
      <c r="D3567" s="276"/>
      <c r="E3567" s="276"/>
      <c r="F3567" s="276"/>
      <c r="G3567" s="276"/>
      <c r="H3567" s="276"/>
      <c r="I3567" s="276"/>
      <c r="J3567" s="276"/>
    </row>
    <row r="3568" spans="1:10">
      <c r="A3568" s="103" t="s">
        <v>5670</v>
      </c>
      <c r="B3568" s="124" t="s">
        <v>3007</v>
      </c>
      <c r="C3568" s="110">
        <v>5640</v>
      </c>
      <c r="D3568" s="109" t="s">
        <v>120</v>
      </c>
      <c r="E3568" s="109">
        <v>56</v>
      </c>
      <c r="F3568" s="110">
        <v>6740</v>
      </c>
      <c r="G3568" s="109" t="s">
        <v>120</v>
      </c>
      <c r="H3568" s="109">
        <v>120</v>
      </c>
      <c r="I3568" s="109">
        <v>1978</v>
      </c>
      <c r="J3568" s="110">
        <v>1355</v>
      </c>
    </row>
    <row r="3569" spans="1:10">
      <c r="A3569" s="103" t="s">
        <v>5671</v>
      </c>
      <c r="B3569" s="124" t="s">
        <v>5672</v>
      </c>
      <c r="C3569" s="110">
        <v>2795</v>
      </c>
      <c r="D3569" s="109" t="s">
        <v>120</v>
      </c>
      <c r="E3569" s="109">
        <v>28</v>
      </c>
      <c r="F3569" s="110">
        <v>6251</v>
      </c>
      <c r="G3569" s="109" t="s">
        <v>120</v>
      </c>
      <c r="H3569" s="109">
        <v>224</v>
      </c>
      <c r="I3569" s="109">
        <v>2176</v>
      </c>
      <c r="J3569" s="110">
        <v>1447</v>
      </c>
    </row>
    <row r="3570" spans="1:10">
      <c r="A3570" s="103" t="s">
        <v>5673</v>
      </c>
      <c r="B3570" s="124" t="s">
        <v>5674</v>
      </c>
      <c r="C3570" s="110">
        <v>17062</v>
      </c>
      <c r="D3570" s="109" t="s">
        <v>120</v>
      </c>
      <c r="E3570" s="109">
        <v>170</v>
      </c>
      <c r="F3570" s="110">
        <v>13275</v>
      </c>
      <c r="G3570" s="109" t="s">
        <v>120</v>
      </c>
      <c r="H3570" s="109">
        <v>78</v>
      </c>
      <c r="I3570" s="109">
        <v>512</v>
      </c>
      <c r="J3570" s="110">
        <v>605</v>
      </c>
    </row>
    <row r="3571" spans="1:10">
      <c r="A3571" s="103" t="s">
        <v>5675</v>
      </c>
      <c r="B3571" s="124" t="s">
        <v>5676</v>
      </c>
      <c r="C3571" s="110">
        <v>3156</v>
      </c>
      <c r="D3571" s="109" t="s">
        <v>120</v>
      </c>
      <c r="E3571" s="109">
        <v>32</v>
      </c>
      <c r="F3571" s="110">
        <v>2367</v>
      </c>
      <c r="G3571" s="105" t="s">
        <v>1075</v>
      </c>
      <c r="H3571" s="109">
        <v>75</v>
      </c>
      <c r="I3571" s="109">
        <v>2161</v>
      </c>
      <c r="J3571" s="110">
        <v>2272</v>
      </c>
    </row>
    <row r="3572" spans="1:10">
      <c r="A3572" s="103" t="s">
        <v>5677</v>
      </c>
      <c r="B3572" s="124" t="s">
        <v>5678</v>
      </c>
      <c r="C3572" s="110">
        <v>5872</v>
      </c>
      <c r="D3572" s="109" t="s">
        <v>120</v>
      </c>
      <c r="E3572" s="109">
        <v>59</v>
      </c>
      <c r="F3572" s="110">
        <v>10846</v>
      </c>
      <c r="G3572" s="109" t="s">
        <v>120</v>
      </c>
      <c r="H3572" s="109">
        <v>185</v>
      </c>
      <c r="I3572" s="109">
        <v>1954</v>
      </c>
      <c r="J3572" s="110">
        <v>796</v>
      </c>
    </row>
    <row r="3573" spans="1:10">
      <c r="A3573" s="103" t="s">
        <v>5679</v>
      </c>
      <c r="B3573" s="124" t="s">
        <v>5680</v>
      </c>
      <c r="C3573" s="110">
        <v>4277</v>
      </c>
      <c r="D3573" s="109" t="s">
        <v>120</v>
      </c>
      <c r="E3573" s="109">
        <v>43</v>
      </c>
      <c r="F3573" s="110">
        <v>4552</v>
      </c>
      <c r="G3573" s="109" t="s">
        <v>120</v>
      </c>
      <c r="H3573" s="109">
        <v>106</v>
      </c>
      <c r="I3573" s="109">
        <v>2072</v>
      </c>
      <c r="J3573" s="110">
        <v>1857</v>
      </c>
    </row>
    <row r="3574" spans="1:10">
      <c r="A3574" s="103" t="s">
        <v>5681</v>
      </c>
      <c r="B3574" s="124" t="s">
        <v>5682</v>
      </c>
      <c r="C3574" s="110">
        <v>3586</v>
      </c>
      <c r="D3574" s="109" t="s">
        <v>120</v>
      </c>
      <c r="E3574" s="109">
        <v>36</v>
      </c>
      <c r="F3574" s="110">
        <v>14567</v>
      </c>
      <c r="G3574" s="109" t="s">
        <v>120</v>
      </c>
      <c r="H3574" s="109">
        <v>406</v>
      </c>
      <c r="I3574" s="109">
        <v>2120</v>
      </c>
      <c r="J3574" s="110">
        <v>537</v>
      </c>
    </row>
    <row r="3575" spans="1:10">
      <c r="A3575" s="103" t="s">
        <v>5683</v>
      </c>
      <c r="B3575" s="124" t="s">
        <v>5684</v>
      </c>
      <c r="C3575" s="110">
        <v>9888</v>
      </c>
      <c r="D3575" s="109" t="s">
        <v>120</v>
      </c>
      <c r="E3575" s="109">
        <v>99</v>
      </c>
      <c r="F3575" s="110">
        <v>10067</v>
      </c>
      <c r="G3575" s="109" t="s">
        <v>120</v>
      </c>
      <c r="H3575" s="109">
        <v>102</v>
      </c>
      <c r="I3575" s="109">
        <v>1408</v>
      </c>
      <c r="J3575" s="110">
        <v>866</v>
      </c>
    </row>
    <row r="3576" spans="1:10">
      <c r="A3576" s="103" t="s">
        <v>5685</v>
      </c>
      <c r="B3576" s="124" t="s">
        <v>5686</v>
      </c>
      <c r="C3576" s="110">
        <v>6486</v>
      </c>
      <c r="D3576" s="109" t="s">
        <v>120</v>
      </c>
      <c r="E3576" s="109">
        <v>65</v>
      </c>
      <c r="F3576" s="110">
        <v>13079</v>
      </c>
      <c r="G3576" s="109" t="s">
        <v>120</v>
      </c>
      <c r="H3576" s="109">
        <v>202</v>
      </c>
      <c r="I3576" s="109">
        <v>1903</v>
      </c>
      <c r="J3576" s="110">
        <v>625</v>
      </c>
    </row>
    <row r="3577" spans="1:10">
      <c r="A3577" s="103" t="s">
        <v>5687</v>
      </c>
      <c r="B3577" s="124" t="s">
        <v>5688</v>
      </c>
      <c r="C3577" s="110">
        <v>13142</v>
      </c>
      <c r="D3577" s="109" t="s">
        <v>120</v>
      </c>
      <c r="E3577" s="109">
        <v>131</v>
      </c>
      <c r="F3577" s="110">
        <v>8810</v>
      </c>
      <c r="G3577" s="109" t="s">
        <v>120</v>
      </c>
      <c r="H3577" s="109">
        <v>67</v>
      </c>
      <c r="I3577" s="109">
        <v>892</v>
      </c>
      <c r="J3577" s="110">
        <v>1009</v>
      </c>
    </row>
    <row r="3578" spans="1:10">
      <c r="A3578" s="103" t="s">
        <v>5689</v>
      </c>
      <c r="B3578" s="124" t="s">
        <v>5690</v>
      </c>
      <c r="C3578" s="110">
        <v>4502</v>
      </c>
      <c r="D3578" s="109" t="s">
        <v>120</v>
      </c>
      <c r="E3578" s="109">
        <v>45</v>
      </c>
      <c r="F3578" s="110">
        <v>3531</v>
      </c>
      <c r="G3578" s="109" t="s">
        <v>120</v>
      </c>
      <c r="H3578" s="109">
        <v>78</v>
      </c>
      <c r="I3578" s="109">
        <v>2060</v>
      </c>
      <c r="J3578" s="110">
        <v>2102</v>
      </c>
    </row>
    <row r="3579" spans="1:10">
      <c r="A3579" s="103" t="s">
        <v>5691</v>
      </c>
      <c r="B3579" s="124" t="s">
        <v>5692</v>
      </c>
      <c r="C3579" s="110">
        <v>3918</v>
      </c>
      <c r="D3579" s="109" t="s">
        <v>120</v>
      </c>
      <c r="E3579" s="109">
        <v>39</v>
      </c>
      <c r="F3579" s="110">
        <v>8070</v>
      </c>
      <c r="G3579" s="109" t="s">
        <v>120</v>
      </c>
      <c r="H3579" s="109">
        <v>206</v>
      </c>
      <c r="I3579" s="109">
        <v>2098</v>
      </c>
      <c r="J3579" s="110">
        <v>1115</v>
      </c>
    </row>
    <row r="3580" spans="1:10">
      <c r="A3580" s="103" t="s">
        <v>5693</v>
      </c>
      <c r="B3580" s="124" t="s">
        <v>5694</v>
      </c>
      <c r="C3580" s="110">
        <v>10981</v>
      </c>
      <c r="D3580" s="109" t="s">
        <v>120</v>
      </c>
      <c r="E3580" s="109">
        <v>110</v>
      </c>
      <c r="F3580" s="110">
        <v>4430</v>
      </c>
      <c r="G3580" s="109" t="s">
        <v>120</v>
      </c>
      <c r="H3580" s="109">
        <v>40</v>
      </c>
      <c r="I3580" s="109">
        <v>1229</v>
      </c>
      <c r="J3580" s="110">
        <v>1883</v>
      </c>
    </row>
    <row r="3581" spans="1:10">
      <c r="A3581" s="103" t="s">
        <v>5695</v>
      </c>
      <c r="B3581" s="124" t="s">
        <v>5696</v>
      </c>
      <c r="C3581" s="110">
        <v>7647</v>
      </c>
      <c r="D3581" s="109" t="s">
        <v>120</v>
      </c>
      <c r="E3581" s="109">
        <v>76</v>
      </c>
      <c r="F3581" s="110">
        <v>15080</v>
      </c>
      <c r="G3581" s="109" t="s">
        <v>120</v>
      </c>
      <c r="H3581" s="109">
        <v>197</v>
      </c>
      <c r="I3581" s="109">
        <v>1753</v>
      </c>
      <c r="J3581" s="110">
        <v>516</v>
      </c>
    </row>
    <row r="3582" spans="1:10" s="119" customFormat="1">
      <c r="A3582" s="123" t="s">
        <v>120</v>
      </c>
      <c r="B3582" s="273" t="s">
        <v>5697</v>
      </c>
      <c r="C3582" s="274"/>
      <c r="D3582" s="274"/>
      <c r="E3582" s="274"/>
      <c r="F3582" s="274"/>
      <c r="G3582" s="274"/>
      <c r="H3582" s="274"/>
      <c r="I3582" s="274"/>
      <c r="J3582" s="274"/>
    </row>
    <row r="3583" spans="1:10">
      <c r="A3583" s="103" t="s">
        <v>5698</v>
      </c>
      <c r="B3583" s="124" t="s">
        <v>5699</v>
      </c>
      <c r="C3583" s="110">
        <v>12451</v>
      </c>
      <c r="D3583" s="109" t="s">
        <v>120</v>
      </c>
      <c r="E3583" s="109">
        <v>125</v>
      </c>
      <c r="F3583" s="110">
        <v>170663</v>
      </c>
      <c r="G3583" s="109" t="s">
        <v>120</v>
      </c>
      <c r="H3583" s="109">
        <v>1371</v>
      </c>
      <c r="I3583" s="109">
        <v>987</v>
      </c>
      <c r="J3583" s="110">
        <v>22</v>
      </c>
    </row>
    <row r="3584" spans="1:10">
      <c r="A3584" s="103" t="s">
        <v>5700</v>
      </c>
      <c r="B3584" s="124" t="s">
        <v>5701</v>
      </c>
      <c r="C3584" s="110">
        <v>6944</v>
      </c>
      <c r="D3584" s="109" t="s">
        <v>120</v>
      </c>
      <c r="E3584" s="109">
        <v>69</v>
      </c>
      <c r="F3584" s="110">
        <v>165263</v>
      </c>
      <c r="G3584" s="109" t="s">
        <v>120</v>
      </c>
      <c r="H3584" s="109">
        <v>2380</v>
      </c>
      <c r="I3584" s="109">
        <v>1854</v>
      </c>
      <c r="J3584" s="110">
        <v>23</v>
      </c>
    </row>
    <row r="3585" spans="1:10">
      <c r="A3585" s="103" t="s">
        <v>5702</v>
      </c>
      <c r="B3585" s="124" t="s">
        <v>5703</v>
      </c>
      <c r="C3585" s="110">
        <v>3324</v>
      </c>
      <c r="D3585" s="109" t="s">
        <v>120</v>
      </c>
      <c r="E3585" s="109">
        <v>33</v>
      </c>
      <c r="F3585" s="110">
        <v>107807</v>
      </c>
      <c r="G3585" s="109" t="s">
        <v>120</v>
      </c>
      <c r="H3585" s="109">
        <v>3243</v>
      </c>
      <c r="I3585" s="109">
        <v>2145</v>
      </c>
      <c r="J3585" s="110">
        <v>36</v>
      </c>
    </row>
    <row r="3586" spans="1:10">
      <c r="A3586" s="103" t="s">
        <v>5704</v>
      </c>
      <c r="B3586" s="124" t="s">
        <v>5705</v>
      </c>
      <c r="C3586" s="110">
        <v>15971</v>
      </c>
      <c r="D3586" s="109" t="s">
        <v>120</v>
      </c>
      <c r="E3586" s="109">
        <v>160</v>
      </c>
      <c r="F3586" s="110">
        <v>220433</v>
      </c>
      <c r="G3586" s="109" t="s">
        <v>120</v>
      </c>
      <c r="H3586" s="109">
        <v>1380</v>
      </c>
      <c r="I3586" s="109">
        <v>600</v>
      </c>
      <c r="J3586" s="110">
        <v>13</v>
      </c>
    </row>
    <row r="3587" spans="1:10">
      <c r="A3587" s="103" t="s">
        <v>5706</v>
      </c>
      <c r="B3587" s="124" t="s">
        <v>5707</v>
      </c>
      <c r="C3587" s="110">
        <v>18873</v>
      </c>
      <c r="D3587" s="105" t="s">
        <v>927</v>
      </c>
      <c r="E3587" s="109">
        <v>189</v>
      </c>
      <c r="F3587" s="110">
        <v>119373</v>
      </c>
      <c r="G3587" s="109" t="s">
        <v>120</v>
      </c>
      <c r="H3587" s="109">
        <v>633</v>
      </c>
      <c r="I3587" s="109">
        <v>398</v>
      </c>
      <c r="J3587" s="110">
        <v>31</v>
      </c>
    </row>
    <row r="3588" spans="1:10">
      <c r="A3588" s="103" t="s">
        <v>5708</v>
      </c>
      <c r="B3588" s="124" t="s">
        <v>5709</v>
      </c>
      <c r="C3588" s="110">
        <v>13388</v>
      </c>
      <c r="D3588" s="109" t="s">
        <v>120</v>
      </c>
      <c r="E3588" s="109">
        <v>134</v>
      </c>
      <c r="F3588" s="110">
        <v>178603</v>
      </c>
      <c r="G3588" s="109" t="s">
        <v>120</v>
      </c>
      <c r="H3588" s="109">
        <v>1334</v>
      </c>
      <c r="I3588" s="109">
        <v>860</v>
      </c>
      <c r="J3588" s="110">
        <v>19</v>
      </c>
    </row>
    <row r="3589" spans="1:10">
      <c r="A3589" s="103" t="s">
        <v>5710</v>
      </c>
      <c r="B3589" s="124" t="s">
        <v>5711</v>
      </c>
      <c r="C3589" s="110">
        <v>8533</v>
      </c>
      <c r="D3589" s="109" t="s">
        <v>120</v>
      </c>
      <c r="E3589" s="109">
        <v>85</v>
      </c>
      <c r="F3589" s="110">
        <v>88743</v>
      </c>
      <c r="G3589" s="109" t="s">
        <v>120</v>
      </c>
      <c r="H3589" s="109">
        <v>1040</v>
      </c>
      <c r="I3589" s="109">
        <v>1611</v>
      </c>
      <c r="J3589" s="110">
        <v>43</v>
      </c>
    </row>
    <row r="3590" spans="1:10">
      <c r="A3590" s="103" t="s">
        <v>5712</v>
      </c>
      <c r="B3590" s="124" t="s">
        <v>5713</v>
      </c>
      <c r="C3590" s="110">
        <v>15259</v>
      </c>
      <c r="D3590" s="109" t="s">
        <v>120</v>
      </c>
      <c r="E3590" s="109">
        <v>153</v>
      </c>
      <c r="F3590" s="110">
        <v>91115</v>
      </c>
      <c r="G3590" s="109" t="s">
        <v>120</v>
      </c>
      <c r="H3590" s="109">
        <v>597</v>
      </c>
      <c r="I3590" s="109">
        <v>651</v>
      </c>
      <c r="J3590" s="110">
        <v>41</v>
      </c>
    </row>
    <row r="3591" spans="1:10">
      <c r="A3591" s="103" t="s">
        <v>5714</v>
      </c>
      <c r="B3591" s="124" t="s">
        <v>5715</v>
      </c>
      <c r="C3591" s="110">
        <v>16464</v>
      </c>
      <c r="D3591" s="109" t="s">
        <v>120</v>
      </c>
      <c r="E3591" s="109">
        <v>165</v>
      </c>
      <c r="F3591" s="110">
        <v>292774</v>
      </c>
      <c r="G3591" s="105" t="s">
        <v>927</v>
      </c>
      <c r="H3591" s="109">
        <v>1778</v>
      </c>
      <c r="I3591" s="109">
        <v>557</v>
      </c>
      <c r="J3591" s="110">
        <v>11</v>
      </c>
    </row>
    <row r="3592" spans="1:10">
      <c r="A3592" s="103" t="s">
        <v>5716</v>
      </c>
      <c r="B3592" s="124" t="s">
        <v>5717</v>
      </c>
      <c r="C3592" s="110">
        <v>6562</v>
      </c>
      <c r="D3592" s="109" t="s">
        <v>120</v>
      </c>
      <c r="E3592" s="109">
        <v>66</v>
      </c>
      <c r="F3592" s="110">
        <v>74618</v>
      </c>
      <c r="G3592" s="109" t="s">
        <v>120</v>
      </c>
      <c r="H3592" s="109">
        <v>1137</v>
      </c>
      <c r="I3592" s="109">
        <v>1897</v>
      </c>
      <c r="J3592" s="110">
        <v>48</v>
      </c>
    </row>
    <row r="3593" spans="1:10">
      <c r="A3593" s="103" t="s">
        <v>5718</v>
      </c>
      <c r="B3593" s="124" t="s">
        <v>5719</v>
      </c>
      <c r="C3593" s="110">
        <v>3998</v>
      </c>
      <c r="D3593" s="109" t="s">
        <v>120</v>
      </c>
      <c r="E3593" s="109">
        <v>40</v>
      </c>
      <c r="F3593" s="110">
        <v>55030</v>
      </c>
      <c r="G3593" s="109" t="s">
        <v>120</v>
      </c>
      <c r="H3593" s="109">
        <v>1376</v>
      </c>
      <c r="I3593" s="109">
        <v>2095</v>
      </c>
      <c r="J3593" s="110">
        <v>83</v>
      </c>
    </row>
    <row r="3594" spans="1:10">
      <c r="A3594" s="103" t="s">
        <v>5720</v>
      </c>
      <c r="B3594" s="124" t="s">
        <v>5721</v>
      </c>
      <c r="C3594" s="110">
        <v>7773</v>
      </c>
      <c r="D3594" s="109" t="s">
        <v>120</v>
      </c>
      <c r="E3594" s="109">
        <v>78</v>
      </c>
      <c r="F3594" s="110">
        <v>137360</v>
      </c>
      <c r="G3594" s="109" t="s">
        <v>120</v>
      </c>
      <c r="H3594" s="109">
        <v>1767</v>
      </c>
      <c r="I3594" s="109">
        <v>1734</v>
      </c>
      <c r="J3594" s="110">
        <v>26</v>
      </c>
    </row>
    <row r="3595" spans="1:10">
      <c r="A3595" s="103" t="s">
        <v>5722</v>
      </c>
      <c r="B3595" s="124" t="s">
        <v>5723</v>
      </c>
      <c r="C3595" s="110">
        <v>14836</v>
      </c>
      <c r="D3595" s="109" t="s">
        <v>120</v>
      </c>
      <c r="E3595" s="109">
        <v>148</v>
      </c>
      <c r="F3595" s="110">
        <v>138098</v>
      </c>
      <c r="G3595" s="109" t="s">
        <v>120</v>
      </c>
      <c r="H3595" s="109">
        <v>931</v>
      </c>
      <c r="I3595" s="109">
        <v>690</v>
      </c>
      <c r="J3595" s="110">
        <v>25</v>
      </c>
    </row>
    <row r="3596" spans="1:10">
      <c r="A3596" s="103" t="s">
        <v>5724</v>
      </c>
      <c r="B3596" s="124" t="s">
        <v>5725</v>
      </c>
      <c r="C3596" s="110">
        <v>2550</v>
      </c>
      <c r="D3596" s="109" t="s">
        <v>120</v>
      </c>
      <c r="E3596" s="109">
        <v>25</v>
      </c>
      <c r="F3596" s="110">
        <v>66841</v>
      </c>
      <c r="G3596" s="109" t="s">
        <v>120</v>
      </c>
      <c r="H3596" s="109">
        <v>2621</v>
      </c>
      <c r="I3596" s="109">
        <v>2195</v>
      </c>
      <c r="J3596" s="110">
        <v>60</v>
      </c>
    </row>
    <row r="3597" spans="1:10">
      <c r="A3597" s="103" t="s">
        <v>5726</v>
      </c>
      <c r="B3597" s="124" t="s">
        <v>5727</v>
      </c>
      <c r="C3597" s="110">
        <v>9106</v>
      </c>
      <c r="D3597" s="109" t="s">
        <v>120</v>
      </c>
      <c r="E3597" s="109">
        <v>91</v>
      </c>
      <c r="F3597" s="110">
        <v>199974</v>
      </c>
      <c r="G3597" s="109" t="s">
        <v>120</v>
      </c>
      <c r="H3597" s="109">
        <v>2196</v>
      </c>
      <c r="I3597" s="109">
        <v>1521</v>
      </c>
      <c r="J3597" s="110">
        <v>16</v>
      </c>
    </row>
    <row r="3598" spans="1:10">
      <c r="A3598" s="103" t="s">
        <v>5728</v>
      </c>
      <c r="B3598" s="124" t="s">
        <v>5729</v>
      </c>
      <c r="C3598" s="110">
        <v>1331</v>
      </c>
      <c r="D3598" s="109" t="s">
        <v>120</v>
      </c>
      <c r="E3598" s="109">
        <v>13</v>
      </c>
      <c r="F3598" s="110">
        <v>49557</v>
      </c>
      <c r="G3598" s="109" t="s">
        <v>120</v>
      </c>
      <c r="H3598" s="109">
        <v>3723</v>
      </c>
      <c r="I3598" s="109">
        <v>2298</v>
      </c>
      <c r="J3598" s="110">
        <v>90</v>
      </c>
    </row>
    <row r="3599" spans="1:10">
      <c r="A3599" s="103" t="s">
        <v>5730</v>
      </c>
      <c r="B3599" s="124" t="s">
        <v>5731</v>
      </c>
      <c r="C3599" s="110">
        <v>8181</v>
      </c>
      <c r="D3599" s="109" t="s">
        <v>120</v>
      </c>
      <c r="E3599" s="109">
        <v>82</v>
      </c>
      <c r="F3599" s="110">
        <v>127590</v>
      </c>
      <c r="G3599" s="109" t="s">
        <v>120</v>
      </c>
      <c r="H3599" s="109">
        <v>1560</v>
      </c>
      <c r="I3599" s="109">
        <v>1675</v>
      </c>
      <c r="J3599" s="110">
        <v>28</v>
      </c>
    </row>
    <row r="3600" spans="1:10">
      <c r="A3600" s="103" t="s">
        <v>5732</v>
      </c>
      <c r="B3600" s="124" t="s">
        <v>5733</v>
      </c>
      <c r="C3600" s="110">
        <v>8040</v>
      </c>
      <c r="D3600" s="109" t="s">
        <v>120</v>
      </c>
      <c r="E3600" s="109">
        <v>80</v>
      </c>
      <c r="F3600" s="110">
        <v>172360</v>
      </c>
      <c r="G3600" s="109" t="s">
        <v>120</v>
      </c>
      <c r="H3600" s="109">
        <v>2144</v>
      </c>
      <c r="I3600" s="109">
        <v>1696</v>
      </c>
      <c r="J3600" s="110">
        <v>20</v>
      </c>
    </row>
    <row r="3601" spans="1:10">
      <c r="A3601" s="103" t="s">
        <v>5734</v>
      </c>
      <c r="B3601" s="124" t="s">
        <v>5735</v>
      </c>
      <c r="C3601" s="110">
        <v>6464</v>
      </c>
      <c r="D3601" s="109" t="s">
        <v>120</v>
      </c>
      <c r="E3601" s="109">
        <v>65</v>
      </c>
      <c r="F3601" s="110">
        <v>62472</v>
      </c>
      <c r="G3601" s="109" t="s">
        <v>120</v>
      </c>
      <c r="H3601" s="109">
        <v>966</v>
      </c>
      <c r="I3601" s="109">
        <v>1906</v>
      </c>
      <c r="J3601" s="110">
        <v>65</v>
      </c>
    </row>
    <row r="3602" spans="1:10" s="119" customFormat="1">
      <c r="A3602" s="123" t="s">
        <v>120</v>
      </c>
      <c r="B3602" s="273" t="s">
        <v>23</v>
      </c>
      <c r="C3602" s="274"/>
      <c r="D3602" s="274"/>
      <c r="E3602" s="274"/>
      <c r="F3602" s="274"/>
      <c r="G3602" s="274"/>
      <c r="H3602" s="274"/>
      <c r="I3602" s="274"/>
      <c r="J3602" s="274"/>
    </row>
    <row r="3603" spans="1:10" s="119" customFormat="1">
      <c r="A3603" s="123" t="s">
        <v>120</v>
      </c>
      <c r="B3603" s="273" t="s">
        <v>5736</v>
      </c>
      <c r="C3603" s="274"/>
      <c r="D3603" s="274"/>
      <c r="E3603" s="274"/>
      <c r="F3603" s="274"/>
      <c r="G3603" s="274"/>
      <c r="H3603" s="274"/>
      <c r="I3603" s="274"/>
      <c r="J3603" s="274"/>
    </row>
    <row r="3604" spans="1:10" s="119" customFormat="1">
      <c r="A3604" s="123" t="s">
        <v>120</v>
      </c>
      <c r="B3604" s="275" t="s">
        <v>1022</v>
      </c>
      <c r="C3604" s="276"/>
      <c r="D3604" s="276"/>
      <c r="E3604" s="276"/>
      <c r="F3604" s="276"/>
      <c r="G3604" s="276"/>
      <c r="H3604" s="276"/>
      <c r="I3604" s="276"/>
      <c r="J3604" s="276"/>
    </row>
    <row r="3605" spans="1:10">
      <c r="A3605" s="103" t="s">
        <v>5737</v>
      </c>
      <c r="B3605" s="124" t="s">
        <v>5738</v>
      </c>
      <c r="C3605" s="110">
        <v>9631</v>
      </c>
      <c r="D3605" s="109" t="s">
        <v>120</v>
      </c>
      <c r="E3605" s="109">
        <v>96</v>
      </c>
      <c r="F3605" s="110">
        <v>4351</v>
      </c>
      <c r="G3605" s="109" t="s">
        <v>120</v>
      </c>
      <c r="H3605" s="109">
        <v>45</v>
      </c>
      <c r="I3605" s="109">
        <v>1442</v>
      </c>
      <c r="J3605" s="110">
        <v>1906</v>
      </c>
    </row>
    <row r="3606" spans="1:10">
      <c r="A3606" s="103" t="s">
        <v>5739</v>
      </c>
      <c r="B3606" s="124" t="s">
        <v>5740</v>
      </c>
      <c r="C3606" s="110">
        <v>8504</v>
      </c>
      <c r="D3606" s="109" t="s">
        <v>120</v>
      </c>
      <c r="E3606" s="109">
        <v>85</v>
      </c>
      <c r="F3606" s="110">
        <v>5036</v>
      </c>
      <c r="G3606" s="109" t="s">
        <v>120</v>
      </c>
      <c r="H3606" s="109">
        <v>59</v>
      </c>
      <c r="I3606" s="109">
        <v>1616</v>
      </c>
      <c r="J3606" s="110">
        <v>1735</v>
      </c>
    </row>
    <row r="3607" spans="1:10">
      <c r="A3607" s="103" t="s">
        <v>5741</v>
      </c>
      <c r="B3607" s="124" t="s">
        <v>5742</v>
      </c>
      <c r="C3607" s="110">
        <v>8362</v>
      </c>
      <c r="D3607" s="109" t="s">
        <v>120</v>
      </c>
      <c r="E3607" s="109">
        <v>84</v>
      </c>
      <c r="F3607" s="110">
        <v>3740</v>
      </c>
      <c r="G3607" s="109" t="s">
        <v>120</v>
      </c>
      <c r="H3607" s="109">
        <v>45</v>
      </c>
      <c r="I3607" s="109">
        <v>1643</v>
      </c>
      <c r="J3607" s="110">
        <v>2060</v>
      </c>
    </row>
    <row r="3608" spans="1:10" s="119" customFormat="1">
      <c r="A3608" s="123" t="s">
        <v>120</v>
      </c>
      <c r="B3608" s="275" t="s">
        <v>947</v>
      </c>
      <c r="C3608" s="276"/>
      <c r="D3608" s="276"/>
      <c r="E3608" s="276"/>
      <c r="F3608" s="276"/>
      <c r="G3608" s="276"/>
      <c r="H3608" s="276"/>
      <c r="I3608" s="276"/>
      <c r="J3608" s="276"/>
    </row>
    <row r="3609" spans="1:10">
      <c r="A3609" s="103" t="s">
        <v>5743</v>
      </c>
      <c r="B3609" s="124" t="s">
        <v>5744</v>
      </c>
      <c r="C3609" s="110">
        <v>23550</v>
      </c>
      <c r="D3609" s="109" t="s">
        <v>120</v>
      </c>
      <c r="E3609" s="109">
        <v>236</v>
      </c>
      <c r="F3609" s="110">
        <v>32189</v>
      </c>
      <c r="G3609" s="109" t="s">
        <v>120</v>
      </c>
      <c r="H3609" s="109">
        <v>137</v>
      </c>
      <c r="I3609" s="109">
        <v>215</v>
      </c>
      <c r="J3609" s="110">
        <v>171</v>
      </c>
    </row>
    <row r="3610" spans="1:10">
      <c r="A3610" s="103" t="s">
        <v>5745</v>
      </c>
      <c r="B3610" s="124" t="s">
        <v>932</v>
      </c>
      <c r="C3610" s="110">
        <v>1228</v>
      </c>
      <c r="D3610" s="109" t="s">
        <v>120</v>
      </c>
      <c r="E3610" s="109">
        <v>12</v>
      </c>
      <c r="F3610" s="110">
        <v>15786</v>
      </c>
      <c r="G3610" s="109" t="s">
        <v>120</v>
      </c>
      <c r="H3610" s="109">
        <v>1286</v>
      </c>
      <c r="I3610" s="109" t="s">
        <v>122</v>
      </c>
      <c r="J3610" s="110" t="s">
        <v>122</v>
      </c>
    </row>
    <row r="3611" spans="1:10">
      <c r="A3611" s="103" t="s">
        <v>5746</v>
      </c>
      <c r="B3611" s="124" t="s">
        <v>934</v>
      </c>
      <c r="C3611" s="110">
        <v>22322</v>
      </c>
      <c r="D3611" s="109" t="s">
        <v>120</v>
      </c>
      <c r="E3611" s="109">
        <v>224</v>
      </c>
      <c r="F3611" s="110">
        <v>16403</v>
      </c>
      <c r="G3611" s="109" t="s">
        <v>120</v>
      </c>
      <c r="H3611" s="109">
        <v>73</v>
      </c>
      <c r="I3611" s="109" t="s">
        <v>122</v>
      </c>
      <c r="J3611" s="110" t="s">
        <v>122</v>
      </c>
    </row>
    <row r="3612" spans="1:10">
      <c r="A3612" s="103" t="s">
        <v>5747</v>
      </c>
      <c r="B3612" s="124" t="s">
        <v>5748</v>
      </c>
      <c r="C3612" s="110">
        <v>11667</v>
      </c>
      <c r="D3612" s="109" t="s">
        <v>120</v>
      </c>
      <c r="E3612" s="109">
        <v>117</v>
      </c>
      <c r="F3612" s="110">
        <v>5916</v>
      </c>
      <c r="G3612" s="109" t="s">
        <v>120</v>
      </c>
      <c r="H3612" s="109">
        <v>51</v>
      </c>
      <c r="I3612" s="109">
        <v>1102</v>
      </c>
      <c r="J3612" s="110">
        <v>1528</v>
      </c>
    </row>
    <row r="3613" spans="1:10">
      <c r="A3613" s="103" t="s">
        <v>5749</v>
      </c>
      <c r="B3613" s="124" t="s">
        <v>932</v>
      </c>
      <c r="C3613" s="110">
        <v>752</v>
      </c>
      <c r="D3613" s="109" t="s">
        <v>120</v>
      </c>
      <c r="E3613" s="109">
        <v>8</v>
      </c>
      <c r="F3613" s="110">
        <v>938</v>
      </c>
      <c r="G3613" s="109" t="s">
        <v>120</v>
      </c>
      <c r="H3613" s="109">
        <v>125</v>
      </c>
      <c r="I3613" s="109" t="s">
        <v>122</v>
      </c>
      <c r="J3613" s="110" t="s">
        <v>122</v>
      </c>
    </row>
    <row r="3614" spans="1:10">
      <c r="A3614" s="103" t="s">
        <v>5750</v>
      </c>
      <c r="B3614" s="124" t="s">
        <v>934</v>
      </c>
      <c r="C3614" s="110">
        <v>10915</v>
      </c>
      <c r="D3614" s="109" t="s">
        <v>120</v>
      </c>
      <c r="E3614" s="109">
        <v>109</v>
      </c>
      <c r="F3614" s="110">
        <v>4978</v>
      </c>
      <c r="G3614" s="109" t="s">
        <v>120</v>
      </c>
      <c r="H3614" s="109">
        <v>46</v>
      </c>
      <c r="I3614" s="109" t="s">
        <v>122</v>
      </c>
      <c r="J3614" s="110" t="s">
        <v>122</v>
      </c>
    </row>
    <row r="3615" spans="1:10">
      <c r="A3615" s="103" t="s">
        <v>5751</v>
      </c>
      <c r="B3615" s="124" t="s">
        <v>5752</v>
      </c>
      <c r="C3615" s="110">
        <v>12458</v>
      </c>
      <c r="D3615" s="109" t="s">
        <v>120</v>
      </c>
      <c r="E3615" s="109">
        <v>125</v>
      </c>
      <c r="F3615" s="110">
        <v>7322</v>
      </c>
      <c r="G3615" s="109" t="s">
        <v>120</v>
      </c>
      <c r="H3615" s="109">
        <v>59</v>
      </c>
      <c r="I3615" s="109">
        <v>985</v>
      </c>
      <c r="J3615" s="110">
        <v>1238</v>
      </c>
    </row>
    <row r="3616" spans="1:10">
      <c r="A3616" s="103" t="s">
        <v>5753</v>
      </c>
      <c r="B3616" s="124" t="s">
        <v>932</v>
      </c>
      <c r="C3616" s="110">
        <v>713</v>
      </c>
      <c r="D3616" s="109" t="s">
        <v>120</v>
      </c>
      <c r="E3616" s="109">
        <v>7</v>
      </c>
      <c r="F3616" s="110">
        <v>1121</v>
      </c>
      <c r="G3616" s="109" t="s">
        <v>120</v>
      </c>
      <c r="H3616" s="109">
        <v>157</v>
      </c>
      <c r="I3616" s="109" t="s">
        <v>122</v>
      </c>
      <c r="J3616" s="110" t="s">
        <v>122</v>
      </c>
    </row>
    <row r="3617" spans="1:10">
      <c r="A3617" s="103" t="s">
        <v>5754</v>
      </c>
      <c r="B3617" s="124" t="s">
        <v>934</v>
      </c>
      <c r="C3617" s="110">
        <v>11745</v>
      </c>
      <c r="D3617" s="109" t="s">
        <v>120</v>
      </c>
      <c r="E3617" s="109">
        <v>118</v>
      </c>
      <c r="F3617" s="110">
        <v>6201</v>
      </c>
      <c r="G3617" s="109" t="s">
        <v>120</v>
      </c>
      <c r="H3617" s="109">
        <v>53</v>
      </c>
      <c r="I3617" s="109" t="s">
        <v>122</v>
      </c>
      <c r="J3617" s="110" t="s">
        <v>122</v>
      </c>
    </row>
    <row r="3618" spans="1:10">
      <c r="A3618" s="103" t="s">
        <v>5755</v>
      </c>
      <c r="B3618" s="124" t="s">
        <v>5756</v>
      </c>
      <c r="C3618" s="110">
        <v>12596</v>
      </c>
      <c r="D3618" s="109" t="s">
        <v>120</v>
      </c>
      <c r="E3618" s="109">
        <v>125</v>
      </c>
      <c r="F3618" s="110">
        <v>7589</v>
      </c>
      <c r="G3618" s="109" t="s">
        <v>120</v>
      </c>
      <c r="H3618" s="109">
        <v>60</v>
      </c>
      <c r="I3618" s="109">
        <v>970</v>
      </c>
      <c r="J3618" s="110">
        <v>1187</v>
      </c>
    </row>
    <row r="3619" spans="1:10">
      <c r="A3619" s="103" t="s">
        <v>5757</v>
      </c>
      <c r="B3619" s="124" t="s">
        <v>932</v>
      </c>
      <c r="C3619" s="110">
        <v>455</v>
      </c>
      <c r="D3619" s="109" t="s">
        <v>120</v>
      </c>
      <c r="E3619" s="109">
        <v>4</v>
      </c>
      <c r="F3619" s="110">
        <v>1415</v>
      </c>
      <c r="G3619" s="109" t="s">
        <v>120</v>
      </c>
      <c r="H3619" s="109">
        <v>311</v>
      </c>
      <c r="I3619" s="109" t="s">
        <v>122</v>
      </c>
      <c r="J3619" s="110" t="s">
        <v>122</v>
      </c>
    </row>
    <row r="3620" spans="1:10">
      <c r="A3620" s="103" t="s">
        <v>5758</v>
      </c>
      <c r="B3620" s="124" t="s">
        <v>934</v>
      </c>
      <c r="C3620" s="110">
        <v>12141</v>
      </c>
      <c r="D3620" s="109" t="s">
        <v>120</v>
      </c>
      <c r="E3620" s="109">
        <v>121</v>
      </c>
      <c r="F3620" s="110">
        <v>6174</v>
      </c>
      <c r="G3620" s="109" t="s">
        <v>120</v>
      </c>
      <c r="H3620" s="109">
        <v>51</v>
      </c>
      <c r="I3620" s="109" t="s">
        <v>122</v>
      </c>
      <c r="J3620" s="110" t="s">
        <v>122</v>
      </c>
    </row>
    <row r="3621" spans="1:10">
      <c r="A3621" s="103" t="s">
        <v>5759</v>
      </c>
      <c r="B3621" s="124" t="s">
        <v>5760</v>
      </c>
      <c r="C3621" s="110">
        <v>10032</v>
      </c>
      <c r="D3621" s="109" t="s">
        <v>120</v>
      </c>
      <c r="E3621" s="109">
        <v>100</v>
      </c>
      <c r="F3621" s="110">
        <v>5453</v>
      </c>
      <c r="G3621" s="109" t="s">
        <v>120</v>
      </c>
      <c r="H3621" s="109">
        <v>54</v>
      </c>
      <c r="I3621" s="109">
        <v>1383</v>
      </c>
      <c r="J3621" s="110">
        <v>1625</v>
      </c>
    </row>
    <row r="3622" spans="1:10">
      <c r="A3622" s="103" t="s">
        <v>5761</v>
      </c>
      <c r="B3622" s="124" t="s">
        <v>932</v>
      </c>
      <c r="C3622" s="110">
        <v>471</v>
      </c>
      <c r="D3622" s="109" t="s">
        <v>120</v>
      </c>
      <c r="E3622" s="109">
        <v>5</v>
      </c>
      <c r="F3622" s="110">
        <v>504</v>
      </c>
      <c r="G3622" s="109" t="s">
        <v>120</v>
      </c>
      <c r="H3622" s="109">
        <v>107</v>
      </c>
      <c r="I3622" s="109" t="s">
        <v>122</v>
      </c>
      <c r="J3622" s="110" t="s">
        <v>122</v>
      </c>
    </row>
    <row r="3623" spans="1:10">
      <c r="A3623" s="103" t="s">
        <v>5762</v>
      </c>
      <c r="B3623" s="124" t="s">
        <v>934</v>
      </c>
      <c r="C3623" s="110">
        <v>9561</v>
      </c>
      <c r="D3623" s="109" t="s">
        <v>120</v>
      </c>
      <c r="E3623" s="109">
        <v>95</v>
      </c>
      <c r="F3623" s="110">
        <v>4949</v>
      </c>
      <c r="G3623" s="109" t="s">
        <v>120</v>
      </c>
      <c r="H3623" s="109">
        <v>52</v>
      </c>
      <c r="I3623" s="109" t="s">
        <v>122</v>
      </c>
      <c r="J3623" s="110" t="s">
        <v>122</v>
      </c>
    </row>
    <row r="3624" spans="1:10" s="119" customFormat="1">
      <c r="A3624" s="123" t="s">
        <v>120</v>
      </c>
      <c r="B3624" s="273" t="s">
        <v>5763</v>
      </c>
      <c r="C3624" s="274"/>
      <c r="D3624" s="274"/>
      <c r="E3624" s="274"/>
      <c r="F3624" s="274"/>
      <c r="G3624" s="274"/>
      <c r="H3624" s="274"/>
      <c r="I3624" s="274"/>
      <c r="J3624" s="274"/>
    </row>
    <row r="3625" spans="1:10" s="119" customFormat="1">
      <c r="A3625" s="123" t="s">
        <v>120</v>
      </c>
      <c r="B3625" s="275" t="s">
        <v>924</v>
      </c>
      <c r="C3625" s="276"/>
      <c r="D3625" s="276"/>
      <c r="E3625" s="276"/>
      <c r="F3625" s="276"/>
      <c r="G3625" s="276"/>
      <c r="H3625" s="276"/>
      <c r="I3625" s="276"/>
      <c r="J3625" s="276"/>
    </row>
    <row r="3626" spans="1:10">
      <c r="A3626" s="103" t="s">
        <v>5764</v>
      </c>
      <c r="B3626" s="124" t="s">
        <v>5765</v>
      </c>
      <c r="C3626" s="110">
        <v>10101</v>
      </c>
      <c r="D3626" s="109" t="s">
        <v>120</v>
      </c>
      <c r="E3626" s="109">
        <v>101</v>
      </c>
      <c r="F3626" s="110">
        <v>4338</v>
      </c>
      <c r="G3626" s="109" t="s">
        <v>120</v>
      </c>
      <c r="H3626" s="109">
        <v>43</v>
      </c>
      <c r="I3626" s="109">
        <v>1370</v>
      </c>
      <c r="J3626" s="110">
        <v>1914</v>
      </c>
    </row>
    <row r="3627" spans="1:10">
      <c r="A3627" s="103" t="s">
        <v>5766</v>
      </c>
      <c r="B3627" s="124" t="s">
        <v>5767</v>
      </c>
      <c r="C3627" s="110">
        <v>11729</v>
      </c>
      <c r="D3627" s="109" t="s">
        <v>120</v>
      </c>
      <c r="E3627" s="109">
        <v>117</v>
      </c>
      <c r="F3627" s="110">
        <v>4915</v>
      </c>
      <c r="G3627" s="109" t="s">
        <v>120</v>
      </c>
      <c r="H3627" s="109">
        <v>42</v>
      </c>
      <c r="I3627" s="109">
        <v>1092</v>
      </c>
      <c r="J3627" s="110">
        <v>1759</v>
      </c>
    </row>
    <row r="3628" spans="1:10">
      <c r="A3628" s="103" t="s">
        <v>5768</v>
      </c>
      <c r="B3628" s="124" t="s">
        <v>5769</v>
      </c>
      <c r="C3628" s="110">
        <v>9072</v>
      </c>
      <c r="D3628" s="109" t="s">
        <v>120</v>
      </c>
      <c r="E3628" s="109">
        <v>91</v>
      </c>
      <c r="F3628" s="110">
        <v>4574</v>
      </c>
      <c r="G3628" s="109" t="s">
        <v>120</v>
      </c>
      <c r="H3628" s="109">
        <v>50</v>
      </c>
      <c r="I3628" s="109">
        <v>1524</v>
      </c>
      <c r="J3628" s="110">
        <v>1850</v>
      </c>
    </row>
    <row r="3629" spans="1:10">
      <c r="A3629" s="103" t="s">
        <v>5770</v>
      </c>
      <c r="B3629" s="124" t="s">
        <v>2807</v>
      </c>
      <c r="C3629" s="110">
        <v>10842</v>
      </c>
      <c r="D3629" s="109" t="s">
        <v>120</v>
      </c>
      <c r="E3629" s="109">
        <v>108</v>
      </c>
      <c r="F3629" s="110">
        <v>4290</v>
      </c>
      <c r="G3629" s="109" t="s">
        <v>120</v>
      </c>
      <c r="H3629" s="109">
        <v>40</v>
      </c>
      <c r="I3629" s="109">
        <v>1250</v>
      </c>
      <c r="J3629" s="110">
        <v>1928</v>
      </c>
    </row>
    <row r="3630" spans="1:10">
      <c r="A3630" s="103" t="s">
        <v>5771</v>
      </c>
      <c r="B3630" s="124" t="s">
        <v>5772</v>
      </c>
      <c r="C3630" s="110">
        <v>14431</v>
      </c>
      <c r="D3630" s="109" t="s">
        <v>120</v>
      </c>
      <c r="E3630" s="109">
        <v>144</v>
      </c>
      <c r="F3630" s="110">
        <v>8466</v>
      </c>
      <c r="G3630" s="109" t="s">
        <v>120</v>
      </c>
      <c r="H3630" s="109">
        <v>59</v>
      </c>
      <c r="I3630" s="109">
        <v>738</v>
      </c>
      <c r="J3630" s="110">
        <v>1059</v>
      </c>
    </row>
    <row r="3631" spans="1:10">
      <c r="A3631" s="103" t="s">
        <v>5773</v>
      </c>
      <c r="B3631" s="124" t="s">
        <v>5774</v>
      </c>
      <c r="C3631" s="110">
        <v>17689</v>
      </c>
      <c r="D3631" s="109" t="s">
        <v>120</v>
      </c>
      <c r="E3631" s="109">
        <v>177</v>
      </c>
      <c r="F3631" s="110">
        <v>6949</v>
      </c>
      <c r="G3631" s="109" t="s">
        <v>120</v>
      </c>
      <c r="H3631" s="109">
        <v>39</v>
      </c>
      <c r="I3631" s="109">
        <v>473</v>
      </c>
      <c r="J3631" s="110">
        <v>1305</v>
      </c>
    </row>
    <row r="3632" spans="1:10" s="119" customFormat="1">
      <c r="A3632" s="123" t="s">
        <v>120</v>
      </c>
      <c r="B3632" s="275" t="s">
        <v>947</v>
      </c>
      <c r="C3632" s="276"/>
      <c r="D3632" s="276"/>
      <c r="E3632" s="276"/>
      <c r="F3632" s="276"/>
      <c r="G3632" s="276"/>
      <c r="H3632" s="276"/>
      <c r="I3632" s="276"/>
      <c r="J3632" s="276"/>
    </row>
    <row r="3633" spans="1:10">
      <c r="A3633" s="103" t="s">
        <v>5775</v>
      </c>
      <c r="B3633" s="124" t="s">
        <v>5776</v>
      </c>
      <c r="C3633" s="110">
        <v>22662</v>
      </c>
      <c r="D3633" s="109" t="s">
        <v>120</v>
      </c>
      <c r="E3633" s="109">
        <v>227</v>
      </c>
      <c r="F3633" s="110">
        <v>27898</v>
      </c>
      <c r="G3633" s="109" t="s">
        <v>120</v>
      </c>
      <c r="H3633" s="109">
        <v>123</v>
      </c>
      <c r="I3633" s="109">
        <v>243</v>
      </c>
      <c r="J3633" s="110">
        <v>207</v>
      </c>
    </row>
    <row r="3634" spans="1:10">
      <c r="A3634" s="103" t="s">
        <v>5777</v>
      </c>
      <c r="B3634" s="124" t="s">
        <v>932</v>
      </c>
      <c r="C3634" s="110">
        <v>1137</v>
      </c>
      <c r="D3634" s="109" t="s">
        <v>120</v>
      </c>
      <c r="E3634" s="109">
        <v>11</v>
      </c>
      <c r="F3634" s="110">
        <v>15014</v>
      </c>
      <c r="G3634" s="109" t="s">
        <v>120</v>
      </c>
      <c r="H3634" s="109">
        <v>1320</v>
      </c>
      <c r="I3634" s="109" t="s">
        <v>122</v>
      </c>
      <c r="J3634" s="110" t="s">
        <v>122</v>
      </c>
    </row>
    <row r="3635" spans="1:10">
      <c r="A3635" s="103" t="s">
        <v>5778</v>
      </c>
      <c r="B3635" s="124" t="s">
        <v>934</v>
      </c>
      <c r="C3635" s="110">
        <v>21525</v>
      </c>
      <c r="D3635" s="109" t="s">
        <v>120</v>
      </c>
      <c r="E3635" s="109">
        <v>216</v>
      </c>
      <c r="F3635" s="110">
        <v>12884</v>
      </c>
      <c r="G3635" s="109" t="s">
        <v>120</v>
      </c>
      <c r="H3635" s="109">
        <v>60</v>
      </c>
      <c r="I3635" s="109" t="s">
        <v>122</v>
      </c>
      <c r="J3635" s="110" t="s">
        <v>122</v>
      </c>
    </row>
    <row r="3636" spans="1:10">
      <c r="A3636" s="103" t="s">
        <v>5779</v>
      </c>
      <c r="B3636" s="124" t="s">
        <v>5780</v>
      </c>
      <c r="C3636" s="110">
        <v>14605</v>
      </c>
      <c r="D3636" s="109" t="s">
        <v>120</v>
      </c>
      <c r="E3636" s="109">
        <v>146</v>
      </c>
      <c r="F3636" s="110">
        <v>11536</v>
      </c>
      <c r="G3636" s="109" t="s">
        <v>120</v>
      </c>
      <c r="H3636" s="109">
        <v>79</v>
      </c>
      <c r="I3636" s="109">
        <v>720</v>
      </c>
      <c r="J3636" s="110">
        <v>740</v>
      </c>
    </row>
    <row r="3637" spans="1:10">
      <c r="A3637" s="103" t="s">
        <v>5781</v>
      </c>
      <c r="B3637" s="124" t="s">
        <v>932</v>
      </c>
      <c r="C3637" s="110">
        <v>968</v>
      </c>
      <c r="D3637" s="109" t="s">
        <v>120</v>
      </c>
      <c r="E3637" s="109">
        <v>10</v>
      </c>
      <c r="F3637" s="110">
        <v>3726</v>
      </c>
      <c r="G3637" s="109" t="s">
        <v>120</v>
      </c>
      <c r="H3637" s="109">
        <v>385</v>
      </c>
      <c r="I3637" s="109" t="s">
        <v>122</v>
      </c>
      <c r="J3637" s="110" t="s">
        <v>122</v>
      </c>
    </row>
    <row r="3638" spans="1:10">
      <c r="A3638" s="103" t="s">
        <v>5782</v>
      </c>
      <c r="B3638" s="124" t="s">
        <v>934</v>
      </c>
      <c r="C3638" s="110">
        <v>13637</v>
      </c>
      <c r="D3638" s="109" t="s">
        <v>120</v>
      </c>
      <c r="E3638" s="109">
        <v>136</v>
      </c>
      <c r="F3638" s="110">
        <v>7810</v>
      </c>
      <c r="G3638" s="109" t="s">
        <v>120</v>
      </c>
      <c r="H3638" s="109">
        <v>57</v>
      </c>
      <c r="I3638" s="109" t="s">
        <v>122</v>
      </c>
      <c r="J3638" s="110" t="s">
        <v>122</v>
      </c>
    </row>
    <row r="3639" spans="1:10">
      <c r="A3639" s="103" t="s">
        <v>5783</v>
      </c>
      <c r="B3639" s="124" t="s">
        <v>5784</v>
      </c>
      <c r="C3639" s="110">
        <v>14565</v>
      </c>
      <c r="D3639" s="109" t="s">
        <v>120</v>
      </c>
      <c r="E3639" s="109">
        <v>146</v>
      </c>
      <c r="F3639" s="110">
        <v>12413</v>
      </c>
      <c r="G3639" s="109" t="s">
        <v>120</v>
      </c>
      <c r="H3639" s="109">
        <v>85</v>
      </c>
      <c r="I3639" s="109">
        <v>724</v>
      </c>
      <c r="J3639" s="110">
        <v>672</v>
      </c>
    </row>
    <row r="3640" spans="1:10">
      <c r="A3640" s="103" t="s">
        <v>5785</v>
      </c>
      <c r="B3640" s="124" t="s">
        <v>932</v>
      </c>
      <c r="C3640" s="110">
        <v>792</v>
      </c>
      <c r="D3640" s="109" t="s">
        <v>120</v>
      </c>
      <c r="E3640" s="109">
        <v>8</v>
      </c>
      <c r="F3640" s="110">
        <v>6408</v>
      </c>
      <c r="G3640" s="109" t="s">
        <v>120</v>
      </c>
      <c r="H3640" s="109">
        <v>809</v>
      </c>
      <c r="I3640" s="109" t="s">
        <v>122</v>
      </c>
      <c r="J3640" s="110" t="s">
        <v>122</v>
      </c>
    </row>
    <row r="3641" spans="1:10">
      <c r="A3641" s="103" t="s">
        <v>5786</v>
      </c>
      <c r="B3641" s="124" t="s">
        <v>934</v>
      </c>
      <c r="C3641" s="110">
        <v>13773</v>
      </c>
      <c r="D3641" s="109" t="s">
        <v>120</v>
      </c>
      <c r="E3641" s="109">
        <v>138</v>
      </c>
      <c r="F3641" s="110">
        <v>6005</v>
      </c>
      <c r="G3641" s="109" t="s">
        <v>120</v>
      </c>
      <c r="H3641" s="109">
        <v>44</v>
      </c>
      <c r="I3641" s="109" t="s">
        <v>122</v>
      </c>
      <c r="J3641" s="110" t="s">
        <v>122</v>
      </c>
    </row>
    <row r="3642" spans="1:10" s="119" customFormat="1">
      <c r="A3642" s="123" t="s">
        <v>120</v>
      </c>
      <c r="B3642" s="273" t="s">
        <v>5787</v>
      </c>
      <c r="C3642" s="274"/>
      <c r="D3642" s="274"/>
      <c r="E3642" s="274"/>
      <c r="F3642" s="274"/>
      <c r="G3642" s="274"/>
      <c r="H3642" s="274"/>
      <c r="I3642" s="274"/>
      <c r="J3642" s="274"/>
    </row>
    <row r="3643" spans="1:10" s="119" customFormat="1">
      <c r="A3643" s="123" t="s">
        <v>120</v>
      </c>
      <c r="B3643" s="275" t="s">
        <v>943</v>
      </c>
      <c r="C3643" s="276"/>
      <c r="D3643" s="276"/>
      <c r="E3643" s="276"/>
      <c r="F3643" s="276"/>
      <c r="G3643" s="276"/>
      <c r="H3643" s="276"/>
      <c r="I3643" s="276"/>
      <c r="J3643" s="276"/>
    </row>
    <row r="3644" spans="1:10">
      <c r="A3644" s="103" t="s">
        <v>5788</v>
      </c>
      <c r="B3644" s="124" t="s">
        <v>5789</v>
      </c>
      <c r="C3644" s="110">
        <v>5748</v>
      </c>
      <c r="D3644" s="109" t="s">
        <v>120</v>
      </c>
      <c r="E3644" s="109">
        <v>57</v>
      </c>
      <c r="F3644" s="110">
        <v>3997</v>
      </c>
      <c r="G3644" s="109" t="s">
        <v>120</v>
      </c>
      <c r="H3644" s="109">
        <v>70</v>
      </c>
      <c r="I3644" s="109">
        <v>1963</v>
      </c>
      <c r="J3644" s="110">
        <v>1993</v>
      </c>
    </row>
    <row r="3645" spans="1:10">
      <c r="A3645" s="103" t="s">
        <v>5790</v>
      </c>
      <c r="B3645" s="124" t="s">
        <v>2675</v>
      </c>
      <c r="C3645" s="110">
        <v>7032</v>
      </c>
      <c r="D3645" s="109" t="s">
        <v>120</v>
      </c>
      <c r="E3645" s="109">
        <v>70</v>
      </c>
      <c r="F3645" s="110">
        <v>3758</v>
      </c>
      <c r="G3645" s="109" t="s">
        <v>120</v>
      </c>
      <c r="H3645" s="109">
        <v>53</v>
      </c>
      <c r="I3645" s="109">
        <v>1845</v>
      </c>
      <c r="J3645" s="110">
        <v>2053</v>
      </c>
    </row>
    <row r="3646" spans="1:10" s="119" customFormat="1">
      <c r="A3646" s="123" t="s">
        <v>120</v>
      </c>
      <c r="B3646" s="275" t="s">
        <v>947</v>
      </c>
      <c r="C3646" s="276"/>
      <c r="D3646" s="276"/>
      <c r="E3646" s="276"/>
      <c r="F3646" s="276"/>
      <c r="G3646" s="276"/>
      <c r="H3646" s="276"/>
      <c r="I3646" s="276"/>
      <c r="J3646" s="276"/>
    </row>
    <row r="3647" spans="1:10">
      <c r="A3647" s="103" t="s">
        <v>5791</v>
      </c>
      <c r="B3647" s="124" t="s">
        <v>5792</v>
      </c>
      <c r="C3647" s="110">
        <v>13986</v>
      </c>
      <c r="D3647" s="109" t="s">
        <v>120</v>
      </c>
      <c r="E3647" s="109">
        <v>140</v>
      </c>
      <c r="F3647" s="110">
        <v>16118</v>
      </c>
      <c r="G3647" s="109" t="s">
        <v>120</v>
      </c>
      <c r="H3647" s="109">
        <v>115</v>
      </c>
      <c r="I3647" s="109">
        <v>786</v>
      </c>
      <c r="J3647" s="110">
        <v>470</v>
      </c>
    </row>
    <row r="3648" spans="1:10">
      <c r="A3648" s="103" t="s">
        <v>5793</v>
      </c>
      <c r="B3648" s="124" t="s">
        <v>932</v>
      </c>
      <c r="C3648" s="110">
        <v>533</v>
      </c>
      <c r="D3648" s="109" t="s">
        <v>120</v>
      </c>
      <c r="E3648" s="109">
        <v>5</v>
      </c>
      <c r="F3648" s="110">
        <v>5523</v>
      </c>
      <c r="G3648" s="109" t="s">
        <v>120</v>
      </c>
      <c r="H3648" s="109">
        <v>1036</v>
      </c>
      <c r="I3648" s="109" t="s">
        <v>122</v>
      </c>
      <c r="J3648" s="110" t="s">
        <v>122</v>
      </c>
    </row>
    <row r="3649" spans="1:10">
      <c r="A3649" s="103" t="s">
        <v>5794</v>
      </c>
      <c r="B3649" s="124" t="s">
        <v>934</v>
      </c>
      <c r="C3649" s="110">
        <v>13453</v>
      </c>
      <c r="D3649" s="109" t="s">
        <v>120</v>
      </c>
      <c r="E3649" s="109">
        <v>135</v>
      </c>
      <c r="F3649" s="110">
        <v>10595</v>
      </c>
      <c r="G3649" s="109" t="s">
        <v>120</v>
      </c>
      <c r="H3649" s="109">
        <v>79</v>
      </c>
      <c r="I3649" s="109" t="s">
        <v>122</v>
      </c>
      <c r="J3649" s="110" t="s">
        <v>122</v>
      </c>
    </row>
    <row r="3650" spans="1:10">
      <c r="A3650" s="103" t="s">
        <v>5795</v>
      </c>
      <c r="B3650" s="124" t="s">
        <v>5796</v>
      </c>
      <c r="C3650" s="110">
        <v>6858</v>
      </c>
      <c r="D3650" s="109" t="s">
        <v>120</v>
      </c>
      <c r="E3650" s="109">
        <v>69</v>
      </c>
      <c r="F3650" s="110">
        <v>3283</v>
      </c>
      <c r="G3650" s="109" t="s">
        <v>120</v>
      </c>
      <c r="H3650" s="109">
        <v>48</v>
      </c>
      <c r="I3650" s="109">
        <v>1868</v>
      </c>
      <c r="J3650" s="110">
        <v>2149</v>
      </c>
    </row>
    <row r="3651" spans="1:10">
      <c r="A3651" s="103" t="s">
        <v>5797</v>
      </c>
      <c r="B3651" s="124" t="s">
        <v>932</v>
      </c>
      <c r="C3651" s="110">
        <v>547</v>
      </c>
      <c r="D3651" s="109" t="s">
        <v>120</v>
      </c>
      <c r="E3651" s="109">
        <v>6</v>
      </c>
      <c r="F3651" s="110">
        <v>338</v>
      </c>
      <c r="G3651" s="109" t="s">
        <v>120</v>
      </c>
      <c r="H3651" s="109">
        <v>62</v>
      </c>
      <c r="I3651" s="109" t="s">
        <v>122</v>
      </c>
      <c r="J3651" s="110" t="s">
        <v>122</v>
      </c>
    </row>
    <row r="3652" spans="1:10">
      <c r="A3652" s="103" t="s">
        <v>5798</v>
      </c>
      <c r="B3652" s="124" t="s">
        <v>934</v>
      </c>
      <c r="C3652" s="110">
        <v>6311</v>
      </c>
      <c r="D3652" s="109" t="s">
        <v>120</v>
      </c>
      <c r="E3652" s="109">
        <v>63</v>
      </c>
      <c r="F3652" s="110">
        <v>2945</v>
      </c>
      <c r="G3652" s="109" t="s">
        <v>120</v>
      </c>
      <c r="H3652" s="109">
        <v>47</v>
      </c>
      <c r="I3652" s="109" t="s">
        <v>122</v>
      </c>
      <c r="J3652" s="110" t="s">
        <v>122</v>
      </c>
    </row>
    <row r="3653" spans="1:10">
      <c r="A3653" s="103" t="s">
        <v>5799</v>
      </c>
      <c r="B3653" s="124" t="s">
        <v>5800</v>
      </c>
      <c r="C3653" s="110">
        <v>8594</v>
      </c>
      <c r="D3653" s="109" t="s">
        <v>120</v>
      </c>
      <c r="E3653" s="109">
        <v>86</v>
      </c>
      <c r="F3653" s="110">
        <v>6463</v>
      </c>
      <c r="G3653" s="109" t="s">
        <v>120</v>
      </c>
      <c r="H3653" s="109">
        <v>75</v>
      </c>
      <c r="I3653" s="109">
        <v>1596</v>
      </c>
      <c r="J3653" s="110">
        <v>1409</v>
      </c>
    </row>
    <row r="3654" spans="1:10">
      <c r="A3654" s="103" t="s">
        <v>5801</v>
      </c>
      <c r="B3654" s="124" t="s">
        <v>932</v>
      </c>
      <c r="C3654" s="110">
        <v>713</v>
      </c>
      <c r="D3654" s="109" t="s">
        <v>120</v>
      </c>
      <c r="E3654" s="109">
        <v>7</v>
      </c>
      <c r="F3654" s="110">
        <v>1275</v>
      </c>
      <c r="G3654" s="109" t="s">
        <v>120</v>
      </c>
      <c r="H3654" s="109">
        <v>179</v>
      </c>
      <c r="I3654" s="109" t="s">
        <v>122</v>
      </c>
      <c r="J3654" s="110" t="s">
        <v>122</v>
      </c>
    </row>
    <row r="3655" spans="1:10">
      <c r="A3655" s="103" t="s">
        <v>5802</v>
      </c>
      <c r="B3655" s="124" t="s">
        <v>934</v>
      </c>
      <c r="C3655" s="110">
        <v>7881</v>
      </c>
      <c r="D3655" s="109" t="s">
        <v>120</v>
      </c>
      <c r="E3655" s="109">
        <v>79</v>
      </c>
      <c r="F3655" s="110">
        <v>5188</v>
      </c>
      <c r="G3655" s="109" t="s">
        <v>120</v>
      </c>
      <c r="H3655" s="109">
        <v>66</v>
      </c>
      <c r="I3655" s="109" t="s">
        <v>122</v>
      </c>
      <c r="J3655" s="110" t="s">
        <v>122</v>
      </c>
    </row>
    <row r="3656" spans="1:10" s="119" customFormat="1">
      <c r="A3656" s="123" t="s">
        <v>120</v>
      </c>
      <c r="B3656" s="273" t="s">
        <v>5803</v>
      </c>
      <c r="C3656" s="274"/>
      <c r="D3656" s="274"/>
      <c r="E3656" s="274"/>
      <c r="F3656" s="274"/>
      <c r="G3656" s="274"/>
      <c r="H3656" s="274"/>
      <c r="I3656" s="274"/>
      <c r="J3656" s="274"/>
    </row>
    <row r="3657" spans="1:10" s="119" customFormat="1">
      <c r="A3657" s="123" t="s">
        <v>120</v>
      </c>
      <c r="B3657" s="275" t="s">
        <v>924</v>
      </c>
      <c r="C3657" s="276"/>
      <c r="D3657" s="276"/>
      <c r="E3657" s="276"/>
      <c r="F3657" s="276"/>
      <c r="G3657" s="276"/>
      <c r="H3657" s="276"/>
      <c r="I3657" s="276"/>
      <c r="J3657" s="276"/>
    </row>
    <row r="3658" spans="1:10">
      <c r="A3658" s="103" t="s">
        <v>5804</v>
      </c>
      <c r="B3658" s="124" t="s">
        <v>5805</v>
      </c>
      <c r="C3658" s="110">
        <v>8822</v>
      </c>
      <c r="D3658" s="109" t="s">
        <v>120</v>
      </c>
      <c r="E3658" s="109">
        <v>88</v>
      </c>
      <c r="F3658" s="110">
        <v>10299</v>
      </c>
      <c r="G3658" s="109" t="s">
        <v>120</v>
      </c>
      <c r="H3658" s="109">
        <v>117</v>
      </c>
      <c r="I3658" s="109">
        <v>1557</v>
      </c>
      <c r="J3658" s="110">
        <v>845</v>
      </c>
    </row>
    <row r="3659" spans="1:10">
      <c r="A3659" s="103" t="s">
        <v>5806</v>
      </c>
      <c r="B3659" s="124" t="s">
        <v>5807</v>
      </c>
      <c r="C3659" s="110">
        <v>8316</v>
      </c>
      <c r="D3659" s="109" t="s">
        <v>120</v>
      </c>
      <c r="E3659" s="109">
        <v>83</v>
      </c>
      <c r="F3659" s="110">
        <v>14559</v>
      </c>
      <c r="G3659" s="109" t="s">
        <v>120</v>
      </c>
      <c r="H3659" s="109">
        <v>175</v>
      </c>
      <c r="I3659" s="109">
        <v>1652</v>
      </c>
      <c r="J3659" s="110">
        <v>538</v>
      </c>
    </row>
    <row r="3660" spans="1:10">
      <c r="A3660" s="103" t="s">
        <v>5808</v>
      </c>
      <c r="B3660" s="124" t="s">
        <v>5809</v>
      </c>
      <c r="C3660" s="110">
        <v>17700</v>
      </c>
      <c r="D3660" s="109" t="s">
        <v>120</v>
      </c>
      <c r="E3660" s="109">
        <v>177</v>
      </c>
      <c r="F3660" s="110">
        <v>8984</v>
      </c>
      <c r="G3660" s="109" t="s">
        <v>120</v>
      </c>
      <c r="H3660" s="109">
        <v>51</v>
      </c>
      <c r="I3660" s="109">
        <v>471</v>
      </c>
      <c r="J3660" s="110">
        <v>987</v>
      </c>
    </row>
    <row r="3661" spans="1:10">
      <c r="A3661" s="103" t="s">
        <v>5810</v>
      </c>
      <c r="B3661" s="124" t="s">
        <v>5811</v>
      </c>
      <c r="C3661" s="110">
        <v>8555</v>
      </c>
      <c r="D3661" s="109" t="s">
        <v>120</v>
      </c>
      <c r="E3661" s="109">
        <v>86</v>
      </c>
      <c r="F3661" s="110">
        <v>11063</v>
      </c>
      <c r="G3661" s="109" t="s">
        <v>120</v>
      </c>
      <c r="H3661" s="109">
        <v>129</v>
      </c>
      <c r="I3661" s="109">
        <v>1608</v>
      </c>
      <c r="J3661" s="110">
        <v>780</v>
      </c>
    </row>
    <row r="3662" spans="1:10">
      <c r="A3662" s="103" t="s">
        <v>5812</v>
      </c>
      <c r="B3662" s="124" t="s">
        <v>5813</v>
      </c>
      <c r="C3662" s="110">
        <v>7114</v>
      </c>
      <c r="D3662" s="109" t="s">
        <v>120</v>
      </c>
      <c r="E3662" s="109">
        <v>71</v>
      </c>
      <c r="F3662" s="110">
        <v>11632</v>
      </c>
      <c r="G3662" s="109" t="s">
        <v>120</v>
      </c>
      <c r="H3662" s="109">
        <v>164</v>
      </c>
      <c r="I3662" s="109">
        <v>1833</v>
      </c>
      <c r="J3662" s="110">
        <v>728</v>
      </c>
    </row>
    <row r="3663" spans="1:10">
      <c r="A3663" s="103" t="s">
        <v>5814</v>
      </c>
      <c r="B3663" s="124" t="s">
        <v>5815</v>
      </c>
      <c r="C3663" s="110">
        <v>9528</v>
      </c>
      <c r="D3663" s="109" t="s">
        <v>120</v>
      </c>
      <c r="E3663" s="109">
        <v>95</v>
      </c>
      <c r="F3663" s="110">
        <v>9346</v>
      </c>
      <c r="G3663" s="109" t="s">
        <v>120</v>
      </c>
      <c r="H3663" s="109">
        <v>98</v>
      </c>
      <c r="I3663" s="109">
        <v>1464</v>
      </c>
      <c r="J3663" s="110">
        <v>935</v>
      </c>
    </row>
    <row r="3664" spans="1:10">
      <c r="A3664" s="103" t="s">
        <v>5816</v>
      </c>
      <c r="B3664" s="124" t="s">
        <v>5817</v>
      </c>
      <c r="C3664" s="110">
        <v>10297</v>
      </c>
      <c r="D3664" s="109" t="s">
        <v>120</v>
      </c>
      <c r="E3664" s="109">
        <v>103</v>
      </c>
      <c r="F3664" s="110">
        <v>16489</v>
      </c>
      <c r="G3664" s="109" t="s">
        <v>120</v>
      </c>
      <c r="H3664" s="109">
        <v>160</v>
      </c>
      <c r="I3664" s="109">
        <v>1339</v>
      </c>
      <c r="J3664" s="110">
        <v>454</v>
      </c>
    </row>
    <row r="3665" spans="1:10">
      <c r="A3665" s="103" t="s">
        <v>5818</v>
      </c>
      <c r="B3665" s="124" t="s">
        <v>5819</v>
      </c>
      <c r="C3665" s="110">
        <v>19062</v>
      </c>
      <c r="D3665" s="109" t="s">
        <v>120</v>
      </c>
      <c r="E3665" s="109">
        <v>191</v>
      </c>
      <c r="F3665" s="110">
        <v>5595</v>
      </c>
      <c r="G3665" s="109" t="s">
        <v>120</v>
      </c>
      <c r="H3665" s="109">
        <v>29</v>
      </c>
      <c r="I3665" s="109">
        <v>391</v>
      </c>
      <c r="J3665" s="110">
        <v>1593</v>
      </c>
    </row>
    <row r="3666" spans="1:10">
      <c r="A3666" s="103" t="s">
        <v>5820</v>
      </c>
      <c r="B3666" s="124" t="s">
        <v>5821</v>
      </c>
      <c r="C3666" s="110">
        <v>4561</v>
      </c>
      <c r="D3666" s="109" t="s">
        <v>120</v>
      </c>
      <c r="E3666" s="109">
        <v>46</v>
      </c>
      <c r="F3666" s="110">
        <v>7910</v>
      </c>
      <c r="G3666" s="109" t="s">
        <v>120</v>
      </c>
      <c r="H3666" s="109">
        <v>173</v>
      </c>
      <c r="I3666" s="109">
        <v>2057</v>
      </c>
      <c r="J3666" s="110">
        <v>1139</v>
      </c>
    </row>
    <row r="3667" spans="1:10">
      <c r="A3667" s="103" t="s">
        <v>5822</v>
      </c>
      <c r="B3667" s="124" t="s">
        <v>5823</v>
      </c>
      <c r="C3667" s="110">
        <v>8586</v>
      </c>
      <c r="D3667" s="109" t="s">
        <v>120</v>
      </c>
      <c r="E3667" s="109">
        <v>86</v>
      </c>
      <c r="F3667" s="110">
        <v>10874</v>
      </c>
      <c r="G3667" s="109" t="s">
        <v>120</v>
      </c>
      <c r="H3667" s="109">
        <v>127</v>
      </c>
      <c r="I3667" s="109">
        <v>1599</v>
      </c>
      <c r="J3667" s="110">
        <v>791</v>
      </c>
    </row>
    <row r="3668" spans="1:10">
      <c r="A3668" s="103" t="s">
        <v>5824</v>
      </c>
      <c r="B3668" s="124" t="s">
        <v>5825</v>
      </c>
      <c r="C3668" s="110">
        <v>12487</v>
      </c>
      <c r="D3668" s="109" t="s">
        <v>120</v>
      </c>
      <c r="E3668" s="109">
        <v>125</v>
      </c>
      <c r="F3668" s="110">
        <v>12982</v>
      </c>
      <c r="G3668" s="109" t="s">
        <v>120</v>
      </c>
      <c r="H3668" s="109">
        <v>104</v>
      </c>
      <c r="I3668" s="109">
        <v>979</v>
      </c>
      <c r="J3668" s="110">
        <v>633</v>
      </c>
    </row>
    <row r="3669" spans="1:10" s="119" customFormat="1">
      <c r="A3669" s="123" t="s">
        <v>120</v>
      </c>
      <c r="B3669" s="275" t="s">
        <v>1101</v>
      </c>
      <c r="C3669" s="276"/>
      <c r="D3669" s="276"/>
      <c r="E3669" s="276"/>
      <c r="F3669" s="276"/>
      <c r="G3669" s="276"/>
      <c r="H3669" s="276"/>
      <c r="I3669" s="276"/>
      <c r="J3669" s="276"/>
    </row>
    <row r="3670" spans="1:10">
      <c r="A3670" s="103" t="s">
        <v>5826</v>
      </c>
      <c r="B3670" s="124" t="s">
        <v>5827</v>
      </c>
      <c r="C3670" s="110">
        <v>15975</v>
      </c>
      <c r="D3670" s="109" t="s">
        <v>120</v>
      </c>
      <c r="E3670" s="109">
        <v>160</v>
      </c>
      <c r="F3670" s="110">
        <v>11479</v>
      </c>
      <c r="G3670" s="109" t="s">
        <v>120</v>
      </c>
      <c r="H3670" s="109">
        <v>72</v>
      </c>
      <c r="I3670" s="109">
        <v>599</v>
      </c>
      <c r="J3670" s="110">
        <v>746</v>
      </c>
    </row>
    <row r="3671" spans="1:10">
      <c r="A3671" s="103" t="s">
        <v>5828</v>
      </c>
      <c r="B3671" s="124" t="s">
        <v>932</v>
      </c>
      <c r="C3671" s="110">
        <v>865</v>
      </c>
      <c r="D3671" s="109" t="s">
        <v>120</v>
      </c>
      <c r="E3671" s="109">
        <v>8</v>
      </c>
      <c r="F3671" s="110">
        <v>2211</v>
      </c>
      <c r="G3671" s="109" t="s">
        <v>120</v>
      </c>
      <c r="H3671" s="109">
        <v>256</v>
      </c>
      <c r="I3671" s="109" t="s">
        <v>122</v>
      </c>
      <c r="J3671" s="110" t="s">
        <v>122</v>
      </c>
    </row>
    <row r="3672" spans="1:10">
      <c r="A3672" s="103" t="s">
        <v>5829</v>
      </c>
      <c r="B3672" s="124" t="s">
        <v>934</v>
      </c>
      <c r="C3672" s="110">
        <v>15110</v>
      </c>
      <c r="D3672" s="109" t="s">
        <v>120</v>
      </c>
      <c r="E3672" s="109">
        <v>152</v>
      </c>
      <c r="F3672" s="110">
        <v>9268</v>
      </c>
      <c r="G3672" s="109" t="s">
        <v>120</v>
      </c>
      <c r="H3672" s="109">
        <v>61</v>
      </c>
      <c r="I3672" s="109" t="s">
        <v>122</v>
      </c>
      <c r="J3672" s="110" t="s">
        <v>122</v>
      </c>
    </row>
    <row r="3673" spans="1:10">
      <c r="A3673" s="103" t="s">
        <v>5830</v>
      </c>
      <c r="B3673" s="124" t="s">
        <v>5831</v>
      </c>
      <c r="C3673" s="110">
        <v>12739</v>
      </c>
      <c r="D3673" s="109" t="s">
        <v>120</v>
      </c>
      <c r="E3673" s="109">
        <v>127</v>
      </c>
      <c r="F3673" s="110">
        <v>15111</v>
      </c>
      <c r="G3673" s="109" t="s">
        <v>120</v>
      </c>
      <c r="H3673" s="109">
        <v>119</v>
      </c>
      <c r="I3673" s="109">
        <v>951</v>
      </c>
      <c r="J3673" s="110">
        <v>514</v>
      </c>
    </row>
    <row r="3674" spans="1:10">
      <c r="A3674" s="103" t="s">
        <v>5832</v>
      </c>
      <c r="B3674" s="124" t="s">
        <v>932</v>
      </c>
      <c r="C3674" s="110">
        <v>1413</v>
      </c>
      <c r="D3674" s="109" t="s">
        <v>120</v>
      </c>
      <c r="E3674" s="109">
        <v>14</v>
      </c>
      <c r="F3674" s="110">
        <v>4430</v>
      </c>
      <c r="G3674" s="109" t="s">
        <v>120</v>
      </c>
      <c r="H3674" s="109">
        <v>314</v>
      </c>
      <c r="I3674" s="109" t="s">
        <v>122</v>
      </c>
      <c r="J3674" s="110" t="s">
        <v>122</v>
      </c>
    </row>
    <row r="3675" spans="1:10">
      <c r="A3675" s="103" t="s">
        <v>5833</v>
      </c>
      <c r="B3675" s="124" t="s">
        <v>934</v>
      </c>
      <c r="C3675" s="110">
        <v>11326</v>
      </c>
      <c r="D3675" s="109" t="s">
        <v>120</v>
      </c>
      <c r="E3675" s="109">
        <v>113</v>
      </c>
      <c r="F3675" s="110">
        <v>10681</v>
      </c>
      <c r="G3675" s="109" t="s">
        <v>120</v>
      </c>
      <c r="H3675" s="109">
        <v>94</v>
      </c>
      <c r="I3675" s="109" t="s">
        <v>122</v>
      </c>
      <c r="J3675" s="110" t="s">
        <v>122</v>
      </c>
    </row>
    <row r="3676" spans="1:10">
      <c r="A3676" s="103" t="s">
        <v>5834</v>
      </c>
      <c r="B3676" s="124" t="s">
        <v>4669</v>
      </c>
      <c r="C3676" s="110">
        <v>14219</v>
      </c>
      <c r="D3676" s="109" t="s">
        <v>120</v>
      </c>
      <c r="E3676" s="109">
        <v>142</v>
      </c>
      <c r="F3676" s="110">
        <v>11264</v>
      </c>
      <c r="G3676" s="109" t="s">
        <v>120</v>
      </c>
      <c r="H3676" s="109">
        <v>79</v>
      </c>
      <c r="I3676" s="109">
        <v>757</v>
      </c>
      <c r="J3676" s="110">
        <v>761</v>
      </c>
    </row>
    <row r="3677" spans="1:10">
      <c r="A3677" s="103" t="s">
        <v>5835</v>
      </c>
      <c r="B3677" s="124" t="s">
        <v>932</v>
      </c>
      <c r="C3677" s="110">
        <v>780</v>
      </c>
      <c r="D3677" s="109" t="s">
        <v>120</v>
      </c>
      <c r="E3677" s="109">
        <v>8</v>
      </c>
      <c r="F3677" s="110">
        <v>3662</v>
      </c>
      <c r="G3677" s="109" t="s">
        <v>120</v>
      </c>
      <c r="H3677" s="109">
        <v>469</v>
      </c>
      <c r="I3677" s="109" t="s">
        <v>122</v>
      </c>
      <c r="J3677" s="110" t="s">
        <v>122</v>
      </c>
    </row>
    <row r="3678" spans="1:10">
      <c r="A3678" s="103" t="s">
        <v>5836</v>
      </c>
      <c r="B3678" s="124" t="s">
        <v>934</v>
      </c>
      <c r="C3678" s="110">
        <v>13439</v>
      </c>
      <c r="D3678" s="109" t="s">
        <v>120</v>
      </c>
      <c r="E3678" s="109">
        <v>134</v>
      </c>
      <c r="F3678" s="110">
        <v>7602</v>
      </c>
      <c r="G3678" s="109" t="s">
        <v>120</v>
      </c>
      <c r="H3678" s="109">
        <v>57</v>
      </c>
      <c r="I3678" s="109" t="s">
        <v>122</v>
      </c>
      <c r="J3678" s="110" t="s">
        <v>122</v>
      </c>
    </row>
    <row r="3679" spans="1:10">
      <c r="A3679" s="103" t="s">
        <v>5837</v>
      </c>
      <c r="B3679" s="124" t="s">
        <v>5838</v>
      </c>
      <c r="C3679" s="110">
        <v>22239</v>
      </c>
      <c r="D3679" s="109" t="s">
        <v>120</v>
      </c>
      <c r="E3679" s="109">
        <v>222</v>
      </c>
      <c r="F3679" s="110">
        <v>15865</v>
      </c>
      <c r="G3679" s="109" t="s">
        <v>120</v>
      </c>
      <c r="H3679" s="109">
        <v>71</v>
      </c>
      <c r="I3679" s="109">
        <v>253</v>
      </c>
      <c r="J3679" s="110">
        <v>481</v>
      </c>
    </row>
    <row r="3680" spans="1:10">
      <c r="A3680" s="103" t="s">
        <v>5839</v>
      </c>
      <c r="B3680" s="124" t="s">
        <v>932</v>
      </c>
      <c r="C3680" s="110">
        <v>1550</v>
      </c>
      <c r="D3680" s="109" t="s">
        <v>120</v>
      </c>
      <c r="E3680" s="109">
        <v>16</v>
      </c>
      <c r="F3680" s="110">
        <v>2883</v>
      </c>
      <c r="G3680" s="109" t="s">
        <v>120</v>
      </c>
      <c r="H3680" s="109">
        <v>186</v>
      </c>
      <c r="I3680" s="109" t="s">
        <v>122</v>
      </c>
      <c r="J3680" s="110" t="s">
        <v>122</v>
      </c>
    </row>
    <row r="3681" spans="1:10">
      <c r="A3681" s="103" t="s">
        <v>5840</v>
      </c>
      <c r="B3681" s="124" t="s">
        <v>934</v>
      </c>
      <c r="C3681" s="110">
        <v>20689</v>
      </c>
      <c r="D3681" s="109" t="s">
        <v>120</v>
      </c>
      <c r="E3681" s="109">
        <v>206</v>
      </c>
      <c r="F3681" s="110">
        <v>12982</v>
      </c>
      <c r="G3681" s="109" t="s">
        <v>120</v>
      </c>
      <c r="H3681" s="109">
        <v>63</v>
      </c>
      <c r="I3681" s="109" t="s">
        <v>122</v>
      </c>
      <c r="J3681" s="110" t="s">
        <v>122</v>
      </c>
    </row>
    <row r="3682" spans="1:10">
      <c r="A3682" s="103" t="s">
        <v>5841</v>
      </c>
      <c r="B3682" s="124" t="s">
        <v>2384</v>
      </c>
      <c r="C3682" s="110">
        <v>11323</v>
      </c>
      <c r="D3682" s="109" t="s">
        <v>120</v>
      </c>
      <c r="E3682" s="109">
        <v>113</v>
      </c>
      <c r="F3682" s="110">
        <v>6880</v>
      </c>
      <c r="G3682" s="109" t="s">
        <v>120</v>
      </c>
      <c r="H3682" s="109">
        <v>61</v>
      </c>
      <c r="I3682" s="109">
        <v>1156</v>
      </c>
      <c r="J3682" s="110">
        <v>1322</v>
      </c>
    </row>
    <row r="3683" spans="1:10">
      <c r="A3683" s="103" t="s">
        <v>5842</v>
      </c>
      <c r="B3683" s="124" t="s">
        <v>932</v>
      </c>
      <c r="C3683" s="110">
        <v>822</v>
      </c>
      <c r="D3683" s="109" t="s">
        <v>120</v>
      </c>
      <c r="E3683" s="109">
        <v>8</v>
      </c>
      <c r="F3683" s="110">
        <v>1562</v>
      </c>
      <c r="G3683" s="109" t="s">
        <v>120</v>
      </c>
      <c r="H3683" s="109">
        <v>190</v>
      </c>
      <c r="I3683" s="109" t="s">
        <v>122</v>
      </c>
      <c r="J3683" s="110" t="s">
        <v>122</v>
      </c>
    </row>
    <row r="3684" spans="1:10">
      <c r="A3684" s="103" t="s">
        <v>5843</v>
      </c>
      <c r="B3684" s="124" t="s">
        <v>934</v>
      </c>
      <c r="C3684" s="110">
        <v>10501</v>
      </c>
      <c r="D3684" s="109" t="s">
        <v>120</v>
      </c>
      <c r="E3684" s="109">
        <v>105</v>
      </c>
      <c r="F3684" s="110">
        <v>5318</v>
      </c>
      <c r="G3684" s="109" t="s">
        <v>120</v>
      </c>
      <c r="H3684" s="109">
        <v>51</v>
      </c>
      <c r="I3684" s="109" t="s">
        <v>122</v>
      </c>
      <c r="J3684" s="110" t="s">
        <v>122</v>
      </c>
    </row>
    <row r="3685" spans="1:10">
      <c r="A3685" s="103" t="s">
        <v>5844</v>
      </c>
      <c r="B3685" s="124" t="s">
        <v>5845</v>
      </c>
      <c r="C3685" s="110">
        <v>14038</v>
      </c>
      <c r="D3685" s="109" t="s">
        <v>120</v>
      </c>
      <c r="E3685" s="109">
        <v>140</v>
      </c>
      <c r="F3685" s="110">
        <v>16756</v>
      </c>
      <c r="G3685" s="109" t="s">
        <v>120</v>
      </c>
      <c r="H3685" s="109">
        <v>119</v>
      </c>
      <c r="I3685" s="109">
        <v>779</v>
      </c>
      <c r="J3685" s="110">
        <v>442</v>
      </c>
    </row>
    <row r="3686" spans="1:10">
      <c r="A3686" s="103" t="s">
        <v>5846</v>
      </c>
      <c r="B3686" s="124" t="s">
        <v>932</v>
      </c>
      <c r="C3686" s="110">
        <v>438</v>
      </c>
      <c r="D3686" s="109" t="s">
        <v>120</v>
      </c>
      <c r="E3686" s="109">
        <v>4</v>
      </c>
      <c r="F3686" s="110">
        <v>1716</v>
      </c>
      <c r="G3686" s="109" t="s">
        <v>120</v>
      </c>
      <c r="H3686" s="109">
        <v>392</v>
      </c>
      <c r="I3686" s="109" t="s">
        <v>122</v>
      </c>
      <c r="J3686" s="110" t="s">
        <v>122</v>
      </c>
    </row>
    <row r="3687" spans="1:10">
      <c r="A3687" s="103" t="s">
        <v>5847</v>
      </c>
      <c r="B3687" s="124" t="s">
        <v>934</v>
      </c>
      <c r="C3687" s="110">
        <v>13600</v>
      </c>
      <c r="D3687" s="109" t="s">
        <v>120</v>
      </c>
      <c r="E3687" s="109">
        <v>136</v>
      </c>
      <c r="F3687" s="110">
        <v>15040</v>
      </c>
      <c r="G3687" s="109" t="s">
        <v>120</v>
      </c>
      <c r="H3687" s="109">
        <v>111</v>
      </c>
      <c r="I3687" s="109" t="s">
        <v>122</v>
      </c>
      <c r="J3687" s="110" t="s">
        <v>122</v>
      </c>
    </row>
    <row r="3688" spans="1:10">
      <c r="A3688" s="103" t="s">
        <v>5848</v>
      </c>
      <c r="B3688" s="124" t="s">
        <v>5849</v>
      </c>
      <c r="C3688" s="110">
        <v>8576</v>
      </c>
      <c r="D3688" s="109" t="s">
        <v>120</v>
      </c>
      <c r="E3688" s="109">
        <v>86</v>
      </c>
      <c r="F3688" s="110">
        <v>9471</v>
      </c>
      <c r="G3688" s="109" t="s">
        <v>120</v>
      </c>
      <c r="H3688" s="109">
        <v>110</v>
      </c>
      <c r="I3688" s="109">
        <v>1602</v>
      </c>
      <c r="J3688" s="110">
        <v>926</v>
      </c>
    </row>
    <row r="3689" spans="1:10">
      <c r="A3689" s="103" t="s">
        <v>5850</v>
      </c>
      <c r="B3689" s="124" t="s">
        <v>932</v>
      </c>
      <c r="C3689" s="110">
        <v>1397</v>
      </c>
      <c r="D3689" s="109" t="s">
        <v>120</v>
      </c>
      <c r="E3689" s="109">
        <v>14</v>
      </c>
      <c r="F3689" s="110">
        <v>1373</v>
      </c>
      <c r="G3689" s="109" t="s">
        <v>120</v>
      </c>
      <c r="H3689" s="109">
        <v>98</v>
      </c>
      <c r="I3689" s="109" t="s">
        <v>122</v>
      </c>
      <c r="J3689" s="110" t="s">
        <v>122</v>
      </c>
    </row>
    <row r="3690" spans="1:10">
      <c r="A3690" s="103" t="s">
        <v>5851</v>
      </c>
      <c r="B3690" s="124" t="s">
        <v>934</v>
      </c>
      <c r="C3690" s="110">
        <v>7179</v>
      </c>
      <c r="D3690" s="109" t="s">
        <v>120</v>
      </c>
      <c r="E3690" s="109">
        <v>72</v>
      </c>
      <c r="F3690" s="110">
        <v>8098</v>
      </c>
      <c r="G3690" s="109" t="s">
        <v>120</v>
      </c>
      <c r="H3690" s="109">
        <v>113</v>
      </c>
      <c r="I3690" s="109" t="s">
        <v>122</v>
      </c>
      <c r="J3690" s="110" t="s">
        <v>122</v>
      </c>
    </row>
    <row r="3691" spans="1:10">
      <c r="A3691" s="103" t="s">
        <v>5852</v>
      </c>
      <c r="B3691" s="124" t="s">
        <v>5853</v>
      </c>
      <c r="C3691" s="110">
        <v>10470</v>
      </c>
      <c r="D3691" s="109" t="s">
        <v>120</v>
      </c>
      <c r="E3691" s="109">
        <v>105</v>
      </c>
      <c r="F3691" s="110">
        <v>4700</v>
      </c>
      <c r="G3691" s="109" t="s">
        <v>120</v>
      </c>
      <c r="H3691" s="109">
        <v>45</v>
      </c>
      <c r="I3691" s="109">
        <v>1304</v>
      </c>
      <c r="J3691" s="110">
        <v>1817</v>
      </c>
    </row>
    <row r="3692" spans="1:10">
      <c r="A3692" s="103" t="s">
        <v>5854</v>
      </c>
      <c r="B3692" s="124" t="s">
        <v>932</v>
      </c>
      <c r="C3692" s="110">
        <v>693</v>
      </c>
      <c r="D3692" s="109" t="s">
        <v>120</v>
      </c>
      <c r="E3692" s="109">
        <v>7</v>
      </c>
      <c r="F3692" s="110">
        <v>1178</v>
      </c>
      <c r="G3692" s="109" t="s">
        <v>120</v>
      </c>
      <c r="H3692" s="109">
        <v>170</v>
      </c>
      <c r="I3692" s="109" t="s">
        <v>122</v>
      </c>
      <c r="J3692" s="110" t="s">
        <v>122</v>
      </c>
    </row>
    <row r="3693" spans="1:10">
      <c r="A3693" s="103" t="s">
        <v>5855</v>
      </c>
      <c r="B3693" s="124" t="s">
        <v>934</v>
      </c>
      <c r="C3693" s="110">
        <v>9777</v>
      </c>
      <c r="D3693" s="109" t="s">
        <v>120</v>
      </c>
      <c r="E3693" s="109">
        <v>98</v>
      </c>
      <c r="F3693" s="110">
        <v>3522</v>
      </c>
      <c r="G3693" s="109" t="s">
        <v>120</v>
      </c>
      <c r="H3693" s="109">
        <v>36</v>
      </c>
      <c r="I3693" s="109" t="s">
        <v>122</v>
      </c>
      <c r="J3693" s="110" t="s">
        <v>122</v>
      </c>
    </row>
    <row r="3694" spans="1:10" s="119" customFormat="1">
      <c r="A3694" s="123" t="s">
        <v>120</v>
      </c>
      <c r="B3694" s="273" t="s">
        <v>5856</v>
      </c>
      <c r="C3694" s="274"/>
      <c r="D3694" s="274"/>
      <c r="E3694" s="274"/>
      <c r="F3694" s="274"/>
      <c r="G3694" s="274"/>
      <c r="H3694" s="274"/>
      <c r="I3694" s="274"/>
      <c r="J3694" s="274"/>
    </row>
    <row r="3695" spans="1:10" s="119" customFormat="1">
      <c r="A3695" s="123" t="s">
        <v>120</v>
      </c>
      <c r="B3695" s="275" t="s">
        <v>924</v>
      </c>
      <c r="C3695" s="276"/>
      <c r="D3695" s="276"/>
      <c r="E3695" s="276"/>
      <c r="F3695" s="276"/>
      <c r="G3695" s="276"/>
      <c r="H3695" s="276"/>
      <c r="I3695" s="276"/>
      <c r="J3695" s="276"/>
    </row>
    <row r="3696" spans="1:10">
      <c r="A3696" s="103" t="s">
        <v>5857</v>
      </c>
      <c r="B3696" s="124" t="s">
        <v>5858</v>
      </c>
      <c r="C3696" s="110">
        <v>13237</v>
      </c>
      <c r="D3696" s="109" t="s">
        <v>120</v>
      </c>
      <c r="E3696" s="109">
        <v>132</v>
      </c>
      <c r="F3696" s="110">
        <v>4393</v>
      </c>
      <c r="G3696" s="109" t="s">
        <v>120</v>
      </c>
      <c r="H3696" s="109">
        <v>33</v>
      </c>
      <c r="I3696" s="109">
        <v>878</v>
      </c>
      <c r="J3696" s="110">
        <v>1891</v>
      </c>
    </row>
    <row r="3697" spans="1:10">
      <c r="A3697" s="103" t="s">
        <v>5859</v>
      </c>
      <c r="B3697" s="124" t="s">
        <v>5860</v>
      </c>
      <c r="C3697" s="110">
        <v>10096</v>
      </c>
      <c r="D3697" s="109" t="s">
        <v>120</v>
      </c>
      <c r="E3697" s="109">
        <v>101</v>
      </c>
      <c r="F3697" s="110">
        <v>4583</v>
      </c>
      <c r="G3697" s="109" t="s">
        <v>120</v>
      </c>
      <c r="H3697" s="109">
        <v>45</v>
      </c>
      <c r="I3697" s="109">
        <v>1373</v>
      </c>
      <c r="J3697" s="110">
        <v>1847</v>
      </c>
    </row>
    <row r="3698" spans="1:10">
      <c r="A3698" s="103" t="s">
        <v>5861</v>
      </c>
      <c r="B3698" s="124" t="s">
        <v>5862</v>
      </c>
      <c r="C3698" s="110">
        <v>11005</v>
      </c>
      <c r="D3698" s="109" t="s">
        <v>120</v>
      </c>
      <c r="E3698" s="109">
        <v>110</v>
      </c>
      <c r="F3698" s="110">
        <v>3069</v>
      </c>
      <c r="G3698" s="109" t="s">
        <v>120</v>
      </c>
      <c r="H3698" s="109">
        <v>28</v>
      </c>
      <c r="I3698" s="109">
        <v>1225</v>
      </c>
      <c r="J3698" s="110">
        <v>2188</v>
      </c>
    </row>
    <row r="3699" spans="1:10">
      <c r="A3699" s="103" t="s">
        <v>5863</v>
      </c>
      <c r="B3699" s="124" t="s">
        <v>5864</v>
      </c>
      <c r="C3699" s="110">
        <v>10580</v>
      </c>
      <c r="D3699" s="109" t="s">
        <v>120</v>
      </c>
      <c r="E3699" s="109">
        <v>106</v>
      </c>
      <c r="F3699" s="110">
        <v>3319</v>
      </c>
      <c r="G3699" s="109" t="s">
        <v>120</v>
      </c>
      <c r="H3699" s="109">
        <v>31</v>
      </c>
      <c r="I3699" s="109">
        <v>1290</v>
      </c>
      <c r="J3699" s="110">
        <v>2142</v>
      </c>
    </row>
    <row r="3700" spans="1:10">
      <c r="A3700" s="103" t="s">
        <v>5865</v>
      </c>
      <c r="B3700" s="124" t="s">
        <v>5866</v>
      </c>
      <c r="C3700" s="110">
        <v>6209</v>
      </c>
      <c r="D3700" s="109" t="s">
        <v>120</v>
      </c>
      <c r="E3700" s="109">
        <v>62</v>
      </c>
      <c r="F3700" s="110">
        <v>3792</v>
      </c>
      <c r="G3700" s="109" t="s">
        <v>120</v>
      </c>
      <c r="H3700" s="109">
        <v>61</v>
      </c>
      <c r="I3700" s="109">
        <v>1936</v>
      </c>
      <c r="J3700" s="110">
        <v>2046</v>
      </c>
    </row>
    <row r="3701" spans="1:10" s="119" customFormat="1">
      <c r="A3701" s="123" t="s">
        <v>120</v>
      </c>
      <c r="B3701" s="275" t="s">
        <v>947</v>
      </c>
      <c r="C3701" s="276"/>
      <c r="D3701" s="276"/>
      <c r="E3701" s="276"/>
      <c r="F3701" s="276"/>
      <c r="G3701" s="276"/>
      <c r="H3701" s="276"/>
      <c r="I3701" s="276"/>
      <c r="J3701" s="276"/>
    </row>
    <row r="3702" spans="1:10">
      <c r="A3702" s="103" t="s">
        <v>5867</v>
      </c>
      <c r="B3702" s="124" t="s">
        <v>5868</v>
      </c>
      <c r="C3702" s="110">
        <v>25014</v>
      </c>
      <c r="D3702" s="109" t="s">
        <v>120</v>
      </c>
      <c r="E3702" s="109">
        <v>250</v>
      </c>
      <c r="F3702" s="110">
        <v>35112</v>
      </c>
      <c r="G3702" s="109" t="s">
        <v>120</v>
      </c>
      <c r="H3702" s="109">
        <v>140</v>
      </c>
      <c r="I3702" s="109">
        <v>181</v>
      </c>
      <c r="J3702" s="110">
        <v>152</v>
      </c>
    </row>
    <row r="3703" spans="1:10">
      <c r="A3703" s="103" t="s">
        <v>5869</v>
      </c>
      <c r="B3703" s="124" t="s">
        <v>932</v>
      </c>
      <c r="C3703" s="110">
        <v>1770</v>
      </c>
      <c r="D3703" s="109" t="s">
        <v>120</v>
      </c>
      <c r="E3703" s="109">
        <v>18</v>
      </c>
      <c r="F3703" s="110">
        <v>19080</v>
      </c>
      <c r="G3703" s="109" t="s">
        <v>120</v>
      </c>
      <c r="H3703" s="109">
        <v>1078</v>
      </c>
      <c r="I3703" s="109" t="s">
        <v>122</v>
      </c>
      <c r="J3703" s="110" t="s">
        <v>122</v>
      </c>
    </row>
    <row r="3704" spans="1:10">
      <c r="A3704" s="103" t="s">
        <v>5870</v>
      </c>
      <c r="B3704" s="124" t="s">
        <v>934</v>
      </c>
      <c r="C3704" s="110">
        <v>23244</v>
      </c>
      <c r="D3704" s="109" t="s">
        <v>120</v>
      </c>
      <c r="E3704" s="109">
        <v>232</v>
      </c>
      <c r="F3704" s="110">
        <v>16032</v>
      </c>
      <c r="G3704" s="109" t="s">
        <v>120</v>
      </c>
      <c r="H3704" s="109">
        <v>69</v>
      </c>
      <c r="I3704" s="109" t="s">
        <v>122</v>
      </c>
      <c r="J3704" s="110" t="s">
        <v>122</v>
      </c>
    </row>
    <row r="3705" spans="1:10">
      <c r="A3705" s="103" t="s">
        <v>5871</v>
      </c>
      <c r="B3705" s="124" t="s">
        <v>5872</v>
      </c>
      <c r="C3705" s="110">
        <v>14664</v>
      </c>
      <c r="D3705" s="109" t="s">
        <v>120</v>
      </c>
      <c r="E3705" s="109">
        <v>146</v>
      </c>
      <c r="F3705" s="110">
        <v>8891</v>
      </c>
      <c r="G3705" s="109" t="s">
        <v>120</v>
      </c>
      <c r="H3705" s="109">
        <v>61</v>
      </c>
      <c r="I3705" s="109">
        <v>710</v>
      </c>
      <c r="J3705" s="110">
        <v>999</v>
      </c>
    </row>
    <row r="3706" spans="1:10">
      <c r="A3706" s="103" t="s">
        <v>5873</v>
      </c>
      <c r="B3706" s="124" t="s">
        <v>932</v>
      </c>
      <c r="C3706" s="110">
        <v>1717</v>
      </c>
      <c r="D3706" s="109" t="s">
        <v>120</v>
      </c>
      <c r="E3706" s="109">
        <v>17</v>
      </c>
      <c r="F3706" s="110">
        <v>3140</v>
      </c>
      <c r="G3706" s="109" t="s">
        <v>120</v>
      </c>
      <c r="H3706" s="109">
        <v>183</v>
      </c>
      <c r="I3706" s="109" t="s">
        <v>122</v>
      </c>
      <c r="J3706" s="110" t="s">
        <v>122</v>
      </c>
    </row>
    <row r="3707" spans="1:10">
      <c r="A3707" s="103" t="s">
        <v>5874</v>
      </c>
      <c r="B3707" s="124" t="s">
        <v>934</v>
      </c>
      <c r="C3707" s="110">
        <v>12947</v>
      </c>
      <c r="D3707" s="109" t="s">
        <v>120</v>
      </c>
      <c r="E3707" s="109">
        <v>129</v>
      </c>
      <c r="F3707" s="110">
        <v>5751</v>
      </c>
      <c r="G3707" s="109" t="s">
        <v>120</v>
      </c>
      <c r="H3707" s="109">
        <v>44</v>
      </c>
      <c r="I3707" s="109" t="s">
        <v>122</v>
      </c>
      <c r="J3707" s="110" t="s">
        <v>122</v>
      </c>
    </row>
    <row r="3708" spans="1:10">
      <c r="A3708" s="103" t="s">
        <v>5875</v>
      </c>
      <c r="B3708" s="124" t="s">
        <v>5876</v>
      </c>
      <c r="C3708" s="110">
        <v>23167</v>
      </c>
      <c r="D3708" s="109" t="s">
        <v>120</v>
      </c>
      <c r="E3708" s="109">
        <v>232</v>
      </c>
      <c r="F3708" s="110">
        <v>16699</v>
      </c>
      <c r="G3708" s="109" t="s">
        <v>120</v>
      </c>
      <c r="H3708" s="109">
        <v>72</v>
      </c>
      <c r="I3708" s="109">
        <v>227</v>
      </c>
      <c r="J3708" s="110">
        <v>445</v>
      </c>
    </row>
    <row r="3709" spans="1:10">
      <c r="A3709" s="103" t="s">
        <v>5877</v>
      </c>
      <c r="B3709" s="124" t="s">
        <v>932</v>
      </c>
      <c r="C3709" s="110">
        <v>1094</v>
      </c>
      <c r="D3709" s="109" t="s">
        <v>120</v>
      </c>
      <c r="E3709" s="109">
        <v>11</v>
      </c>
      <c r="F3709" s="110">
        <v>5630</v>
      </c>
      <c r="G3709" s="109" t="s">
        <v>120</v>
      </c>
      <c r="H3709" s="109">
        <v>515</v>
      </c>
      <c r="I3709" s="109" t="s">
        <v>122</v>
      </c>
      <c r="J3709" s="110" t="s">
        <v>122</v>
      </c>
    </row>
    <row r="3710" spans="1:10">
      <c r="A3710" s="103" t="s">
        <v>5878</v>
      </c>
      <c r="B3710" s="124" t="s">
        <v>934</v>
      </c>
      <c r="C3710" s="110">
        <v>22073</v>
      </c>
      <c r="D3710" s="109" t="s">
        <v>120</v>
      </c>
      <c r="E3710" s="109">
        <v>221</v>
      </c>
      <c r="F3710" s="110">
        <v>11069</v>
      </c>
      <c r="G3710" s="109" t="s">
        <v>120</v>
      </c>
      <c r="H3710" s="109">
        <v>50</v>
      </c>
      <c r="I3710" s="109" t="s">
        <v>122</v>
      </c>
      <c r="J3710" s="110" t="s">
        <v>122</v>
      </c>
    </row>
    <row r="3711" spans="1:10" s="119" customFormat="1">
      <c r="A3711" s="123" t="s">
        <v>120</v>
      </c>
      <c r="B3711" s="273" t="s">
        <v>5879</v>
      </c>
      <c r="C3711" s="274"/>
      <c r="D3711" s="274"/>
      <c r="E3711" s="274"/>
      <c r="F3711" s="274"/>
      <c r="G3711" s="274"/>
      <c r="H3711" s="274"/>
      <c r="I3711" s="274"/>
      <c r="J3711" s="274"/>
    </row>
    <row r="3712" spans="1:10" s="119" customFormat="1">
      <c r="A3712" s="123" t="s">
        <v>120</v>
      </c>
      <c r="B3712" s="275" t="s">
        <v>924</v>
      </c>
      <c r="C3712" s="276"/>
      <c r="D3712" s="276"/>
      <c r="E3712" s="276"/>
      <c r="F3712" s="276"/>
      <c r="G3712" s="276"/>
      <c r="H3712" s="276"/>
      <c r="I3712" s="276"/>
      <c r="J3712" s="276"/>
    </row>
    <row r="3713" spans="1:10">
      <c r="A3713" s="103" t="s">
        <v>5880</v>
      </c>
      <c r="B3713" s="124" t="s">
        <v>5881</v>
      </c>
      <c r="C3713" s="110">
        <v>9613</v>
      </c>
      <c r="D3713" s="109" t="s">
        <v>120</v>
      </c>
      <c r="E3713" s="109">
        <v>96</v>
      </c>
      <c r="F3713" s="110">
        <v>4868</v>
      </c>
      <c r="G3713" s="109" t="s">
        <v>120</v>
      </c>
      <c r="H3713" s="109">
        <v>51</v>
      </c>
      <c r="I3713" s="109">
        <v>1446</v>
      </c>
      <c r="J3713" s="110">
        <v>1775</v>
      </c>
    </row>
    <row r="3714" spans="1:10">
      <c r="A3714" s="103" t="s">
        <v>5882</v>
      </c>
      <c r="B3714" s="124" t="s">
        <v>5883</v>
      </c>
      <c r="C3714" s="110">
        <v>10489</v>
      </c>
      <c r="D3714" s="109" t="s">
        <v>120</v>
      </c>
      <c r="E3714" s="109">
        <v>105</v>
      </c>
      <c r="F3714" s="110">
        <v>6616</v>
      </c>
      <c r="G3714" s="109" t="s">
        <v>120</v>
      </c>
      <c r="H3714" s="109">
        <v>63</v>
      </c>
      <c r="I3714" s="109">
        <v>1301</v>
      </c>
      <c r="J3714" s="110">
        <v>1376</v>
      </c>
    </row>
    <row r="3715" spans="1:10">
      <c r="A3715" s="103" t="s">
        <v>5884</v>
      </c>
      <c r="B3715" s="124" t="s">
        <v>5885</v>
      </c>
      <c r="C3715" s="110">
        <v>8145</v>
      </c>
      <c r="D3715" s="109" t="s">
        <v>120</v>
      </c>
      <c r="E3715" s="109">
        <v>81</v>
      </c>
      <c r="F3715" s="110">
        <v>5206</v>
      </c>
      <c r="G3715" s="109" t="s">
        <v>120</v>
      </c>
      <c r="H3715" s="109">
        <v>64</v>
      </c>
      <c r="I3715" s="109">
        <v>1682</v>
      </c>
      <c r="J3715" s="110">
        <v>1685</v>
      </c>
    </row>
    <row r="3716" spans="1:10">
      <c r="A3716" s="103" t="s">
        <v>5886</v>
      </c>
      <c r="B3716" s="124" t="s">
        <v>5887</v>
      </c>
      <c r="C3716" s="110">
        <v>8181</v>
      </c>
      <c r="D3716" s="109" t="s">
        <v>120</v>
      </c>
      <c r="E3716" s="109">
        <v>82</v>
      </c>
      <c r="F3716" s="110">
        <v>3929</v>
      </c>
      <c r="G3716" s="109" t="s">
        <v>120</v>
      </c>
      <c r="H3716" s="109">
        <v>48</v>
      </c>
      <c r="I3716" s="109">
        <v>1675</v>
      </c>
      <c r="J3716" s="110">
        <v>2006</v>
      </c>
    </row>
    <row r="3717" spans="1:10">
      <c r="A3717" s="103" t="s">
        <v>5888</v>
      </c>
      <c r="B3717" s="124" t="s">
        <v>5889</v>
      </c>
      <c r="C3717" s="110">
        <v>16335</v>
      </c>
      <c r="D3717" s="109" t="s">
        <v>120</v>
      </c>
      <c r="E3717" s="109">
        <v>164</v>
      </c>
      <c r="F3717" s="110">
        <v>5139</v>
      </c>
      <c r="G3717" s="109" t="s">
        <v>120</v>
      </c>
      <c r="H3717" s="109">
        <v>31</v>
      </c>
      <c r="I3717" s="109">
        <v>564</v>
      </c>
      <c r="J3717" s="110">
        <v>1708</v>
      </c>
    </row>
    <row r="3718" spans="1:10">
      <c r="A3718" s="103" t="s">
        <v>5890</v>
      </c>
      <c r="B3718" s="124" t="s">
        <v>5891</v>
      </c>
      <c r="C3718" s="110">
        <v>8646</v>
      </c>
      <c r="D3718" s="109" t="s">
        <v>120</v>
      </c>
      <c r="E3718" s="109">
        <v>86</v>
      </c>
      <c r="F3718" s="110">
        <v>4006</v>
      </c>
      <c r="G3718" s="109" t="s">
        <v>120</v>
      </c>
      <c r="H3718" s="109">
        <v>46</v>
      </c>
      <c r="I3718" s="109">
        <v>1585</v>
      </c>
      <c r="J3718" s="110">
        <v>1992</v>
      </c>
    </row>
    <row r="3719" spans="1:10" s="119" customFormat="1">
      <c r="A3719" s="123" t="s">
        <v>120</v>
      </c>
      <c r="B3719" s="275" t="s">
        <v>1101</v>
      </c>
      <c r="C3719" s="276"/>
      <c r="D3719" s="276"/>
      <c r="E3719" s="276"/>
      <c r="F3719" s="276"/>
      <c r="G3719" s="276"/>
      <c r="H3719" s="276"/>
      <c r="I3719" s="276"/>
      <c r="J3719" s="276"/>
    </row>
    <row r="3720" spans="1:10">
      <c r="A3720" s="103" t="s">
        <v>5892</v>
      </c>
      <c r="B3720" s="124" t="s">
        <v>5491</v>
      </c>
      <c r="C3720" s="110">
        <v>11352</v>
      </c>
      <c r="D3720" s="109" t="s">
        <v>120</v>
      </c>
      <c r="E3720" s="109">
        <v>114</v>
      </c>
      <c r="F3720" s="110">
        <v>11663</v>
      </c>
      <c r="G3720" s="109" t="s">
        <v>120</v>
      </c>
      <c r="H3720" s="109">
        <v>103</v>
      </c>
      <c r="I3720" s="109">
        <v>1150</v>
      </c>
      <c r="J3720" s="110">
        <v>725</v>
      </c>
    </row>
    <row r="3721" spans="1:10">
      <c r="A3721" s="103" t="s">
        <v>5893</v>
      </c>
      <c r="B3721" s="124" t="s">
        <v>932</v>
      </c>
      <c r="C3721" s="110">
        <v>936</v>
      </c>
      <c r="D3721" s="109" t="s">
        <v>120</v>
      </c>
      <c r="E3721" s="109">
        <v>9</v>
      </c>
      <c r="F3721" s="110">
        <v>6457</v>
      </c>
      <c r="G3721" s="109" t="s">
        <v>120</v>
      </c>
      <c r="H3721" s="109">
        <v>690</v>
      </c>
      <c r="I3721" s="109" t="s">
        <v>122</v>
      </c>
      <c r="J3721" s="110" t="s">
        <v>122</v>
      </c>
    </row>
    <row r="3722" spans="1:10">
      <c r="A3722" s="103" t="s">
        <v>5894</v>
      </c>
      <c r="B3722" s="124" t="s">
        <v>934</v>
      </c>
      <c r="C3722" s="110">
        <v>10416</v>
      </c>
      <c r="D3722" s="109" t="s">
        <v>120</v>
      </c>
      <c r="E3722" s="109">
        <v>105</v>
      </c>
      <c r="F3722" s="110">
        <v>5206</v>
      </c>
      <c r="G3722" s="109" t="s">
        <v>120</v>
      </c>
      <c r="H3722" s="109">
        <v>50</v>
      </c>
      <c r="I3722" s="109" t="s">
        <v>122</v>
      </c>
      <c r="J3722" s="110" t="s">
        <v>122</v>
      </c>
    </row>
    <row r="3723" spans="1:10">
      <c r="A3723" s="103" t="s">
        <v>5895</v>
      </c>
      <c r="B3723" s="124" t="s">
        <v>5896</v>
      </c>
      <c r="C3723" s="110">
        <v>18329</v>
      </c>
      <c r="D3723" s="109" t="s">
        <v>120</v>
      </c>
      <c r="E3723" s="109">
        <v>183</v>
      </c>
      <c r="F3723" s="110">
        <v>10662</v>
      </c>
      <c r="G3723" s="109" t="s">
        <v>120</v>
      </c>
      <c r="H3723" s="109">
        <v>58</v>
      </c>
      <c r="I3723" s="109">
        <v>432</v>
      </c>
      <c r="J3723" s="110">
        <v>816</v>
      </c>
    </row>
    <row r="3724" spans="1:10">
      <c r="A3724" s="103" t="s">
        <v>5897</v>
      </c>
      <c r="B3724" s="124" t="s">
        <v>932</v>
      </c>
      <c r="C3724" s="110">
        <v>779</v>
      </c>
      <c r="D3724" s="109" t="s">
        <v>120</v>
      </c>
      <c r="E3724" s="109">
        <v>8</v>
      </c>
      <c r="F3724" s="110">
        <v>4534</v>
      </c>
      <c r="G3724" s="109" t="s">
        <v>120</v>
      </c>
      <c r="H3724" s="109">
        <v>582</v>
      </c>
      <c r="I3724" s="109" t="s">
        <v>122</v>
      </c>
      <c r="J3724" s="110" t="s">
        <v>122</v>
      </c>
    </row>
    <row r="3725" spans="1:10">
      <c r="A3725" s="103" t="s">
        <v>5898</v>
      </c>
      <c r="B3725" s="124" t="s">
        <v>934</v>
      </c>
      <c r="C3725" s="110">
        <v>17550</v>
      </c>
      <c r="D3725" s="109" t="s">
        <v>120</v>
      </c>
      <c r="E3725" s="109">
        <v>175</v>
      </c>
      <c r="F3725" s="110">
        <v>6128</v>
      </c>
      <c r="G3725" s="109" t="s">
        <v>120</v>
      </c>
      <c r="H3725" s="109">
        <v>35</v>
      </c>
      <c r="I3725" s="109" t="s">
        <v>122</v>
      </c>
      <c r="J3725" s="110" t="s">
        <v>122</v>
      </c>
    </row>
    <row r="3726" spans="1:10" s="119" customFormat="1">
      <c r="A3726" s="123" t="s">
        <v>120</v>
      </c>
      <c r="B3726" s="273" t="s">
        <v>5899</v>
      </c>
      <c r="C3726" s="274"/>
      <c r="D3726" s="274"/>
      <c r="E3726" s="274"/>
      <c r="F3726" s="274"/>
      <c r="G3726" s="274"/>
      <c r="H3726" s="274"/>
      <c r="I3726" s="274"/>
      <c r="J3726" s="274"/>
    </row>
    <row r="3727" spans="1:10" s="119" customFormat="1">
      <c r="A3727" s="123" t="s">
        <v>120</v>
      </c>
      <c r="B3727" s="275" t="s">
        <v>1019</v>
      </c>
      <c r="C3727" s="276"/>
      <c r="D3727" s="276"/>
      <c r="E3727" s="276"/>
      <c r="F3727" s="276"/>
      <c r="G3727" s="276"/>
      <c r="H3727" s="276"/>
      <c r="I3727" s="276"/>
      <c r="J3727" s="276"/>
    </row>
    <row r="3728" spans="1:10">
      <c r="A3728" s="103" t="s">
        <v>5900</v>
      </c>
      <c r="B3728" s="124" t="s">
        <v>5901</v>
      </c>
      <c r="C3728" s="110">
        <v>4643</v>
      </c>
      <c r="D3728" s="109" t="s">
        <v>120</v>
      </c>
      <c r="E3728" s="109">
        <v>46</v>
      </c>
      <c r="F3728" s="110">
        <v>68338</v>
      </c>
      <c r="G3728" s="109" t="s">
        <v>120</v>
      </c>
      <c r="H3728" s="109">
        <v>1472</v>
      </c>
      <c r="I3728" s="109">
        <v>2049</v>
      </c>
      <c r="J3728" s="110">
        <v>56</v>
      </c>
    </row>
    <row r="3729" spans="1:10" s="119" customFormat="1">
      <c r="A3729" s="123" t="s">
        <v>120</v>
      </c>
      <c r="B3729" s="275" t="s">
        <v>943</v>
      </c>
      <c r="C3729" s="276"/>
      <c r="D3729" s="276"/>
      <c r="E3729" s="276"/>
      <c r="F3729" s="276"/>
      <c r="G3729" s="276"/>
      <c r="H3729" s="276"/>
      <c r="I3729" s="276"/>
      <c r="J3729" s="276"/>
    </row>
    <row r="3730" spans="1:10">
      <c r="A3730" s="103" t="s">
        <v>5902</v>
      </c>
      <c r="B3730" s="124" t="s">
        <v>5903</v>
      </c>
      <c r="C3730" s="110">
        <v>10507</v>
      </c>
      <c r="D3730" s="109" t="s">
        <v>120</v>
      </c>
      <c r="E3730" s="109">
        <v>105</v>
      </c>
      <c r="F3730" s="110">
        <v>3410</v>
      </c>
      <c r="G3730" s="109" t="s">
        <v>120</v>
      </c>
      <c r="H3730" s="109">
        <v>32</v>
      </c>
      <c r="I3730" s="109">
        <v>1298</v>
      </c>
      <c r="J3730" s="110">
        <v>2124</v>
      </c>
    </row>
    <row r="3731" spans="1:10">
      <c r="A3731" s="103" t="s">
        <v>5904</v>
      </c>
      <c r="B3731" s="124" t="s">
        <v>5905</v>
      </c>
      <c r="C3731" s="110">
        <v>12219</v>
      </c>
      <c r="D3731" s="109" t="s">
        <v>120</v>
      </c>
      <c r="E3731" s="109">
        <v>122</v>
      </c>
      <c r="F3731" s="110">
        <v>13326</v>
      </c>
      <c r="G3731" s="109" t="s">
        <v>120</v>
      </c>
      <c r="H3731" s="109">
        <v>109</v>
      </c>
      <c r="I3731" s="109">
        <v>1022</v>
      </c>
      <c r="J3731" s="110">
        <v>603</v>
      </c>
    </row>
    <row r="3732" spans="1:10">
      <c r="A3732" s="103" t="s">
        <v>5906</v>
      </c>
      <c r="B3732" s="124" t="s">
        <v>5907</v>
      </c>
      <c r="C3732" s="110">
        <v>11162</v>
      </c>
      <c r="D3732" s="109" t="s">
        <v>120</v>
      </c>
      <c r="E3732" s="109">
        <v>112</v>
      </c>
      <c r="F3732" s="110">
        <v>6781</v>
      </c>
      <c r="G3732" s="109" t="s">
        <v>120</v>
      </c>
      <c r="H3732" s="109">
        <v>61</v>
      </c>
      <c r="I3732" s="109">
        <v>1188</v>
      </c>
      <c r="J3732" s="110">
        <v>1344</v>
      </c>
    </row>
    <row r="3733" spans="1:10" s="119" customFormat="1">
      <c r="A3733" s="123" t="s">
        <v>120</v>
      </c>
      <c r="B3733" s="275" t="s">
        <v>947</v>
      </c>
      <c r="C3733" s="276"/>
      <c r="D3733" s="276"/>
      <c r="E3733" s="276"/>
      <c r="F3733" s="276"/>
      <c r="G3733" s="276"/>
      <c r="H3733" s="276"/>
      <c r="I3733" s="276"/>
      <c r="J3733" s="276"/>
    </row>
    <row r="3734" spans="1:10">
      <c r="A3734" s="103" t="s">
        <v>5908</v>
      </c>
      <c r="B3734" s="124" t="s">
        <v>5909</v>
      </c>
      <c r="C3734" s="110">
        <v>11791</v>
      </c>
      <c r="D3734" s="109" t="s">
        <v>120</v>
      </c>
      <c r="E3734" s="109">
        <v>118</v>
      </c>
      <c r="F3734" s="110">
        <v>7330</v>
      </c>
      <c r="G3734" s="109" t="s">
        <v>120</v>
      </c>
      <c r="H3734" s="109">
        <v>62</v>
      </c>
      <c r="I3734" s="109">
        <v>1081</v>
      </c>
      <c r="J3734" s="110">
        <v>1235</v>
      </c>
    </row>
    <row r="3735" spans="1:10">
      <c r="A3735" s="103" t="s">
        <v>5910</v>
      </c>
      <c r="B3735" s="124" t="s">
        <v>932</v>
      </c>
      <c r="C3735" s="110">
        <v>1334</v>
      </c>
      <c r="D3735" s="109" t="s">
        <v>120</v>
      </c>
      <c r="E3735" s="109">
        <v>14</v>
      </c>
      <c r="F3735" s="110">
        <v>3021</v>
      </c>
      <c r="G3735" s="109" t="s">
        <v>120</v>
      </c>
      <c r="H3735" s="109">
        <v>226</v>
      </c>
      <c r="I3735" s="109" t="s">
        <v>122</v>
      </c>
      <c r="J3735" s="110" t="s">
        <v>122</v>
      </c>
    </row>
    <row r="3736" spans="1:10">
      <c r="A3736" s="103" t="s">
        <v>5911</v>
      </c>
      <c r="B3736" s="124" t="s">
        <v>934</v>
      </c>
      <c r="C3736" s="110">
        <v>10457</v>
      </c>
      <c r="D3736" s="109" t="s">
        <v>120</v>
      </c>
      <c r="E3736" s="109">
        <v>104</v>
      </c>
      <c r="F3736" s="110">
        <v>4309</v>
      </c>
      <c r="G3736" s="109" t="s">
        <v>120</v>
      </c>
      <c r="H3736" s="109">
        <v>41</v>
      </c>
      <c r="I3736" s="109" t="s">
        <v>122</v>
      </c>
      <c r="J3736" s="110" t="s">
        <v>122</v>
      </c>
    </row>
    <row r="3737" spans="1:10">
      <c r="A3737" s="103" t="s">
        <v>5912</v>
      </c>
      <c r="B3737" s="124" t="s">
        <v>5913</v>
      </c>
      <c r="C3737" s="110">
        <v>11356</v>
      </c>
      <c r="D3737" s="109" t="s">
        <v>120</v>
      </c>
      <c r="E3737" s="109">
        <v>114</v>
      </c>
      <c r="F3737" s="110">
        <v>9779</v>
      </c>
      <c r="G3737" s="109" t="s">
        <v>120</v>
      </c>
      <c r="H3737" s="109">
        <v>86</v>
      </c>
      <c r="I3737" s="109">
        <v>1148</v>
      </c>
      <c r="J3737" s="110">
        <v>898</v>
      </c>
    </row>
    <row r="3738" spans="1:10">
      <c r="A3738" s="103" t="s">
        <v>5914</v>
      </c>
      <c r="B3738" s="124" t="s">
        <v>932</v>
      </c>
      <c r="C3738" s="110">
        <v>726</v>
      </c>
      <c r="D3738" s="109" t="s">
        <v>120</v>
      </c>
      <c r="E3738" s="109">
        <v>7</v>
      </c>
      <c r="F3738" s="110">
        <v>2936</v>
      </c>
      <c r="G3738" s="109" t="s">
        <v>120</v>
      </c>
      <c r="H3738" s="109">
        <v>404</v>
      </c>
      <c r="I3738" s="109" t="s">
        <v>122</v>
      </c>
      <c r="J3738" s="110" t="s">
        <v>122</v>
      </c>
    </row>
    <row r="3739" spans="1:10">
      <c r="A3739" s="103" t="s">
        <v>5915</v>
      </c>
      <c r="B3739" s="124" t="s">
        <v>934</v>
      </c>
      <c r="C3739" s="110">
        <v>10630</v>
      </c>
      <c r="D3739" s="109" t="s">
        <v>120</v>
      </c>
      <c r="E3739" s="109">
        <v>107</v>
      </c>
      <c r="F3739" s="110">
        <v>6843</v>
      </c>
      <c r="G3739" s="109" t="s">
        <v>120</v>
      </c>
      <c r="H3739" s="109">
        <v>64</v>
      </c>
      <c r="I3739" s="109" t="s">
        <v>122</v>
      </c>
      <c r="J3739" s="110" t="s">
        <v>122</v>
      </c>
    </row>
    <row r="3740" spans="1:10" s="119" customFormat="1">
      <c r="A3740" s="123" t="s">
        <v>120</v>
      </c>
      <c r="B3740" s="273" t="s">
        <v>5916</v>
      </c>
      <c r="C3740" s="274"/>
      <c r="D3740" s="274"/>
      <c r="E3740" s="274"/>
      <c r="F3740" s="274"/>
      <c r="G3740" s="274"/>
      <c r="H3740" s="274"/>
      <c r="I3740" s="274"/>
      <c r="J3740" s="274"/>
    </row>
    <row r="3741" spans="1:10" s="119" customFormat="1">
      <c r="A3741" s="123" t="s">
        <v>120</v>
      </c>
      <c r="B3741" s="275" t="s">
        <v>924</v>
      </c>
      <c r="C3741" s="276"/>
      <c r="D3741" s="276"/>
      <c r="E3741" s="276"/>
      <c r="F3741" s="276"/>
      <c r="G3741" s="276"/>
      <c r="H3741" s="276"/>
      <c r="I3741" s="276"/>
      <c r="J3741" s="276"/>
    </row>
    <row r="3742" spans="1:10">
      <c r="A3742" s="103" t="s">
        <v>5917</v>
      </c>
      <c r="B3742" s="124" t="s">
        <v>5918</v>
      </c>
      <c r="C3742" s="110">
        <v>10017</v>
      </c>
      <c r="D3742" s="109" t="s">
        <v>120</v>
      </c>
      <c r="E3742" s="109">
        <v>100</v>
      </c>
      <c r="F3742" s="110">
        <v>4373</v>
      </c>
      <c r="G3742" s="109" t="s">
        <v>120</v>
      </c>
      <c r="H3742" s="109">
        <v>44</v>
      </c>
      <c r="I3742" s="109">
        <v>1386</v>
      </c>
      <c r="J3742" s="110">
        <v>1898</v>
      </c>
    </row>
    <row r="3743" spans="1:10">
      <c r="A3743" s="103" t="s">
        <v>5919</v>
      </c>
      <c r="B3743" s="124" t="s">
        <v>5920</v>
      </c>
      <c r="C3743" s="110">
        <v>11209</v>
      </c>
      <c r="D3743" s="109" t="s">
        <v>120</v>
      </c>
      <c r="E3743" s="109">
        <v>112</v>
      </c>
      <c r="F3743" s="110">
        <v>4564</v>
      </c>
      <c r="G3743" s="109" t="s">
        <v>120</v>
      </c>
      <c r="H3743" s="109">
        <v>41</v>
      </c>
      <c r="I3743" s="109">
        <v>1176</v>
      </c>
      <c r="J3743" s="110">
        <v>1854</v>
      </c>
    </row>
    <row r="3744" spans="1:10">
      <c r="A3744" s="103" t="s">
        <v>5921</v>
      </c>
      <c r="B3744" s="124" t="s">
        <v>5922</v>
      </c>
      <c r="C3744" s="110">
        <v>8201</v>
      </c>
      <c r="D3744" s="109" t="s">
        <v>120</v>
      </c>
      <c r="E3744" s="109">
        <v>82</v>
      </c>
      <c r="F3744" s="110">
        <v>4463</v>
      </c>
      <c r="G3744" s="109" t="s">
        <v>120</v>
      </c>
      <c r="H3744" s="109">
        <v>54</v>
      </c>
      <c r="I3744" s="109">
        <v>1671</v>
      </c>
      <c r="J3744" s="110">
        <v>1877</v>
      </c>
    </row>
    <row r="3745" spans="1:10" s="119" customFormat="1">
      <c r="A3745" s="123" t="s">
        <v>120</v>
      </c>
      <c r="B3745" s="275" t="s">
        <v>947</v>
      </c>
      <c r="C3745" s="276"/>
      <c r="D3745" s="276"/>
      <c r="E3745" s="276"/>
      <c r="F3745" s="276"/>
      <c r="G3745" s="276"/>
      <c r="H3745" s="276"/>
      <c r="I3745" s="276"/>
      <c r="J3745" s="276"/>
    </row>
    <row r="3746" spans="1:10">
      <c r="A3746" s="103" t="s">
        <v>5923</v>
      </c>
      <c r="B3746" s="124" t="s">
        <v>5924</v>
      </c>
      <c r="C3746" s="110">
        <v>10576</v>
      </c>
      <c r="D3746" s="109" t="s">
        <v>120</v>
      </c>
      <c r="E3746" s="109">
        <v>106</v>
      </c>
      <c r="F3746" s="110">
        <v>4900</v>
      </c>
      <c r="G3746" s="109" t="s">
        <v>120</v>
      </c>
      <c r="H3746" s="109">
        <v>46</v>
      </c>
      <c r="I3746" s="109">
        <v>1292</v>
      </c>
      <c r="J3746" s="110">
        <v>1764</v>
      </c>
    </row>
    <row r="3747" spans="1:10">
      <c r="A3747" s="103" t="s">
        <v>5925</v>
      </c>
      <c r="B3747" s="124" t="s">
        <v>932</v>
      </c>
      <c r="C3747" s="110">
        <v>192</v>
      </c>
      <c r="D3747" s="109" t="s">
        <v>120</v>
      </c>
      <c r="E3747" s="109">
        <v>2</v>
      </c>
      <c r="F3747" s="110">
        <v>897</v>
      </c>
      <c r="G3747" s="109" t="s">
        <v>120</v>
      </c>
      <c r="H3747" s="109">
        <v>467</v>
      </c>
      <c r="I3747" s="109" t="s">
        <v>122</v>
      </c>
      <c r="J3747" s="110" t="s">
        <v>122</v>
      </c>
    </row>
    <row r="3748" spans="1:10">
      <c r="A3748" s="103" t="s">
        <v>5926</v>
      </c>
      <c r="B3748" s="124" t="s">
        <v>934</v>
      </c>
      <c r="C3748" s="110">
        <v>10384</v>
      </c>
      <c r="D3748" s="109" t="s">
        <v>120</v>
      </c>
      <c r="E3748" s="109">
        <v>104</v>
      </c>
      <c r="F3748" s="110">
        <v>4003</v>
      </c>
      <c r="G3748" s="109" t="s">
        <v>120</v>
      </c>
      <c r="H3748" s="109">
        <v>39</v>
      </c>
      <c r="I3748" s="109" t="s">
        <v>122</v>
      </c>
      <c r="J3748" s="110" t="s">
        <v>122</v>
      </c>
    </row>
    <row r="3749" spans="1:10">
      <c r="A3749" s="103" t="s">
        <v>5927</v>
      </c>
      <c r="B3749" s="124" t="s">
        <v>5928</v>
      </c>
      <c r="C3749" s="110">
        <v>21282</v>
      </c>
      <c r="D3749" s="109" t="s">
        <v>120</v>
      </c>
      <c r="E3749" s="109">
        <v>213</v>
      </c>
      <c r="F3749" s="110">
        <v>20626</v>
      </c>
      <c r="G3749" s="109" t="s">
        <v>120</v>
      </c>
      <c r="H3749" s="109">
        <v>97</v>
      </c>
      <c r="I3749" s="109">
        <v>281</v>
      </c>
      <c r="J3749" s="110">
        <v>328</v>
      </c>
    </row>
    <row r="3750" spans="1:10">
      <c r="A3750" s="103" t="s">
        <v>5929</v>
      </c>
      <c r="B3750" s="124" t="s">
        <v>932</v>
      </c>
      <c r="C3750" s="110">
        <v>1433</v>
      </c>
      <c r="D3750" s="109" t="s">
        <v>120</v>
      </c>
      <c r="E3750" s="109">
        <v>14</v>
      </c>
      <c r="F3750" s="110">
        <v>10717</v>
      </c>
      <c r="G3750" s="109" t="s">
        <v>120</v>
      </c>
      <c r="H3750" s="109">
        <v>748</v>
      </c>
      <c r="I3750" s="109" t="s">
        <v>122</v>
      </c>
      <c r="J3750" s="110" t="s">
        <v>122</v>
      </c>
    </row>
    <row r="3751" spans="1:10">
      <c r="A3751" s="103" t="s">
        <v>5930</v>
      </c>
      <c r="B3751" s="124" t="s">
        <v>934</v>
      </c>
      <c r="C3751" s="110">
        <v>19849</v>
      </c>
      <c r="D3751" s="109" t="s">
        <v>120</v>
      </c>
      <c r="E3751" s="109">
        <v>199</v>
      </c>
      <c r="F3751" s="110">
        <v>9909</v>
      </c>
      <c r="G3751" s="109" t="s">
        <v>120</v>
      </c>
      <c r="H3751" s="109">
        <v>50</v>
      </c>
      <c r="I3751" s="109" t="s">
        <v>122</v>
      </c>
      <c r="J3751" s="110" t="s">
        <v>122</v>
      </c>
    </row>
    <row r="3752" spans="1:10" s="119" customFormat="1">
      <c r="A3752" s="123" t="s">
        <v>120</v>
      </c>
      <c r="B3752" s="273" t="s">
        <v>5931</v>
      </c>
      <c r="C3752" s="274"/>
      <c r="D3752" s="274"/>
      <c r="E3752" s="274"/>
      <c r="F3752" s="274"/>
      <c r="G3752" s="274"/>
      <c r="H3752" s="274"/>
      <c r="I3752" s="274"/>
      <c r="J3752" s="274"/>
    </row>
    <row r="3753" spans="1:10" s="119" customFormat="1">
      <c r="A3753" s="123" t="s">
        <v>120</v>
      </c>
      <c r="B3753" s="275" t="s">
        <v>957</v>
      </c>
      <c r="C3753" s="276"/>
      <c r="D3753" s="276"/>
      <c r="E3753" s="276"/>
      <c r="F3753" s="276"/>
      <c r="G3753" s="276"/>
      <c r="H3753" s="276"/>
      <c r="I3753" s="276"/>
      <c r="J3753" s="276"/>
    </row>
    <row r="3754" spans="1:10">
      <c r="A3754" s="103" t="s">
        <v>5932</v>
      </c>
      <c r="B3754" s="124" t="s">
        <v>5933</v>
      </c>
      <c r="C3754" s="110">
        <v>2869</v>
      </c>
      <c r="D3754" s="105" t="s">
        <v>1075</v>
      </c>
      <c r="E3754" s="109">
        <v>29</v>
      </c>
      <c r="F3754" s="110">
        <v>23362</v>
      </c>
      <c r="G3754" s="109" t="s">
        <v>120</v>
      </c>
      <c r="H3754" s="109">
        <v>814</v>
      </c>
      <c r="I3754" s="109">
        <v>2172</v>
      </c>
      <c r="J3754" s="110">
        <v>275</v>
      </c>
    </row>
    <row r="3755" spans="1:10" s="119" customFormat="1">
      <c r="A3755" s="123" t="s">
        <v>120</v>
      </c>
      <c r="B3755" s="275" t="s">
        <v>924</v>
      </c>
      <c r="C3755" s="276"/>
      <c r="D3755" s="276"/>
      <c r="E3755" s="276"/>
      <c r="F3755" s="276"/>
      <c r="G3755" s="276"/>
      <c r="H3755" s="276"/>
      <c r="I3755" s="276"/>
      <c r="J3755" s="276"/>
    </row>
    <row r="3756" spans="1:10">
      <c r="A3756" s="103" t="s">
        <v>5934</v>
      </c>
      <c r="B3756" s="124" t="s">
        <v>5935</v>
      </c>
      <c r="C3756" s="110">
        <v>8458</v>
      </c>
      <c r="D3756" s="109" t="s">
        <v>120</v>
      </c>
      <c r="E3756" s="109">
        <v>85</v>
      </c>
      <c r="F3756" s="110">
        <v>8709</v>
      </c>
      <c r="G3756" s="109" t="s">
        <v>120</v>
      </c>
      <c r="H3756" s="109">
        <v>103</v>
      </c>
      <c r="I3756" s="109">
        <v>1626</v>
      </c>
      <c r="J3756" s="110">
        <v>1022</v>
      </c>
    </row>
    <row r="3757" spans="1:10">
      <c r="A3757" s="103" t="s">
        <v>5936</v>
      </c>
      <c r="B3757" s="124" t="s">
        <v>5937</v>
      </c>
      <c r="C3757" s="110">
        <v>8685</v>
      </c>
      <c r="D3757" s="109" t="s">
        <v>120</v>
      </c>
      <c r="E3757" s="109">
        <v>87</v>
      </c>
      <c r="F3757" s="110">
        <v>7451</v>
      </c>
      <c r="G3757" s="109" t="s">
        <v>120</v>
      </c>
      <c r="H3757" s="109">
        <v>86</v>
      </c>
      <c r="I3757" s="109">
        <v>1580</v>
      </c>
      <c r="J3757" s="110">
        <v>1213</v>
      </c>
    </row>
    <row r="3758" spans="1:10">
      <c r="A3758" s="103" t="s">
        <v>5938</v>
      </c>
      <c r="B3758" s="124" t="s">
        <v>5939</v>
      </c>
      <c r="C3758" s="110">
        <v>7156</v>
      </c>
      <c r="D3758" s="109" t="s">
        <v>120</v>
      </c>
      <c r="E3758" s="109">
        <v>72</v>
      </c>
      <c r="F3758" s="110">
        <v>6375</v>
      </c>
      <c r="G3758" s="109" t="s">
        <v>120</v>
      </c>
      <c r="H3758" s="109">
        <v>89</v>
      </c>
      <c r="I3758" s="109">
        <v>1828</v>
      </c>
      <c r="J3758" s="110">
        <v>1428</v>
      </c>
    </row>
    <row r="3759" spans="1:10">
      <c r="A3759" s="103" t="s">
        <v>5940</v>
      </c>
      <c r="B3759" s="124" t="s">
        <v>5941</v>
      </c>
      <c r="C3759" s="110">
        <v>8524</v>
      </c>
      <c r="D3759" s="109" t="s">
        <v>120</v>
      </c>
      <c r="E3759" s="109">
        <v>85</v>
      </c>
      <c r="F3759" s="110">
        <v>8420</v>
      </c>
      <c r="G3759" s="109" t="s">
        <v>120</v>
      </c>
      <c r="H3759" s="109">
        <v>99</v>
      </c>
      <c r="I3759" s="109">
        <v>1614</v>
      </c>
      <c r="J3759" s="110">
        <v>1063</v>
      </c>
    </row>
    <row r="3760" spans="1:10">
      <c r="A3760" s="103" t="s">
        <v>5942</v>
      </c>
      <c r="B3760" s="124" t="s">
        <v>5943</v>
      </c>
      <c r="C3760" s="110">
        <v>6956</v>
      </c>
      <c r="D3760" s="109" t="s">
        <v>120</v>
      </c>
      <c r="E3760" s="109">
        <v>70</v>
      </c>
      <c r="F3760" s="110">
        <v>3687</v>
      </c>
      <c r="G3760" s="109" t="s">
        <v>120</v>
      </c>
      <c r="H3760" s="109">
        <v>53</v>
      </c>
      <c r="I3760" s="109">
        <v>1853</v>
      </c>
      <c r="J3760" s="110">
        <v>2069</v>
      </c>
    </row>
    <row r="3761" spans="1:10" s="119" customFormat="1">
      <c r="A3761" s="123" t="s">
        <v>120</v>
      </c>
      <c r="B3761" s="275" t="s">
        <v>947</v>
      </c>
      <c r="C3761" s="276"/>
      <c r="D3761" s="276"/>
      <c r="E3761" s="276"/>
      <c r="F3761" s="276"/>
      <c r="G3761" s="276"/>
      <c r="H3761" s="276"/>
      <c r="I3761" s="276"/>
      <c r="J3761" s="276"/>
    </row>
    <row r="3762" spans="1:10">
      <c r="A3762" s="103" t="s">
        <v>5944</v>
      </c>
      <c r="B3762" s="124" t="s">
        <v>5945</v>
      </c>
      <c r="C3762" s="110">
        <v>9978</v>
      </c>
      <c r="D3762" s="109" t="s">
        <v>120</v>
      </c>
      <c r="E3762" s="109">
        <v>99</v>
      </c>
      <c r="F3762" s="110">
        <v>7994</v>
      </c>
      <c r="G3762" s="109" t="s">
        <v>120</v>
      </c>
      <c r="H3762" s="109">
        <v>80</v>
      </c>
      <c r="I3762" s="109">
        <v>1395</v>
      </c>
      <c r="J3762" s="110">
        <v>1123</v>
      </c>
    </row>
    <row r="3763" spans="1:10">
      <c r="A3763" s="103" t="s">
        <v>5946</v>
      </c>
      <c r="B3763" s="124" t="s">
        <v>932</v>
      </c>
      <c r="C3763" s="110">
        <v>466</v>
      </c>
      <c r="D3763" s="109" t="s">
        <v>120</v>
      </c>
      <c r="E3763" s="109">
        <v>4</v>
      </c>
      <c r="F3763" s="110">
        <v>1905</v>
      </c>
      <c r="G3763" s="109" t="s">
        <v>120</v>
      </c>
      <c r="H3763" s="109">
        <v>409</v>
      </c>
      <c r="I3763" s="109" t="s">
        <v>122</v>
      </c>
      <c r="J3763" s="110" t="s">
        <v>122</v>
      </c>
    </row>
    <row r="3764" spans="1:10">
      <c r="A3764" s="103" t="s">
        <v>5947</v>
      </c>
      <c r="B3764" s="124" t="s">
        <v>934</v>
      </c>
      <c r="C3764" s="110">
        <v>9512</v>
      </c>
      <c r="D3764" s="109" t="s">
        <v>120</v>
      </c>
      <c r="E3764" s="109">
        <v>95</v>
      </c>
      <c r="F3764" s="110">
        <v>6089</v>
      </c>
      <c r="G3764" s="109" t="s">
        <v>120</v>
      </c>
      <c r="H3764" s="109">
        <v>64</v>
      </c>
      <c r="I3764" s="109" t="s">
        <v>122</v>
      </c>
      <c r="J3764" s="110" t="s">
        <v>122</v>
      </c>
    </row>
    <row r="3765" spans="1:10">
      <c r="A3765" s="103" t="s">
        <v>5948</v>
      </c>
      <c r="B3765" s="124" t="s">
        <v>5949</v>
      </c>
      <c r="C3765" s="110">
        <v>6933</v>
      </c>
      <c r="D3765" s="109" t="s">
        <v>120</v>
      </c>
      <c r="E3765" s="109">
        <v>69</v>
      </c>
      <c r="F3765" s="110">
        <v>6634</v>
      </c>
      <c r="G3765" s="109" t="s">
        <v>120</v>
      </c>
      <c r="H3765" s="109">
        <v>96</v>
      </c>
      <c r="I3765" s="109">
        <v>1857</v>
      </c>
      <c r="J3765" s="110">
        <v>1374</v>
      </c>
    </row>
    <row r="3766" spans="1:10">
      <c r="A3766" s="103" t="s">
        <v>5950</v>
      </c>
      <c r="B3766" s="124" t="s">
        <v>932</v>
      </c>
      <c r="C3766" s="110">
        <v>1790</v>
      </c>
      <c r="D3766" s="109" t="s">
        <v>120</v>
      </c>
      <c r="E3766" s="109">
        <v>18</v>
      </c>
      <c r="F3766" s="110">
        <v>2461</v>
      </c>
      <c r="G3766" s="109" t="s">
        <v>120</v>
      </c>
      <c r="H3766" s="109">
        <v>137</v>
      </c>
      <c r="I3766" s="109" t="s">
        <v>122</v>
      </c>
      <c r="J3766" s="110" t="s">
        <v>122</v>
      </c>
    </row>
    <row r="3767" spans="1:10">
      <c r="A3767" s="103" t="s">
        <v>5951</v>
      </c>
      <c r="B3767" s="124" t="s">
        <v>934</v>
      </c>
      <c r="C3767" s="110">
        <v>5143</v>
      </c>
      <c r="D3767" s="109" t="s">
        <v>120</v>
      </c>
      <c r="E3767" s="109">
        <v>51</v>
      </c>
      <c r="F3767" s="110">
        <v>4173</v>
      </c>
      <c r="G3767" s="109" t="s">
        <v>120</v>
      </c>
      <c r="H3767" s="109">
        <v>81</v>
      </c>
      <c r="I3767" s="109" t="s">
        <v>122</v>
      </c>
      <c r="J3767" s="110" t="s">
        <v>122</v>
      </c>
    </row>
    <row r="3768" spans="1:10">
      <c r="A3768" s="103" t="s">
        <v>5952</v>
      </c>
      <c r="B3768" s="124" t="s">
        <v>5953</v>
      </c>
      <c r="C3768" s="110">
        <v>8030</v>
      </c>
      <c r="D3768" s="109" t="s">
        <v>120</v>
      </c>
      <c r="E3768" s="109">
        <v>80</v>
      </c>
      <c r="F3768" s="110">
        <v>4385</v>
      </c>
      <c r="G3768" s="109" t="s">
        <v>120</v>
      </c>
      <c r="H3768" s="109">
        <v>55</v>
      </c>
      <c r="I3768" s="109">
        <v>1698</v>
      </c>
      <c r="J3768" s="110">
        <v>1895</v>
      </c>
    </row>
    <row r="3769" spans="1:10">
      <c r="A3769" s="103" t="s">
        <v>5954</v>
      </c>
      <c r="B3769" s="124" t="s">
        <v>932</v>
      </c>
      <c r="C3769" s="110">
        <v>2029</v>
      </c>
      <c r="D3769" s="109" t="s">
        <v>120</v>
      </c>
      <c r="E3769" s="109">
        <v>20</v>
      </c>
      <c r="F3769" s="110">
        <v>1754</v>
      </c>
      <c r="G3769" s="109" t="s">
        <v>120</v>
      </c>
      <c r="H3769" s="109">
        <v>86</v>
      </c>
      <c r="I3769" s="109" t="s">
        <v>122</v>
      </c>
      <c r="J3769" s="110" t="s">
        <v>122</v>
      </c>
    </row>
    <row r="3770" spans="1:10">
      <c r="A3770" s="103" t="s">
        <v>5955</v>
      </c>
      <c r="B3770" s="124" t="s">
        <v>934</v>
      </c>
      <c r="C3770" s="110">
        <v>6001</v>
      </c>
      <c r="D3770" s="109" t="s">
        <v>120</v>
      </c>
      <c r="E3770" s="109">
        <v>60</v>
      </c>
      <c r="F3770" s="110">
        <v>2631</v>
      </c>
      <c r="G3770" s="109" t="s">
        <v>120</v>
      </c>
      <c r="H3770" s="109">
        <v>44</v>
      </c>
      <c r="I3770" s="109" t="s">
        <v>122</v>
      </c>
      <c r="J3770" s="110" t="s">
        <v>122</v>
      </c>
    </row>
    <row r="3771" spans="1:10" s="119" customFormat="1">
      <c r="A3771" s="123" t="s">
        <v>120</v>
      </c>
      <c r="B3771" s="273" t="s">
        <v>5956</v>
      </c>
      <c r="C3771" s="274"/>
      <c r="D3771" s="274"/>
      <c r="E3771" s="274"/>
      <c r="F3771" s="274"/>
      <c r="G3771" s="274"/>
      <c r="H3771" s="274"/>
      <c r="I3771" s="274"/>
      <c r="J3771" s="274"/>
    </row>
    <row r="3772" spans="1:10" s="119" customFormat="1">
      <c r="A3772" s="123" t="s">
        <v>120</v>
      </c>
      <c r="B3772" s="275" t="s">
        <v>1019</v>
      </c>
      <c r="C3772" s="276"/>
      <c r="D3772" s="276"/>
      <c r="E3772" s="276"/>
      <c r="F3772" s="276"/>
      <c r="G3772" s="276"/>
      <c r="H3772" s="276"/>
      <c r="I3772" s="276"/>
      <c r="J3772" s="276"/>
    </row>
    <row r="3773" spans="1:10">
      <c r="A3773" s="103" t="s">
        <v>5957</v>
      </c>
      <c r="B3773" s="124" t="s">
        <v>5958</v>
      </c>
      <c r="C3773" s="110">
        <v>6439</v>
      </c>
      <c r="D3773" s="109" t="s">
        <v>120</v>
      </c>
      <c r="E3773" s="109">
        <v>64</v>
      </c>
      <c r="F3773" s="110">
        <v>44848</v>
      </c>
      <c r="G3773" s="109" t="s">
        <v>120</v>
      </c>
      <c r="H3773" s="109">
        <v>697</v>
      </c>
      <c r="I3773" s="109">
        <v>1911</v>
      </c>
      <c r="J3773" s="110">
        <v>110</v>
      </c>
    </row>
    <row r="3774" spans="1:10" s="119" customFormat="1">
      <c r="A3774" s="123" t="s">
        <v>120</v>
      </c>
      <c r="B3774" s="275" t="s">
        <v>924</v>
      </c>
      <c r="C3774" s="276"/>
      <c r="D3774" s="276"/>
      <c r="E3774" s="276"/>
      <c r="F3774" s="276"/>
      <c r="G3774" s="276"/>
      <c r="H3774" s="276"/>
      <c r="I3774" s="276"/>
      <c r="J3774" s="276"/>
    </row>
    <row r="3775" spans="1:10">
      <c r="A3775" s="103" t="s">
        <v>5959</v>
      </c>
      <c r="B3775" s="124" t="s">
        <v>5960</v>
      </c>
      <c r="C3775" s="110">
        <v>14120</v>
      </c>
      <c r="D3775" s="109" t="s">
        <v>120</v>
      </c>
      <c r="E3775" s="109">
        <v>141</v>
      </c>
      <c r="F3775" s="110">
        <v>8037</v>
      </c>
      <c r="G3775" s="109" t="s">
        <v>120</v>
      </c>
      <c r="H3775" s="109">
        <v>57</v>
      </c>
      <c r="I3775" s="109">
        <v>768</v>
      </c>
      <c r="J3775" s="110">
        <v>1117</v>
      </c>
    </row>
    <row r="3776" spans="1:10">
      <c r="A3776" s="103" t="s">
        <v>5961</v>
      </c>
      <c r="B3776" s="124" t="s">
        <v>5962</v>
      </c>
      <c r="C3776" s="110">
        <v>6165</v>
      </c>
      <c r="D3776" s="109" t="s">
        <v>120</v>
      </c>
      <c r="E3776" s="109">
        <v>62</v>
      </c>
      <c r="F3776" s="110">
        <v>5008</v>
      </c>
      <c r="G3776" s="109" t="s">
        <v>120</v>
      </c>
      <c r="H3776" s="109">
        <v>81</v>
      </c>
      <c r="I3776" s="109">
        <v>1939</v>
      </c>
      <c r="J3776" s="110">
        <v>1739</v>
      </c>
    </row>
    <row r="3777" spans="1:10">
      <c r="A3777" s="103" t="s">
        <v>5963</v>
      </c>
      <c r="B3777" s="124" t="s">
        <v>5964</v>
      </c>
      <c r="C3777" s="110">
        <v>5324</v>
      </c>
      <c r="D3777" s="109" t="s">
        <v>120</v>
      </c>
      <c r="E3777" s="109">
        <v>53</v>
      </c>
      <c r="F3777" s="110">
        <v>5988</v>
      </c>
      <c r="G3777" s="109" t="s">
        <v>120</v>
      </c>
      <c r="H3777" s="109">
        <v>112</v>
      </c>
      <c r="I3777" s="109">
        <v>1998</v>
      </c>
      <c r="J3777" s="110">
        <v>1507</v>
      </c>
    </row>
    <row r="3778" spans="1:10" s="119" customFormat="1">
      <c r="A3778" s="123" t="s">
        <v>120</v>
      </c>
      <c r="B3778" s="275" t="s">
        <v>1026</v>
      </c>
      <c r="C3778" s="276"/>
      <c r="D3778" s="276"/>
      <c r="E3778" s="276"/>
      <c r="F3778" s="276"/>
      <c r="G3778" s="276"/>
      <c r="H3778" s="276"/>
      <c r="I3778" s="276"/>
      <c r="J3778" s="276"/>
    </row>
    <row r="3779" spans="1:10">
      <c r="A3779" s="103" t="s">
        <v>5965</v>
      </c>
      <c r="B3779" s="124" t="s">
        <v>5966</v>
      </c>
      <c r="C3779" s="110">
        <v>7495</v>
      </c>
      <c r="D3779" s="109" t="s">
        <v>120</v>
      </c>
      <c r="E3779" s="109">
        <v>75</v>
      </c>
      <c r="F3779" s="110">
        <v>10110</v>
      </c>
      <c r="G3779" s="109" t="s">
        <v>120</v>
      </c>
      <c r="H3779" s="109">
        <v>135</v>
      </c>
      <c r="I3779" s="109">
        <v>1779</v>
      </c>
      <c r="J3779" s="110">
        <v>861</v>
      </c>
    </row>
    <row r="3780" spans="1:10">
      <c r="A3780" s="103" t="s">
        <v>5967</v>
      </c>
      <c r="B3780" s="124" t="s">
        <v>932</v>
      </c>
      <c r="C3780" s="110">
        <v>5940</v>
      </c>
      <c r="D3780" s="109" t="s">
        <v>120</v>
      </c>
      <c r="E3780" s="109">
        <v>60</v>
      </c>
      <c r="F3780" s="110">
        <v>8323</v>
      </c>
      <c r="G3780" s="109" t="s">
        <v>120</v>
      </c>
      <c r="H3780" s="109">
        <v>140</v>
      </c>
      <c r="I3780" s="109" t="s">
        <v>122</v>
      </c>
      <c r="J3780" s="110" t="s">
        <v>122</v>
      </c>
    </row>
    <row r="3781" spans="1:10">
      <c r="A3781" s="103" t="s">
        <v>5968</v>
      </c>
      <c r="B3781" s="124" t="s">
        <v>934</v>
      </c>
      <c r="C3781" s="110">
        <v>1555</v>
      </c>
      <c r="D3781" s="109" t="s">
        <v>120</v>
      </c>
      <c r="E3781" s="109">
        <v>15</v>
      </c>
      <c r="F3781" s="110">
        <v>1787</v>
      </c>
      <c r="G3781" s="109" t="s">
        <v>120</v>
      </c>
      <c r="H3781" s="109">
        <v>115</v>
      </c>
      <c r="I3781" s="109" t="s">
        <v>122</v>
      </c>
      <c r="J3781" s="110" t="s">
        <v>122</v>
      </c>
    </row>
    <row r="3782" spans="1:10" s="119" customFormat="1">
      <c r="A3782" s="123" t="s">
        <v>120</v>
      </c>
      <c r="B3782" s="273" t="s">
        <v>5969</v>
      </c>
      <c r="C3782" s="274"/>
      <c r="D3782" s="274"/>
      <c r="E3782" s="274"/>
      <c r="F3782" s="274"/>
      <c r="G3782" s="274"/>
      <c r="H3782" s="274"/>
      <c r="I3782" s="274"/>
      <c r="J3782" s="274"/>
    </row>
    <row r="3783" spans="1:10" s="119" customFormat="1">
      <c r="A3783" s="123" t="s">
        <v>120</v>
      </c>
      <c r="B3783" s="275" t="s">
        <v>922</v>
      </c>
      <c r="C3783" s="276"/>
      <c r="D3783" s="276"/>
      <c r="E3783" s="276"/>
      <c r="F3783" s="276"/>
      <c r="G3783" s="276"/>
      <c r="H3783" s="276"/>
      <c r="I3783" s="276"/>
      <c r="J3783" s="276"/>
    </row>
    <row r="3784" spans="1:10">
      <c r="A3784" s="103" t="s">
        <v>5970</v>
      </c>
      <c r="B3784" s="124" t="s">
        <v>5971</v>
      </c>
      <c r="C3784" s="110">
        <v>3182</v>
      </c>
      <c r="D3784" s="109" t="s">
        <v>120</v>
      </c>
      <c r="E3784" s="109">
        <v>32</v>
      </c>
      <c r="F3784" s="110">
        <v>48395</v>
      </c>
      <c r="G3784" s="109" t="s">
        <v>120</v>
      </c>
      <c r="H3784" s="109">
        <v>1521</v>
      </c>
      <c r="I3784" s="109">
        <v>2158</v>
      </c>
      <c r="J3784" s="110">
        <v>96</v>
      </c>
    </row>
    <row r="3785" spans="1:10" s="119" customFormat="1">
      <c r="A3785" s="123" t="s">
        <v>120</v>
      </c>
      <c r="B3785" s="275" t="s">
        <v>943</v>
      </c>
      <c r="C3785" s="276"/>
      <c r="D3785" s="276"/>
      <c r="E3785" s="276"/>
      <c r="F3785" s="276"/>
      <c r="G3785" s="276"/>
      <c r="H3785" s="276"/>
      <c r="I3785" s="276"/>
      <c r="J3785" s="276"/>
    </row>
    <row r="3786" spans="1:10">
      <c r="A3786" s="103" t="s">
        <v>5972</v>
      </c>
      <c r="B3786" s="124" t="s">
        <v>2468</v>
      </c>
      <c r="C3786" s="110">
        <v>16127</v>
      </c>
      <c r="D3786" s="109" t="s">
        <v>120</v>
      </c>
      <c r="E3786" s="109">
        <v>161</v>
      </c>
      <c r="F3786" s="110">
        <v>10870</v>
      </c>
      <c r="G3786" s="109" t="s">
        <v>120</v>
      </c>
      <c r="H3786" s="109">
        <v>67</v>
      </c>
      <c r="I3786" s="109">
        <v>584</v>
      </c>
      <c r="J3786" s="110">
        <v>792</v>
      </c>
    </row>
    <row r="3787" spans="1:10">
      <c r="A3787" s="103" t="s">
        <v>5973</v>
      </c>
      <c r="B3787" s="124" t="s">
        <v>5974</v>
      </c>
      <c r="C3787" s="110">
        <v>11111</v>
      </c>
      <c r="D3787" s="109" t="s">
        <v>120</v>
      </c>
      <c r="E3787" s="109">
        <v>111</v>
      </c>
      <c r="F3787" s="110">
        <v>8260</v>
      </c>
      <c r="G3787" s="109" t="s">
        <v>120</v>
      </c>
      <c r="H3787" s="109">
        <v>74</v>
      </c>
      <c r="I3787" s="109">
        <v>1198</v>
      </c>
      <c r="J3787" s="110">
        <v>1083</v>
      </c>
    </row>
    <row r="3788" spans="1:10">
      <c r="A3788" s="103" t="s">
        <v>5975</v>
      </c>
      <c r="B3788" s="124" t="s">
        <v>5976</v>
      </c>
      <c r="C3788" s="110">
        <v>13737</v>
      </c>
      <c r="D3788" s="109" t="s">
        <v>120</v>
      </c>
      <c r="E3788" s="109">
        <v>137</v>
      </c>
      <c r="F3788" s="110">
        <v>15240</v>
      </c>
      <c r="G3788" s="109" t="s">
        <v>120</v>
      </c>
      <c r="H3788" s="109">
        <v>111</v>
      </c>
      <c r="I3788" s="109">
        <v>810</v>
      </c>
      <c r="J3788" s="110">
        <v>506</v>
      </c>
    </row>
    <row r="3789" spans="1:10" s="119" customFormat="1">
      <c r="A3789" s="123" t="s">
        <v>120</v>
      </c>
      <c r="B3789" s="275" t="s">
        <v>929</v>
      </c>
      <c r="C3789" s="276"/>
      <c r="D3789" s="276"/>
      <c r="E3789" s="276"/>
      <c r="F3789" s="276"/>
      <c r="G3789" s="276"/>
      <c r="H3789" s="276"/>
      <c r="I3789" s="276"/>
      <c r="J3789" s="276"/>
    </row>
    <row r="3790" spans="1:10">
      <c r="A3790" s="103" t="s">
        <v>5977</v>
      </c>
      <c r="B3790" s="124" t="s">
        <v>5978</v>
      </c>
      <c r="C3790" s="110">
        <v>8184</v>
      </c>
      <c r="D3790" s="109" t="s">
        <v>120</v>
      </c>
      <c r="E3790" s="109">
        <v>82</v>
      </c>
      <c r="F3790" s="110">
        <v>6811</v>
      </c>
      <c r="G3790" s="109" t="s">
        <v>120</v>
      </c>
      <c r="H3790" s="109">
        <v>83</v>
      </c>
      <c r="I3790" s="109">
        <v>1674</v>
      </c>
      <c r="J3790" s="110">
        <v>1338</v>
      </c>
    </row>
    <row r="3791" spans="1:10">
      <c r="A3791" s="103" t="s">
        <v>5979</v>
      </c>
      <c r="B3791" s="124" t="s">
        <v>932</v>
      </c>
      <c r="C3791" s="110">
        <v>1602</v>
      </c>
      <c r="D3791" s="109" t="s">
        <v>120</v>
      </c>
      <c r="E3791" s="109">
        <v>16</v>
      </c>
      <c r="F3791" s="110">
        <v>2768</v>
      </c>
      <c r="G3791" s="109" t="s">
        <v>120</v>
      </c>
      <c r="H3791" s="109">
        <v>173</v>
      </c>
      <c r="I3791" s="109" t="s">
        <v>122</v>
      </c>
      <c r="J3791" s="110" t="s">
        <v>122</v>
      </c>
    </row>
    <row r="3792" spans="1:10">
      <c r="A3792" s="103" t="s">
        <v>5980</v>
      </c>
      <c r="B3792" s="124" t="s">
        <v>934</v>
      </c>
      <c r="C3792" s="110">
        <v>6582</v>
      </c>
      <c r="D3792" s="109" t="s">
        <v>120</v>
      </c>
      <c r="E3792" s="109">
        <v>66</v>
      </c>
      <c r="F3792" s="110">
        <v>4043</v>
      </c>
      <c r="G3792" s="109" t="s">
        <v>120</v>
      </c>
      <c r="H3792" s="109">
        <v>61</v>
      </c>
      <c r="I3792" s="109" t="s">
        <v>122</v>
      </c>
      <c r="J3792" s="110" t="s">
        <v>122</v>
      </c>
    </row>
    <row r="3793" spans="1:10" s="119" customFormat="1">
      <c r="A3793" s="123" t="s">
        <v>120</v>
      </c>
      <c r="B3793" s="273" t="s">
        <v>5981</v>
      </c>
      <c r="C3793" s="274"/>
      <c r="D3793" s="274"/>
      <c r="E3793" s="274"/>
      <c r="F3793" s="274"/>
      <c r="G3793" s="274"/>
      <c r="H3793" s="274"/>
      <c r="I3793" s="274"/>
      <c r="J3793" s="274"/>
    </row>
    <row r="3794" spans="1:10" s="119" customFormat="1">
      <c r="A3794" s="123" t="s">
        <v>120</v>
      </c>
      <c r="B3794" s="275" t="s">
        <v>943</v>
      </c>
      <c r="C3794" s="276"/>
      <c r="D3794" s="276"/>
      <c r="E3794" s="276"/>
      <c r="F3794" s="276"/>
      <c r="G3794" s="276"/>
      <c r="H3794" s="276"/>
      <c r="I3794" s="276"/>
      <c r="J3794" s="276"/>
    </row>
    <row r="3795" spans="1:10">
      <c r="A3795" s="103" t="s">
        <v>5982</v>
      </c>
      <c r="B3795" s="124" t="s">
        <v>5983</v>
      </c>
      <c r="C3795" s="110">
        <v>12289</v>
      </c>
      <c r="D3795" s="109" t="s">
        <v>120</v>
      </c>
      <c r="E3795" s="109">
        <v>123</v>
      </c>
      <c r="F3795" s="110">
        <v>7692</v>
      </c>
      <c r="G3795" s="109" t="s">
        <v>120</v>
      </c>
      <c r="H3795" s="109">
        <v>63</v>
      </c>
      <c r="I3795" s="109">
        <v>1011</v>
      </c>
      <c r="J3795" s="110">
        <v>1170</v>
      </c>
    </row>
    <row r="3796" spans="1:10">
      <c r="A3796" s="103" t="s">
        <v>5984</v>
      </c>
      <c r="B3796" s="124" t="s">
        <v>2858</v>
      </c>
      <c r="C3796" s="110">
        <v>8414</v>
      </c>
      <c r="D3796" s="109" t="s">
        <v>120</v>
      </c>
      <c r="E3796" s="109">
        <v>84</v>
      </c>
      <c r="F3796" s="110">
        <v>4102</v>
      </c>
      <c r="G3796" s="109" t="s">
        <v>120</v>
      </c>
      <c r="H3796" s="109">
        <v>49</v>
      </c>
      <c r="I3796" s="109">
        <v>1637</v>
      </c>
      <c r="J3796" s="110">
        <v>1971</v>
      </c>
    </row>
    <row r="3797" spans="1:10">
      <c r="A3797" s="103" t="s">
        <v>5985</v>
      </c>
      <c r="B3797" s="124" t="s">
        <v>5986</v>
      </c>
      <c r="C3797" s="110">
        <v>12466</v>
      </c>
      <c r="D3797" s="109" t="s">
        <v>120</v>
      </c>
      <c r="E3797" s="109">
        <v>125</v>
      </c>
      <c r="F3797" s="110">
        <v>6371</v>
      </c>
      <c r="G3797" s="109" t="s">
        <v>120</v>
      </c>
      <c r="H3797" s="109">
        <v>51</v>
      </c>
      <c r="I3797" s="109">
        <v>984</v>
      </c>
      <c r="J3797" s="110">
        <v>1430</v>
      </c>
    </row>
    <row r="3798" spans="1:10" s="119" customFormat="1">
      <c r="A3798" s="123" t="s">
        <v>120</v>
      </c>
      <c r="B3798" s="275" t="s">
        <v>947</v>
      </c>
      <c r="C3798" s="276"/>
      <c r="D3798" s="276"/>
      <c r="E3798" s="276"/>
      <c r="F3798" s="276"/>
      <c r="G3798" s="276"/>
      <c r="H3798" s="276"/>
      <c r="I3798" s="276"/>
      <c r="J3798" s="276"/>
    </row>
    <row r="3799" spans="1:10">
      <c r="A3799" s="103" t="s">
        <v>5987</v>
      </c>
      <c r="B3799" s="124" t="s">
        <v>1152</v>
      </c>
      <c r="C3799" s="110">
        <v>5338</v>
      </c>
      <c r="D3799" s="109" t="s">
        <v>120</v>
      </c>
      <c r="E3799" s="109">
        <v>53</v>
      </c>
      <c r="F3799" s="110">
        <v>3880</v>
      </c>
      <c r="G3799" s="109" t="s">
        <v>120</v>
      </c>
      <c r="H3799" s="109">
        <v>73</v>
      </c>
      <c r="I3799" s="109">
        <v>1997</v>
      </c>
      <c r="J3799" s="110">
        <v>2023</v>
      </c>
    </row>
    <row r="3800" spans="1:10">
      <c r="A3800" s="103" t="s">
        <v>5988</v>
      </c>
      <c r="B3800" s="124" t="s">
        <v>932</v>
      </c>
      <c r="C3800" s="110">
        <v>1004</v>
      </c>
      <c r="D3800" s="109" t="s">
        <v>120</v>
      </c>
      <c r="E3800" s="109">
        <v>10</v>
      </c>
      <c r="F3800" s="110">
        <v>1839</v>
      </c>
      <c r="G3800" s="109" t="s">
        <v>120</v>
      </c>
      <c r="H3800" s="109">
        <v>183</v>
      </c>
      <c r="I3800" s="109" t="s">
        <v>122</v>
      </c>
      <c r="J3800" s="110" t="s">
        <v>122</v>
      </c>
    </row>
    <row r="3801" spans="1:10">
      <c r="A3801" s="103" t="s">
        <v>5989</v>
      </c>
      <c r="B3801" s="124" t="s">
        <v>934</v>
      </c>
      <c r="C3801" s="110">
        <v>4334</v>
      </c>
      <c r="D3801" s="109" t="s">
        <v>120</v>
      </c>
      <c r="E3801" s="109">
        <v>43</v>
      </c>
      <c r="F3801" s="110">
        <v>2041</v>
      </c>
      <c r="G3801" s="109" t="s">
        <v>120</v>
      </c>
      <c r="H3801" s="109">
        <v>47</v>
      </c>
      <c r="I3801" s="109" t="s">
        <v>122</v>
      </c>
      <c r="J3801" s="110" t="s">
        <v>122</v>
      </c>
    </row>
    <row r="3802" spans="1:10">
      <c r="A3802" s="103" t="s">
        <v>5990</v>
      </c>
      <c r="B3802" s="124" t="s">
        <v>1427</v>
      </c>
      <c r="C3802" s="110">
        <v>12930</v>
      </c>
      <c r="D3802" s="109" t="s">
        <v>120</v>
      </c>
      <c r="E3802" s="109">
        <v>129</v>
      </c>
      <c r="F3802" s="110">
        <v>7689</v>
      </c>
      <c r="G3802" s="109" t="s">
        <v>120</v>
      </c>
      <c r="H3802" s="109">
        <v>59</v>
      </c>
      <c r="I3802" s="109">
        <v>920</v>
      </c>
      <c r="J3802" s="110">
        <v>1172</v>
      </c>
    </row>
    <row r="3803" spans="1:10">
      <c r="A3803" s="103" t="s">
        <v>5991</v>
      </c>
      <c r="B3803" s="124" t="s">
        <v>932</v>
      </c>
      <c r="C3803" s="110">
        <v>1743</v>
      </c>
      <c r="D3803" s="109" t="s">
        <v>120</v>
      </c>
      <c r="E3803" s="109">
        <v>18</v>
      </c>
      <c r="F3803" s="110">
        <v>1991</v>
      </c>
      <c r="G3803" s="109" t="s">
        <v>120</v>
      </c>
      <c r="H3803" s="109">
        <v>114</v>
      </c>
      <c r="I3803" s="109" t="s">
        <v>122</v>
      </c>
      <c r="J3803" s="110" t="s">
        <v>122</v>
      </c>
    </row>
    <row r="3804" spans="1:10">
      <c r="A3804" s="103" t="s">
        <v>5992</v>
      </c>
      <c r="B3804" s="124" t="s">
        <v>934</v>
      </c>
      <c r="C3804" s="110">
        <v>11187</v>
      </c>
      <c r="D3804" s="109" t="s">
        <v>120</v>
      </c>
      <c r="E3804" s="109">
        <v>111</v>
      </c>
      <c r="F3804" s="110">
        <v>5698</v>
      </c>
      <c r="G3804" s="109" t="s">
        <v>120</v>
      </c>
      <c r="H3804" s="109">
        <v>51</v>
      </c>
      <c r="I3804" s="109" t="s">
        <v>122</v>
      </c>
      <c r="J3804" s="110" t="s">
        <v>122</v>
      </c>
    </row>
    <row r="3805" spans="1:10">
      <c r="A3805" s="103" t="s">
        <v>5993</v>
      </c>
      <c r="B3805" s="124" t="s">
        <v>5994</v>
      </c>
      <c r="C3805" s="110">
        <v>7501</v>
      </c>
      <c r="D3805" s="109" t="s">
        <v>120</v>
      </c>
      <c r="E3805" s="109">
        <v>75</v>
      </c>
      <c r="F3805" s="110">
        <v>11764</v>
      </c>
      <c r="G3805" s="109" t="s">
        <v>120</v>
      </c>
      <c r="H3805" s="109">
        <v>157</v>
      </c>
      <c r="I3805" s="109">
        <v>1777</v>
      </c>
      <c r="J3805" s="110">
        <v>722</v>
      </c>
    </row>
    <row r="3806" spans="1:10">
      <c r="A3806" s="103" t="s">
        <v>5995</v>
      </c>
      <c r="B3806" s="124" t="s">
        <v>932</v>
      </c>
      <c r="C3806" s="110">
        <v>1741</v>
      </c>
      <c r="D3806" s="109" t="s">
        <v>120</v>
      </c>
      <c r="E3806" s="109">
        <v>17</v>
      </c>
      <c r="F3806" s="110">
        <v>8072</v>
      </c>
      <c r="G3806" s="109" t="s">
        <v>120</v>
      </c>
      <c r="H3806" s="109">
        <v>464</v>
      </c>
      <c r="I3806" s="109" t="s">
        <v>122</v>
      </c>
      <c r="J3806" s="110" t="s">
        <v>122</v>
      </c>
    </row>
    <row r="3807" spans="1:10">
      <c r="A3807" s="103" t="s">
        <v>5996</v>
      </c>
      <c r="B3807" s="124" t="s">
        <v>934</v>
      </c>
      <c r="C3807" s="110">
        <v>5760</v>
      </c>
      <c r="D3807" s="109" t="s">
        <v>120</v>
      </c>
      <c r="E3807" s="109">
        <v>58</v>
      </c>
      <c r="F3807" s="110">
        <v>3692</v>
      </c>
      <c r="G3807" s="109" t="s">
        <v>120</v>
      </c>
      <c r="H3807" s="109">
        <v>64</v>
      </c>
      <c r="I3807" s="109" t="s">
        <v>122</v>
      </c>
      <c r="J3807" s="110" t="s">
        <v>122</v>
      </c>
    </row>
    <row r="3808" spans="1:10">
      <c r="A3808" s="103" t="s">
        <v>5997</v>
      </c>
      <c r="B3808" s="124" t="s">
        <v>5998</v>
      </c>
      <c r="C3808" s="110">
        <v>22752</v>
      </c>
      <c r="D3808" s="109" t="s">
        <v>120</v>
      </c>
      <c r="E3808" s="109">
        <v>228</v>
      </c>
      <c r="F3808" s="110">
        <v>25599</v>
      </c>
      <c r="G3808" s="109" t="s">
        <v>120</v>
      </c>
      <c r="H3808" s="109">
        <v>113</v>
      </c>
      <c r="I3808" s="109">
        <v>236</v>
      </c>
      <c r="J3808" s="110">
        <v>240</v>
      </c>
    </row>
    <row r="3809" spans="1:10">
      <c r="A3809" s="103" t="s">
        <v>5999</v>
      </c>
      <c r="B3809" s="124" t="s">
        <v>932</v>
      </c>
      <c r="C3809" s="110">
        <v>2688</v>
      </c>
      <c r="D3809" s="109" t="s">
        <v>120</v>
      </c>
      <c r="E3809" s="109">
        <v>27</v>
      </c>
      <c r="F3809" s="110">
        <v>14649</v>
      </c>
      <c r="G3809" s="109" t="s">
        <v>120</v>
      </c>
      <c r="H3809" s="109">
        <v>545</v>
      </c>
      <c r="I3809" s="109" t="s">
        <v>122</v>
      </c>
      <c r="J3809" s="110" t="s">
        <v>122</v>
      </c>
    </row>
    <row r="3810" spans="1:10">
      <c r="A3810" s="103" t="s">
        <v>6000</v>
      </c>
      <c r="B3810" s="124" t="s">
        <v>934</v>
      </c>
      <c r="C3810" s="110">
        <v>20064</v>
      </c>
      <c r="D3810" s="109" t="s">
        <v>120</v>
      </c>
      <c r="E3810" s="109">
        <v>201</v>
      </c>
      <c r="F3810" s="110">
        <v>10950</v>
      </c>
      <c r="G3810" s="109" t="s">
        <v>120</v>
      </c>
      <c r="H3810" s="109">
        <v>55</v>
      </c>
      <c r="I3810" s="109" t="s">
        <v>122</v>
      </c>
      <c r="J3810" s="110" t="s">
        <v>122</v>
      </c>
    </row>
    <row r="3811" spans="1:10">
      <c r="A3811" s="103" t="s">
        <v>6001</v>
      </c>
      <c r="B3811" s="124" t="s">
        <v>6002</v>
      </c>
      <c r="C3811" s="110">
        <v>10790</v>
      </c>
      <c r="D3811" s="109" t="s">
        <v>120</v>
      </c>
      <c r="E3811" s="109">
        <v>108</v>
      </c>
      <c r="F3811" s="110">
        <v>4679</v>
      </c>
      <c r="G3811" s="109" t="s">
        <v>120</v>
      </c>
      <c r="H3811" s="109">
        <v>43</v>
      </c>
      <c r="I3811" s="109">
        <v>1258</v>
      </c>
      <c r="J3811" s="110">
        <v>1821</v>
      </c>
    </row>
    <row r="3812" spans="1:10">
      <c r="A3812" s="103" t="s">
        <v>6003</v>
      </c>
      <c r="B3812" s="124" t="s">
        <v>932</v>
      </c>
      <c r="C3812" s="110">
        <v>1621</v>
      </c>
      <c r="D3812" s="109" t="s">
        <v>120</v>
      </c>
      <c r="E3812" s="109">
        <v>16</v>
      </c>
      <c r="F3812" s="110">
        <v>1101</v>
      </c>
      <c r="G3812" s="109" t="s">
        <v>120</v>
      </c>
      <c r="H3812" s="109">
        <v>68</v>
      </c>
      <c r="I3812" s="109" t="s">
        <v>122</v>
      </c>
      <c r="J3812" s="110" t="s">
        <v>122</v>
      </c>
    </row>
    <row r="3813" spans="1:10">
      <c r="A3813" s="103" t="s">
        <v>6004</v>
      </c>
      <c r="B3813" s="124" t="s">
        <v>934</v>
      </c>
      <c r="C3813" s="110">
        <v>9169</v>
      </c>
      <c r="D3813" s="109" t="s">
        <v>120</v>
      </c>
      <c r="E3813" s="109">
        <v>92</v>
      </c>
      <c r="F3813" s="110">
        <v>3578</v>
      </c>
      <c r="G3813" s="109" t="s">
        <v>120</v>
      </c>
      <c r="H3813" s="109">
        <v>39</v>
      </c>
      <c r="I3813" s="109" t="s">
        <v>122</v>
      </c>
      <c r="J3813" s="110" t="s">
        <v>122</v>
      </c>
    </row>
    <row r="3814" spans="1:10" s="119" customFormat="1">
      <c r="A3814" s="123" t="s">
        <v>120</v>
      </c>
      <c r="B3814" s="273" t="s">
        <v>6005</v>
      </c>
      <c r="C3814" s="274"/>
      <c r="D3814" s="274"/>
      <c r="E3814" s="274"/>
      <c r="F3814" s="274"/>
      <c r="G3814" s="274"/>
      <c r="H3814" s="274"/>
      <c r="I3814" s="274"/>
      <c r="J3814" s="274"/>
    </row>
    <row r="3815" spans="1:10" s="119" customFormat="1">
      <c r="A3815" s="123" t="s">
        <v>120</v>
      </c>
      <c r="B3815" s="275" t="s">
        <v>943</v>
      </c>
      <c r="C3815" s="276"/>
      <c r="D3815" s="276"/>
      <c r="E3815" s="276"/>
      <c r="F3815" s="276"/>
      <c r="G3815" s="276"/>
      <c r="H3815" s="276"/>
      <c r="I3815" s="276"/>
      <c r="J3815" s="276"/>
    </row>
    <row r="3816" spans="1:10">
      <c r="A3816" s="103" t="s">
        <v>6006</v>
      </c>
      <c r="B3816" s="124" t="s">
        <v>6007</v>
      </c>
      <c r="C3816" s="110">
        <v>13687</v>
      </c>
      <c r="D3816" s="109" t="s">
        <v>120</v>
      </c>
      <c r="E3816" s="109">
        <v>137</v>
      </c>
      <c r="F3816" s="110">
        <v>5197</v>
      </c>
      <c r="G3816" s="109" t="s">
        <v>120</v>
      </c>
      <c r="H3816" s="109">
        <v>38</v>
      </c>
      <c r="I3816" s="109">
        <v>814</v>
      </c>
      <c r="J3816" s="110">
        <v>1689</v>
      </c>
    </row>
    <row r="3817" spans="1:10">
      <c r="A3817" s="103" t="s">
        <v>6008</v>
      </c>
      <c r="B3817" s="124" t="s">
        <v>6009</v>
      </c>
      <c r="C3817" s="110">
        <v>19279</v>
      </c>
      <c r="D3817" s="109" t="s">
        <v>120</v>
      </c>
      <c r="E3817" s="109">
        <v>193</v>
      </c>
      <c r="F3817" s="110">
        <v>10620</v>
      </c>
      <c r="G3817" s="109" t="s">
        <v>120</v>
      </c>
      <c r="H3817" s="109">
        <v>55</v>
      </c>
      <c r="I3817" s="109">
        <v>380</v>
      </c>
      <c r="J3817" s="110">
        <v>819</v>
      </c>
    </row>
    <row r="3818" spans="1:10">
      <c r="A3818" s="103" t="s">
        <v>6010</v>
      </c>
      <c r="B3818" s="124" t="s">
        <v>6011</v>
      </c>
      <c r="C3818" s="110">
        <v>7289</v>
      </c>
      <c r="D3818" s="109" t="s">
        <v>120</v>
      </c>
      <c r="E3818" s="109">
        <v>73</v>
      </c>
      <c r="F3818" s="110">
        <v>2640</v>
      </c>
      <c r="G3818" s="109" t="s">
        <v>120</v>
      </c>
      <c r="H3818" s="109">
        <v>36</v>
      </c>
      <c r="I3818" s="109">
        <v>1808</v>
      </c>
      <c r="J3818" s="110">
        <v>2242</v>
      </c>
    </row>
    <row r="3819" spans="1:10">
      <c r="A3819" s="103" t="s">
        <v>6012</v>
      </c>
      <c r="B3819" s="124" t="s">
        <v>1061</v>
      </c>
      <c r="C3819" s="110">
        <v>8810</v>
      </c>
      <c r="D3819" s="109" t="s">
        <v>120</v>
      </c>
      <c r="E3819" s="109">
        <v>88</v>
      </c>
      <c r="F3819" s="110">
        <v>2499</v>
      </c>
      <c r="G3819" s="105" t="s">
        <v>1075</v>
      </c>
      <c r="H3819" s="109">
        <v>28</v>
      </c>
      <c r="I3819" s="109">
        <v>1559</v>
      </c>
      <c r="J3819" s="110">
        <v>2260</v>
      </c>
    </row>
    <row r="3820" spans="1:10">
      <c r="A3820" s="103" t="s">
        <v>6013</v>
      </c>
      <c r="B3820" s="124" t="s">
        <v>6014</v>
      </c>
      <c r="C3820" s="110">
        <v>16260</v>
      </c>
      <c r="D3820" s="109" t="s">
        <v>120</v>
      </c>
      <c r="E3820" s="109">
        <v>163</v>
      </c>
      <c r="F3820" s="110">
        <v>4811</v>
      </c>
      <c r="G3820" s="109" t="s">
        <v>120</v>
      </c>
      <c r="H3820" s="109">
        <v>30</v>
      </c>
      <c r="I3820" s="109">
        <v>574</v>
      </c>
      <c r="J3820" s="110">
        <v>1789</v>
      </c>
    </row>
    <row r="3821" spans="1:10" s="119" customFormat="1">
      <c r="A3821" s="123" t="s">
        <v>120</v>
      </c>
      <c r="B3821" s="275" t="s">
        <v>1026</v>
      </c>
      <c r="C3821" s="276"/>
      <c r="D3821" s="276"/>
      <c r="E3821" s="276"/>
      <c r="F3821" s="276"/>
      <c r="G3821" s="276"/>
      <c r="H3821" s="276"/>
      <c r="I3821" s="276"/>
      <c r="J3821" s="276"/>
    </row>
    <row r="3822" spans="1:10">
      <c r="A3822" s="103" t="s">
        <v>6015</v>
      </c>
      <c r="B3822" s="124" t="s">
        <v>6016</v>
      </c>
      <c r="C3822" s="110">
        <v>25461</v>
      </c>
      <c r="D3822" s="105" t="s">
        <v>927</v>
      </c>
      <c r="E3822" s="109">
        <v>254</v>
      </c>
      <c r="F3822" s="110">
        <v>19292</v>
      </c>
      <c r="G3822" s="109" t="s">
        <v>120</v>
      </c>
      <c r="H3822" s="109">
        <v>76</v>
      </c>
      <c r="I3822" s="109">
        <v>170</v>
      </c>
      <c r="J3822" s="110">
        <v>361</v>
      </c>
    </row>
    <row r="3823" spans="1:10">
      <c r="A3823" s="103" t="s">
        <v>6017</v>
      </c>
      <c r="B3823" s="124" t="s">
        <v>932</v>
      </c>
      <c r="C3823" s="110">
        <v>3030</v>
      </c>
      <c r="D3823" s="109" t="s">
        <v>120</v>
      </c>
      <c r="E3823" s="109">
        <v>30</v>
      </c>
      <c r="F3823" s="110">
        <v>9924</v>
      </c>
      <c r="G3823" s="109" t="s">
        <v>120</v>
      </c>
      <c r="H3823" s="109">
        <v>328</v>
      </c>
      <c r="I3823" s="109" t="s">
        <v>122</v>
      </c>
      <c r="J3823" s="110" t="s">
        <v>122</v>
      </c>
    </row>
    <row r="3824" spans="1:10">
      <c r="A3824" s="103" t="s">
        <v>6018</v>
      </c>
      <c r="B3824" s="124" t="s">
        <v>934</v>
      </c>
      <c r="C3824" s="110">
        <v>22431</v>
      </c>
      <c r="D3824" s="109" t="s">
        <v>120</v>
      </c>
      <c r="E3824" s="109">
        <v>224</v>
      </c>
      <c r="F3824" s="110">
        <v>9368</v>
      </c>
      <c r="G3824" s="109" t="s">
        <v>120</v>
      </c>
      <c r="H3824" s="109">
        <v>42</v>
      </c>
      <c r="I3824" s="109" t="s">
        <v>122</v>
      </c>
      <c r="J3824" s="110" t="s">
        <v>122</v>
      </c>
    </row>
    <row r="3825" spans="1:10" s="119" customFormat="1">
      <c r="A3825" s="123" t="s">
        <v>120</v>
      </c>
      <c r="B3825" s="273" t="s">
        <v>4367</v>
      </c>
      <c r="C3825" s="274"/>
      <c r="D3825" s="274"/>
      <c r="E3825" s="274"/>
      <c r="F3825" s="274"/>
      <c r="G3825" s="274"/>
      <c r="H3825" s="274"/>
      <c r="I3825" s="274"/>
      <c r="J3825" s="274"/>
    </row>
    <row r="3826" spans="1:10">
      <c r="A3826" s="103" t="s">
        <v>6019</v>
      </c>
      <c r="B3826" s="124" t="s">
        <v>6020</v>
      </c>
      <c r="C3826" s="110">
        <v>10965</v>
      </c>
      <c r="D3826" s="109" t="s">
        <v>120</v>
      </c>
      <c r="E3826" s="109">
        <v>110</v>
      </c>
      <c r="F3826" s="110">
        <v>194852</v>
      </c>
      <c r="G3826" s="105" t="s">
        <v>927</v>
      </c>
      <c r="H3826" s="109">
        <v>1777</v>
      </c>
      <c r="I3826" s="109">
        <v>1231</v>
      </c>
      <c r="J3826" s="110">
        <v>18</v>
      </c>
    </row>
    <row r="3827" spans="1:10" s="119" customFormat="1">
      <c r="A3827" s="123" t="s">
        <v>120</v>
      </c>
      <c r="B3827" s="273" t="s">
        <v>758</v>
      </c>
      <c r="C3827" s="274"/>
      <c r="D3827" s="274"/>
      <c r="E3827" s="274"/>
      <c r="F3827" s="274"/>
      <c r="G3827" s="274"/>
      <c r="H3827" s="274"/>
      <c r="I3827" s="274"/>
      <c r="J3827" s="274"/>
    </row>
    <row r="3828" spans="1:10" s="119" customFormat="1">
      <c r="A3828" s="123" t="s">
        <v>120</v>
      </c>
      <c r="B3828" s="273" t="s">
        <v>6021</v>
      </c>
      <c r="C3828" s="274"/>
      <c r="D3828" s="274"/>
      <c r="E3828" s="274"/>
      <c r="F3828" s="274"/>
      <c r="G3828" s="274"/>
      <c r="H3828" s="274"/>
      <c r="I3828" s="274"/>
      <c r="J3828" s="274"/>
    </row>
    <row r="3829" spans="1:10" s="119" customFormat="1">
      <c r="A3829" s="123" t="s">
        <v>120</v>
      </c>
      <c r="B3829" s="275" t="s">
        <v>1032</v>
      </c>
      <c r="C3829" s="276"/>
      <c r="D3829" s="276"/>
      <c r="E3829" s="276"/>
      <c r="F3829" s="276"/>
      <c r="G3829" s="276"/>
      <c r="H3829" s="276"/>
      <c r="I3829" s="276"/>
      <c r="J3829" s="276"/>
    </row>
    <row r="3830" spans="1:10">
      <c r="A3830" s="103" t="s">
        <v>6022</v>
      </c>
      <c r="B3830" s="124" t="s">
        <v>6023</v>
      </c>
      <c r="C3830" s="110">
        <v>1179</v>
      </c>
      <c r="D3830" s="109" t="s">
        <v>120</v>
      </c>
      <c r="E3830" s="109">
        <v>11</v>
      </c>
      <c r="F3830" s="110">
        <v>23284</v>
      </c>
      <c r="G3830" s="109" t="s">
        <v>120</v>
      </c>
      <c r="H3830" s="109">
        <v>1975</v>
      </c>
      <c r="I3830" s="109">
        <v>2307</v>
      </c>
      <c r="J3830" s="110">
        <v>277</v>
      </c>
    </row>
    <row r="3831" spans="1:10">
      <c r="A3831" s="103" t="s">
        <v>6024</v>
      </c>
      <c r="B3831" s="124" t="s">
        <v>6025</v>
      </c>
      <c r="C3831" s="110">
        <v>332</v>
      </c>
      <c r="D3831" s="105" t="s">
        <v>1075</v>
      </c>
      <c r="E3831" s="109">
        <v>3</v>
      </c>
      <c r="F3831" s="110">
        <v>3940</v>
      </c>
      <c r="G3831" s="109" t="s">
        <v>120</v>
      </c>
      <c r="H3831" s="109">
        <v>1187</v>
      </c>
      <c r="I3831" s="109">
        <v>2344</v>
      </c>
      <c r="J3831" s="110">
        <v>2004</v>
      </c>
    </row>
    <row r="3832" spans="1:10" s="119" customFormat="1">
      <c r="A3832" s="123" t="s">
        <v>120</v>
      </c>
      <c r="B3832" s="275" t="s">
        <v>1022</v>
      </c>
      <c r="C3832" s="276"/>
      <c r="D3832" s="276"/>
      <c r="E3832" s="276"/>
      <c r="F3832" s="276"/>
      <c r="G3832" s="276"/>
      <c r="H3832" s="276"/>
      <c r="I3832" s="276"/>
      <c r="J3832" s="276"/>
    </row>
    <row r="3833" spans="1:10">
      <c r="A3833" s="103" t="s">
        <v>6026</v>
      </c>
      <c r="B3833" s="124" t="s">
        <v>6027</v>
      </c>
      <c r="C3833" s="110">
        <v>42721</v>
      </c>
      <c r="D3833" s="109" t="s">
        <v>120</v>
      </c>
      <c r="E3833" s="109">
        <v>428</v>
      </c>
      <c r="F3833" s="110">
        <v>10715</v>
      </c>
      <c r="G3833" s="109" t="s">
        <v>120</v>
      </c>
      <c r="H3833" s="109">
        <v>25</v>
      </c>
      <c r="I3833" s="109">
        <v>17</v>
      </c>
      <c r="J3833" s="110">
        <v>811</v>
      </c>
    </row>
    <row r="3834" spans="1:10">
      <c r="A3834" s="103" t="s">
        <v>6028</v>
      </c>
      <c r="B3834" s="124" t="s">
        <v>6025</v>
      </c>
      <c r="C3834" s="110">
        <v>41591</v>
      </c>
      <c r="D3834" s="109" t="s">
        <v>120</v>
      </c>
      <c r="E3834" s="109">
        <v>416</v>
      </c>
      <c r="F3834" s="110">
        <v>6811</v>
      </c>
      <c r="G3834" s="109" t="s">
        <v>120</v>
      </c>
      <c r="H3834" s="109">
        <v>16</v>
      </c>
      <c r="I3834" s="109">
        <v>20</v>
      </c>
      <c r="J3834" s="110">
        <v>1338</v>
      </c>
    </row>
    <row r="3835" spans="1:10" s="119" customFormat="1">
      <c r="A3835" s="123" t="s">
        <v>120</v>
      </c>
      <c r="B3835" s="275" t="s">
        <v>1101</v>
      </c>
      <c r="C3835" s="276"/>
      <c r="D3835" s="276"/>
      <c r="E3835" s="276"/>
      <c r="F3835" s="276"/>
      <c r="G3835" s="276"/>
      <c r="H3835" s="276"/>
      <c r="I3835" s="276"/>
      <c r="J3835" s="276"/>
    </row>
    <row r="3836" spans="1:10">
      <c r="A3836" s="103" t="s">
        <v>6029</v>
      </c>
      <c r="B3836" s="124" t="s">
        <v>6030</v>
      </c>
      <c r="C3836" s="110">
        <v>20288</v>
      </c>
      <c r="D3836" s="109" t="s">
        <v>120</v>
      </c>
      <c r="E3836" s="109">
        <v>203</v>
      </c>
      <c r="F3836" s="110">
        <v>6299</v>
      </c>
      <c r="G3836" s="109" t="s">
        <v>120</v>
      </c>
      <c r="H3836" s="109">
        <v>31</v>
      </c>
      <c r="I3836" s="109">
        <v>330</v>
      </c>
      <c r="J3836" s="110">
        <v>1444</v>
      </c>
    </row>
    <row r="3837" spans="1:10">
      <c r="A3837" s="103" t="s">
        <v>6031</v>
      </c>
      <c r="B3837" s="124" t="s">
        <v>932</v>
      </c>
      <c r="C3837" s="110">
        <v>216</v>
      </c>
      <c r="D3837" s="109" t="s">
        <v>120</v>
      </c>
      <c r="E3837" s="109">
        <v>2</v>
      </c>
      <c r="F3837" s="110">
        <v>2359</v>
      </c>
      <c r="G3837" s="109" t="s">
        <v>120</v>
      </c>
      <c r="H3837" s="109">
        <v>1092</v>
      </c>
      <c r="I3837" s="109" t="s">
        <v>122</v>
      </c>
      <c r="J3837" s="110" t="s">
        <v>122</v>
      </c>
    </row>
    <row r="3838" spans="1:10">
      <c r="A3838" s="103" t="s">
        <v>6032</v>
      </c>
      <c r="B3838" s="124" t="s">
        <v>934</v>
      </c>
      <c r="C3838" s="110">
        <v>20072</v>
      </c>
      <c r="D3838" s="109" t="s">
        <v>120</v>
      </c>
      <c r="E3838" s="109">
        <v>201</v>
      </c>
      <c r="F3838" s="110">
        <v>3940</v>
      </c>
      <c r="G3838" s="109" t="s">
        <v>120</v>
      </c>
      <c r="H3838" s="109">
        <v>20</v>
      </c>
      <c r="I3838" s="109" t="s">
        <v>122</v>
      </c>
      <c r="J3838" s="110" t="s">
        <v>122</v>
      </c>
    </row>
    <row r="3839" spans="1:10">
      <c r="A3839" s="103" t="s">
        <v>6033</v>
      </c>
      <c r="B3839" s="124" t="s">
        <v>6034</v>
      </c>
      <c r="C3839" s="110">
        <v>24638</v>
      </c>
      <c r="D3839" s="109" t="s">
        <v>120</v>
      </c>
      <c r="E3839" s="109">
        <v>246</v>
      </c>
      <c r="F3839" s="110">
        <v>6182</v>
      </c>
      <c r="G3839" s="109" t="s">
        <v>120</v>
      </c>
      <c r="H3839" s="109">
        <v>25</v>
      </c>
      <c r="I3839" s="109">
        <v>189</v>
      </c>
      <c r="J3839" s="110">
        <v>1464</v>
      </c>
    </row>
    <row r="3840" spans="1:10">
      <c r="A3840" s="103" t="s">
        <v>6035</v>
      </c>
      <c r="B3840" s="124" t="s">
        <v>932</v>
      </c>
      <c r="C3840" s="110">
        <v>463</v>
      </c>
      <c r="D3840" s="109" t="s">
        <v>120</v>
      </c>
      <c r="E3840" s="109">
        <v>5</v>
      </c>
      <c r="F3840" s="110">
        <v>1941</v>
      </c>
      <c r="G3840" s="109" t="s">
        <v>120</v>
      </c>
      <c r="H3840" s="109">
        <v>419</v>
      </c>
      <c r="I3840" s="109" t="s">
        <v>122</v>
      </c>
      <c r="J3840" s="110" t="s">
        <v>122</v>
      </c>
    </row>
    <row r="3841" spans="1:10">
      <c r="A3841" s="103" t="s">
        <v>6036</v>
      </c>
      <c r="B3841" s="124" t="s">
        <v>934</v>
      </c>
      <c r="C3841" s="110">
        <v>24175</v>
      </c>
      <c r="D3841" s="109" t="s">
        <v>120</v>
      </c>
      <c r="E3841" s="109">
        <v>241</v>
      </c>
      <c r="F3841" s="110">
        <v>4241</v>
      </c>
      <c r="G3841" s="109" t="s">
        <v>120</v>
      </c>
      <c r="H3841" s="109">
        <v>18</v>
      </c>
      <c r="I3841" s="109" t="s">
        <v>122</v>
      </c>
      <c r="J3841" s="110" t="s">
        <v>122</v>
      </c>
    </row>
    <row r="3842" spans="1:10" s="119" customFormat="1">
      <c r="A3842" s="123" t="s">
        <v>120</v>
      </c>
      <c r="B3842" s="273" t="s">
        <v>6037</v>
      </c>
      <c r="C3842" s="274"/>
      <c r="D3842" s="274"/>
      <c r="E3842" s="274"/>
      <c r="F3842" s="274"/>
      <c r="G3842" s="274"/>
      <c r="H3842" s="274"/>
      <c r="I3842" s="274"/>
      <c r="J3842" s="274"/>
    </row>
    <row r="3843" spans="1:10" s="119" customFormat="1">
      <c r="A3843" s="123" t="s">
        <v>120</v>
      </c>
      <c r="B3843" s="275" t="s">
        <v>922</v>
      </c>
      <c r="C3843" s="276"/>
      <c r="D3843" s="276"/>
      <c r="E3843" s="276"/>
      <c r="F3843" s="276"/>
      <c r="G3843" s="276"/>
      <c r="H3843" s="276"/>
      <c r="I3843" s="276"/>
      <c r="J3843" s="276"/>
    </row>
    <row r="3844" spans="1:10">
      <c r="A3844" s="103" t="s">
        <v>6038</v>
      </c>
      <c r="B3844" s="124" t="s">
        <v>6039</v>
      </c>
      <c r="C3844" s="110">
        <v>1241</v>
      </c>
      <c r="D3844" s="109" t="s">
        <v>120</v>
      </c>
      <c r="E3844" s="109">
        <v>12</v>
      </c>
      <c r="F3844" s="110">
        <v>16992</v>
      </c>
      <c r="G3844" s="109" t="s">
        <v>120</v>
      </c>
      <c r="H3844" s="109">
        <v>1369</v>
      </c>
      <c r="I3844" s="109">
        <v>2306</v>
      </c>
      <c r="J3844" s="110">
        <v>434</v>
      </c>
    </row>
    <row r="3845" spans="1:10" s="119" customFormat="1">
      <c r="A3845" s="123" t="s">
        <v>120</v>
      </c>
      <c r="B3845" s="275" t="s">
        <v>924</v>
      </c>
      <c r="C3845" s="276"/>
      <c r="D3845" s="276"/>
      <c r="E3845" s="276"/>
      <c r="F3845" s="276"/>
      <c r="G3845" s="276"/>
      <c r="H3845" s="276"/>
      <c r="I3845" s="276"/>
      <c r="J3845" s="276"/>
    </row>
    <row r="3846" spans="1:10">
      <c r="A3846" s="103" t="s">
        <v>6040</v>
      </c>
      <c r="B3846" s="124" t="s">
        <v>6041</v>
      </c>
      <c r="C3846" s="110">
        <v>30626</v>
      </c>
      <c r="D3846" s="109" t="s">
        <v>120</v>
      </c>
      <c r="E3846" s="109">
        <v>307</v>
      </c>
      <c r="F3846" s="110">
        <v>6031</v>
      </c>
      <c r="G3846" s="109" t="s">
        <v>120</v>
      </c>
      <c r="H3846" s="109">
        <v>20</v>
      </c>
      <c r="I3846" s="109">
        <v>93</v>
      </c>
      <c r="J3846" s="110">
        <v>1494</v>
      </c>
    </row>
    <row r="3847" spans="1:10">
      <c r="A3847" s="103" t="s">
        <v>6042</v>
      </c>
      <c r="B3847" s="124" t="s">
        <v>6043</v>
      </c>
      <c r="C3847" s="110">
        <v>19816</v>
      </c>
      <c r="D3847" s="109" t="s">
        <v>120</v>
      </c>
      <c r="E3847" s="109">
        <v>198</v>
      </c>
      <c r="F3847" s="110">
        <v>2817</v>
      </c>
      <c r="G3847" s="109" t="s">
        <v>120</v>
      </c>
      <c r="H3847" s="109">
        <v>14</v>
      </c>
      <c r="I3847" s="109">
        <v>355</v>
      </c>
      <c r="J3847" s="110">
        <v>2221</v>
      </c>
    </row>
    <row r="3848" spans="1:10">
      <c r="A3848" s="103" t="s">
        <v>6044</v>
      </c>
      <c r="B3848" s="124" t="s">
        <v>6045</v>
      </c>
      <c r="C3848" s="110">
        <v>16993</v>
      </c>
      <c r="D3848" s="109" t="s">
        <v>120</v>
      </c>
      <c r="E3848" s="109">
        <v>170</v>
      </c>
      <c r="F3848" s="110">
        <v>2486</v>
      </c>
      <c r="G3848" s="105" t="s">
        <v>1075</v>
      </c>
      <c r="H3848" s="109">
        <v>15</v>
      </c>
      <c r="I3848" s="109">
        <v>521</v>
      </c>
      <c r="J3848" s="110">
        <v>2263</v>
      </c>
    </row>
    <row r="3849" spans="1:10">
      <c r="A3849" s="103" t="s">
        <v>6046</v>
      </c>
      <c r="B3849" s="124" t="s">
        <v>6047</v>
      </c>
      <c r="C3849" s="110">
        <v>14785</v>
      </c>
      <c r="D3849" s="109" t="s">
        <v>120</v>
      </c>
      <c r="E3849" s="109">
        <v>148</v>
      </c>
      <c r="F3849" s="110">
        <v>2970</v>
      </c>
      <c r="G3849" s="109" t="s">
        <v>120</v>
      </c>
      <c r="H3849" s="109">
        <v>20</v>
      </c>
      <c r="I3849" s="109">
        <v>696</v>
      </c>
      <c r="J3849" s="110">
        <v>2203</v>
      </c>
    </row>
    <row r="3850" spans="1:10" s="119" customFormat="1">
      <c r="A3850" s="123" t="s">
        <v>120</v>
      </c>
      <c r="B3850" s="275" t="s">
        <v>947</v>
      </c>
      <c r="C3850" s="276"/>
      <c r="D3850" s="276"/>
      <c r="E3850" s="276"/>
      <c r="F3850" s="276"/>
      <c r="G3850" s="276"/>
      <c r="H3850" s="276"/>
      <c r="I3850" s="276"/>
      <c r="J3850" s="276"/>
    </row>
    <row r="3851" spans="1:10">
      <c r="A3851" s="103" t="s">
        <v>6048</v>
      </c>
      <c r="B3851" s="124" t="s">
        <v>6049</v>
      </c>
      <c r="C3851" s="110">
        <v>12410</v>
      </c>
      <c r="D3851" s="109" t="s">
        <v>120</v>
      </c>
      <c r="E3851" s="109">
        <v>124</v>
      </c>
      <c r="F3851" s="110">
        <v>3555</v>
      </c>
      <c r="G3851" s="109" t="s">
        <v>120</v>
      </c>
      <c r="H3851" s="109">
        <v>29</v>
      </c>
      <c r="I3851" s="109">
        <v>992</v>
      </c>
      <c r="J3851" s="110">
        <v>2101</v>
      </c>
    </row>
    <row r="3852" spans="1:10">
      <c r="A3852" s="103" t="s">
        <v>6050</v>
      </c>
      <c r="B3852" s="124" t="s">
        <v>5231</v>
      </c>
      <c r="C3852" s="110">
        <v>759</v>
      </c>
      <c r="D3852" s="109" t="s">
        <v>120</v>
      </c>
      <c r="E3852" s="109">
        <v>8</v>
      </c>
      <c r="F3852" s="110">
        <v>2326</v>
      </c>
      <c r="G3852" s="109" t="s">
        <v>120</v>
      </c>
      <c r="H3852" s="109">
        <v>306</v>
      </c>
      <c r="I3852" s="109" t="s">
        <v>122</v>
      </c>
      <c r="J3852" s="110" t="s">
        <v>122</v>
      </c>
    </row>
    <row r="3853" spans="1:10">
      <c r="A3853" s="103" t="s">
        <v>6051</v>
      </c>
      <c r="B3853" s="124" t="s">
        <v>934</v>
      </c>
      <c r="C3853" s="110">
        <v>11651</v>
      </c>
      <c r="D3853" s="109" t="s">
        <v>120</v>
      </c>
      <c r="E3853" s="109">
        <v>116</v>
      </c>
      <c r="F3853" s="110">
        <v>1229</v>
      </c>
      <c r="G3853" s="109" t="s">
        <v>120</v>
      </c>
      <c r="H3853" s="109">
        <v>11</v>
      </c>
      <c r="I3853" s="109" t="s">
        <v>122</v>
      </c>
      <c r="J3853" s="110" t="s">
        <v>122</v>
      </c>
    </row>
    <row r="3854" spans="1:10">
      <c r="A3854" s="103" t="s">
        <v>6052</v>
      </c>
      <c r="B3854" s="124" t="s">
        <v>6053</v>
      </c>
      <c r="C3854" s="110">
        <v>24294</v>
      </c>
      <c r="D3854" s="109" t="s">
        <v>120</v>
      </c>
      <c r="E3854" s="109">
        <v>243</v>
      </c>
      <c r="F3854" s="110">
        <v>6183</v>
      </c>
      <c r="G3854" s="109" t="s">
        <v>120</v>
      </c>
      <c r="H3854" s="109">
        <v>25</v>
      </c>
      <c r="I3854" s="109">
        <v>197</v>
      </c>
      <c r="J3854" s="110">
        <v>1463</v>
      </c>
    </row>
    <row r="3855" spans="1:10">
      <c r="A3855" s="103" t="s">
        <v>6054</v>
      </c>
      <c r="B3855" s="124" t="s">
        <v>932</v>
      </c>
      <c r="C3855" s="110">
        <v>381</v>
      </c>
      <c r="D3855" s="109" t="s">
        <v>120</v>
      </c>
      <c r="E3855" s="109">
        <v>4</v>
      </c>
      <c r="F3855" s="110">
        <v>2712</v>
      </c>
      <c r="G3855" s="109" t="s">
        <v>120</v>
      </c>
      <c r="H3855" s="109">
        <v>712</v>
      </c>
      <c r="I3855" s="109" t="s">
        <v>122</v>
      </c>
      <c r="J3855" s="110" t="s">
        <v>122</v>
      </c>
    </row>
    <row r="3856" spans="1:10">
      <c r="A3856" s="103" t="s">
        <v>6055</v>
      </c>
      <c r="B3856" s="124" t="s">
        <v>934</v>
      </c>
      <c r="C3856" s="110">
        <v>23913</v>
      </c>
      <c r="D3856" s="109" t="s">
        <v>120</v>
      </c>
      <c r="E3856" s="109">
        <v>239</v>
      </c>
      <c r="F3856" s="110">
        <v>3471</v>
      </c>
      <c r="G3856" s="109" t="s">
        <v>120</v>
      </c>
      <c r="H3856" s="109">
        <v>15</v>
      </c>
      <c r="I3856" s="109" t="s">
        <v>122</v>
      </c>
      <c r="J3856" s="110" t="s">
        <v>122</v>
      </c>
    </row>
    <row r="3857" spans="1:10" s="119" customFormat="1">
      <c r="A3857" s="123" t="s">
        <v>120</v>
      </c>
      <c r="B3857" s="273" t="s">
        <v>6056</v>
      </c>
      <c r="C3857" s="274"/>
      <c r="D3857" s="274"/>
      <c r="E3857" s="274"/>
      <c r="F3857" s="274"/>
      <c r="G3857" s="274"/>
      <c r="H3857" s="274"/>
      <c r="I3857" s="274"/>
      <c r="J3857" s="274"/>
    </row>
    <row r="3858" spans="1:10" s="119" customFormat="1">
      <c r="A3858" s="123" t="s">
        <v>120</v>
      </c>
      <c r="B3858" s="275" t="s">
        <v>957</v>
      </c>
      <c r="C3858" s="276"/>
      <c r="D3858" s="276"/>
      <c r="E3858" s="276"/>
      <c r="F3858" s="276"/>
      <c r="G3858" s="276"/>
      <c r="H3858" s="276"/>
      <c r="I3858" s="276"/>
      <c r="J3858" s="276"/>
    </row>
    <row r="3859" spans="1:10">
      <c r="A3859" s="103" t="s">
        <v>6057</v>
      </c>
      <c r="B3859" s="124" t="s">
        <v>6058</v>
      </c>
      <c r="C3859" s="110">
        <v>1147</v>
      </c>
      <c r="D3859" s="109" t="s">
        <v>120</v>
      </c>
      <c r="E3859" s="109">
        <v>11</v>
      </c>
      <c r="F3859" s="110">
        <v>21274</v>
      </c>
      <c r="G3859" s="109" t="s">
        <v>120</v>
      </c>
      <c r="H3859" s="109">
        <v>1855</v>
      </c>
      <c r="I3859" s="109">
        <v>2311</v>
      </c>
      <c r="J3859" s="110">
        <v>318</v>
      </c>
    </row>
    <row r="3860" spans="1:10" s="119" customFormat="1">
      <c r="A3860" s="123" t="s">
        <v>120</v>
      </c>
      <c r="B3860" s="275" t="s">
        <v>924</v>
      </c>
      <c r="C3860" s="276"/>
      <c r="D3860" s="276"/>
      <c r="E3860" s="276"/>
      <c r="F3860" s="276"/>
      <c r="G3860" s="276"/>
      <c r="H3860" s="276"/>
      <c r="I3860" s="276"/>
      <c r="J3860" s="276"/>
    </row>
    <row r="3861" spans="1:10">
      <c r="A3861" s="103" t="s">
        <v>6059</v>
      </c>
      <c r="B3861" s="124" t="s">
        <v>6058</v>
      </c>
      <c r="C3861" s="110">
        <v>27217</v>
      </c>
      <c r="D3861" s="109" t="s">
        <v>120</v>
      </c>
      <c r="E3861" s="109">
        <v>273</v>
      </c>
      <c r="F3861" s="110">
        <v>9821</v>
      </c>
      <c r="G3861" s="109" t="s">
        <v>120</v>
      </c>
      <c r="H3861" s="109">
        <v>36</v>
      </c>
      <c r="I3861" s="109">
        <v>134</v>
      </c>
      <c r="J3861" s="110">
        <v>894</v>
      </c>
    </row>
    <row r="3862" spans="1:10">
      <c r="A3862" s="103" t="s">
        <v>6060</v>
      </c>
      <c r="B3862" s="124" t="s">
        <v>6061</v>
      </c>
      <c r="C3862" s="110">
        <v>10377</v>
      </c>
      <c r="D3862" s="109" t="s">
        <v>120</v>
      </c>
      <c r="E3862" s="109">
        <v>104</v>
      </c>
      <c r="F3862" s="110">
        <v>7192</v>
      </c>
      <c r="G3862" s="109" t="s">
        <v>120</v>
      </c>
      <c r="H3862" s="109">
        <v>69</v>
      </c>
      <c r="I3862" s="109">
        <v>1323</v>
      </c>
      <c r="J3862" s="110">
        <v>1260</v>
      </c>
    </row>
    <row r="3863" spans="1:10">
      <c r="A3863" s="103" t="s">
        <v>6062</v>
      </c>
      <c r="B3863" s="124" t="s">
        <v>6063</v>
      </c>
      <c r="C3863" s="110">
        <v>16323</v>
      </c>
      <c r="D3863" s="109" t="s">
        <v>120</v>
      </c>
      <c r="E3863" s="109">
        <v>163</v>
      </c>
      <c r="F3863" s="110">
        <v>5604</v>
      </c>
      <c r="G3863" s="109" t="s">
        <v>120</v>
      </c>
      <c r="H3863" s="109">
        <v>34</v>
      </c>
      <c r="I3863" s="109">
        <v>566</v>
      </c>
      <c r="J3863" s="110">
        <v>1592</v>
      </c>
    </row>
    <row r="3864" spans="1:10">
      <c r="A3864" s="103" t="s">
        <v>6064</v>
      </c>
      <c r="B3864" s="124" t="s">
        <v>3941</v>
      </c>
      <c r="C3864" s="110">
        <v>14841</v>
      </c>
      <c r="D3864" s="109" t="s">
        <v>120</v>
      </c>
      <c r="E3864" s="109">
        <v>148</v>
      </c>
      <c r="F3864" s="110">
        <v>7196</v>
      </c>
      <c r="G3864" s="109" t="s">
        <v>120</v>
      </c>
      <c r="H3864" s="109">
        <v>48</v>
      </c>
      <c r="I3864" s="109">
        <v>689</v>
      </c>
      <c r="J3864" s="110">
        <v>1259</v>
      </c>
    </row>
    <row r="3865" spans="1:10" s="119" customFormat="1">
      <c r="A3865" s="123" t="s">
        <v>120</v>
      </c>
      <c r="B3865" s="275" t="s">
        <v>929</v>
      </c>
      <c r="C3865" s="276"/>
      <c r="D3865" s="276"/>
      <c r="E3865" s="276"/>
      <c r="F3865" s="276"/>
      <c r="G3865" s="276"/>
      <c r="H3865" s="276"/>
      <c r="I3865" s="276"/>
      <c r="J3865" s="276"/>
    </row>
    <row r="3866" spans="1:10">
      <c r="A3866" s="103" t="s">
        <v>6065</v>
      </c>
      <c r="B3866" s="124" t="s">
        <v>6066</v>
      </c>
      <c r="C3866" s="110">
        <v>25488</v>
      </c>
      <c r="D3866" s="109" t="s">
        <v>120</v>
      </c>
      <c r="E3866" s="109">
        <v>255</v>
      </c>
      <c r="F3866" s="110">
        <v>14052</v>
      </c>
      <c r="G3866" s="109" t="s">
        <v>120</v>
      </c>
      <c r="H3866" s="109">
        <v>55</v>
      </c>
      <c r="I3866" s="109">
        <v>169</v>
      </c>
      <c r="J3866" s="110">
        <v>568</v>
      </c>
    </row>
    <row r="3867" spans="1:10">
      <c r="A3867" s="103" t="s">
        <v>6067</v>
      </c>
      <c r="B3867" s="124" t="s">
        <v>932</v>
      </c>
      <c r="C3867" s="110">
        <v>568</v>
      </c>
      <c r="D3867" s="109" t="s">
        <v>120</v>
      </c>
      <c r="E3867" s="109">
        <v>6</v>
      </c>
      <c r="F3867" s="110">
        <v>7741</v>
      </c>
      <c r="G3867" s="109" t="s">
        <v>120</v>
      </c>
      <c r="H3867" s="109">
        <v>1363</v>
      </c>
      <c r="I3867" s="109" t="s">
        <v>122</v>
      </c>
      <c r="J3867" s="110" t="s">
        <v>122</v>
      </c>
    </row>
    <row r="3868" spans="1:10">
      <c r="A3868" s="103" t="s">
        <v>6068</v>
      </c>
      <c r="B3868" s="124" t="s">
        <v>934</v>
      </c>
      <c r="C3868" s="110">
        <v>24920</v>
      </c>
      <c r="D3868" s="109" t="s">
        <v>120</v>
      </c>
      <c r="E3868" s="109">
        <v>249</v>
      </c>
      <c r="F3868" s="110">
        <v>6311</v>
      </c>
      <c r="G3868" s="109" t="s">
        <v>120</v>
      </c>
      <c r="H3868" s="109">
        <v>25</v>
      </c>
      <c r="I3868" s="109" t="s">
        <v>122</v>
      </c>
      <c r="J3868" s="110" t="s">
        <v>122</v>
      </c>
    </row>
    <row r="3869" spans="1:10" s="119" customFormat="1">
      <c r="A3869" s="123" t="s">
        <v>120</v>
      </c>
      <c r="B3869" s="273" t="s">
        <v>6069</v>
      </c>
      <c r="C3869" s="274"/>
      <c r="D3869" s="274"/>
      <c r="E3869" s="274"/>
      <c r="F3869" s="274"/>
      <c r="G3869" s="274"/>
      <c r="H3869" s="274"/>
      <c r="I3869" s="274"/>
      <c r="J3869" s="274"/>
    </row>
    <row r="3870" spans="1:10" s="119" customFormat="1">
      <c r="A3870" s="123" t="s">
        <v>120</v>
      </c>
      <c r="B3870" s="275" t="s">
        <v>924</v>
      </c>
      <c r="C3870" s="276"/>
      <c r="D3870" s="276"/>
      <c r="E3870" s="276"/>
      <c r="F3870" s="276"/>
      <c r="G3870" s="276"/>
      <c r="H3870" s="276"/>
      <c r="I3870" s="276"/>
      <c r="J3870" s="276"/>
    </row>
    <row r="3871" spans="1:10">
      <c r="A3871" s="103" t="s">
        <v>6070</v>
      </c>
      <c r="B3871" s="124" t="s">
        <v>6071</v>
      </c>
      <c r="C3871" s="110">
        <v>19205</v>
      </c>
      <c r="D3871" s="109" t="s">
        <v>120</v>
      </c>
      <c r="E3871" s="109">
        <v>192</v>
      </c>
      <c r="F3871" s="110">
        <v>7563</v>
      </c>
      <c r="G3871" s="109" t="s">
        <v>120</v>
      </c>
      <c r="H3871" s="109">
        <v>39</v>
      </c>
      <c r="I3871" s="109">
        <v>383</v>
      </c>
      <c r="J3871" s="110">
        <v>1192</v>
      </c>
    </row>
    <row r="3872" spans="1:10">
      <c r="A3872" s="103" t="s">
        <v>6072</v>
      </c>
      <c r="B3872" s="124" t="s">
        <v>6073</v>
      </c>
      <c r="C3872" s="110">
        <v>16699</v>
      </c>
      <c r="D3872" s="109" t="s">
        <v>120</v>
      </c>
      <c r="E3872" s="109">
        <v>167</v>
      </c>
      <c r="F3872" s="110">
        <v>3011</v>
      </c>
      <c r="G3872" s="109" t="s">
        <v>120</v>
      </c>
      <c r="H3872" s="109">
        <v>18</v>
      </c>
      <c r="I3872" s="109">
        <v>544</v>
      </c>
      <c r="J3872" s="110">
        <v>2194</v>
      </c>
    </row>
    <row r="3873" spans="1:10">
      <c r="A3873" s="103" t="s">
        <v>6074</v>
      </c>
      <c r="B3873" s="124" t="s">
        <v>6075</v>
      </c>
      <c r="C3873" s="110">
        <v>8915</v>
      </c>
      <c r="D3873" s="109" t="s">
        <v>120</v>
      </c>
      <c r="E3873" s="109">
        <v>89</v>
      </c>
      <c r="F3873" s="110">
        <v>5127</v>
      </c>
      <c r="G3873" s="109" t="s">
        <v>120</v>
      </c>
      <c r="H3873" s="109">
        <v>58</v>
      </c>
      <c r="I3873" s="109">
        <v>1540</v>
      </c>
      <c r="J3873" s="110">
        <v>1711</v>
      </c>
    </row>
    <row r="3874" spans="1:10">
      <c r="A3874" s="103" t="s">
        <v>6076</v>
      </c>
      <c r="B3874" s="124" t="s">
        <v>6077</v>
      </c>
      <c r="C3874" s="110">
        <v>10960</v>
      </c>
      <c r="D3874" s="109" t="s">
        <v>120</v>
      </c>
      <c r="E3874" s="109">
        <v>110</v>
      </c>
      <c r="F3874" s="110">
        <v>4048</v>
      </c>
      <c r="G3874" s="109" t="s">
        <v>120</v>
      </c>
      <c r="H3874" s="109">
        <v>37</v>
      </c>
      <c r="I3874" s="109">
        <v>1232</v>
      </c>
      <c r="J3874" s="110">
        <v>1982</v>
      </c>
    </row>
    <row r="3875" spans="1:10">
      <c r="A3875" s="103" t="s">
        <v>6078</v>
      </c>
      <c r="B3875" s="124" t="s">
        <v>6079</v>
      </c>
      <c r="C3875" s="110">
        <v>9581</v>
      </c>
      <c r="D3875" s="109" t="s">
        <v>120</v>
      </c>
      <c r="E3875" s="109">
        <v>96</v>
      </c>
      <c r="F3875" s="110">
        <v>3419</v>
      </c>
      <c r="G3875" s="109" t="s">
        <v>120</v>
      </c>
      <c r="H3875" s="109">
        <v>36</v>
      </c>
      <c r="I3875" s="109">
        <v>1454</v>
      </c>
      <c r="J3875" s="110">
        <v>2123</v>
      </c>
    </row>
    <row r="3876" spans="1:10">
      <c r="A3876" s="103" t="s">
        <v>6080</v>
      </c>
      <c r="B3876" s="124" t="s">
        <v>6081</v>
      </c>
      <c r="C3876" s="110">
        <v>13165</v>
      </c>
      <c r="D3876" s="109" t="s">
        <v>120</v>
      </c>
      <c r="E3876" s="109">
        <v>132</v>
      </c>
      <c r="F3876" s="110">
        <v>3753</v>
      </c>
      <c r="G3876" s="109" t="s">
        <v>120</v>
      </c>
      <c r="H3876" s="109">
        <v>29</v>
      </c>
      <c r="I3876" s="109">
        <v>888</v>
      </c>
      <c r="J3876" s="110">
        <v>2055</v>
      </c>
    </row>
    <row r="3877" spans="1:10" s="119" customFormat="1">
      <c r="A3877" s="123" t="s">
        <v>120</v>
      </c>
      <c r="B3877" s="275" t="s">
        <v>947</v>
      </c>
      <c r="C3877" s="276"/>
      <c r="D3877" s="276"/>
      <c r="E3877" s="276"/>
      <c r="F3877" s="276"/>
      <c r="G3877" s="276"/>
      <c r="H3877" s="276"/>
      <c r="I3877" s="276"/>
      <c r="J3877" s="276"/>
    </row>
    <row r="3878" spans="1:10">
      <c r="A3878" s="103" t="s">
        <v>6082</v>
      </c>
      <c r="B3878" s="124" t="s">
        <v>6083</v>
      </c>
      <c r="C3878" s="110">
        <v>15841</v>
      </c>
      <c r="D3878" s="109" t="s">
        <v>120</v>
      </c>
      <c r="E3878" s="109">
        <v>158</v>
      </c>
      <c r="F3878" s="110">
        <v>4406</v>
      </c>
      <c r="G3878" s="109" t="s">
        <v>120</v>
      </c>
      <c r="H3878" s="109">
        <v>28</v>
      </c>
      <c r="I3878" s="109">
        <v>613</v>
      </c>
      <c r="J3878" s="110">
        <v>1888</v>
      </c>
    </row>
    <row r="3879" spans="1:10">
      <c r="A3879" s="103" t="s">
        <v>6084</v>
      </c>
      <c r="B3879" s="124" t="s">
        <v>932</v>
      </c>
      <c r="C3879" s="110">
        <v>276</v>
      </c>
      <c r="D3879" s="109" t="s">
        <v>120</v>
      </c>
      <c r="E3879" s="109">
        <v>3</v>
      </c>
      <c r="F3879" s="110">
        <v>1765</v>
      </c>
      <c r="G3879" s="109" t="s">
        <v>120</v>
      </c>
      <c r="H3879" s="109">
        <v>639</v>
      </c>
      <c r="I3879" s="109" t="s">
        <v>122</v>
      </c>
      <c r="J3879" s="110" t="s">
        <v>122</v>
      </c>
    </row>
    <row r="3880" spans="1:10">
      <c r="A3880" s="103" t="s">
        <v>6085</v>
      </c>
      <c r="B3880" s="124" t="s">
        <v>934</v>
      </c>
      <c r="C3880" s="110">
        <v>15565</v>
      </c>
      <c r="D3880" s="109" t="s">
        <v>120</v>
      </c>
      <c r="E3880" s="109">
        <v>155</v>
      </c>
      <c r="F3880" s="110">
        <v>2641</v>
      </c>
      <c r="G3880" s="109" t="s">
        <v>120</v>
      </c>
      <c r="H3880" s="109">
        <v>17</v>
      </c>
      <c r="I3880" s="109" t="s">
        <v>122</v>
      </c>
      <c r="J3880" s="110" t="s">
        <v>122</v>
      </c>
    </row>
    <row r="3881" spans="1:10">
      <c r="A3881" s="103" t="s">
        <v>6086</v>
      </c>
      <c r="B3881" s="124" t="s">
        <v>6087</v>
      </c>
      <c r="C3881" s="110">
        <v>26391</v>
      </c>
      <c r="D3881" s="109" t="s">
        <v>120</v>
      </c>
      <c r="E3881" s="109">
        <v>264</v>
      </c>
      <c r="F3881" s="110">
        <v>19313</v>
      </c>
      <c r="G3881" s="109" t="s">
        <v>120</v>
      </c>
      <c r="H3881" s="109">
        <v>73</v>
      </c>
      <c r="I3881" s="109">
        <v>145</v>
      </c>
      <c r="J3881" s="110">
        <v>359</v>
      </c>
    </row>
    <row r="3882" spans="1:10">
      <c r="A3882" s="103" t="s">
        <v>6088</v>
      </c>
      <c r="B3882" s="124" t="s">
        <v>932</v>
      </c>
      <c r="C3882" s="110">
        <v>1063</v>
      </c>
      <c r="D3882" s="109" t="s">
        <v>120</v>
      </c>
      <c r="E3882" s="109">
        <v>11</v>
      </c>
      <c r="F3882" s="110">
        <v>12178</v>
      </c>
      <c r="G3882" s="109" t="s">
        <v>120</v>
      </c>
      <c r="H3882" s="109">
        <v>1146</v>
      </c>
      <c r="I3882" s="109" t="s">
        <v>122</v>
      </c>
      <c r="J3882" s="110" t="s">
        <v>122</v>
      </c>
    </row>
    <row r="3883" spans="1:10">
      <c r="A3883" s="103" t="s">
        <v>6089</v>
      </c>
      <c r="B3883" s="124" t="s">
        <v>934</v>
      </c>
      <c r="C3883" s="110">
        <v>25328</v>
      </c>
      <c r="D3883" s="109" t="s">
        <v>120</v>
      </c>
      <c r="E3883" s="109">
        <v>253</v>
      </c>
      <c r="F3883" s="110">
        <v>7135</v>
      </c>
      <c r="G3883" s="109" t="s">
        <v>120</v>
      </c>
      <c r="H3883" s="109">
        <v>28</v>
      </c>
      <c r="I3883" s="109" t="s">
        <v>122</v>
      </c>
      <c r="J3883" s="110" t="s">
        <v>122</v>
      </c>
    </row>
    <row r="3884" spans="1:10">
      <c r="A3884" s="103" t="s">
        <v>6090</v>
      </c>
      <c r="B3884" s="124" t="s">
        <v>6091</v>
      </c>
      <c r="C3884" s="110">
        <v>20801</v>
      </c>
      <c r="D3884" s="109" t="s">
        <v>120</v>
      </c>
      <c r="E3884" s="109">
        <v>208</v>
      </c>
      <c r="F3884" s="110">
        <v>6571</v>
      </c>
      <c r="G3884" s="109" t="s">
        <v>120</v>
      </c>
      <c r="H3884" s="109">
        <v>32</v>
      </c>
      <c r="I3884" s="109">
        <v>299</v>
      </c>
      <c r="J3884" s="110">
        <v>1386</v>
      </c>
    </row>
    <row r="3885" spans="1:10">
      <c r="A3885" s="103" t="s">
        <v>6092</v>
      </c>
      <c r="B3885" s="124" t="s">
        <v>932</v>
      </c>
      <c r="C3885" s="110">
        <v>229</v>
      </c>
      <c r="D3885" s="109" t="s">
        <v>120</v>
      </c>
      <c r="E3885" s="109">
        <v>2</v>
      </c>
      <c r="F3885" s="110">
        <v>2663</v>
      </c>
      <c r="G3885" s="109" t="s">
        <v>120</v>
      </c>
      <c r="H3885" s="109">
        <v>1163</v>
      </c>
      <c r="I3885" s="109" t="s">
        <v>122</v>
      </c>
      <c r="J3885" s="110" t="s">
        <v>122</v>
      </c>
    </row>
    <row r="3886" spans="1:10">
      <c r="A3886" s="103" t="s">
        <v>6093</v>
      </c>
      <c r="B3886" s="124" t="s">
        <v>934</v>
      </c>
      <c r="C3886" s="110">
        <v>20572</v>
      </c>
      <c r="D3886" s="109" t="s">
        <v>120</v>
      </c>
      <c r="E3886" s="109">
        <v>206</v>
      </c>
      <c r="F3886" s="110">
        <v>3908</v>
      </c>
      <c r="G3886" s="109" t="s">
        <v>120</v>
      </c>
      <c r="H3886" s="109">
        <v>19</v>
      </c>
      <c r="I3886" s="109" t="s">
        <v>122</v>
      </c>
      <c r="J3886" s="110" t="s">
        <v>122</v>
      </c>
    </row>
    <row r="3887" spans="1:10" s="119" customFormat="1">
      <c r="A3887" s="123" t="s">
        <v>120</v>
      </c>
      <c r="B3887" s="277" t="s">
        <v>6094</v>
      </c>
      <c r="C3887" s="278"/>
      <c r="D3887" s="278"/>
      <c r="E3887" s="278"/>
      <c r="F3887" s="278"/>
      <c r="G3887" s="278"/>
      <c r="H3887" s="278"/>
      <c r="I3887" s="278"/>
      <c r="J3887" s="278"/>
    </row>
    <row r="3888" spans="1:10" s="119" customFormat="1">
      <c r="A3888" s="123" t="s">
        <v>120</v>
      </c>
      <c r="B3888" s="275" t="s">
        <v>1019</v>
      </c>
      <c r="C3888" s="276"/>
      <c r="D3888" s="276"/>
      <c r="E3888" s="276"/>
      <c r="F3888" s="276"/>
      <c r="G3888" s="276"/>
      <c r="H3888" s="276"/>
      <c r="I3888" s="276"/>
      <c r="J3888" s="276"/>
    </row>
    <row r="3889" spans="1:10">
      <c r="A3889" s="103" t="s">
        <v>6095</v>
      </c>
      <c r="B3889" s="124" t="s">
        <v>6096</v>
      </c>
      <c r="C3889" s="110">
        <v>2105</v>
      </c>
      <c r="D3889" s="109" t="s">
        <v>120</v>
      </c>
      <c r="E3889" s="109">
        <v>21</v>
      </c>
      <c r="F3889" s="110">
        <v>62109</v>
      </c>
      <c r="G3889" s="109" t="s">
        <v>120</v>
      </c>
      <c r="H3889" s="109">
        <v>2951</v>
      </c>
      <c r="I3889" s="109">
        <v>2225</v>
      </c>
      <c r="J3889" s="110">
        <v>67</v>
      </c>
    </row>
    <row r="3890" spans="1:10" s="119" customFormat="1">
      <c r="A3890" s="123" t="s">
        <v>120</v>
      </c>
      <c r="B3890" s="275" t="s">
        <v>943</v>
      </c>
      <c r="C3890" s="276"/>
      <c r="D3890" s="276"/>
      <c r="E3890" s="276"/>
      <c r="F3890" s="276"/>
      <c r="G3890" s="276"/>
      <c r="H3890" s="276"/>
      <c r="I3890" s="276"/>
      <c r="J3890" s="276"/>
    </row>
    <row r="3891" spans="1:10">
      <c r="A3891" s="103" t="s">
        <v>6097</v>
      </c>
      <c r="B3891" s="124" t="s">
        <v>6096</v>
      </c>
      <c r="C3891" s="110">
        <v>37918</v>
      </c>
      <c r="D3891" s="109" t="s">
        <v>120</v>
      </c>
      <c r="E3891" s="109">
        <v>380</v>
      </c>
      <c r="F3891" s="110">
        <v>11820</v>
      </c>
      <c r="G3891" s="109" t="s">
        <v>120</v>
      </c>
      <c r="H3891" s="109">
        <v>31</v>
      </c>
      <c r="I3891" s="109">
        <v>31</v>
      </c>
      <c r="J3891" s="110">
        <v>714</v>
      </c>
    </row>
    <row r="3892" spans="1:10">
      <c r="A3892" s="103" t="s">
        <v>6098</v>
      </c>
      <c r="B3892" s="124" t="s">
        <v>6099</v>
      </c>
      <c r="C3892" s="110">
        <v>28446</v>
      </c>
      <c r="D3892" s="109" t="s">
        <v>120</v>
      </c>
      <c r="E3892" s="109">
        <v>284</v>
      </c>
      <c r="F3892" s="110">
        <v>6660</v>
      </c>
      <c r="G3892" s="109" t="s">
        <v>120</v>
      </c>
      <c r="H3892" s="109">
        <v>23</v>
      </c>
      <c r="I3892" s="109">
        <v>123</v>
      </c>
      <c r="J3892" s="110">
        <v>1369</v>
      </c>
    </row>
    <row r="3893" spans="1:10">
      <c r="A3893" s="103" t="s">
        <v>6100</v>
      </c>
      <c r="B3893" s="124" t="s">
        <v>6101</v>
      </c>
      <c r="C3893" s="110">
        <v>23108</v>
      </c>
      <c r="D3893" s="109" t="s">
        <v>120</v>
      </c>
      <c r="E3893" s="109">
        <v>231</v>
      </c>
      <c r="F3893" s="110">
        <v>7238</v>
      </c>
      <c r="G3893" s="109" t="s">
        <v>120</v>
      </c>
      <c r="H3893" s="109">
        <v>31</v>
      </c>
      <c r="I3893" s="109">
        <v>228</v>
      </c>
      <c r="J3893" s="110">
        <v>1251</v>
      </c>
    </row>
    <row r="3894" spans="1:10">
      <c r="A3894" s="103" t="s">
        <v>6102</v>
      </c>
      <c r="B3894" s="124" t="s">
        <v>6103</v>
      </c>
      <c r="C3894" s="110">
        <v>19702</v>
      </c>
      <c r="D3894" s="109" t="s">
        <v>120</v>
      </c>
      <c r="E3894" s="109">
        <v>197</v>
      </c>
      <c r="F3894" s="110">
        <v>3733</v>
      </c>
      <c r="G3894" s="109" t="s">
        <v>120</v>
      </c>
      <c r="H3894" s="109">
        <v>19</v>
      </c>
      <c r="I3894" s="109">
        <v>365</v>
      </c>
      <c r="J3894" s="110">
        <v>2061</v>
      </c>
    </row>
    <row r="3895" spans="1:10" s="119" customFormat="1">
      <c r="A3895" s="123" t="s">
        <v>120</v>
      </c>
      <c r="B3895" s="273" t="s">
        <v>6104</v>
      </c>
      <c r="C3895" s="274"/>
      <c r="D3895" s="274"/>
      <c r="E3895" s="274"/>
      <c r="F3895" s="274"/>
      <c r="G3895" s="274"/>
      <c r="H3895" s="274"/>
      <c r="I3895" s="274"/>
      <c r="J3895" s="274"/>
    </row>
    <row r="3896" spans="1:10" s="119" customFormat="1">
      <c r="A3896" s="123" t="s">
        <v>120</v>
      </c>
      <c r="B3896" s="275" t="s">
        <v>922</v>
      </c>
      <c r="C3896" s="276"/>
      <c r="D3896" s="276"/>
      <c r="E3896" s="276"/>
      <c r="F3896" s="276"/>
      <c r="G3896" s="276"/>
      <c r="H3896" s="276"/>
      <c r="I3896" s="276"/>
      <c r="J3896" s="276"/>
    </row>
    <row r="3897" spans="1:10">
      <c r="A3897" s="103" t="s">
        <v>6105</v>
      </c>
      <c r="B3897" s="124" t="s">
        <v>6106</v>
      </c>
      <c r="C3897" s="110">
        <v>1372</v>
      </c>
      <c r="D3897" s="109" t="s">
        <v>120</v>
      </c>
      <c r="E3897" s="109">
        <v>14</v>
      </c>
      <c r="F3897" s="110">
        <v>29307</v>
      </c>
      <c r="G3897" s="109" t="s">
        <v>120</v>
      </c>
      <c r="H3897" s="109">
        <v>2136</v>
      </c>
      <c r="I3897" s="109">
        <v>2290</v>
      </c>
      <c r="J3897" s="110">
        <v>197</v>
      </c>
    </row>
    <row r="3898" spans="1:10" s="119" customFormat="1">
      <c r="A3898" s="123" t="s">
        <v>120</v>
      </c>
      <c r="B3898" s="275" t="s">
        <v>1022</v>
      </c>
      <c r="C3898" s="276"/>
      <c r="D3898" s="276"/>
      <c r="E3898" s="276"/>
      <c r="F3898" s="276"/>
      <c r="G3898" s="276"/>
      <c r="H3898" s="276"/>
      <c r="I3898" s="276"/>
      <c r="J3898" s="276"/>
    </row>
    <row r="3899" spans="1:10">
      <c r="A3899" s="103" t="s">
        <v>6107</v>
      </c>
      <c r="B3899" s="124" t="s">
        <v>6106</v>
      </c>
      <c r="C3899" s="110">
        <v>29706</v>
      </c>
      <c r="D3899" s="109" t="s">
        <v>120</v>
      </c>
      <c r="E3899" s="109">
        <v>296</v>
      </c>
      <c r="F3899" s="110">
        <v>8510</v>
      </c>
      <c r="G3899" s="109" t="s">
        <v>120</v>
      </c>
      <c r="H3899" s="109">
        <v>29</v>
      </c>
      <c r="I3899" s="109">
        <v>100</v>
      </c>
      <c r="J3899" s="110">
        <v>1050</v>
      </c>
    </row>
    <row r="3900" spans="1:10">
      <c r="A3900" s="103" t="s">
        <v>6108</v>
      </c>
      <c r="B3900" s="124" t="s">
        <v>6109</v>
      </c>
      <c r="C3900" s="110">
        <v>20157</v>
      </c>
      <c r="D3900" s="109" t="s">
        <v>120</v>
      </c>
      <c r="E3900" s="109">
        <v>202</v>
      </c>
      <c r="F3900" s="110">
        <v>3125</v>
      </c>
      <c r="G3900" s="109" t="s">
        <v>120</v>
      </c>
      <c r="H3900" s="109">
        <v>16</v>
      </c>
      <c r="I3900" s="109">
        <v>337</v>
      </c>
      <c r="J3900" s="110">
        <v>2180</v>
      </c>
    </row>
    <row r="3901" spans="1:10">
      <c r="A3901" s="103" t="s">
        <v>6110</v>
      </c>
      <c r="B3901" s="124" t="s">
        <v>6111</v>
      </c>
      <c r="C3901" s="110">
        <v>16963</v>
      </c>
      <c r="D3901" s="109" t="s">
        <v>120</v>
      </c>
      <c r="E3901" s="109">
        <v>170</v>
      </c>
      <c r="F3901" s="110">
        <v>3722</v>
      </c>
      <c r="G3901" s="109" t="s">
        <v>120</v>
      </c>
      <c r="H3901" s="109">
        <v>22</v>
      </c>
      <c r="I3901" s="109">
        <v>523</v>
      </c>
      <c r="J3901" s="110">
        <v>2062</v>
      </c>
    </row>
    <row r="3902" spans="1:10">
      <c r="A3902" s="103" t="s">
        <v>6112</v>
      </c>
      <c r="B3902" s="124" t="s">
        <v>6113</v>
      </c>
      <c r="C3902" s="110">
        <v>23299</v>
      </c>
      <c r="D3902" s="109" t="s">
        <v>120</v>
      </c>
      <c r="E3902" s="109">
        <v>233</v>
      </c>
      <c r="F3902" s="110">
        <v>6233</v>
      </c>
      <c r="G3902" s="109" t="s">
        <v>120</v>
      </c>
      <c r="H3902" s="109">
        <v>27</v>
      </c>
      <c r="I3902" s="109">
        <v>221</v>
      </c>
      <c r="J3902" s="110">
        <v>1454</v>
      </c>
    </row>
    <row r="3903" spans="1:10" s="119" customFormat="1">
      <c r="A3903" s="123" t="s">
        <v>120</v>
      </c>
      <c r="B3903" s="275" t="s">
        <v>1026</v>
      </c>
      <c r="C3903" s="276"/>
      <c r="D3903" s="276"/>
      <c r="E3903" s="276"/>
      <c r="F3903" s="276"/>
      <c r="G3903" s="276"/>
      <c r="H3903" s="276"/>
      <c r="I3903" s="276"/>
      <c r="J3903" s="276"/>
    </row>
    <row r="3904" spans="1:10">
      <c r="A3904" s="103" t="s">
        <v>6114</v>
      </c>
      <c r="B3904" s="124" t="s">
        <v>6115</v>
      </c>
      <c r="C3904" s="110">
        <v>20454</v>
      </c>
      <c r="D3904" s="109" t="s">
        <v>120</v>
      </c>
      <c r="E3904" s="109">
        <v>205</v>
      </c>
      <c r="F3904" s="110">
        <v>5668</v>
      </c>
      <c r="G3904" s="109" t="s">
        <v>120</v>
      </c>
      <c r="H3904" s="109">
        <v>28</v>
      </c>
      <c r="I3904" s="109">
        <v>320</v>
      </c>
      <c r="J3904" s="110">
        <v>1580</v>
      </c>
    </row>
    <row r="3905" spans="1:10">
      <c r="A3905" s="103" t="s">
        <v>6116</v>
      </c>
      <c r="B3905" s="124" t="s">
        <v>932</v>
      </c>
      <c r="C3905" s="110">
        <v>414</v>
      </c>
      <c r="D3905" s="109" t="s">
        <v>120</v>
      </c>
      <c r="E3905" s="109">
        <v>4</v>
      </c>
      <c r="F3905" s="110">
        <v>2843</v>
      </c>
      <c r="G3905" s="109" t="s">
        <v>120</v>
      </c>
      <c r="H3905" s="109">
        <v>687</v>
      </c>
      <c r="I3905" s="109" t="s">
        <v>122</v>
      </c>
      <c r="J3905" s="110" t="s">
        <v>122</v>
      </c>
    </row>
    <row r="3906" spans="1:10">
      <c r="A3906" s="103" t="s">
        <v>6117</v>
      </c>
      <c r="B3906" s="124" t="s">
        <v>934</v>
      </c>
      <c r="C3906" s="110">
        <v>20040</v>
      </c>
      <c r="D3906" s="109" t="s">
        <v>120</v>
      </c>
      <c r="E3906" s="109">
        <v>201</v>
      </c>
      <c r="F3906" s="110">
        <v>2825</v>
      </c>
      <c r="G3906" s="109" t="s">
        <v>120</v>
      </c>
      <c r="H3906" s="109">
        <v>14</v>
      </c>
      <c r="I3906" s="109" t="s">
        <v>122</v>
      </c>
      <c r="J3906" s="110" t="s">
        <v>122</v>
      </c>
    </row>
    <row r="3907" spans="1:10" s="119" customFormat="1">
      <c r="A3907" s="123" t="s">
        <v>120</v>
      </c>
      <c r="B3907" s="273" t="s">
        <v>6118</v>
      </c>
      <c r="C3907" s="274"/>
      <c r="D3907" s="274"/>
      <c r="E3907" s="274"/>
      <c r="F3907" s="274"/>
      <c r="G3907" s="274"/>
      <c r="H3907" s="274"/>
      <c r="I3907" s="274"/>
      <c r="J3907" s="274"/>
    </row>
    <row r="3908" spans="1:10" s="119" customFormat="1">
      <c r="A3908" s="123" t="s">
        <v>120</v>
      </c>
      <c r="B3908" s="275" t="s">
        <v>924</v>
      </c>
      <c r="C3908" s="276"/>
      <c r="D3908" s="276"/>
      <c r="E3908" s="276"/>
      <c r="F3908" s="276"/>
      <c r="G3908" s="276"/>
      <c r="H3908" s="276"/>
      <c r="I3908" s="276"/>
      <c r="J3908" s="276"/>
    </row>
    <row r="3909" spans="1:10">
      <c r="A3909" s="103" t="s">
        <v>6119</v>
      </c>
      <c r="B3909" s="124" t="s">
        <v>6120</v>
      </c>
      <c r="C3909" s="110">
        <v>20496</v>
      </c>
      <c r="D3909" s="109" t="s">
        <v>120</v>
      </c>
      <c r="E3909" s="109">
        <v>205</v>
      </c>
      <c r="F3909" s="110">
        <v>3671</v>
      </c>
      <c r="G3909" s="109" t="s">
        <v>120</v>
      </c>
      <c r="H3909" s="109">
        <v>18</v>
      </c>
      <c r="I3909" s="109">
        <v>318</v>
      </c>
      <c r="J3909" s="110">
        <v>2071</v>
      </c>
    </row>
    <row r="3910" spans="1:10">
      <c r="A3910" s="103" t="s">
        <v>6121</v>
      </c>
      <c r="B3910" s="124" t="s">
        <v>6122</v>
      </c>
      <c r="C3910" s="110">
        <v>20529</v>
      </c>
      <c r="D3910" s="109" t="s">
        <v>120</v>
      </c>
      <c r="E3910" s="109">
        <v>205</v>
      </c>
      <c r="F3910" s="110">
        <v>2886</v>
      </c>
      <c r="G3910" s="109" t="s">
        <v>120</v>
      </c>
      <c r="H3910" s="109">
        <v>14</v>
      </c>
      <c r="I3910" s="109">
        <v>315</v>
      </c>
      <c r="J3910" s="110">
        <v>2213</v>
      </c>
    </row>
    <row r="3911" spans="1:10" s="119" customFormat="1">
      <c r="A3911" s="123" t="s">
        <v>120</v>
      </c>
      <c r="B3911" s="275" t="s">
        <v>1026</v>
      </c>
      <c r="C3911" s="276"/>
      <c r="D3911" s="276"/>
      <c r="E3911" s="276"/>
      <c r="F3911" s="276"/>
      <c r="G3911" s="276"/>
      <c r="H3911" s="276"/>
      <c r="I3911" s="276"/>
      <c r="J3911" s="276"/>
    </row>
    <row r="3912" spans="1:10">
      <c r="A3912" s="103" t="s">
        <v>6123</v>
      </c>
      <c r="B3912" s="124" t="s">
        <v>6124</v>
      </c>
      <c r="C3912" s="110">
        <v>36204</v>
      </c>
      <c r="D3912" s="109" t="s">
        <v>120</v>
      </c>
      <c r="E3912" s="109">
        <v>362</v>
      </c>
      <c r="F3912" s="110">
        <v>20132</v>
      </c>
      <c r="G3912" s="109" t="s">
        <v>120</v>
      </c>
      <c r="H3912" s="109">
        <v>56</v>
      </c>
      <c r="I3912" s="109">
        <v>44</v>
      </c>
      <c r="J3912" s="110">
        <v>338</v>
      </c>
    </row>
    <row r="3913" spans="1:10">
      <c r="A3913" s="103" t="s">
        <v>6125</v>
      </c>
      <c r="B3913" s="124" t="s">
        <v>6126</v>
      </c>
      <c r="C3913" s="110">
        <v>1720</v>
      </c>
      <c r="D3913" s="109" t="s">
        <v>120</v>
      </c>
      <c r="E3913" s="109">
        <v>17</v>
      </c>
      <c r="F3913" s="110">
        <v>13708</v>
      </c>
      <c r="G3913" s="109" t="s">
        <v>120</v>
      </c>
      <c r="H3913" s="109">
        <v>797</v>
      </c>
      <c r="I3913" s="109" t="s">
        <v>122</v>
      </c>
      <c r="J3913" s="110" t="s">
        <v>122</v>
      </c>
    </row>
    <row r="3914" spans="1:10">
      <c r="A3914" s="103" t="s">
        <v>6127</v>
      </c>
      <c r="B3914" s="124" t="s">
        <v>934</v>
      </c>
      <c r="C3914" s="110">
        <v>34484</v>
      </c>
      <c r="D3914" s="109" t="s">
        <v>120</v>
      </c>
      <c r="E3914" s="109">
        <v>345</v>
      </c>
      <c r="F3914" s="110">
        <v>6424</v>
      </c>
      <c r="G3914" s="109" t="s">
        <v>120</v>
      </c>
      <c r="H3914" s="109">
        <v>19</v>
      </c>
      <c r="I3914" s="109" t="s">
        <v>122</v>
      </c>
      <c r="J3914" s="110" t="s">
        <v>122</v>
      </c>
    </row>
    <row r="3915" spans="1:10" s="119" customFormat="1">
      <c r="A3915" s="123" t="s">
        <v>120</v>
      </c>
      <c r="B3915" s="273" t="s">
        <v>6128</v>
      </c>
      <c r="C3915" s="274"/>
      <c r="D3915" s="274"/>
      <c r="E3915" s="274"/>
      <c r="F3915" s="274"/>
      <c r="G3915" s="274"/>
      <c r="H3915" s="274"/>
      <c r="I3915" s="274"/>
      <c r="J3915" s="274"/>
    </row>
    <row r="3916" spans="1:10" s="119" customFormat="1">
      <c r="A3916" s="123" t="s">
        <v>120</v>
      </c>
      <c r="B3916" s="275" t="s">
        <v>936</v>
      </c>
      <c r="C3916" s="276"/>
      <c r="D3916" s="276"/>
      <c r="E3916" s="276"/>
      <c r="F3916" s="276"/>
      <c r="G3916" s="276"/>
      <c r="H3916" s="276"/>
      <c r="I3916" s="276"/>
      <c r="J3916" s="276"/>
    </row>
    <row r="3917" spans="1:10">
      <c r="A3917" s="103" t="s">
        <v>6129</v>
      </c>
      <c r="B3917" s="124" t="s">
        <v>6130</v>
      </c>
      <c r="C3917" s="110">
        <v>2188</v>
      </c>
      <c r="D3917" s="109" t="s">
        <v>120</v>
      </c>
      <c r="E3917" s="109">
        <v>22</v>
      </c>
      <c r="F3917" s="110">
        <v>33327</v>
      </c>
      <c r="G3917" s="109" t="s">
        <v>120</v>
      </c>
      <c r="H3917" s="109">
        <v>1523</v>
      </c>
      <c r="I3917" s="109">
        <v>2217</v>
      </c>
      <c r="J3917" s="110">
        <v>164</v>
      </c>
    </row>
    <row r="3918" spans="1:10">
      <c r="A3918" s="103" t="s">
        <v>6131</v>
      </c>
      <c r="B3918" s="124" t="s">
        <v>6132</v>
      </c>
      <c r="C3918" s="110">
        <v>1684</v>
      </c>
      <c r="D3918" s="109" t="s">
        <v>120</v>
      </c>
      <c r="E3918" s="109">
        <v>17</v>
      </c>
      <c r="F3918" s="110">
        <v>10388</v>
      </c>
      <c r="G3918" s="109" t="s">
        <v>120</v>
      </c>
      <c r="H3918" s="109">
        <v>617</v>
      </c>
      <c r="I3918" s="109">
        <v>2263</v>
      </c>
      <c r="J3918" s="110">
        <v>841</v>
      </c>
    </row>
    <row r="3919" spans="1:10" s="119" customFormat="1">
      <c r="A3919" s="123" t="s">
        <v>120</v>
      </c>
      <c r="B3919" s="275" t="s">
        <v>1022</v>
      </c>
      <c r="C3919" s="276"/>
      <c r="D3919" s="276"/>
      <c r="E3919" s="276"/>
      <c r="F3919" s="276"/>
      <c r="G3919" s="276"/>
      <c r="H3919" s="276"/>
      <c r="I3919" s="276"/>
      <c r="J3919" s="276"/>
    </row>
    <row r="3920" spans="1:10">
      <c r="A3920" s="103" t="s">
        <v>6133</v>
      </c>
      <c r="B3920" s="124" t="s">
        <v>6130</v>
      </c>
      <c r="C3920" s="110">
        <v>42421</v>
      </c>
      <c r="D3920" s="109" t="s">
        <v>120</v>
      </c>
      <c r="E3920" s="109">
        <v>424</v>
      </c>
      <c r="F3920" s="110">
        <v>12988</v>
      </c>
      <c r="G3920" s="109" t="s">
        <v>120</v>
      </c>
      <c r="H3920" s="109">
        <v>31</v>
      </c>
      <c r="I3920" s="109">
        <v>18</v>
      </c>
      <c r="J3920" s="110">
        <v>632</v>
      </c>
    </row>
    <row r="3921" spans="1:10">
      <c r="A3921" s="103" t="s">
        <v>6134</v>
      </c>
      <c r="B3921" s="124" t="s">
        <v>6132</v>
      </c>
      <c r="C3921" s="110">
        <v>23645</v>
      </c>
      <c r="D3921" s="109" t="s">
        <v>120</v>
      </c>
      <c r="E3921" s="109">
        <v>236</v>
      </c>
      <c r="F3921" s="110">
        <v>10689</v>
      </c>
      <c r="G3921" s="109" t="s">
        <v>120</v>
      </c>
      <c r="H3921" s="109">
        <v>45</v>
      </c>
      <c r="I3921" s="109">
        <v>213</v>
      </c>
      <c r="J3921" s="110">
        <v>814</v>
      </c>
    </row>
    <row r="3922" spans="1:10" s="119" customFormat="1">
      <c r="A3922" s="123" t="s">
        <v>120</v>
      </c>
      <c r="B3922" s="275" t="s">
        <v>1101</v>
      </c>
      <c r="C3922" s="276"/>
      <c r="D3922" s="276"/>
      <c r="E3922" s="276"/>
      <c r="F3922" s="276"/>
      <c r="G3922" s="276"/>
      <c r="H3922" s="276"/>
      <c r="I3922" s="276"/>
      <c r="J3922" s="276"/>
    </row>
    <row r="3923" spans="1:10">
      <c r="A3923" s="103" t="s">
        <v>6135</v>
      </c>
      <c r="B3923" s="124" t="s">
        <v>6136</v>
      </c>
      <c r="C3923" s="110">
        <v>17286</v>
      </c>
      <c r="D3923" s="109" t="s">
        <v>120</v>
      </c>
      <c r="E3923" s="109">
        <v>173</v>
      </c>
      <c r="F3923" s="110">
        <v>5997</v>
      </c>
      <c r="G3923" s="109" t="s">
        <v>120</v>
      </c>
      <c r="H3923" s="109">
        <v>35</v>
      </c>
      <c r="I3923" s="109">
        <v>496</v>
      </c>
      <c r="J3923" s="110">
        <v>1505</v>
      </c>
    </row>
    <row r="3924" spans="1:10">
      <c r="A3924" s="103" t="s">
        <v>6137</v>
      </c>
      <c r="B3924" s="124" t="s">
        <v>932</v>
      </c>
      <c r="C3924" s="110">
        <v>337</v>
      </c>
      <c r="D3924" s="109" t="s">
        <v>120</v>
      </c>
      <c r="E3924" s="109">
        <v>3</v>
      </c>
      <c r="F3924" s="110">
        <v>2100</v>
      </c>
      <c r="G3924" s="109" t="s">
        <v>120</v>
      </c>
      <c r="H3924" s="109">
        <v>623</v>
      </c>
      <c r="I3924" s="109" t="s">
        <v>122</v>
      </c>
      <c r="J3924" s="110" t="s">
        <v>122</v>
      </c>
    </row>
    <row r="3925" spans="1:10">
      <c r="A3925" s="103" t="s">
        <v>6138</v>
      </c>
      <c r="B3925" s="124" t="s">
        <v>934</v>
      </c>
      <c r="C3925" s="110">
        <v>16949</v>
      </c>
      <c r="D3925" s="109" t="s">
        <v>120</v>
      </c>
      <c r="E3925" s="109">
        <v>170</v>
      </c>
      <c r="F3925" s="110">
        <v>3897</v>
      </c>
      <c r="G3925" s="109" t="s">
        <v>120</v>
      </c>
      <c r="H3925" s="109">
        <v>23</v>
      </c>
      <c r="I3925" s="109" t="s">
        <v>122</v>
      </c>
      <c r="J3925" s="110" t="s">
        <v>122</v>
      </c>
    </row>
    <row r="3926" spans="1:10">
      <c r="A3926" s="103" t="s">
        <v>6139</v>
      </c>
      <c r="B3926" s="124" t="s">
        <v>6140</v>
      </c>
      <c r="C3926" s="110">
        <v>25905</v>
      </c>
      <c r="D3926" s="109" t="s">
        <v>120</v>
      </c>
      <c r="E3926" s="109">
        <v>259</v>
      </c>
      <c r="F3926" s="110">
        <v>12727</v>
      </c>
      <c r="G3926" s="109" t="s">
        <v>120</v>
      </c>
      <c r="H3926" s="109">
        <v>49</v>
      </c>
      <c r="I3926" s="109">
        <v>158</v>
      </c>
      <c r="J3926" s="110">
        <v>647</v>
      </c>
    </row>
    <row r="3927" spans="1:10">
      <c r="A3927" s="103" t="s">
        <v>6141</v>
      </c>
      <c r="B3927" s="124" t="s">
        <v>932</v>
      </c>
      <c r="C3927" s="110">
        <v>667</v>
      </c>
      <c r="D3927" s="109" t="s">
        <v>120</v>
      </c>
      <c r="E3927" s="109">
        <v>7</v>
      </c>
      <c r="F3927" s="110">
        <v>5567</v>
      </c>
      <c r="G3927" s="109" t="s">
        <v>120</v>
      </c>
      <c r="H3927" s="109">
        <v>835</v>
      </c>
      <c r="I3927" s="109" t="s">
        <v>122</v>
      </c>
      <c r="J3927" s="110" t="s">
        <v>122</v>
      </c>
    </row>
    <row r="3928" spans="1:10">
      <c r="A3928" s="103" t="s">
        <v>6142</v>
      </c>
      <c r="B3928" s="124" t="s">
        <v>934</v>
      </c>
      <c r="C3928" s="110">
        <v>25238</v>
      </c>
      <c r="D3928" s="109" t="s">
        <v>120</v>
      </c>
      <c r="E3928" s="109">
        <v>252</v>
      </c>
      <c r="F3928" s="110">
        <v>7160</v>
      </c>
      <c r="G3928" s="109" t="s">
        <v>120</v>
      </c>
      <c r="H3928" s="109">
        <v>28</v>
      </c>
      <c r="I3928" s="109" t="s">
        <v>122</v>
      </c>
      <c r="J3928" s="110" t="s">
        <v>122</v>
      </c>
    </row>
    <row r="3929" spans="1:10">
      <c r="A3929" s="103" t="s">
        <v>6143</v>
      </c>
      <c r="B3929" s="124" t="s">
        <v>6144</v>
      </c>
      <c r="C3929" s="110">
        <v>25393</v>
      </c>
      <c r="D3929" s="109" t="s">
        <v>120</v>
      </c>
      <c r="E3929" s="109">
        <v>254</v>
      </c>
      <c r="F3929" s="110">
        <v>6763</v>
      </c>
      <c r="G3929" s="109" t="s">
        <v>120</v>
      </c>
      <c r="H3929" s="109">
        <v>27</v>
      </c>
      <c r="I3929" s="109">
        <v>174</v>
      </c>
      <c r="J3929" s="110">
        <v>1346</v>
      </c>
    </row>
    <row r="3930" spans="1:10">
      <c r="A3930" s="103" t="s">
        <v>6145</v>
      </c>
      <c r="B3930" s="124" t="s">
        <v>932</v>
      </c>
      <c r="C3930" s="110">
        <v>822</v>
      </c>
      <c r="D3930" s="109" t="s">
        <v>120</v>
      </c>
      <c r="E3930" s="109">
        <v>8</v>
      </c>
      <c r="F3930" s="110">
        <v>2141</v>
      </c>
      <c r="G3930" s="109" t="s">
        <v>120</v>
      </c>
      <c r="H3930" s="109">
        <v>260</v>
      </c>
      <c r="I3930" s="109" t="s">
        <v>122</v>
      </c>
      <c r="J3930" s="110" t="s">
        <v>122</v>
      </c>
    </row>
    <row r="3931" spans="1:10">
      <c r="A3931" s="103" t="s">
        <v>6146</v>
      </c>
      <c r="B3931" s="124" t="s">
        <v>934</v>
      </c>
      <c r="C3931" s="110">
        <v>24571</v>
      </c>
      <c r="D3931" s="109" t="s">
        <v>120</v>
      </c>
      <c r="E3931" s="109">
        <v>246</v>
      </c>
      <c r="F3931" s="110">
        <v>4622</v>
      </c>
      <c r="G3931" s="109" t="s">
        <v>120</v>
      </c>
      <c r="H3931" s="109">
        <v>19</v>
      </c>
      <c r="I3931" s="109" t="s">
        <v>122</v>
      </c>
      <c r="J3931" s="110" t="s">
        <v>122</v>
      </c>
    </row>
    <row r="3932" spans="1:10" s="119" customFormat="1">
      <c r="A3932" s="123" t="s">
        <v>120</v>
      </c>
      <c r="B3932" s="273" t="s">
        <v>6147</v>
      </c>
      <c r="C3932" s="274"/>
      <c r="D3932" s="274"/>
      <c r="E3932" s="274"/>
      <c r="F3932" s="274"/>
      <c r="G3932" s="274"/>
      <c r="H3932" s="274"/>
      <c r="I3932" s="274"/>
      <c r="J3932" s="274"/>
    </row>
    <row r="3933" spans="1:10" s="119" customFormat="1">
      <c r="A3933" s="123" t="s">
        <v>120</v>
      </c>
      <c r="B3933" s="275" t="s">
        <v>922</v>
      </c>
      <c r="C3933" s="276"/>
      <c r="D3933" s="276"/>
      <c r="E3933" s="276"/>
      <c r="F3933" s="276"/>
      <c r="G3933" s="276"/>
      <c r="H3933" s="276"/>
      <c r="I3933" s="276"/>
      <c r="J3933" s="276"/>
    </row>
    <row r="3934" spans="1:10">
      <c r="A3934" s="103" t="s">
        <v>6148</v>
      </c>
      <c r="B3934" s="124" t="s">
        <v>6149</v>
      </c>
      <c r="C3934" s="110">
        <v>1035</v>
      </c>
      <c r="D3934" s="109" t="s">
        <v>120</v>
      </c>
      <c r="E3934" s="109">
        <v>10</v>
      </c>
      <c r="F3934" s="110">
        <v>27056</v>
      </c>
      <c r="G3934" s="109" t="s">
        <v>120</v>
      </c>
      <c r="H3934" s="109">
        <v>2614</v>
      </c>
      <c r="I3934" s="109">
        <v>2317</v>
      </c>
      <c r="J3934" s="110">
        <v>218</v>
      </c>
    </row>
    <row r="3935" spans="1:10" s="119" customFormat="1">
      <c r="A3935" s="123" t="s">
        <v>120</v>
      </c>
      <c r="B3935" s="275" t="s">
        <v>943</v>
      </c>
      <c r="C3935" s="276"/>
      <c r="D3935" s="276"/>
      <c r="E3935" s="276"/>
      <c r="F3935" s="276"/>
      <c r="G3935" s="276"/>
      <c r="H3935" s="276"/>
      <c r="I3935" s="276"/>
      <c r="J3935" s="276"/>
    </row>
    <row r="3936" spans="1:10">
      <c r="A3936" s="103" t="s">
        <v>6150</v>
      </c>
      <c r="B3936" s="124" t="s">
        <v>6151</v>
      </c>
      <c r="C3936" s="110">
        <v>29408</v>
      </c>
      <c r="D3936" s="109" t="s">
        <v>120</v>
      </c>
      <c r="E3936" s="109">
        <v>295</v>
      </c>
      <c r="F3936" s="110">
        <v>6109</v>
      </c>
      <c r="G3936" s="109" t="s">
        <v>120</v>
      </c>
      <c r="H3936" s="109">
        <v>21</v>
      </c>
      <c r="I3936" s="109">
        <v>104</v>
      </c>
      <c r="J3936" s="110">
        <v>1478</v>
      </c>
    </row>
    <row r="3937" spans="1:10">
      <c r="A3937" s="103" t="s">
        <v>6152</v>
      </c>
      <c r="B3937" s="124" t="s">
        <v>6149</v>
      </c>
      <c r="C3937" s="110">
        <v>28536</v>
      </c>
      <c r="D3937" s="109" t="s">
        <v>120</v>
      </c>
      <c r="E3937" s="109">
        <v>285</v>
      </c>
      <c r="F3937" s="110">
        <v>8230</v>
      </c>
      <c r="G3937" s="109" t="s">
        <v>120</v>
      </c>
      <c r="H3937" s="109">
        <v>29</v>
      </c>
      <c r="I3937" s="109">
        <v>120</v>
      </c>
      <c r="J3937" s="110">
        <v>1089</v>
      </c>
    </row>
    <row r="3938" spans="1:10">
      <c r="A3938" s="103" t="s">
        <v>6153</v>
      </c>
      <c r="B3938" s="124" t="s">
        <v>6154</v>
      </c>
      <c r="C3938" s="110">
        <v>19416</v>
      </c>
      <c r="D3938" s="109" t="s">
        <v>120</v>
      </c>
      <c r="E3938" s="109">
        <v>194</v>
      </c>
      <c r="F3938" s="110">
        <v>3754</v>
      </c>
      <c r="G3938" s="109" t="s">
        <v>120</v>
      </c>
      <c r="H3938" s="109">
        <v>19</v>
      </c>
      <c r="I3938" s="109">
        <v>377</v>
      </c>
      <c r="J3938" s="110">
        <v>2054</v>
      </c>
    </row>
    <row r="3939" spans="1:10" s="119" customFormat="1">
      <c r="A3939" s="123" t="s">
        <v>120</v>
      </c>
      <c r="B3939" s="275" t="s">
        <v>1101</v>
      </c>
      <c r="C3939" s="276"/>
      <c r="D3939" s="276"/>
      <c r="E3939" s="276"/>
      <c r="F3939" s="276"/>
      <c r="G3939" s="276"/>
      <c r="H3939" s="276"/>
      <c r="I3939" s="276"/>
      <c r="J3939" s="276"/>
    </row>
    <row r="3940" spans="1:10">
      <c r="A3940" s="103" t="s">
        <v>6155</v>
      </c>
      <c r="B3940" s="124" t="s">
        <v>6156</v>
      </c>
      <c r="C3940" s="110">
        <v>24984</v>
      </c>
      <c r="D3940" s="109" t="s">
        <v>120</v>
      </c>
      <c r="E3940" s="109">
        <v>250</v>
      </c>
      <c r="F3940" s="110">
        <v>9646</v>
      </c>
      <c r="G3940" s="109" t="s">
        <v>120</v>
      </c>
      <c r="H3940" s="109">
        <v>39</v>
      </c>
      <c r="I3940" s="109">
        <v>183</v>
      </c>
      <c r="J3940" s="110">
        <v>914</v>
      </c>
    </row>
    <row r="3941" spans="1:10">
      <c r="A3941" s="103" t="s">
        <v>6157</v>
      </c>
      <c r="B3941" s="124" t="s">
        <v>932</v>
      </c>
      <c r="C3941" s="110">
        <v>403</v>
      </c>
      <c r="D3941" s="109" t="s">
        <v>120</v>
      </c>
      <c r="E3941" s="109">
        <v>4</v>
      </c>
      <c r="F3941" s="110">
        <v>4193</v>
      </c>
      <c r="G3941" s="109" t="s">
        <v>120</v>
      </c>
      <c r="H3941" s="109">
        <v>1040</v>
      </c>
      <c r="I3941" s="109" t="s">
        <v>122</v>
      </c>
      <c r="J3941" s="110" t="s">
        <v>122</v>
      </c>
    </row>
    <row r="3942" spans="1:10">
      <c r="A3942" s="103" t="s">
        <v>6158</v>
      </c>
      <c r="B3942" s="124" t="s">
        <v>934</v>
      </c>
      <c r="C3942" s="110">
        <v>24581</v>
      </c>
      <c r="D3942" s="109" t="s">
        <v>120</v>
      </c>
      <c r="E3942" s="109">
        <v>246</v>
      </c>
      <c r="F3942" s="110">
        <v>5453</v>
      </c>
      <c r="G3942" s="109" t="s">
        <v>120</v>
      </c>
      <c r="H3942" s="109">
        <v>22</v>
      </c>
      <c r="I3942" s="109" t="s">
        <v>122</v>
      </c>
      <c r="J3942" s="110" t="s">
        <v>122</v>
      </c>
    </row>
    <row r="3943" spans="1:10">
      <c r="A3943" s="103" t="s">
        <v>6159</v>
      </c>
      <c r="B3943" s="124" t="s">
        <v>6160</v>
      </c>
      <c r="C3943" s="110">
        <v>17920</v>
      </c>
      <c r="D3943" s="109" t="s">
        <v>120</v>
      </c>
      <c r="E3943" s="109">
        <v>179</v>
      </c>
      <c r="F3943" s="110">
        <v>7488</v>
      </c>
      <c r="G3943" s="109" t="s">
        <v>120</v>
      </c>
      <c r="H3943" s="109">
        <v>42</v>
      </c>
      <c r="I3943" s="109">
        <v>456</v>
      </c>
      <c r="J3943" s="110">
        <v>1203</v>
      </c>
    </row>
    <row r="3944" spans="1:10">
      <c r="A3944" s="103" t="s">
        <v>6161</v>
      </c>
      <c r="B3944" s="124" t="s">
        <v>932</v>
      </c>
      <c r="C3944" s="110">
        <v>382</v>
      </c>
      <c r="D3944" s="109" t="s">
        <v>120</v>
      </c>
      <c r="E3944" s="109">
        <v>4</v>
      </c>
      <c r="F3944" s="110">
        <v>4550</v>
      </c>
      <c r="G3944" s="109" t="s">
        <v>120</v>
      </c>
      <c r="H3944" s="109">
        <v>1191</v>
      </c>
      <c r="I3944" s="109" t="s">
        <v>122</v>
      </c>
      <c r="J3944" s="110" t="s">
        <v>122</v>
      </c>
    </row>
    <row r="3945" spans="1:10">
      <c r="A3945" s="103" t="s">
        <v>6162</v>
      </c>
      <c r="B3945" s="124" t="s">
        <v>934</v>
      </c>
      <c r="C3945" s="110">
        <v>17538</v>
      </c>
      <c r="D3945" s="109" t="s">
        <v>120</v>
      </c>
      <c r="E3945" s="109">
        <v>175</v>
      </c>
      <c r="F3945" s="110">
        <v>2938</v>
      </c>
      <c r="G3945" s="109" t="s">
        <v>120</v>
      </c>
      <c r="H3945" s="109">
        <v>17</v>
      </c>
      <c r="I3945" s="109" t="s">
        <v>122</v>
      </c>
      <c r="J3945" s="110" t="s">
        <v>122</v>
      </c>
    </row>
    <row r="3946" spans="1:10" s="119" customFormat="1">
      <c r="A3946" s="123" t="s">
        <v>120</v>
      </c>
      <c r="B3946" s="273" t="s">
        <v>6163</v>
      </c>
      <c r="C3946" s="274"/>
      <c r="D3946" s="274"/>
      <c r="E3946" s="274"/>
      <c r="F3946" s="274"/>
      <c r="G3946" s="274"/>
      <c r="H3946" s="274"/>
      <c r="I3946" s="274"/>
      <c r="J3946" s="274"/>
    </row>
    <row r="3947" spans="1:10" s="119" customFormat="1">
      <c r="A3947" s="123" t="s">
        <v>120</v>
      </c>
      <c r="B3947" s="275" t="s">
        <v>922</v>
      </c>
      <c r="C3947" s="276"/>
      <c r="D3947" s="276"/>
      <c r="E3947" s="276"/>
      <c r="F3947" s="276"/>
      <c r="G3947" s="276"/>
      <c r="H3947" s="276"/>
      <c r="I3947" s="276"/>
      <c r="J3947" s="276"/>
    </row>
    <row r="3948" spans="1:10">
      <c r="A3948" s="103" t="s">
        <v>6164</v>
      </c>
      <c r="B3948" s="124" t="s">
        <v>6165</v>
      </c>
      <c r="C3948" s="110">
        <v>1435</v>
      </c>
      <c r="D3948" s="109" t="s">
        <v>120</v>
      </c>
      <c r="E3948" s="109">
        <v>14</v>
      </c>
      <c r="F3948" s="110">
        <v>15697</v>
      </c>
      <c r="G3948" s="109" t="s">
        <v>120</v>
      </c>
      <c r="H3948" s="109">
        <v>1094</v>
      </c>
      <c r="I3948" s="109">
        <v>2284</v>
      </c>
      <c r="J3948" s="110">
        <v>487</v>
      </c>
    </row>
    <row r="3949" spans="1:10" s="119" customFormat="1">
      <c r="A3949" s="123" t="s">
        <v>120</v>
      </c>
      <c r="B3949" s="275" t="s">
        <v>924</v>
      </c>
      <c r="C3949" s="276"/>
      <c r="D3949" s="276"/>
      <c r="E3949" s="276"/>
      <c r="F3949" s="276"/>
      <c r="G3949" s="276"/>
      <c r="H3949" s="276"/>
      <c r="I3949" s="276"/>
      <c r="J3949" s="276"/>
    </row>
    <row r="3950" spans="1:10">
      <c r="A3950" s="103" t="s">
        <v>6166</v>
      </c>
      <c r="B3950" s="124" t="s">
        <v>6167</v>
      </c>
      <c r="C3950" s="110">
        <v>14509</v>
      </c>
      <c r="D3950" s="109" t="s">
        <v>120</v>
      </c>
      <c r="E3950" s="109">
        <v>145</v>
      </c>
      <c r="F3950" s="110">
        <v>3286</v>
      </c>
      <c r="G3950" s="109" t="s">
        <v>120</v>
      </c>
      <c r="H3950" s="109">
        <v>23</v>
      </c>
      <c r="I3950" s="109">
        <v>731</v>
      </c>
      <c r="J3950" s="110">
        <v>2148</v>
      </c>
    </row>
    <row r="3951" spans="1:10">
      <c r="A3951" s="103" t="s">
        <v>6168</v>
      </c>
      <c r="B3951" s="124" t="s">
        <v>6165</v>
      </c>
      <c r="C3951" s="110">
        <v>37212</v>
      </c>
      <c r="D3951" s="109" t="s">
        <v>120</v>
      </c>
      <c r="E3951" s="109">
        <v>373</v>
      </c>
      <c r="F3951" s="110">
        <v>6692</v>
      </c>
      <c r="G3951" s="109" t="s">
        <v>120</v>
      </c>
      <c r="H3951" s="109">
        <v>18</v>
      </c>
      <c r="I3951" s="109">
        <v>37</v>
      </c>
      <c r="J3951" s="110">
        <v>1363</v>
      </c>
    </row>
    <row r="3952" spans="1:10">
      <c r="A3952" s="103" t="s">
        <v>6169</v>
      </c>
      <c r="B3952" s="124" t="s">
        <v>6170</v>
      </c>
      <c r="C3952" s="110">
        <v>14921</v>
      </c>
      <c r="D3952" s="109" t="s">
        <v>120</v>
      </c>
      <c r="E3952" s="109">
        <v>149</v>
      </c>
      <c r="F3952" s="110">
        <v>3596</v>
      </c>
      <c r="G3952" s="109" t="s">
        <v>120</v>
      </c>
      <c r="H3952" s="109">
        <v>24</v>
      </c>
      <c r="I3952" s="109">
        <v>683</v>
      </c>
      <c r="J3952" s="110">
        <v>2092</v>
      </c>
    </row>
    <row r="3953" spans="1:10" s="119" customFormat="1">
      <c r="A3953" s="123" t="s">
        <v>120</v>
      </c>
      <c r="B3953" s="275" t="s">
        <v>2572</v>
      </c>
      <c r="C3953" s="276"/>
      <c r="D3953" s="276"/>
      <c r="E3953" s="276"/>
      <c r="F3953" s="276"/>
      <c r="G3953" s="276"/>
      <c r="H3953" s="276"/>
      <c r="I3953" s="276"/>
      <c r="J3953" s="276"/>
    </row>
    <row r="3954" spans="1:10">
      <c r="A3954" s="103" t="s">
        <v>6171</v>
      </c>
      <c r="B3954" s="124" t="s">
        <v>6172</v>
      </c>
      <c r="C3954" s="110">
        <v>24423</v>
      </c>
      <c r="D3954" s="109" t="s">
        <v>120</v>
      </c>
      <c r="E3954" s="109">
        <v>244</v>
      </c>
      <c r="F3954" s="110">
        <v>11909</v>
      </c>
      <c r="G3954" s="109" t="s">
        <v>120</v>
      </c>
      <c r="H3954" s="109">
        <v>49</v>
      </c>
      <c r="I3954" s="109">
        <v>192</v>
      </c>
      <c r="J3954" s="110">
        <v>706</v>
      </c>
    </row>
    <row r="3955" spans="1:10">
      <c r="A3955" s="103" t="s">
        <v>6173</v>
      </c>
      <c r="B3955" s="124" t="s">
        <v>932</v>
      </c>
      <c r="C3955" s="110">
        <v>963</v>
      </c>
      <c r="D3955" s="109" t="s">
        <v>120</v>
      </c>
      <c r="E3955" s="109">
        <v>10</v>
      </c>
      <c r="F3955" s="110">
        <v>8723</v>
      </c>
      <c r="G3955" s="109" t="s">
        <v>120</v>
      </c>
      <c r="H3955" s="109">
        <v>906</v>
      </c>
      <c r="I3955" s="109" t="s">
        <v>122</v>
      </c>
      <c r="J3955" s="110" t="s">
        <v>122</v>
      </c>
    </row>
    <row r="3956" spans="1:10">
      <c r="A3956" s="103" t="s">
        <v>6174</v>
      </c>
      <c r="B3956" s="124" t="s">
        <v>934</v>
      </c>
      <c r="C3956" s="110">
        <v>23460</v>
      </c>
      <c r="D3956" s="109" t="s">
        <v>120</v>
      </c>
      <c r="E3956" s="109">
        <v>234</v>
      </c>
      <c r="F3956" s="110">
        <v>3186</v>
      </c>
      <c r="G3956" s="109" t="s">
        <v>120</v>
      </c>
      <c r="H3956" s="109">
        <v>14</v>
      </c>
      <c r="I3956" s="109" t="s">
        <v>122</v>
      </c>
      <c r="J3956" s="110" t="s">
        <v>122</v>
      </c>
    </row>
    <row r="3957" spans="1:10" s="119" customFormat="1">
      <c r="A3957" s="123" t="s">
        <v>120</v>
      </c>
      <c r="B3957" s="273" t="s">
        <v>6175</v>
      </c>
      <c r="C3957" s="274"/>
      <c r="D3957" s="274"/>
      <c r="E3957" s="274"/>
      <c r="F3957" s="274"/>
      <c r="G3957" s="274"/>
      <c r="H3957" s="274"/>
      <c r="I3957" s="274"/>
      <c r="J3957" s="274"/>
    </row>
    <row r="3958" spans="1:10" s="119" customFormat="1">
      <c r="A3958" s="123" t="s">
        <v>120</v>
      </c>
      <c r="B3958" s="275" t="s">
        <v>1019</v>
      </c>
      <c r="C3958" s="276"/>
      <c r="D3958" s="276"/>
      <c r="E3958" s="276"/>
      <c r="F3958" s="276"/>
      <c r="G3958" s="276"/>
      <c r="H3958" s="276"/>
      <c r="I3958" s="276"/>
      <c r="J3958" s="276"/>
    </row>
    <row r="3959" spans="1:10">
      <c r="A3959" s="103" t="s">
        <v>6176</v>
      </c>
      <c r="B3959" s="124" t="s">
        <v>6177</v>
      </c>
      <c r="C3959" s="110">
        <v>1481</v>
      </c>
      <c r="D3959" s="109" t="s">
        <v>120</v>
      </c>
      <c r="E3959" s="109">
        <v>15</v>
      </c>
      <c r="F3959" s="110">
        <v>21556</v>
      </c>
      <c r="G3959" s="109" t="s">
        <v>120</v>
      </c>
      <c r="H3959" s="109">
        <v>1456</v>
      </c>
      <c r="I3959" s="109">
        <v>2281</v>
      </c>
      <c r="J3959" s="110">
        <v>315</v>
      </c>
    </row>
    <row r="3960" spans="1:10" s="119" customFormat="1">
      <c r="A3960" s="123" t="s">
        <v>120</v>
      </c>
      <c r="B3960" s="275" t="s">
        <v>924</v>
      </c>
      <c r="C3960" s="276"/>
      <c r="D3960" s="276"/>
      <c r="E3960" s="276"/>
      <c r="F3960" s="276"/>
      <c r="G3960" s="276"/>
      <c r="H3960" s="276"/>
      <c r="I3960" s="276"/>
      <c r="J3960" s="276"/>
    </row>
    <row r="3961" spans="1:10">
      <c r="A3961" s="103" t="s">
        <v>6178</v>
      </c>
      <c r="B3961" s="124" t="s">
        <v>6177</v>
      </c>
      <c r="C3961" s="110">
        <v>29514</v>
      </c>
      <c r="D3961" s="109" t="s">
        <v>120</v>
      </c>
      <c r="E3961" s="109">
        <v>295</v>
      </c>
      <c r="F3961" s="110">
        <v>7975</v>
      </c>
      <c r="G3961" s="109" t="s">
        <v>120</v>
      </c>
      <c r="H3961" s="109">
        <v>27</v>
      </c>
      <c r="I3961" s="109">
        <v>102</v>
      </c>
      <c r="J3961" s="110">
        <v>1128</v>
      </c>
    </row>
    <row r="3962" spans="1:10">
      <c r="A3962" s="103" t="s">
        <v>6179</v>
      </c>
      <c r="B3962" s="124" t="s">
        <v>6180</v>
      </c>
      <c r="C3962" s="110">
        <v>31448</v>
      </c>
      <c r="D3962" s="109" t="s">
        <v>120</v>
      </c>
      <c r="E3962" s="109">
        <v>314</v>
      </c>
      <c r="F3962" s="110">
        <v>7572</v>
      </c>
      <c r="G3962" s="109" t="s">
        <v>120</v>
      </c>
      <c r="H3962" s="109">
        <v>24</v>
      </c>
      <c r="I3962" s="109">
        <v>84</v>
      </c>
      <c r="J3962" s="110">
        <v>1190</v>
      </c>
    </row>
    <row r="3963" spans="1:10">
      <c r="A3963" s="103" t="s">
        <v>6181</v>
      </c>
      <c r="B3963" s="124" t="s">
        <v>6182</v>
      </c>
      <c r="C3963" s="110">
        <v>18465</v>
      </c>
      <c r="D3963" s="109" t="s">
        <v>120</v>
      </c>
      <c r="E3963" s="109">
        <v>185</v>
      </c>
      <c r="F3963" s="110">
        <v>4528</v>
      </c>
      <c r="G3963" s="109" t="s">
        <v>120</v>
      </c>
      <c r="H3963" s="109">
        <v>25</v>
      </c>
      <c r="I3963" s="109">
        <v>426</v>
      </c>
      <c r="J3963" s="110">
        <v>1863</v>
      </c>
    </row>
    <row r="3964" spans="1:10" s="119" customFormat="1">
      <c r="A3964" s="123" t="s">
        <v>120</v>
      </c>
      <c r="B3964" s="275" t="s">
        <v>1026</v>
      </c>
      <c r="C3964" s="276"/>
      <c r="D3964" s="276"/>
      <c r="E3964" s="276"/>
      <c r="F3964" s="276"/>
      <c r="G3964" s="276"/>
      <c r="H3964" s="276"/>
      <c r="I3964" s="276"/>
      <c r="J3964" s="276"/>
    </row>
    <row r="3965" spans="1:10">
      <c r="A3965" s="103" t="s">
        <v>6183</v>
      </c>
      <c r="B3965" s="124" t="s">
        <v>6184</v>
      </c>
      <c r="C3965" s="110">
        <v>25630</v>
      </c>
      <c r="D3965" s="109" t="s">
        <v>120</v>
      </c>
      <c r="E3965" s="109">
        <v>256</v>
      </c>
      <c r="F3965" s="110">
        <v>8131</v>
      </c>
      <c r="G3965" s="109" t="s">
        <v>120</v>
      </c>
      <c r="H3965" s="109">
        <v>32</v>
      </c>
      <c r="I3965" s="109">
        <v>163</v>
      </c>
      <c r="J3965" s="110">
        <v>1103</v>
      </c>
    </row>
    <row r="3966" spans="1:10">
      <c r="A3966" s="103" t="s">
        <v>6185</v>
      </c>
      <c r="B3966" s="124" t="s">
        <v>932</v>
      </c>
      <c r="C3966" s="110">
        <v>932</v>
      </c>
      <c r="D3966" s="109" t="s">
        <v>120</v>
      </c>
      <c r="E3966" s="109">
        <v>9</v>
      </c>
      <c r="F3966" s="110">
        <v>3787</v>
      </c>
      <c r="G3966" s="109" t="s">
        <v>120</v>
      </c>
      <c r="H3966" s="109">
        <v>406</v>
      </c>
      <c r="I3966" s="109" t="s">
        <v>122</v>
      </c>
      <c r="J3966" s="110" t="s">
        <v>122</v>
      </c>
    </row>
    <row r="3967" spans="1:10">
      <c r="A3967" s="103" t="s">
        <v>6186</v>
      </c>
      <c r="B3967" s="124" t="s">
        <v>934</v>
      </c>
      <c r="C3967" s="110">
        <v>24698</v>
      </c>
      <c r="D3967" s="109" t="s">
        <v>120</v>
      </c>
      <c r="E3967" s="109">
        <v>247</v>
      </c>
      <c r="F3967" s="110">
        <v>4344</v>
      </c>
      <c r="G3967" s="109" t="s">
        <v>120</v>
      </c>
      <c r="H3967" s="109">
        <v>18</v>
      </c>
      <c r="I3967" s="109" t="s">
        <v>122</v>
      </c>
      <c r="J3967" s="110" t="s">
        <v>122</v>
      </c>
    </row>
    <row r="3968" spans="1:10" s="119" customFormat="1">
      <c r="A3968" s="123" t="s">
        <v>120</v>
      </c>
      <c r="B3968" s="273" t="s">
        <v>6187</v>
      </c>
      <c r="C3968" s="274"/>
      <c r="D3968" s="274"/>
      <c r="E3968" s="274"/>
      <c r="F3968" s="274"/>
      <c r="G3968" s="274"/>
      <c r="H3968" s="274"/>
      <c r="I3968" s="274"/>
      <c r="J3968" s="274"/>
    </row>
    <row r="3969" spans="1:10" s="119" customFormat="1">
      <c r="A3969" s="123" t="s">
        <v>120</v>
      </c>
      <c r="B3969" s="275" t="s">
        <v>943</v>
      </c>
      <c r="C3969" s="276"/>
      <c r="D3969" s="276"/>
      <c r="E3969" s="276"/>
      <c r="F3969" s="276"/>
      <c r="G3969" s="276"/>
      <c r="H3969" s="276"/>
      <c r="I3969" s="276"/>
      <c r="J3969" s="276"/>
    </row>
    <row r="3970" spans="1:10">
      <c r="A3970" s="103" t="s">
        <v>6188</v>
      </c>
      <c r="B3970" s="124" t="s">
        <v>6189</v>
      </c>
      <c r="C3970" s="110">
        <v>13592</v>
      </c>
      <c r="D3970" s="109" t="s">
        <v>120</v>
      </c>
      <c r="E3970" s="109">
        <v>136</v>
      </c>
      <c r="F3970" s="110">
        <v>3202</v>
      </c>
      <c r="G3970" s="109" t="s">
        <v>120</v>
      </c>
      <c r="H3970" s="109">
        <v>24</v>
      </c>
      <c r="I3970" s="109">
        <v>825</v>
      </c>
      <c r="J3970" s="110">
        <v>2162</v>
      </c>
    </row>
    <row r="3971" spans="1:10">
      <c r="A3971" s="103" t="s">
        <v>6190</v>
      </c>
      <c r="B3971" s="124" t="s">
        <v>6191</v>
      </c>
      <c r="C3971" s="110">
        <v>19166</v>
      </c>
      <c r="D3971" s="109" t="s">
        <v>120</v>
      </c>
      <c r="E3971" s="109">
        <v>192</v>
      </c>
      <c r="F3971" s="110">
        <v>2654</v>
      </c>
      <c r="G3971" s="109" t="s">
        <v>120</v>
      </c>
      <c r="H3971" s="109">
        <v>14</v>
      </c>
      <c r="I3971" s="109">
        <v>385</v>
      </c>
      <c r="J3971" s="110">
        <v>2239</v>
      </c>
    </row>
    <row r="3972" spans="1:10">
      <c r="A3972" s="103" t="s">
        <v>6192</v>
      </c>
      <c r="B3972" s="124" t="s">
        <v>6193</v>
      </c>
      <c r="C3972" s="110">
        <v>25427</v>
      </c>
      <c r="D3972" s="109" t="s">
        <v>120</v>
      </c>
      <c r="E3972" s="109">
        <v>254</v>
      </c>
      <c r="F3972" s="110">
        <v>5998</v>
      </c>
      <c r="G3972" s="109" t="s">
        <v>120</v>
      </c>
      <c r="H3972" s="109">
        <v>24</v>
      </c>
      <c r="I3972" s="109">
        <v>172</v>
      </c>
      <c r="J3972" s="110">
        <v>1504</v>
      </c>
    </row>
    <row r="3973" spans="1:10" s="119" customFormat="1">
      <c r="A3973" s="123" t="s">
        <v>120</v>
      </c>
      <c r="B3973" s="275" t="s">
        <v>929</v>
      </c>
      <c r="C3973" s="276"/>
      <c r="D3973" s="276"/>
      <c r="E3973" s="276"/>
      <c r="F3973" s="276"/>
      <c r="G3973" s="276"/>
      <c r="H3973" s="276"/>
      <c r="I3973" s="276"/>
      <c r="J3973" s="276"/>
    </row>
    <row r="3974" spans="1:10">
      <c r="A3974" s="103" t="s">
        <v>6194</v>
      </c>
      <c r="B3974" s="124" t="s">
        <v>6195</v>
      </c>
      <c r="C3974" s="110">
        <v>37879</v>
      </c>
      <c r="D3974" s="109" t="s">
        <v>120</v>
      </c>
      <c r="E3974" s="109">
        <v>379</v>
      </c>
      <c r="F3974" s="110">
        <v>21003</v>
      </c>
      <c r="G3974" s="109" t="s">
        <v>120</v>
      </c>
      <c r="H3974" s="109">
        <v>55</v>
      </c>
      <c r="I3974" s="109">
        <v>32</v>
      </c>
      <c r="J3974" s="110">
        <v>323</v>
      </c>
    </row>
    <row r="3975" spans="1:10">
      <c r="A3975" s="103" t="s">
        <v>6196</v>
      </c>
      <c r="B3975" s="124" t="s">
        <v>932</v>
      </c>
      <c r="C3975" s="110">
        <v>686</v>
      </c>
      <c r="D3975" s="109" t="s">
        <v>120</v>
      </c>
      <c r="E3975" s="109">
        <v>7</v>
      </c>
      <c r="F3975" s="110">
        <v>13694</v>
      </c>
      <c r="G3975" s="109" t="s">
        <v>120</v>
      </c>
      <c r="H3975" s="109">
        <v>1996</v>
      </c>
      <c r="I3975" s="109" t="s">
        <v>122</v>
      </c>
      <c r="J3975" s="110" t="s">
        <v>122</v>
      </c>
    </row>
    <row r="3976" spans="1:10">
      <c r="A3976" s="103" t="s">
        <v>6197</v>
      </c>
      <c r="B3976" s="124" t="s">
        <v>934</v>
      </c>
      <c r="C3976" s="110">
        <v>37193</v>
      </c>
      <c r="D3976" s="109" t="s">
        <v>120</v>
      </c>
      <c r="E3976" s="109">
        <v>372</v>
      </c>
      <c r="F3976" s="110">
        <v>7309</v>
      </c>
      <c r="G3976" s="109" t="s">
        <v>120</v>
      </c>
      <c r="H3976" s="109">
        <v>20</v>
      </c>
      <c r="I3976" s="109" t="s">
        <v>122</v>
      </c>
      <c r="J3976" s="110" t="s">
        <v>122</v>
      </c>
    </row>
    <row r="3977" spans="1:10" s="119" customFormat="1">
      <c r="A3977" s="123" t="s">
        <v>120</v>
      </c>
      <c r="B3977" s="273" t="s">
        <v>6198</v>
      </c>
      <c r="C3977" s="274"/>
      <c r="D3977" s="274"/>
      <c r="E3977" s="274"/>
      <c r="F3977" s="274"/>
      <c r="G3977" s="274"/>
      <c r="H3977" s="274"/>
      <c r="I3977" s="274"/>
      <c r="J3977" s="274"/>
    </row>
    <row r="3978" spans="1:10" s="119" customFormat="1">
      <c r="A3978" s="123" t="s">
        <v>120</v>
      </c>
      <c r="B3978" s="275" t="s">
        <v>922</v>
      </c>
      <c r="C3978" s="276"/>
      <c r="D3978" s="276"/>
      <c r="E3978" s="276"/>
      <c r="F3978" s="276"/>
      <c r="G3978" s="276"/>
      <c r="H3978" s="276"/>
      <c r="I3978" s="276"/>
      <c r="J3978" s="276"/>
    </row>
    <row r="3979" spans="1:10">
      <c r="A3979" s="103" t="s">
        <v>6199</v>
      </c>
      <c r="B3979" s="124" t="s">
        <v>6200</v>
      </c>
      <c r="C3979" s="110">
        <v>1137</v>
      </c>
      <c r="D3979" s="109" t="s">
        <v>120</v>
      </c>
      <c r="E3979" s="109">
        <v>11</v>
      </c>
      <c r="F3979" s="110">
        <v>10850</v>
      </c>
      <c r="G3979" s="109" t="s">
        <v>120</v>
      </c>
      <c r="H3979" s="109">
        <v>954</v>
      </c>
      <c r="I3979" s="109">
        <v>2312</v>
      </c>
      <c r="J3979" s="110">
        <v>795</v>
      </c>
    </row>
    <row r="3980" spans="1:10" s="119" customFormat="1">
      <c r="A3980" s="123" t="s">
        <v>120</v>
      </c>
      <c r="B3980" s="275" t="s">
        <v>943</v>
      </c>
      <c r="C3980" s="276"/>
      <c r="D3980" s="276"/>
      <c r="E3980" s="276"/>
      <c r="F3980" s="276"/>
      <c r="G3980" s="276"/>
      <c r="H3980" s="276"/>
      <c r="I3980" s="276"/>
      <c r="J3980" s="276"/>
    </row>
    <row r="3981" spans="1:10">
      <c r="A3981" s="103" t="s">
        <v>6201</v>
      </c>
      <c r="B3981" s="124" t="s">
        <v>6202</v>
      </c>
      <c r="C3981" s="110">
        <v>24061</v>
      </c>
      <c r="D3981" s="109" t="s">
        <v>120</v>
      </c>
      <c r="E3981" s="109">
        <v>242</v>
      </c>
      <c r="F3981" s="110">
        <v>9308</v>
      </c>
      <c r="G3981" s="109" t="s">
        <v>120</v>
      </c>
      <c r="H3981" s="109">
        <v>39</v>
      </c>
      <c r="I3981" s="109">
        <v>204</v>
      </c>
      <c r="J3981" s="110">
        <v>941</v>
      </c>
    </row>
    <row r="3982" spans="1:10">
      <c r="A3982" s="103" t="s">
        <v>6203</v>
      </c>
      <c r="B3982" s="124" t="s">
        <v>6204</v>
      </c>
      <c r="C3982" s="110">
        <v>15437</v>
      </c>
      <c r="D3982" s="109" t="s">
        <v>120</v>
      </c>
      <c r="E3982" s="109">
        <v>154</v>
      </c>
      <c r="F3982" s="110">
        <v>6308</v>
      </c>
      <c r="G3982" s="109" t="s">
        <v>120</v>
      </c>
      <c r="H3982" s="109">
        <v>41</v>
      </c>
      <c r="I3982" s="109">
        <v>635</v>
      </c>
      <c r="J3982" s="110">
        <v>1441</v>
      </c>
    </row>
    <row r="3983" spans="1:10">
      <c r="A3983" s="103" t="s">
        <v>6205</v>
      </c>
      <c r="B3983" s="124" t="s">
        <v>6206</v>
      </c>
      <c r="C3983" s="110">
        <v>14911</v>
      </c>
      <c r="D3983" s="109" t="s">
        <v>120</v>
      </c>
      <c r="E3983" s="109">
        <v>149</v>
      </c>
      <c r="F3983" s="110">
        <v>9111</v>
      </c>
      <c r="G3983" s="109" t="s">
        <v>120</v>
      </c>
      <c r="H3983" s="109">
        <v>61</v>
      </c>
      <c r="I3983" s="109">
        <v>685</v>
      </c>
      <c r="J3983" s="110">
        <v>963</v>
      </c>
    </row>
    <row r="3984" spans="1:10">
      <c r="A3984" s="103" t="s">
        <v>6207</v>
      </c>
      <c r="B3984" s="124" t="s">
        <v>6200</v>
      </c>
      <c r="C3984" s="110">
        <v>13847</v>
      </c>
      <c r="D3984" s="109" t="s">
        <v>120</v>
      </c>
      <c r="E3984" s="109">
        <v>138</v>
      </c>
      <c r="F3984" s="110">
        <v>8245</v>
      </c>
      <c r="G3984" s="109" t="s">
        <v>120</v>
      </c>
      <c r="H3984" s="109">
        <v>60</v>
      </c>
      <c r="I3984" s="109">
        <v>798</v>
      </c>
      <c r="J3984" s="110">
        <v>1087</v>
      </c>
    </row>
    <row r="3985" spans="1:10" s="119" customFormat="1">
      <c r="A3985" s="123" t="s">
        <v>120</v>
      </c>
      <c r="B3985" s="273" t="s">
        <v>6208</v>
      </c>
      <c r="C3985" s="274"/>
      <c r="D3985" s="274"/>
      <c r="E3985" s="274"/>
      <c r="F3985" s="274"/>
      <c r="G3985" s="274"/>
      <c r="H3985" s="274"/>
      <c r="I3985" s="274"/>
      <c r="J3985" s="274"/>
    </row>
    <row r="3986" spans="1:10" s="119" customFormat="1">
      <c r="A3986" s="123" t="s">
        <v>120</v>
      </c>
      <c r="B3986" s="275" t="s">
        <v>924</v>
      </c>
      <c r="C3986" s="276"/>
      <c r="D3986" s="276"/>
      <c r="E3986" s="276"/>
      <c r="F3986" s="276"/>
      <c r="G3986" s="276"/>
      <c r="H3986" s="276"/>
      <c r="I3986" s="276"/>
      <c r="J3986" s="276"/>
    </row>
    <row r="3987" spans="1:10">
      <c r="A3987" s="103" t="s">
        <v>6209</v>
      </c>
      <c r="B3987" s="124" t="s">
        <v>6210</v>
      </c>
      <c r="C3987" s="110">
        <v>25113</v>
      </c>
      <c r="D3987" s="109" t="s">
        <v>120</v>
      </c>
      <c r="E3987" s="109">
        <v>251</v>
      </c>
      <c r="F3987" s="110">
        <v>4960</v>
      </c>
      <c r="G3987" s="109" t="s">
        <v>120</v>
      </c>
      <c r="H3987" s="109">
        <v>20</v>
      </c>
      <c r="I3987" s="109">
        <v>180</v>
      </c>
      <c r="J3987" s="110">
        <v>1748</v>
      </c>
    </row>
    <row r="3988" spans="1:10">
      <c r="A3988" s="103" t="s">
        <v>6211</v>
      </c>
      <c r="B3988" s="124" t="s">
        <v>6212</v>
      </c>
      <c r="C3988" s="110">
        <v>21493</v>
      </c>
      <c r="D3988" s="109" t="s">
        <v>120</v>
      </c>
      <c r="E3988" s="109">
        <v>215</v>
      </c>
      <c r="F3988" s="110">
        <v>3883</v>
      </c>
      <c r="G3988" s="109" t="s">
        <v>120</v>
      </c>
      <c r="H3988" s="109">
        <v>18</v>
      </c>
      <c r="I3988" s="109">
        <v>273</v>
      </c>
      <c r="J3988" s="110">
        <v>2022</v>
      </c>
    </row>
    <row r="3989" spans="1:10">
      <c r="A3989" s="103" t="s">
        <v>6213</v>
      </c>
      <c r="B3989" s="124" t="s">
        <v>6214</v>
      </c>
      <c r="C3989" s="110">
        <v>14080</v>
      </c>
      <c r="D3989" s="109" t="s">
        <v>120</v>
      </c>
      <c r="E3989" s="109">
        <v>141</v>
      </c>
      <c r="F3989" s="110">
        <v>3280</v>
      </c>
      <c r="G3989" s="109" t="s">
        <v>120</v>
      </c>
      <c r="H3989" s="109">
        <v>23</v>
      </c>
      <c r="I3989" s="109">
        <v>777</v>
      </c>
      <c r="J3989" s="110">
        <v>2151</v>
      </c>
    </row>
    <row r="3990" spans="1:10" s="119" customFormat="1">
      <c r="A3990" s="123" t="s">
        <v>120</v>
      </c>
      <c r="B3990" s="275" t="s">
        <v>929</v>
      </c>
      <c r="C3990" s="276"/>
      <c r="D3990" s="276"/>
      <c r="E3990" s="276"/>
      <c r="F3990" s="276"/>
      <c r="G3990" s="276"/>
      <c r="H3990" s="276"/>
      <c r="I3990" s="276"/>
      <c r="J3990" s="276"/>
    </row>
    <row r="3991" spans="1:10">
      <c r="A3991" s="103" t="s">
        <v>6215</v>
      </c>
      <c r="B3991" s="124" t="s">
        <v>6216</v>
      </c>
      <c r="C3991" s="110">
        <v>26674</v>
      </c>
      <c r="D3991" s="109" t="s">
        <v>120</v>
      </c>
      <c r="E3991" s="109">
        <v>267</v>
      </c>
      <c r="F3991" s="110">
        <v>22025</v>
      </c>
      <c r="G3991" s="109" t="s">
        <v>120</v>
      </c>
      <c r="H3991" s="109">
        <v>83</v>
      </c>
      <c r="I3991" s="109">
        <v>141</v>
      </c>
      <c r="J3991" s="110">
        <v>300</v>
      </c>
    </row>
    <row r="3992" spans="1:10">
      <c r="A3992" s="103" t="s">
        <v>6217</v>
      </c>
      <c r="B3992" s="124" t="s">
        <v>932</v>
      </c>
      <c r="C3992" s="110">
        <v>1154</v>
      </c>
      <c r="D3992" s="109" t="s">
        <v>120</v>
      </c>
      <c r="E3992" s="109">
        <v>12</v>
      </c>
      <c r="F3992" s="110">
        <v>16422</v>
      </c>
      <c r="G3992" s="109" t="s">
        <v>120</v>
      </c>
      <c r="H3992" s="109">
        <v>1423</v>
      </c>
      <c r="I3992" s="109" t="s">
        <v>122</v>
      </c>
      <c r="J3992" s="110" t="s">
        <v>122</v>
      </c>
    </row>
    <row r="3993" spans="1:10">
      <c r="A3993" s="103" t="s">
        <v>6218</v>
      </c>
      <c r="B3993" s="124" t="s">
        <v>934</v>
      </c>
      <c r="C3993" s="110">
        <v>25520</v>
      </c>
      <c r="D3993" s="109" t="s">
        <v>120</v>
      </c>
      <c r="E3993" s="109">
        <v>255</v>
      </c>
      <c r="F3993" s="110">
        <v>5603</v>
      </c>
      <c r="G3993" s="109" t="s">
        <v>120</v>
      </c>
      <c r="H3993" s="109">
        <v>22</v>
      </c>
      <c r="I3993" s="109" t="s">
        <v>122</v>
      </c>
      <c r="J3993" s="110" t="s">
        <v>122</v>
      </c>
    </row>
    <row r="3994" spans="1:10" s="119" customFormat="1">
      <c r="A3994" s="123" t="s">
        <v>120</v>
      </c>
      <c r="B3994" s="273" t="s">
        <v>6219</v>
      </c>
      <c r="C3994" s="274"/>
      <c r="D3994" s="274"/>
      <c r="E3994" s="274"/>
      <c r="F3994" s="274"/>
      <c r="G3994" s="274"/>
      <c r="H3994" s="274"/>
      <c r="I3994" s="274"/>
      <c r="J3994" s="274"/>
    </row>
    <row r="3995" spans="1:10" s="119" customFormat="1">
      <c r="A3995" s="123" t="s">
        <v>120</v>
      </c>
      <c r="B3995" s="275" t="s">
        <v>943</v>
      </c>
      <c r="C3995" s="276"/>
      <c r="D3995" s="276"/>
      <c r="E3995" s="276"/>
      <c r="F3995" s="276"/>
      <c r="G3995" s="276"/>
      <c r="H3995" s="276"/>
      <c r="I3995" s="276"/>
      <c r="J3995" s="276"/>
    </row>
    <row r="3996" spans="1:10">
      <c r="A3996" s="103" t="s">
        <v>6220</v>
      </c>
      <c r="B3996" s="124" t="s">
        <v>6221</v>
      </c>
      <c r="C3996" s="110">
        <v>16116</v>
      </c>
      <c r="D3996" s="109" t="s">
        <v>120</v>
      </c>
      <c r="E3996" s="109">
        <v>161</v>
      </c>
      <c r="F3996" s="110">
        <v>12004</v>
      </c>
      <c r="G3996" s="109" t="s">
        <v>120</v>
      </c>
      <c r="H3996" s="109">
        <v>74</v>
      </c>
      <c r="I3996" s="109">
        <v>586</v>
      </c>
      <c r="J3996" s="110">
        <v>697</v>
      </c>
    </row>
    <row r="3997" spans="1:10">
      <c r="A3997" s="103" t="s">
        <v>6222</v>
      </c>
      <c r="B3997" s="124" t="s">
        <v>6223</v>
      </c>
      <c r="C3997" s="110">
        <v>17233</v>
      </c>
      <c r="D3997" s="109" t="s">
        <v>120</v>
      </c>
      <c r="E3997" s="109">
        <v>172</v>
      </c>
      <c r="F3997" s="110">
        <v>6685</v>
      </c>
      <c r="G3997" s="109" t="s">
        <v>120</v>
      </c>
      <c r="H3997" s="109">
        <v>39</v>
      </c>
      <c r="I3997" s="109">
        <v>497</v>
      </c>
      <c r="J3997" s="110">
        <v>1366</v>
      </c>
    </row>
    <row r="3998" spans="1:10">
      <c r="A3998" s="103" t="s">
        <v>6224</v>
      </c>
      <c r="B3998" s="124" t="s">
        <v>6225</v>
      </c>
      <c r="C3998" s="110">
        <v>16869</v>
      </c>
      <c r="D3998" s="109" t="s">
        <v>120</v>
      </c>
      <c r="E3998" s="109">
        <v>169</v>
      </c>
      <c r="F3998" s="110">
        <v>7430</v>
      </c>
      <c r="G3998" s="109" t="s">
        <v>120</v>
      </c>
      <c r="H3998" s="109">
        <v>44</v>
      </c>
      <c r="I3998" s="109">
        <v>529</v>
      </c>
      <c r="J3998" s="110">
        <v>1219</v>
      </c>
    </row>
    <row r="3999" spans="1:10">
      <c r="A3999" s="103" t="s">
        <v>6226</v>
      </c>
      <c r="B3999" s="124" t="s">
        <v>4883</v>
      </c>
      <c r="C3999" s="110">
        <v>17859</v>
      </c>
      <c r="D3999" s="109" t="s">
        <v>120</v>
      </c>
      <c r="E3999" s="109">
        <v>179</v>
      </c>
      <c r="F3999" s="110">
        <v>3137</v>
      </c>
      <c r="G3999" s="109" t="s">
        <v>120</v>
      </c>
      <c r="H3999" s="109">
        <v>18</v>
      </c>
      <c r="I3999" s="109">
        <v>462</v>
      </c>
      <c r="J3999" s="110">
        <v>2178</v>
      </c>
    </row>
    <row r="4000" spans="1:10">
      <c r="A4000" s="103" t="s">
        <v>6227</v>
      </c>
      <c r="B4000" s="124" t="s">
        <v>6228</v>
      </c>
      <c r="C4000" s="110">
        <v>31812</v>
      </c>
      <c r="D4000" s="109" t="s">
        <v>120</v>
      </c>
      <c r="E4000" s="109">
        <v>317</v>
      </c>
      <c r="F4000" s="110">
        <v>8708</v>
      </c>
      <c r="G4000" s="109" t="s">
        <v>120</v>
      </c>
      <c r="H4000" s="109">
        <v>27</v>
      </c>
      <c r="I4000" s="109">
        <v>82</v>
      </c>
      <c r="J4000" s="110">
        <v>1023</v>
      </c>
    </row>
    <row r="4001" spans="1:10">
      <c r="A4001" s="103" t="s">
        <v>6229</v>
      </c>
      <c r="B4001" s="124" t="s">
        <v>6230</v>
      </c>
      <c r="C4001" s="110">
        <v>22287</v>
      </c>
      <c r="D4001" s="109" t="s">
        <v>120</v>
      </c>
      <c r="E4001" s="109">
        <v>223</v>
      </c>
      <c r="F4001" s="110">
        <v>10548</v>
      </c>
      <c r="G4001" s="109" t="s">
        <v>120</v>
      </c>
      <c r="H4001" s="109">
        <v>47</v>
      </c>
      <c r="I4001" s="109">
        <v>252</v>
      </c>
      <c r="J4001" s="110">
        <v>827</v>
      </c>
    </row>
    <row r="4002" spans="1:10">
      <c r="A4002" s="103" t="s">
        <v>6231</v>
      </c>
      <c r="B4002" s="124" t="s">
        <v>6232</v>
      </c>
      <c r="C4002" s="110">
        <v>16415</v>
      </c>
      <c r="D4002" s="109" t="s">
        <v>120</v>
      </c>
      <c r="E4002" s="109">
        <v>164</v>
      </c>
      <c r="F4002" s="110">
        <v>4039</v>
      </c>
      <c r="G4002" s="109" t="s">
        <v>120</v>
      </c>
      <c r="H4002" s="109">
        <v>25</v>
      </c>
      <c r="I4002" s="109">
        <v>559</v>
      </c>
      <c r="J4002" s="110">
        <v>1984</v>
      </c>
    </row>
    <row r="4003" spans="1:10" s="119" customFormat="1">
      <c r="A4003" s="123" t="s">
        <v>120</v>
      </c>
      <c r="B4003" s="275" t="s">
        <v>947</v>
      </c>
      <c r="C4003" s="276"/>
      <c r="D4003" s="276"/>
      <c r="E4003" s="276"/>
      <c r="F4003" s="276"/>
      <c r="G4003" s="276"/>
      <c r="H4003" s="276"/>
      <c r="I4003" s="276"/>
      <c r="J4003" s="276"/>
    </row>
    <row r="4004" spans="1:10">
      <c r="A4004" s="103" t="s">
        <v>6233</v>
      </c>
      <c r="B4004" s="124" t="s">
        <v>6234</v>
      </c>
      <c r="C4004" s="110">
        <v>32001</v>
      </c>
      <c r="D4004" s="109" t="s">
        <v>120</v>
      </c>
      <c r="E4004" s="109">
        <v>320</v>
      </c>
      <c r="F4004" s="110">
        <v>18019</v>
      </c>
      <c r="G4004" s="109" t="s">
        <v>120</v>
      </c>
      <c r="H4004" s="109">
        <v>56</v>
      </c>
      <c r="I4004" s="109">
        <v>78</v>
      </c>
      <c r="J4004" s="110">
        <v>401</v>
      </c>
    </row>
    <row r="4005" spans="1:10">
      <c r="A4005" s="103" t="s">
        <v>6235</v>
      </c>
      <c r="B4005" s="124" t="s">
        <v>932</v>
      </c>
      <c r="C4005" s="110">
        <v>458</v>
      </c>
      <c r="D4005" s="109" t="s">
        <v>120</v>
      </c>
      <c r="E4005" s="109">
        <v>5</v>
      </c>
      <c r="F4005" s="110">
        <v>7501</v>
      </c>
      <c r="G4005" s="109" t="s">
        <v>120</v>
      </c>
      <c r="H4005" s="109">
        <v>1638</v>
      </c>
      <c r="I4005" s="109" t="s">
        <v>122</v>
      </c>
      <c r="J4005" s="110" t="s">
        <v>122</v>
      </c>
    </row>
    <row r="4006" spans="1:10">
      <c r="A4006" s="103" t="s">
        <v>6236</v>
      </c>
      <c r="B4006" s="124" t="s">
        <v>934</v>
      </c>
      <c r="C4006" s="110">
        <v>31543</v>
      </c>
      <c r="D4006" s="109" t="s">
        <v>120</v>
      </c>
      <c r="E4006" s="109">
        <v>315</v>
      </c>
      <c r="F4006" s="110">
        <v>10518</v>
      </c>
      <c r="G4006" s="109" t="s">
        <v>120</v>
      </c>
      <c r="H4006" s="109">
        <v>33</v>
      </c>
      <c r="I4006" s="109" t="s">
        <v>122</v>
      </c>
      <c r="J4006" s="110" t="s">
        <v>122</v>
      </c>
    </row>
    <row r="4007" spans="1:10">
      <c r="A4007" s="103" t="s">
        <v>6237</v>
      </c>
      <c r="B4007" s="124" t="s">
        <v>6202</v>
      </c>
      <c r="C4007" s="110">
        <v>29041</v>
      </c>
      <c r="D4007" s="109" t="s">
        <v>120</v>
      </c>
      <c r="E4007" s="109">
        <v>290</v>
      </c>
      <c r="F4007" s="110">
        <v>18997</v>
      </c>
      <c r="G4007" s="109" t="s">
        <v>120</v>
      </c>
      <c r="H4007" s="109">
        <v>65</v>
      </c>
      <c r="I4007" s="109">
        <v>113</v>
      </c>
      <c r="J4007" s="110">
        <v>370</v>
      </c>
    </row>
    <row r="4008" spans="1:10">
      <c r="A4008" s="103" t="s">
        <v>6238</v>
      </c>
      <c r="B4008" s="124" t="s">
        <v>932</v>
      </c>
      <c r="C4008" s="110">
        <v>500</v>
      </c>
      <c r="D4008" s="109" t="s">
        <v>120</v>
      </c>
      <c r="E4008" s="109">
        <v>5</v>
      </c>
      <c r="F4008" s="110">
        <v>10634</v>
      </c>
      <c r="G4008" s="109" t="s">
        <v>120</v>
      </c>
      <c r="H4008" s="109">
        <v>2127</v>
      </c>
      <c r="I4008" s="109" t="s">
        <v>122</v>
      </c>
      <c r="J4008" s="110" t="s">
        <v>122</v>
      </c>
    </row>
    <row r="4009" spans="1:10">
      <c r="A4009" s="103" t="s">
        <v>6239</v>
      </c>
      <c r="B4009" s="124" t="s">
        <v>934</v>
      </c>
      <c r="C4009" s="110">
        <v>28541</v>
      </c>
      <c r="D4009" s="109" t="s">
        <v>120</v>
      </c>
      <c r="E4009" s="109">
        <v>285</v>
      </c>
      <c r="F4009" s="110">
        <v>8363</v>
      </c>
      <c r="G4009" s="109" t="s">
        <v>120</v>
      </c>
      <c r="H4009" s="109">
        <v>29</v>
      </c>
      <c r="I4009" s="109" t="s">
        <v>122</v>
      </c>
      <c r="J4009" s="110" t="s">
        <v>122</v>
      </c>
    </row>
    <row r="4010" spans="1:10">
      <c r="A4010" s="103" t="s">
        <v>6240</v>
      </c>
      <c r="B4010" s="124" t="s">
        <v>6241</v>
      </c>
      <c r="C4010" s="110">
        <v>25869</v>
      </c>
      <c r="D4010" s="109" t="s">
        <v>120</v>
      </c>
      <c r="E4010" s="109">
        <v>259</v>
      </c>
      <c r="F4010" s="110">
        <v>15844</v>
      </c>
      <c r="G4010" s="109" t="s">
        <v>120</v>
      </c>
      <c r="H4010" s="109">
        <v>61</v>
      </c>
      <c r="I4010" s="109">
        <v>161</v>
      </c>
      <c r="J4010" s="110">
        <v>482</v>
      </c>
    </row>
    <row r="4011" spans="1:10">
      <c r="A4011" s="103" t="s">
        <v>6242</v>
      </c>
      <c r="B4011" s="124" t="s">
        <v>932</v>
      </c>
      <c r="C4011" s="110">
        <v>486</v>
      </c>
      <c r="D4011" s="109" t="s">
        <v>120</v>
      </c>
      <c r="E4011" s="109">
        <v>5</v>
      </c>
      <c r="F4011" s="110">
        <v>10182</v>
      </c>
      <c r="G4011" s="109" t="s">
        <v>120</v>
      </c>
      <c r="H4011" s="109">
        <v>2095</v>
      </c>
      <c r="I4011" s="109" t="s">
        <v>122</v>
      </c>
      <c r="J4011" s="110" t="s">
        <v>122</v>
      </c>
    </row>
    <row r="4012" spans="1:10">
      <c r="A4012" s="103" t="s">
        <v>6243</v>
      </c>
      <c r="B4012" s="124" t="s">
        <v>934</v>
      </c>
      <c r="C4012" s="110">
        <v>25383</v>
      </c>
      <c r="D4012" s="109" t="s">
        <v>120</v>
      </c>
      <c r="E4012" s="109">
        <v>254</v>
      </c>
      <c r="F4012" s="110">
        <v>5662</v>
      </c>
      <c r="G4012" s="109" t="s">
        <v>120</v>
      </c>
      <c r="H4012" s="109">
        <v>22</v>
      </c>
      <c r="I4012" s="109" t="s">
        <v>122</v>
      </c>
      <c r="J4012" s="110" t="s">
        <v>122</v>
      </c>
    </row>
    <row r="4013" spans="1:10">
      <c r="A4013" s="103" t="s">
        <v>6244</v>
      </c>
      <c r="B4013" s="124" t="s">
        <v>6245</v>
      </c>
      <c r="C4013" s="110">
        <v>21149</v>
      </c>
      <c r="D4013" s="109" t="s">
        <v>120</v>
      </c>
      <c r="E4013" s="109">
        <v>211</v>
      </c>
      <c r="F4013" s="110">
        <v>7669</v>
      </c>
      <c r="G4013" s="109" t="s">
        <v>120</v>
      </c>
      <c r="H4013" s="109">
        <v>36</v>
      </c>
      <c r="I4013" s="109">
        <v>286</v>
      </c>
      <c r="J4013" s="110">
        <v>1173</v>
      </c>
    </row>
    <row r="4014" spans="1:10">
      <c r="A4014" s="103" t="s">
        <v>6246</v>
      </c>
      <c r="B4014" s="124" t="s">
        <v>932</v>
      </c>
      <c r="C4014" s="110">
        <v>341</v>
      </c>
      <c r="D4014" s="109" t="s">
        <v>120</v>
      </c>
      <c r="E4014" s="109">
        <v>3</v>
      </c>
      <c r="F4014" s="110">
        <v>3153</v>
      </c>
      <c r="G4014" s="109" t="s">
        <v>120</v>
      </c>
      <c r="H4014" s="109">
        <v>925</v>
      </c>
      <c r="I4014" s="109" t="s">
        <v>122</v>
      </c>
      <c r="J4014" s="110" t="s">
        <v>122</v>
      </c>
    </row>
    <row r="4015" spans="1:10">
      <c r="A4015" s="103" t="s">
        <v>6247</v>
      </c>
      <c r="B4015" s="124" t="s">
        <v>934</v>
      </c>
      <c r="C4015" s="110">
        <v>20808</v>
      </c>
      <c r="D4015" s="109" t="s">
        <v>120</v>
      </c>
      <c r="E4015" s="109">
        <v>208</v>
      </c>
      <c r="F4015" s="110">
        <v>4516</v>
      </c>
      <c r="G4015" s="109" t="s">
        <v>120</v>
      </c>
      <c r="H4015" s="109">
        <v>22</v>
      </c>
      <c r="I4015" s="109" t="s">
        <v>122</v>
      </c>
      <c r="J4015" s="110" t="s">
        <v>122</v>
      </c>
    </row>
    <row r="4016" spans="1:10">
      <c r="A4016" s="103" t="s">
        <v>6248</v>
      </c>
      <c r="B4016" s="124" t="s">
        <v>6249</v>
      </c>
      <c r="C4016" s="110">
        <v>37151</v>
      </c>
      <c r="D4016" s="109" t="s">
        <v>120</v>
      </c>
      <c r="E4016" s="109">
        <v>372</v>
      </c>
      <c r="F4016" s="110">
        <v>13701</v>
      </c>
      <c r="G4016" s="109" t="s">
        <v>120</v>
      </c>
      <c r="H4016" s="109">
        <v>37</v>
      </c>
      <c r="I4016" s="109">
        <v>38</v>
      </c>
      <c r="J4016" s="110">
        <v>581</v>
      </c>
    </row>
    <row r="4017" spans="1:10">
      <c r="A4017" s="103" t="s">
        <v>6250</v>
      </c>
      <c r="B4017" s="124" t="s">
        <v>932</v>
      </c>
      <c r="C4017" s="110">
        <v>769</v>
      </c>
      <c r="D4017" s="109" t="s">
        <v>120</v>
      </c>
      <c r="E4017" s="109">
        <v>8</v>
      </c>
      <c r="F4017" s="110">
        <v>7514</v>
      </c>
      <c r="G4017" s="109" t="s">
        <v>120</v>
      </c>
      <c r="H4017" s="109">
        <v>977</v>
      </c>
      <c r="I4017" s="109" t="s">
        <v>122</v>
      </c>
      <c r="J4017" s="110" t="s">
        <v>122</v>
      </c>
    </row>
    <row r="4018" spans="1:10">
      <c r="A4018" s="103" t="s">
        <v>6251</v>
      </c>
      <c r="B4018" s="124" t="s">
        <v>934</v>
      </c>
      <c r="C4018" s="110">
        <v>36382</v>
      </c>
      <c r="D4018" s="109" t="s">
        <v>120</v>
      </c>
      <c r="E4018" s="109">
        <v>364</v>
      </c>
      <c r="F4018" s="110">
        <v>6187</v>
      </c>
      <c r="G4018" s="109" t="s">
        <v>120</v>
      </c>
      <c r="H4018" s="109">
        <v>17</v>
      </c>
      <c r="I4018" s="109" t="s">
        <v>122</v>
      </c>
      <c r="J4018" s="110" t="s">
        <v>122</v>
      </c>
    </row>
    <row r="4019" spans="1:10" s="119" customFormat="1">
      <c r="A4019" s="123" t="s">
        <v>120</v>
      </c>
      <c r="B4019" s="273" t="s">
        <v>6252</v>
      </c>
      <c r="C4019" s="274"/>
      <c r="D4019" s="274"/>
      <c r="E4019" s="274"/>
      <c r="F4019" s="274"/>
      <c r="G4019" s="274"/>
      <c r="H4019" s="274"/>
      <c r="I4019" s="274"/>
      <c r="J4019" s="274"/>
    </row>
    <row r="4020" spans="1:10" s="119" customFormat="1">
      <c r="A4020" s="123" t="s">
        <v>120</v>
      </c>
      <c r="B4020" s="275" t="s">
        <v>1019</v>
      </c>
      <c r="C4020" s="276"/>
      <c r="D4020" s="276"/>
      <c r="E4020" s="276"/>
      <c r="F4020" s="276"/>
      <c r="G4020" s="276"/>
      <c r="H4020" s="276"/>
      <c r="I4020" s="276"/>
      <c r="J4020" s="276"/>
    </row>
    <row r="4021" spans="1:10">
      <c r="A4021" s="103" t="s">
        <v>6253</v>
      </c>
      <c r="B4021" s="124" t="s">
        <v>6254</v>
      </c>
      <c r="C4021" s="110">
        <v>1415</v>
      </c>
      <c r="D4021" s="109" t="s">
        <v>120</v>
      </c>
      <c r="E4021" s="109">
        <v>14</v>
      </c>
      <c r="F4021" s="110">
        <v>32888</v>
      </c>
      <c r="G4021" s="109" t="s">
        <v>120</v>
      </c>
      <c r="H4021" s="109">
        <v>2324</v>
      </c>
      <c r="I4021" s="109">
        <v>2287</v>
      </c>
      <c r="J4021" s="110">
        <v>168</v>
      </c>
    </row>
    <row r="4022" spans="1:10" s="119" customFormat="1">
      <c r="A4022" s="123" t="s">
        <v>120</v>
      </c>
      <c r="B4022" s="275" t="s">
        <v>924</v>
      </c>
      <c r="C4022" s="276"/>
      <c r="D4022" s="276"/>
      <c r="E4022" s="276"/>
      <c r="F4022" s="276"/>
      <c r="G4022" s="276"/>
      <c r="H4022" s="276"/>
      <c r="I4022" s="276"/>
      <c r="J4022" s="276"/>
    </row>
    <row r="4023" spans="1:10">
      <c r="A4023" s="103" t="s">
        <v>6255</v>
      </c>
      <c r="B4023" s="124" t="s">
        <v>6256</v>
      </c>
      <c r="C4023" s="110">
        <v>16574</v>
      </c>
      <c r="D4023" s="109" t="s">
        <v>120</v>
      </c>
      <c r="E4023" s="109">
        <v>166</v>
      </c>
      <c r="F4023" s="110">
        <v>4283</v>
      </c>
      <c r="G4023" s="109" t="s">
        <v>120</v>
      </c>
      <c r="H4023" s="109">
        <v>26</v>
      </c>
      <c r="I4023" s="109">
        <v>552</v>
      </c>
      <c r="J4023" s="110">
        <v>1931</v>
      </c>
    </row>
    <row r="4024" spans="1:10">
      <c r="A4024" s="103" t="s">
        <v>6257</v>
      </c>
      <c r="B4024" s="124" t="s">
        <v>6258</v>
      </c>
      <c r="C4024" s="110">
        <v>17994</v>
      </c>
      <c r="D4024" s="109" t="s">
        <v>120</v>
      </c>
      <c r="E4024" s="109">
        <v>180</v>
      </c>
      <c r="F4024" s="110">
        <v>5638</v>
      </c>
      <c r="G4024" s="109" t="s">
        <v>120</v>
      </c>
      <c r="H4024" s="109">
        <v>31</v>
      </c>
      <c r="I4024" s="109">
        <v>450</v>
      </c>
      <c r="J4024" s="110">
        <v>1584</v>
      </c>
    </row>
    <row r="4025" spans="1:10">
      <c r="A4025" s="103" t="s">
        <v>6259</v>
      </c>
      <c r="B4025" s="124" t="s">
        <v>6260</v>
      </c>
      <c r="C4025" s="110">
        <v>18646</v>
      </c>
      <c r="D4025" s="109" t="s">
        <v>120</v>
      </c>
      <c r="E4025" s="109">
        <v>186</v>
      </c>
      <c r="F4025" s="110">
        <v>4455</v>
      </c>
      <c r="G4025" s="109" t="s">
        <v>120</v>
      </c>
      <c r="H4025" s="109">
        <v>24</v>
      </c>
      <c r="I4025" s="109">
        <v>413</v>
      </c>
      <c r="J4025" s="110">
        <v>1879</v>
      </c>
    </row>
    <row r="4026" spans="1:10">
      <c r="A4026" s="103" t="s">
        <v>6261</v>
      </c>
      <c r="B4026" s="124" t="s">
        <v>6262</v>
      </c>
      <c r="C4026" s="110">
        <v>18886</v>
      </c>
      <c r="D4026" s="109" t="s">
        <v>120</v>
      </c>
      <c r="E4026" s="109">
        <v>189</v>
      </c>
      <c r="F4026" s="110">
        <v>6251</v>
      </c>
      <c r="G4026" s="109" t="s">
        <v>120</v>
      </c>
      <c r="H4026" s="109">
        <v>33</v>
      </c>
      <c r="I4026" s="109">
        <v>396</v>
      </c>
      <c r="J4026" s="110">
        <v>1447</v>
      </c>
    </row>
    <row r="4027" spans="1:10">
      <c r="A4027" s="103" t="s">
        <v>6263</v>
      </c>
      <c r="B4027" s="124" t="s">
        <v>6254</v>
      </c>
      <c r="C4027" s="110">
        <v>40089</v>
      </c>
      <c r="D4027" s="109" t="s">
        <v>120</v>
      </c>
      <c r="E4027" s="109">
        <v>401</v>
      </c>
      <c r="F4027" s="110">
        <v>16114</v>
      </c>
      <c r="G4027" s="109" t="s">
        <v>120</v>
      </c>
      <c r="H4027" s="109">
        <v>40</v>
      </c>
      <c r="I4027" s="109">
        <v>24</v>
      </c>
      <c r="J4027" s="110">
        <v>471</v>
      </c>
    </row>
    <row r="4028" spans="1:10" s="119" customFormat="1">
      <c r="A4028" s="123" t="s">
        <v>120</v>
      </c>
      <c r="B4028" s="275" t="s">
        <v>947</v>
      </c>
      <c r="C4028" s="276"/>
      <c r="D4028" s="276"/>
      <c r="E4028" s="276"/>
      <c r="F4028" s="276"/>
      <c r="G4028" s="276"/>
      <c r="H4028" s="276"/>
      <c r="I4028" s="276"/>
      <c r="J4028" s="276"/>
    </row>
    <row r="4029" spans="1:10">
      <c r="A4029" s="103" t="s">
        <v>6264</v>
      </c>
      <c r="B4029" s="124" t="s">
        <v>6265</v>
      </c>
      <c r="C4029" s="110">
        <v>15840</v>
      </c>
      <c r="D4029" s="109" t="s">
        <v>120</v>
      </c>
      <c r="E4029" s="109">
        <v>158</v>
      </c>
      <c r="F4029" s="110">
        <v>5404</v>
      </c>
      <c r="G4029" s="109" t="s">
        <v>120</v>
      </c>
      <c r="H4029" s="109">
        <v>34</v>
      </c>
      <c r="I4029" s="109">
        <v>614</v>
      </c>
      <c r="J4029" s="110">
        <v>1634</v>
      </c>
    </row>
    <row r="4030" spans="1:10">
      <c r="A4030" s="103" t="s">
        <v>6266</v>
      </c>
      <c r="B4030" s="124" t="s">
        <v>932</v>
      </c>
      <c r="C4030" s="110">
        <v>876</v>
      </c>
      <c r="D4030" s="109" t="s">
        <v>120</v>
      </c>
      <c r="E4030" s="109">
        <v>9</v>
      </c>
      <c r="F4030" s="110">
        <v>2540</v>
      </c>
      <c r="G4030" s="109" t="s">
        <v>120</v>
      </c>
      <c r="H4030" s="109">
        <v>290</v>
      </c>
      <c r="I4030" s="109" t="s">
        <v>122</v>
      </c>
      <c r="J4030" s="110" t="s">
        <v>122</v>
      </c>
    </row>
    <row r="4031" spans="1:10">
      <c r="A4031" s="103" t="s">
        <v>6267</v>
      </c>
      <c r="B4031" s="124" t="s">
        <v>934</v>
      </c>
      <c r="C4031" s="110">
        <v>14964</v>
      </c>
      <c r="D4031" s="109" t="s">
        <v>120</v>
      </c>
      <c r="E4031" s="109">
        <v>149</v>
      </c>
      <c r="F4031" s="110">
        <v>2864</v>
      </c>
      <c r="G4031" s="109" t="s">
        <v>120</v>
      </c>
      <c r="H4031" s="109">
        <v>19</v>
      </c>
      <c r="I4031" s="109" t="s">
        <v>122</v>
      </c>
      <c r="J4031" s="110" t="s">
        <v>122</v>
      </c>
    </row>
    <row r="4032" spans="1:10">
      <c r="A4032" s="103" t="s">
        <v>6268</v>
      </c>
      <c r="B4032" s="124" t="s">
        <v>6269</v>
      </c>
      <c r="C4032" s="110">
        <v>16060</v>
      </c>
      <c r="D4032" s="109" t="s">
        <v>120</v>
      </c>
      <c r="E4032" s="109">
        <v>161</v>
      </c>
      <c r="F4032" s="110">
        <v>4919</v>
      </c>
      <c r="G4032" s="109" t="s">
        <v>120</v>
      </c>
      <c r="H4032" s="109">
        <v>31</v>
      </c>
      <c r="I4032" s="109">
        <v>591</v>
      </c>
      <c r="J4032" s="110">
        <v>1757</v>
      </c>
    </row>
    <row r="4033" spans="1:10">
      <c r="A4033" s="103" t="s">
        <v>6270</v>
      </c>
      <c r="B4033" s="124" t="s">
        <v>932</v>
      </c>
      <c r="C4033" s="110">
        <v>1238</v>
      </c>
      <c r="D4033" s="109" t="s">
        <v>120</v>
      </c>
      <c r="E4033" s="109">
        <v>12</v>
      </c>
      <c r="F4033" s="110">
        <v>2427</v>
      </c>
      <c r="G4033" s="109" t="s">
        <v>120</v>
      </c>
      <c r="H4033" s="109">
        <v>196</v>
      </c>
      <c r="I4033" s="109" t="s">
        <v>122</v>
      </c>
      <c r="J4033" s="110" t="s">
        <v>122</v>
      </c>
    </row>
    <row r="4034" spans="1:10">
      <c r="A4034" s="103" t="s">
        <v>6271</v>
      </c>
      <c r="B4034" s="124" t="s">
        <v>934</v>
      </c>
      <c r="C4034" s="110">
        <v>14822</v>
      </c>
      <c r="D4034" s="109" t="s">
        <v>120</v>
      </c>
      <c r="E4034" s="109">
        <v>149</v>
      </c>
      <c r="F4034" s="110">
        <v>2492</v>
      </c>
      <c r="G4034" s="109" t="s">
        <v>120</v>
      </c>
      <c r="H4034" s="109">
        <v>17</v>
      </c>
      <c r="I4034" s="109" t="s">
        <v>122</v>
      </c>
      <c r="J4034" s="110" t="s">
        <v>122</v>
      </c>
    </row>
    <row r="4035" spans="1:10">
      <c r="A4035" s="103" t="s">
        <v>6272</v>
      </c>
      <c r="B4035" s="124" t="s">
        <v>6273</v>
      </c>
      <c r="C4035" s="110">
        <v>31125</v>
      </c>
      <c r="D4035" s="109" t="s">
        <v>120</v>
      </c>
      <c r="E4035" s="109">
        <v>311</v>
      </c>
      <c r="F4035" s="110">
        <v>24199</v>
      </c>
      <c r="G4035" s="109" t="s">
        <v>120</v>
      </c>
      <c r="H4035" s="109">
        <v>78</v>
      </c>
      <c r="I4035" s="109">
        <v>87</v>
      </c>
      <c r="J4035" s="110">
        <v>261</v>
      </c>
    </row>
    <row r="4036" spans="1:10">
      <c r="A4036" s="103" t="s">
        <v>6274</v>
      </c>
      <c r="B4036" s="124" t="s">
        <v>932</v>
      </c>
      <c r="C4036" s="110">
        <v>611</v>
      </c>
      <c r="D4036" s="109" t="s">
        <v>120</v>
      </c>
      <c r="E4036" s="109">
        <v>6</v>
      </c>
      <c r="F4036" s="110">
        <v>13701</v>
      </c>
      <c r="G4036" s="109" t="s">
        <v>120</v>
      </c>
      <c r="H4036" s="109">
        <v>2242</v>
      </c>
      <c r="I4036" s="109" t="s">
        <v>122</v>
      </c>
      <c r="J4036" s="110" t="s">
        <v>122</v>
      </c>
    </row>
    <row r="4037" spans="1:10">
      <c r="A4037" s="103" t="s">
        <v>6275</v>
      </c>
      <c r="B4037" s="124" t="s">
        <v>934</v>
      </c>
      <c r="C4037" s="110">
        <v>30514</v>
      </c>
      <c r="D4037" s="109" t="s">
        <v>120</v>
      </c>
      <c r="E4037" s="109">
        <v>305</v>
      </c>
      <c r="F4037" s="110">
        <v>10498</v>
      </c>
      <c r="G4037" s="109" t="s">
        <v>120</v>
      </c>
      <c r="H4037" s="109">
        <v>34</v>
      </c>
      <c r="I4037" s="109" t="s">
        <v>122</v>
      </c>
      <c r="J4037" s="110" t="s">
        <v>122</v>
      </c>
    </row>
    <row r="4038" spans="1:10" s="119" customFormat="1">
      <c r="A4038" s="123" t="s">
        <v>120</v>
      </c>
      <c r="B4038" s="273" t="s">
        <v>6276</v>
      </c>
      <c r="C4038" s="274"/>
      <c r="D4038" s="274"/>
      <c r="E4038" s="274"/>
      <c r="F4038" s="274"/>
      <c r="G4038" s="274"/>
      <c r="H4038" s="274"/>
      <c r="I4038" s="274"/>
      <c r="J4038" s="274"/>
    </row>
    <row r="4039" spans="1:10" s="119" customFormat="1">
      <c r="A4039" s="123" t="s">
        <v>120</v>
      </c>
      <c r="B4039" s="275" t="s">
        <v>1101</v>
      </c>
      <c r="C4039" s="276"/>
      <c r="D4039" s="276"/>
      <c r="E4039" s="276"/>
      <c r="F4039" s="276"/>
      <c r="G4039" s="276"/>
      <c r="H4039" s="276"/>
      <c r="I4039" s="276"/>
      <c r="J4039" s="276"/>
    </row>
    <row r="4040" spans="1:10">
      <c r="A4040" s="103" t="s">
        <v>6277</v>
      </c>
      <c r="B4040" s="124" t="s">
        <v>6278</v>
      </c>
      <c r="C4040" s="110">
        <v>42033</v>
      </c>
      <c r="D4040" s="109" t="s">
        <v>120</v>
      </c>
      <c r="E4040" s="109">
        <v>420</v>
      </c>
      <c r="F4040" s="110">
        <v>11622</v>
      </c>
      <c r="G4040" s="109" t="s">
        <v>120</v>
      </c>
      <c r="H4040" s="109">
        <v>28</v>
      </c>
      <c r="I4040" s="109">
        <v>19</v>
      </c>
      <c r="J4040" s="110">
        <v>730</v>
      </c>
    </row>
    <row r="4041" spans="1:10">
      <c r="A4041" s="103" t="s">
        <v>6279</v>
      </c>
      <c r="B4041" s="124" t="s">
        <v>932</v>
      </c>
      <c r="C4041" s="110">
        <v>324</v>
      </c>
      <c r="D4041" s="109" t="s">
        <v>120</v>
      </c>
      <c r="E4041" s="109">
        <v>4</v>
      </c>
      <c r="F4041" s="110">
        <v>4030</v>
      </c>
      <c r="G4041" s="109" t="s">
        <v>120</v>
      </c>
      <c r="H4041" s="109">
        <v>1244</v>
      </c>
      <c r="I4041" s="109" t="s">
        <v>122</v>
      </c>
      <c r="J4041" s="110" t="s">
        <v>122</v>
      </c>
    </row>
    <row r="4042" spans="1:10">
      <c r="A4042" s="103" t="s">
        <v>6280</v>
      </c>
      <c r="B4042" s="124" t="s">
        <v>934</v>
      </c>
      <c r="C4042" s="110">
        <v>41709</v>
      </c>
      <c r="D4042" s="109" t="s">
        <v>120</v>
      </c>
      <c r="E4042" s="109">
        <v>416</v>
      </c>
      <c r="F4042" s="110">
        <v>7592</v>
      </c>
      <c r="G4042" s="109" t="s">
        <v>120</v>
      </c>
      <c r="H4042" s="109">
        <v>18</v>
      </c>
      <c r="I4042" s="109" t="s">
        <v>122</v>
      </c>
      <c r="J4042" s="110" t="s">
        <v>122</v>
      </c>
    </row>
    <row r="4043" spans="1:10">
      <c r="A4043" s="103" t="s">
        <v>6281</v>
      </c>
      <c r="B4043" s="124" t="s">
        <v>6282</v>
      </c>
      <c r="C4043" s="110">
        <v>36257</v>
      </c>
      <c r="D4043" s="109" t="s">
        <v>120</v>
      </c>
      <c r="E4043" s="109">
        <v>363</v>
      </c>
      <c r="F4043" s="110">
        <v>8863</v>
      </c>
      <c r="G4043" s="109" t="s">
        <v>120</v>
      </c>
      <c r="H4043" s="109">
        <v>24</v>
      </c>
      <c r="I4043" s="109">
        <v>43</v>
      </c>
      <c r="J4043" s="110">
        <v>1005</v>
      </c>
    </row>
    <row r="4044" spans="1:10">
      <c r="A4044" s="103" t="s">
        <v>6283</v>
      </c>
      <c r="B4044" s="124" t="s">
        <v>932</v>
      </c>
      <c r="C4044" s="110">
        <v>817</v>
      </c>
      <c r="D4044" s="109" t="s">
        <v>120</v>
      </c>
      <c r="E4044" s="109">
        <v>8</v>
      </c>
      <c r="F4044" s="110">
        <v>5535</v>
      </c>
      <c r="G4044" s="109" t="s">
        <v>120</v>
      </c>
      <c r="H4044" s="109">
        <v>677</v>
      </c>
      <c r="I4044" s="109" t="s">
        <v>122</v>
      </c>
      <c r="J4044" s="110" t="s">
        <v>122</v>
      </c>
    </row>
    <row r="4045" spans="1:10">
      <c r="A4045" s="103" t="s">
        <v>6284</v>
      </c>
      <c r="B4045" s="124" t="s">
        <v>934</v>
      </c>
      <c r="C4045" s="110">
        <v>35440</v>
      </c>
      <c r="D4045" s="109" t="s">
        <v>120</v>
      </c>
      <c r="E4045" s="109">
        <v>355</v>
      </c>
      <c r="F4045" s="110">
        <v>3328</v>
      </c>
      <c r="G4045" s="109" t="s">
        <v>120</v>
      </c>
      <c r="H4045" s="109">
        <v>9</v>
      </c>
      <c r="I4045" s="109" t="s">
        <v>122</v>
      </c>
      <c r="J4045" s="110" t="s">
        <v>122</v>
      </c>
    </row>
    <row r="4046" spans="1:10">
      <c r="A4046" s="103" t="s">
        <v>6285</v>
      </c>
      <c r="B4046" s="124" t="s">
        <v>6286</v>
      </c>
      <c r="C4046" s="110">
        <v>63370</v>
      </c>
      <c r="D4046" s="105" t="s">
        <v>927</v>
      </c>
      <c r="E4046" s="109">
        <v>634</v>
      </c>
      <c r="F4046" s="110">
        <v>27659</v>
      </c>
      <c r="G4046" s="109" t="s">
        <v>120</v>
      </c>
      <c r="H4046" s="109">
        <v>44</v>
      </c>
      <c r="I4046" s="109">
        <v>1</v>
      </c>
      <c r="J4046" s="110">
        <v>209</v>
      </c>
    </row>
    <row r="4047" spans="1:10">
      <c r="A4047" s="103" t="s">
        <v>6287</v>
      </c>
      <c r="B4047" s="124" t="s">
        <v>932</v>
      </c>
      <c r="C4047" s="110">
        <v>1008</v>
      </c>
      <c r="D4047" s="109" t="s">
        <v>120</v>
      </c>
      <c r="E4047" s="109">
        <v>10</v>
      </c>
      <c r="F4047" s="110">
        <v>19198</v>
      </c>
      <c r="G4047" s="109" t="s">
        <v>120</v>
      </c>
      <c r="H4047" s="109">
        <v>1905</v>
      </c>
      <c r="I4047" s="109" t="s">
        <v>122</v>
      </c>
      <c r="J4047" s="110" t="s">
        <v>122</v>
      </c>
    </row>
    <row r="4048" spans="1:10">
      <c r="A4048" s="103" t="s">
        <v>6288</v>
      </c>
      <c r="B4048" s="124" t="s">
        <v>934</v>
      </c>
      <c r="C4048" s="110">
        <v>62362</v>
      </c>
      <c r="D4048" s="109" t="s">
        <v>120</v>
      </c>
      <c r="E4048" s="109">
        <v>624</v>
      </c>
      <c r="F4048" s="110">
        <v>8461</v>
      </c>
      <c r="G4048" s="109" t="s">
        <v>120</v>
      </c>
      <c r="H4048" s="109">
        <v>14</v>
      </c>
      <c r="I4048" s="109" t="s">
        <v>122</v>
      </c>
      <c r="J4048" s="110" t="s">
        <v>122</v>
      </c>
    </row>
    <row r="4049" spans="1:10">
      <c r="A4049" s="103" t="s">
        <v>6289</v>
      </c>
      <c r="B4049" s="124" t="s">
        <v>6290</v>
      </c>
      <c r="C4049" s="110">
        <v>35798</v>
      </c>
      <c r="D4049" s="109" t="s">
        <v>120</v>
      </c>
      <c r="E4049" s="109">
        <v>358</v>
      </c>
      <c r="F4049" s="110">
        <v>7991</v>
      </c>
      <c r="G4049" s="109" t="s">
        <v>120</v>
      </c>
      <c r="H4049" s="109">
        <v>22</v>
      </c>
      <c r="I4049" s="109">
        <v>46</v>
      </c>
      <c r="J4049" s="110">
        <v>1124</v>
      </c>
    </row>
    <row r="4050" spans="1:10">
      <c r="A4050" s="103" t="s">
        <v>6291</v>
      </c>
      <c r="B4050" s="124" t="s">
        <v>932</v>
      </c>
      <c r="C4050" s="110">
        <v>1707</v>
      </c>
      <c r="D4050" s="109" t="s">
        <v>120</v>
      </c>
      <c r="E4050" s="109">
        <v>17</v>
      </c>
      <c r="F4050" s="110">
        <v>4451</v>
      </c>
      <c r="G4050" s="109" t="s">
        <v>120</v>
      </c>
      <c r="H4050" s="109">
        <v>261</v>
      </c>
      <c r="I4050" s="109" t="s">
        <v>122</v>
      </c>
      <c r="J4050" s="110" t="s">
        <v>122</v>
      </c>
    </row>
    <row r="4051" spans="1:10">
      <c r="A4051" s="103" t="s">
        <v>6292</v>
      </c>
      <c r="B4051" s="124" t="s">
        <v>934</v>
      </c>
      <c r="C4051" s="110">
        <v>34091</v>
      </c>
      <c r="D4051" s="109" t="s">
        <v>120</v>
      </c>
      <c r="E4051" s="109">
        <v>341</v>
      </c>
      <c r="F4051" s="110">
        <v>3540</v>
      </c>
      <c r="G4051" s="109" t="s">
        <v>120</v>
      </c>
      <c r="H4051" s="109">
        <v>10</v>
      </c>
      <c r="I4051" s="109" t="s">
        <v>122</v>
      </c>
      <c r="J4051" s="110" t="s">
        <v>122</v>
      </c>
    </row>
    <row r="4052" spans="1:10" s="119" customFormat="1">
      <c r="A4052" s="123" t="s">
        <v>120</v>
      </c>
      <c r="B4052" s="273" t="s">
        <v>6293</v>
      </c>
      <c r="C4052" s="274"/>
      <c r="D4052" s="274"/>
      <c r="E4052" s="274"/>
      <c r="F4052" s="274"/>
      <c r="G4052" s="274"/>
      <c r="H4052" s="274"/>
      <c r="I4052" s="274"/>
      <c r="J4052" s="274"/>
    </row>
    <row r="4053" spans="1:10" s="119" customFormat="1">
      <c r="A4053" s="123" t="s">
        <v>120</v>
      </c>
      <c r="B4053" s="275" t="s">
        <v>922</v>
      </c>
      <c r="C4053" s="276"/>
      <c r="D4053" s="276"/>
      <c r="E4053" s="276"/>
      <c r="F4053" s="276"/>
      <c r="G4053" s="276"/>
      <c r="H4053" s="276"/>
      <c r="I4053" s="276"/>
      <c r="J4053" s="276"/>
    </row>
    <row r="4054" spans="1:10">
      <c r="A4054" s="103" t="s">
        <v>6294</v>
      </c>
      <c r="B4054" s="124" t="s">
        <v>6295</v>
      </c>
      <c r="C4054" s="110">
        <v>1062</v>
      </c>
      <c r="D4054" s="109" t="s">
        <v>120</v>
      </c>
      <c r="E4054" s="109">
        <v>11</v>
      </c>
      <c r="F4054" s="110">
        <v>23088</v>
      </c>
      <c r="G4054" s="109" t="s">
        <v>120</v>
      </c>
      <c r="H4054" s="109">
        <v>2174</v>
      </c>
      <c r="I4054" s="109">
        <v>2316</v>
      </c>
      <c r="J4054" s="110">
        <v>281</v>
      </c>
    </row>
    <row r="4055" spans="1:10" s="119" customFormat="1">
      <c r="A4055" s="123" t="s">
        <v>120</v>
      </c>
      <c r="B4055" s="275" t="s">
        <v>943</v>
      </c>
      <c r="C4055" s="276"/>
      <c r="D4055" s="276"/>
      <c r="E4055" s="276"/>
      <c r="F4055" s="276"/>
      <c r="G4055" s="276"/>
      <c r="H4055" s="276"/>
      <c r="I4055" s="276"/>
      <c r="J4055" s="276"/>
    </row>
    <row r="4056" spans="1:10">
      <c r="A4056" s="103" t="s">
        <v>6296</v>
      </c>
      <c r="B4056" s="124" t="s">
        <v>6297</v>
      </c>
      <c r="C4056" s="110">
        <v>26334</v>
      </c>
      <c r="D4056" s="109" t="s">
        <v>120</v>
      </c>
      <c r="E4056" s="109">
        <v>263</v>
      </c>
      <c r="F4056" s="110">
        <v>6492</v>
      </c>
      <c r="G4056" s="109" t="s">
        <v>120</v>
      </c>
      <c r="H4056" s="109">
        <v>25</v>
      </c>
      <c r="I4056" s="109">
        <v>147</v>
      </c>
      <c r="J4056" s="110">
        <v>1401</v>
      </c>
    </row>
    <row r="4057" spans="1:10">
      <c r="A4057" s="103" t="s">
        <v>6298</v>
      </c>
      <c r="B4057" s="124" t="s">
        <v>6299</v>
      </c>
      <c r="C4057" s="110">
        <v>31190</v>
      </c>
      <c r="D4057" s="109" t="s">
        <v>120</v>
      </c>
      <c r="E4057" s="109">
        <v>312</v>
      </c>
      <c r="F4057" s="110">
        <v>3631</v>
      </c>
      <c r="G4057" s="109" t="s">
        <v>120</v>
      </c>
      <c r="H4057" s="109">
        <v>12</v>
      </c>
      <c r="I4057" s="109">
        <v>86</v>
      </c>
      <c r="J4057" s="110">
        <v>2081</v>
      </c>
    </row>
    <row r="4058" spans="1:10">
      <c r="A4058" s="103" t="s">
        <v>6300</v>
      </c>
      <c r="B4058" s="124" t="s">
        <v>6301</v>
      </c>
      <c r="C4058" s="110">
        <v>22441</v>
      </c>
      <c r="D4058" s="109" t="s">
        <v>120</v>
      </c>
      <c r="E4058" s="109">
        <v>224</v>
      </c>
      <c r="F4058" s="110">
        <v>5523</v>
      </c>
      <c r="G4058" s="109" t="s">
        <v>120</v>
      </c>
      <c r="H4058" s="109">
        <v>25</v>
      </c>
      <c r="I4058" s="109">
        <v>249</v>
      </c>
      <c r="J4058" s="110">
        <v>1609</v>
      </c>
    </row>
    <row r="4059" spans="1:10">
      <c r="A4059" s="103" t="s">
        <v>6302</v>
      </c>
      <c r="B4059" s="124" t="s">
        <v>6303</v>
      </c>
      <c r="C4059" s="110">
        <v>34624</v>
      </c>
      <c r="D4059" s="109" t="s">
        <v>120</v>
      </c>
      <c r="E4059" s="109">
        <v>346</v>
      </c>
      <c r="F4059" s="110">
        <v>13095</v>
      </c>
      <c r="G4059" s="109" t="s">
        <v>120</v>
      </c>
      <c r="H4059" s="109">
        <v>38</v>
      </c>
      <c r="I4059" s="109">
        <v>53</v>
      </c>
      <c r="J4059" s="110">
        <v>623</v>
      </c>
    </row>
    <row r="4060" spans="1:10">
      <c r="A4060" s="103" t="s">
        <v>6304</v>
      </c>
      <c r="B4060" s="124" t="s">
        <v>6212</v>
      </c>
      <c r="C4060" s="110">
        <v>27955</v>
      </c>
      <c r="D4060" s="109" t="s">
        <v>120</v>
      </c>
      <c r="E4060" s="109">
        <v>280</v>
      </c>
      <c r="F4060" s="110">
        <v>5774</v>
      </c>
      <c r="G4060" s="109" t="s">
        <v>120</v>
      </c>
      <c r="H4060" s="109">
        <v>21</v>
      </c>
      <c r="I4060" s="109">
        <v>130</v>
      </c>
      <c r="J4060" s="110">
        <v>1563</v>
      </c>
    </row>
    <row r="4061" spans="1:10" s="119" customFormat="1">
      <c r="A4061" s="123" t="s">
        <v>120</v>
      </c>
      <c r="B4061" s="275" t="s">
        <v>947</v>
      </c>
      <c r="C4061" s="276"/>
      <c r="D4061" s="276"/>
      <c r="E4061" s="276"/>
      <c r="F4061" s="276"/>
      <c r="G4061" s="276"/>
      <c r="H4061" s="276"/>
      <c r="I4061" s="276"/>
      <c r="J4061" s="276"/>
    </row>
    <row r="4062" spans="1:10">
      <c r="A4062" s="103" t="s">
        <v>6305</v>
      </c>
      <c r="B4062" s="124" t="s">
        <v>6306</v>
      </c>
      <c r="C4062" s="110">
        <v>14920</v>
      </c>
      <c r="D4062" s="109" t="s">
        <v>120</v>
      </c>
      <c r="E4062" s="109">
        <v>149</v>
      </c>
      <c r="F4062" s="110">
        <v>5312</v>
      </c>
      <c r="G4062" s="109" t="s">
        <v>120</v>
      </c>
      <c r="H4062" s="109">
        <v>36</v>
      </c>
      <c r="I4062" s="109">
        <v>684</v>
      </c>
      <c r="J4062" s="110">
        <v>1659</v>
      </c>
    </row>
    <row r="4063" spans="1:10">
      <c r="A4063" s="103" t="s">
        <v>6307</v>
      </c>
      <c r="B4063" s="124" t="s">
        <v>932</v>
      </c>
      <c r="C4063" s="110">
        <v>1518</v>
      </c>
      <c r="D4063" s="109" t="s">
        <v>120</v>
      </c>
      <c r="E4063" s="109">
        <v>15</v>
      </c>
      <c r="F4063" s="110">
        <v>2498</v>
      </c>
      <c r="G4063" s="109" t="s">
        <v>120</v>
      </c>
      <c r="H4063" s="109">
        <v>165</v>
      </c>
      <c r="I4063" s="109" t="s">
        <v>122</v>
      </c>
      <c r="J4063" s="110" t="s">
        <v>122</v>
      </c>
    </row>
    <row r="4064" spans="1:10">
      <c r="A4064" s="103" t="s">
        <v>6308</v>
      </c>
      <c r="B4064" s="124" t="s">
        <v>934</v>
      </c>
      <c r="C4064" s="110">
        <v>13402</v>
      </c>
      <c r="D4064" s="109" t="s">
        <v>120</v>
      </c>
      <c r="E4064" s="109">
        <v>134</v>
      </c>
      <c r="F4064" s="110">
        <v>2814</v>
      </c>
      <c r="G4064" s="109" t="s">
        <v>120</v>
      </c>
      <c r="H4064" s="109">
        <v>21</v>
      </c>
      <c r="I4064" s="109" t="s">
        <v>122</v>
      </c>
      <c r="J4064" s="110" t="s">
        <v>122</v>
      </c>
    </row>
    <row r="4065" spans="1:10">
      <c r="A4065" s="103" t="s">
        <v>6309</v>
      </c>
      <c r="B4065" s="124" t="s">
        <v>6310</v>
      </c>
      <c r="C4065" s="110">
        <v>34795</v>
      </c>
      <c r="D4065" s="109" t="s">
        <v>120</v>
      </c>
      <c r="E4065" s="109">
        <v>348</v>
      </c>
      <c r="F4065" s="110">
        <v>6461</v>
      </c>
      <c r="G4065" s="109" t="s">
        <v>120</v>
      </c>
      <c r="H4065" s="109">
        <v>19</v>
      </c>
      <c r="I4065" s="109">
        <v>51</v>
      </c>
      <c r="J4065" s="110">
        <v>1410</v>
      </c>
    </row>
    <row r="4066" spans="1:10">
      <c r="A4066" s="103" t="s">
        <v>6311</v>
      </c>
      <c r="B4066" s="124" t="s">
        <v>932</v>
      </c>
      <c r="C4066" s="110">
        <v>1842</v>
      </c>
      <c r="D4066" s="109" t="s">
        <v>120</v>
      </c>
      <c r="E4066" s="109">
        <v>18</v>
      </c>
      <c r="F4066" s="110">
        <v>2987</v>
      </c>
      <c r="G4066" s="109" t="s">
        <v>120</v>
      </c>
      <c r="H4066" s="109">
        <v>162</v>
      </c>
      <c r="I4066" s="109" t="s">
        <v>122</v>
      </c>
      <c r="J4066" s="110" t="s">
        <v>122</v>
      </c>
    </row>
    <row r="4067" spans="1:10">
      <c r="A4067" s="103" t="s">
        <v>6312</v>
      </c>
      <c r="B4067" s="124" t="s">
        <v>934</v>
      </c>
      <c r="C4067" s="110">
        <v>32953</v>
      </c>
      <c r="D4067" s="109" t="s">
        <v>120</v>
      </c>
      <c r="E4067" s="109">
        <v>330</v>
      </c>
      <c r="F4067" s="110">
        <v>3474</v>
      </c>
      <c r="G4067" s="109" t="s">
        <v>120</v>
      </c>
      <c r="H4067" s="109">
        <v>11</v>
      </c>
      <c r="I4067" s="109" t="s">
        <v>122</v>
      </c>
      <c r="J4067" s="110" t="s">
        <v>122</v>
      </c>
    </row>
    <row r="4068" spans="1:10" s="119" customFormat="1">
      <c r="A4068" s="123" t="s">
        <v>120</v>
      </c>
      <c r="B4068" s="273" t="s">
        <v>6313</v>
      </c>
      <c r="C4068" s="274"/>
      <c r="D4068" s="274"/>
      <c r="E4068" s="274"/>
      <c r="F4068" s="274"/>
      <c r="G4068" s="274"/>
      <c r="H4068" s="274"/>
      <c r="I4068" s="274"/>
      <c r="J4068" s="274"/>
    </row>
    <row r="4069" spans="1:10" s="119" customFormat="1">
      <c r="A4069" s="123" t="s">
        <v>120</v>
      </c>
      <c r="B4069" s="275" t="s">
        <v>943</v>
      </c>
      <c r="C4069" s="276"/>
      <c r="D4069" s="276"/>
      <c r="E4069" s="276"/>
      <c r="F4069" s="276"/>
      <c r="G4069" s="276"/>
      <c r="H4069" s="276"/>
      <c r="I4069" s="276"/>
      <c r="J4069" s="276"/>
    </row>
    <row r="4070" spans="1:10">
      <c r="A4070" s="103" t="s">
        <v>6314</v>
      </c>
      <c r="B4070" s="124" t="s">
        <v>6315</v>
      </c>
      <c r="C4070" s="110">
        <v>17497</v>
      </c>
      <c r="D4070" s="109" t="s">
        <v>120</v>
      </c>
      <c r="E4070" s="109">
        <v>175</v>
      </c>
      <c r="F4070" s="110">
        <v>2780</v>
      </c>
      <c r="G4070" s="109" t="s">
        <v>120</v>
      </c>
      <c r="H4070" s="109">
        <v>16</v>
      </c>
      <c r="I4070" s="109">
        <v>487</v>
      </c>
      <c r="J4070" s="110">
        <v>2224</v>
      </c>
    </row>
    <row r="4071" spans="1:10">
      <c r="A4071" s="103" t="s">
        <v>6316</v>
      </c>
      <c r="B4071" s="124" t="s">
        <v>6317</v>
      </c>
      <c r="C4071" s="110">
        <v>17678</v>
      </c>
      <c r="D4071" s="109" t="s">
        <v>120</v>
      </c>
      <c r="E4071" s="109">
        <v>177</v>
      </c>
      <c r="F4071" s="110">
        <v>3253</v>
      </c>
      <c r="G4071" s="109" t="s">
        <v>120</v>
      </c>
      <c r="H4071" s="109">
        <v>18</v>
      </c>
      <c r="I4071" s="109">
        <v>474</v>
      </c>
      <c r="J4071" s="110">
        <v>2157</v>
      </c>
    </row>
    <row r="4072" spans="1:10" s="119" customFormat="1">
      <c r="A4072" s="123" t="s">
        <v>120</v>
      </c>
      <c r="B4072" s="275" t="s">
        <v>929</v>
      </c>
      <c r="C4072" s="276"/>
      <c r="D4072" s="276"/>
      <c r="E4072" s="276"/>
      <c r="F4072" s="276"/>
      <c r="G4072" s="276"/>
      <c r="H4072" s="276"/>
      <c r="I4072" s="276"/>
      <c r="J4072" s="276"/>
    </row>
    <row r="4073" spans="1:10">
      <c r="A4073" s="103" t="s">
        <v>6318</v>
      </c>
      <c r="B4073" s="124" t="s">
        <v>6319</v>
      </c>
      <c r="C4073" s="110">
        <v>34147</v>
      </c>
      <c r="D4073" s="109" t="s">
        <v>120</v>
      </c>
      <c r="E4073" s="109">
        <v>341</v>
      </c>
      <c r="F4073" s="110">
        <v>16605</v>
      </c>
      <c r="G4073" s="109" t="s">
        <v>120</v>
      </c>
      <c r="H4073" s="109">
        <v>49</v>
      </c>
      <c r="I4073" s="109">
        <v>56</v>
      </c>
      <c r="J4073" s="110">
        <v>449</v>
      </c>
    </row>
    <row r="4074" spans="1:10">
      <c r="A4074" s="103" t="s">
        <v>6320</v>
      </c>
      <c r="B4074" s="124" t="s">
        <v>932</v>
      </c>
      <c r="C4074" s="110">
        <v>1088</v>
      </c>
      <c r="D4074" s="109" t="s">
        <v>120</v>
      </c>
      <c r="E4074" s="109">
        <v>11</v>
      </c>
      <c r="F4074" s="110">
        <v>11280</v>
      </c>
      <c r="G4074" s="109" t="s">
        <v>120</v>
      </c>
      <c r="H4074" s="109">
        <v>1037</v>
      </c>
      <c r="I4074" s="109" t="s">
        <v>122</v>
      </c>
      <c r="J4074" s="110" t="s">
        <v>122</v>
      </c>
    </row>
    <row r="4075" spans="1:10">
      <c r="A4075" s="103" t="s">
        <v>6321</v>
      </c>
      <c r="B4075" s="124" t="s">
        <v>934</v>
      </c>
      <c r="C4075" s="110">
        <v>33059</v>
      </c>
      <c r="D4075" s="109" t="s">
        <v>120</v>
      </c>
      <c r="E4075" s="109">
        <v>330</v>
      </c>
      <c r="F4075" s="110">
        <v>5325</v>
      </c>
      <c r="G4075" s="109" t="s">
        <v>120</v>
      </c>
      <c r="H4075" s="109">
        <v>16</v>
      </c>
      <c r="I4075" s="109" t="s">
        <v>122</v>
      </c>
      <c r="J4075" s="110" t="s">
        <v>122</v>
      </c>
    </row>
    <row r="4076" spans="1:10" s="119" customFormat="1">
      <c r="A4076" s="123" t="s">
        <v>120</v>
      </c>
      <c r="B4076" s="273" t="s">
        <v>6322</v>
      </c>
      <c r="C4076" s="274"/>
      <c r="D4076" s="274"/>
      <c r="E4076" s="274"/>
      <c r="F4076" s="274"/>
      <c r="G4076" s="274"/>
      <c r="H4076" s="274"/>
      <c r="I4076" s="274"/>
      <c r="J4076" s="274"/>
    </row>
    <row r="4077" spans="1:10">
      <c r="A4077" s="103" t="s">
        <v>6323</v>
      </c>
      <c r="B4077" s="124" t="s">
        <v>6324</v>
      </c>
      <c r="C4077" s="110">
        <v>7982</v>
      </c>
      <c r="D4077" s="109" t="s">
        <v>120</v>
      </c>
      <c r="E4077" s="109">
        <v>80</v>
      </c>
      <c r="F4077" s="110">
        <v>119317</v>
      </c>
      <c r="G4077" s="109" t="s">
        <v>120</v>
      </c>
      <c r="H4077" s="109">
        <v>1495</v>
      </c>
      <c r="I4077" s="109">
        <v>1704</v>
      </c>
      <c r="J4077" s="110">
        <v>32</v>
      </c>
    </row>
    <row r="4078" spans="1:10">
      <c r="A4078" s="103" t="s">
        <v>6325</v>
      </c>
      <c r="B4078" s="124" t="s">
        <v>5447</v>
      </c>
      <c r="C4078" s="110">
        <v>8833</v>
      </c>
      <c r="D4078" s="109" t="s">
        <v>120</v>
      </c>
      <c r="E4078" s="109">
        <v>88</v>
      </c>
      <c r="F4078" s="110">
        <v>171979</v>
      </c>
      <c r="G4078" s="105" t="s">
        <v>927</v>
      </c>
      <c r="H4078" s="109">
        <v>1947</v>
      </c>
      <c r="I4078" s="109">
        <v>1555</v>
      </c>
      <c r="J4078" s="110">
        <v>21</v>
      </c>
    </row>
    <row r="4079" spans="1:10" s="119" customFormat="1">
      <c r="A4079" s="123" t="s">
        <v>120</v>
      </c>
      <c r="B4079" s="273" t="s">
        <v>24</v>
      </c>
      <c r="C4079" s="274"/>
      <c r="D4079" s="274"/>
      <c r="E4079" s="274"/>
      <c r="F4079" s="274"/>
      <c r="G4079" s="274"/>
      <c r="H4079" s="274"/>
      <c r="I4079" s="274"/>
      <c r="J4079" s="274"/>
    </row>
    <row r="4080" spans="1:10" s="119" customFormat="1">
      <c r="A4080" s="123" t="s">
        <v>120</v>
      </c>
      <c r="B4080" s="273" t="s">
        <v>6326</v>
      </c>
      <c r="C4080" s="274"/>
      <c r="D4080" s="274"/>
      <c r="E4080" s="274"/>
      <c r="F4080" s="274"/>
      <c r="G4080" s="274"/>
      <c r="H4080" s="274"/>
      <c r="I4080" s="274"/>
      <c r="J4080" s="274"/>
    </row>
    <row r="4081" spans="1:10" s="119" customFormat="1">
      <c r="A4081" s="123" t="s">
        <v>120</v>
      </c>
      <c r="B4081" s="275" t="s">
        <v>922</v>
      </c>
      <c r="C4081" s="276"/>
      <c r="D4081" s="276"/>
      <c r="E4081" s="276"/>
      <c r="F4081" s="276"/>
      <c r="G4081" s="276"/>
      <c r="H4081" s="276"/>
      <c r="I4081" s="276"/>
      <c r="J4081" s="276"/>
    </row>
    <row r="4082" spans="1:10">
      <c r="A4082" s="103" t="s">
        <v>6327</v>
      </c>
      <c r="B4082" s="124" t="s">
        <v>6328</v>
      </c>
      <c r="C4082" s="110">
        <v>1277</v>
      </c>
      <c r="D4082" s="109" t="s">
        <v>120</v>
      </c>
      <c r="E4082" s="109">
        <v>13</v>
      </c>
      <c r="F4082" s="110">
        <v>18480</v>
      </c>
      <c r="G4082" s="109" t="s">
        <v>120</v>
      </c>
      <c r="H4082" s="109">
        <v>1447</v>
      </c>
      <c r="I4082" s="109">
        <v>2304</v>
      </c>
      <c r="J4082" s="110">
        <v>383</v>
      </c>
    </row>
    <row r="4083" spans="1:10" s="119" customFormat="1">
      <c r="A4083" s="123" t="s">
        <v>120</v>
      </c>
      <c r="B4083" s="275" t="s">
        <v>924</v>
      </c>
      <c r="C4083" s="276"/>
      <c r="D4083" s="276"/>
      <c r="E4083" s="276"/>
      <c r="F4083" s="276"/>
      <c r="G4083" s="276"/>
      <c r="H4083" s="276"/>
      <c r="I4083" s="276"/>
      <c r="J4083" s="276"/>
    </row>
    <row r="4084" spans="1:10">
      <c r="A4084" s="103" t="s">
        <v>6329</v>
      </c>
      <c r="B4084" s="124" t="s">
        <v>6330</v>
      </c>
      <c r="C4084" s="110">
        <v>20909</v>
      </c>
      <c r="D4084" s="109" t="s">
        <v>120</v>
      </c>
      <c r="E4084" s="109">
        <v>209</v>
      </c>
      <c r="F4084" s="110">
        <v>8526</v>
      </c>
      <c r="G4084" s="109" t="s">
        <v>120</v>
      </c>
      <c r="H4084" s="109">
        <v>41</v>
      </c>
      <c r="I4084" s="109">
        <v>292</v>
      </c>
      <c r="J4084" s="110">
        <v>1046</v>
      </c>
    </row>
    <row r="4085" spans="1:10">
      <c r="A4085" s="103" t="s">
        <v>6331</v>
      </c>
      <c r="B4085" s="124" t="s">
        <v>6328</v>
      </c>
      <c r="C4085" s="110">
        <v>21294</v>
      </c>
      <c r="D4085" s="109" t="s">
        <v>120</v>
      </c>
      <c r="E4085" s="109">
        <v>213</v>
      </c>
      <c r="F4085" s="110">
        <v>6100</v>
      </c>
      <c r="G4085" s="109" t="s">
        <v>120</v>
      </c>
      <c r="H4085" s="109">
        <v>29</v>
      </c>
      <c r="I4085" s="109">
        <v>279</v>
      </c>
      <c r="J4085" s="110">
        <v>1479</v>
      </c>
    </row>
    <row r="4086" spans="1:10" s="119" customFormat="1">
      <c r="A4086" s="123" t="s">
        <v>120</v>
      </c>
      <c r="B4086" s="275" t="s">
        <v>947</v>
      </c>
      <c r="C4086" s="276"/>
      <c r="D4086" s="276"/>
      <c r="E4086" s="276"/>
      <c r="F4086" s="276"/>
      <c r="G4086" s="276"/>
      <c r="H4086" s="276"/>
      <c r="I4086" s="276"/>
      <c r="J4086" s="276"/>
    </row>
    <row r="4087" spans="1:10">
      <c r="A4087" s="103" t="s">
        <v>6332</v>
      </c>
      <c r="B4087" s="124" t="s">
        <v>6333</v>
      </c>
      <c r="C4087" s="110">
        <v>12313</v>
      </c>
      <c r="D4087" s="109" t="s">
        <v>120</v>
      </c>
      <c r="E4087" s="109">
        <v>123</v>
      </c>
      <c r="F4087" s="110">
        <v>6447</v>
      </c>
      <c r="G4087" s="109" t="s">
        <v>120</v>
      </c>
      <c r="H4087" s="109">
        <v>52</v>
      </c>
      <c r="I4087" s="109">
        <v>1007</v>
      </c>
      <c r="J4087" s="110">
        <v>1412</v>
      </c>
    </row>
    <row r="4088" spans="1:10">
      <c r="A4088" s="103" t="s">
        <v>6334</v>
      </c>
      <c r="B4088" s="124" t="s">
        <v>932</v>
      </c>
      <c r="C4088" s="110">
        <v>515</v>
      </c>
      <c r="D4088" s="109" t="s">
        <v>120</v>
      </c>
      <c r="E4088" s="109">
        <v>5</v>
      </c>
      <c r="F4088" s="110">
        <v>2983</v>
      </c>
      <c r="G4088" s="109" t="s">
        <v>120</v>
      </c>
      <c r="H4088" s="109">
        <v>579</v>
      </c>
      <c r="I4088" s="109" t="s">
        <v>122</v>
      </c>
      <c r="J4088" s="110" t="s">
        <v>122</v>
      </c>
    </row>
    <row r="4089" spans="1:10">
      <c r="A4089" s="103" t="s">
        <v>6335</v>
      </c>
      <c r="B4089" s="124" t="s">
        <v>934</v>
      </c>
      <c r="C4089" s="110">
        <v>11798</v>
      </c>
      <c r="D4089" s="109" t="s">
        <v>120</v>
      </c>
      <c r="E4089" s="109">
        <v>118</v>
      </c>
      <c r="F4089" s="110">
        <v>3464</v>
      </c>
      <c r="G4089" s="109" t="s">
        <v>120</v>
      </c>
      <c r="H4089" s="109">
        <v>29</v>
      </c>
      <c r="I4089" s="109" t="s">
        <v>122</v>
      </c>
      <c r="J4089" s="110" t="s">
        <v>122</v>
      </c>
    </row>
    <row r="4090" spans="1:10">
      <c r="A4090" s="103" t="s">
        <v>6336</v>
      </c>
      <c r="B4090" s="124" t="s">
        <v>6337</v>
      </c>
      <c r="C4090" s="110">
        <v>12713</v>
      </c>
      <c r="D4090" s="109" t="s">
        <v>120</v>
      </c>
      <c r="E4090" s="109">
        <v>127</v>
      </c>
      <c r="F4090" s="110">
        <v>7502</v>
      </c>
      <c r="G4090" s="109" t="s">
        <v>120</v>
      </c>
      <c r="H4090" s="109">
        <v>59</v>
      </c>
      <c r="I4090" s="109">
        <v>954</v>
      </c>
      <c r="J4090" s="110">
        <v>1200</v>
      </c>
    </row>
    <row r="4091" spans="1:10">
      <c r="A4091" s="103" t="s">
        <v>6338</v>
      </c>
      <c r="B4091" s="124" t="s">
        <v>932</v>
      </c>
      <c r="C4091" s="110">
        <v>467</v>
      </c>
      <c r="D4091" s="109" t="s">
        <v>120</v>
      </c>
      <c r="E4091" s="109">
        <v>5</v>
      </c>
      <c r="F4091" s="110">
        <v>4192</v>
      </c>
      <c r="G4091" s="109" t="s">
        <v>120</v>
      </c>
      <c r="H4091" s="109">
        <v>898</v>
      </c>
      <c r="I4091" s="109" t="s">
        <v>122</v>
      </c>
      <c r="J4091" s="110" t="s">
        <v>122</v>
      </c>
    </row>
    <row r="4092" spans="1:10">
      <c r="A4092" s="103" t="s">
        <v>6339</v>
      </c>
      <c r="B4092" s="124" t="s">
        <v>934</v>
      </c>
      <c r="C4092" s="110">
        <v>12246</v>
      </c>
      <c r="D4092" s="109" t="s">
        <v>120</v>
      </c>
      <c r="E4092" s="109">
        <v>122</v>
      </c>
      <c r="F4092" s="110">
        <v>3310</v>
      </c>
      <c r="G4092" s="109" t="s">
        <v>120</v>
      </c>
      <c r="H4092" s="109">
        <v>27</v>
      </c>
      <c r="I4092" s="109" t="s">
        <v>122</v>
      </c>
      <c r="J4092" s="110" t="s">
        <v>122</v>
      </c>
    </row>
    <row r="4093" spans="1:10" s="119" customFormat="1">
      <c r="A4093" s="123" t="s">
        <v>120</v>
      </c>
      <c r="B4093" s="273" t="s">
        <v>6340</v>
      </c>
      <c r="C4093" s="274"/>
      <c r="D4093" s="274"/>
      <c r="E4093" s="274"/>
      <c r="F4093" s="274"/>
      <c r="G4093" s="274"/>
      <c r="H4093" s="274"/>
      <c r="I4093" s="274"/>
      <c r="J4093" s="274"/>
    </row>
    <row r="4094" spans="1:10" s="119" customFormat="1">
      <c r="A4094" s="123" t="s">
        <v>120</v>
      </c>
      <c r="B4094" s="275" t="s">
        <v>1019</v>
      </c>
      <c r="C4094" s="276"/>
      <c r="D4094" s="276"/>
      <c r="E4094" s="276"/>
      <c r="F4094" s="276"/>
      <c r="G4094" s="276"/>
      <c r="H4094" s="276"/>
      <c r="I4094" s="276"/>
      <c r="J4094" s="276"/>
    </row>
    <row r="4095" spans="1:10">
      <c r="A4095" s="103" t="s">
        <v>6341</v>
      </c>
      <c r="B4095" s="124" t="s">
        <v>6342</v>
      </c>
      <c r="C4095" s="110">
        <v>1017</v>
      </c>
      <c r="D4095" s="109" t="s">
        <v>120</v>
      </c>
      <c r="E4095" s="109">
        <v>10</v>
      </c>
      <c r="F4095" s="110">
        <v>10607</v>
      </c>
      <c r="G4095" s="109" t="s">
        <v>120</v>
      </c>
      <c r="H4095" s="109">
        <v>1043</v>
      </c>
      <c r="I4095" s="109">
        <v>2321</v>
      </c>
      <c r="J4095" s="110">
        <v>821</v>
      </c>
    </row>
    <row r="4096" spans="1:10" s="119" customFormat="1">
      <c r="A4096" s="123" t="s">
        <v>120</v>
      </c>
      <c r="B4096" s="275" t="s">
        <v>943</v>
      </c>
      <c r="C4096" s="276"/>
      <c r="D4096" s="276"/>
      <c r="E4096" s="276"/>
      <c r="F4096" s="276"/>
      <c r="G4096" s="276"/>
      <c r="H4096" s="276"/>
      <c r="I4096" s="276"/>
      <c r="J4096" s="276"/>
    </row>
    <row r="4097" spans="1:10">
      <c r="A4097" s="103" t="s">
        <v>6343</v>
      </c>
      <c r="B4097" s="124" t="s">
        <v>6342</v>
      </c>
      <c r="C4097" s="110">
        <v>34577</v>
      </c>
      <c r="D4097" s="109" t="s">
        <v>120</v>
      </c>
      <c r="E4097" s="109">
        <v>346</v>
      </c>
      <c r="F4097" s="110">
        <v>11419</v>
      </c>
      <c r="G4097" s="109" t="s">
        <v>120</v>
      </c>
      <c r="H4097" s="109">
        <v>33</v>
      </c>
      <c r="I4097" s="109">
        <v>54</v>
      </c>
      <c r="J4097" s="110">
        <v>750</v>
      </c>
    </row>
    <row r="4098" spans="1:10">
      <c r="A4098" s="103" t="s">
        <v>6344</v>
      </c>
      <c r="B4098" s="124" t="s">
        <v>6345</v>
      </c>
      <c r="C4098" s="110">
        <v>16303</v>
      </c>
      <c r="D4098" s="109" t="s">
        <v>120</v>
      </c>
      <c r="E4098" s="109">
        <v>163</v>
      </c>
      <c r="F4098" s="110">
        <v>5775</v>
      </c>
      <c r="G4098" s="109" t="s">
        <v>120</v>
      </c>
      <c r="H4098" s="109">
        <v>35</v>
      </c>
      <c r="I4098" s="109">
        <v>569</v>
      </c>
      <c r="J4098" s="110">
        <v>1562</v>
      </c>
    </row>
    <row r="4099" spans="1:10">
      <c r="A4099" s="103" t="s">
        <v>6346</v>
      </c>
      <c r="B4099" s="124" t="s">
        <v>6347</v>
      </c>
      <c r="C4099" s="110">
        <v>16727</v>
      </c>
      <c r="D4099" s="109" t="s">
        <v>120</v>
      </c>
      <c r="E4099" s="109">
        <v>167</v>
      </c>
      <c r="F4099" s="110">
        <v>7701</v>
      </c>
      <c r="G4099" s="109" t="s">
        <v>120</v>
      </c>
      <c r="H4099" s="109">
        <v>46</v>
      </c>
      <c r="I4099" s="109">
        <v>540</v>
      </c>
      <c r="J4099" s="110">
        <v>1168</v>
      </c>
    </row>
    <row r="4100" spans="1:10">
      <c r="A4100" s="103" t="s">
        <v>6348</v>
      </c>
      <c r="B4100" s="124" t="s">
        <v>6349</v>
      </c>
      <c r="C4100" s="110">
        <v>14146</v>
      </c>
      <c r="D4100" s="109" t="s">
        <v>120</v>
      </c>
      <c r="E4100" s="109">
        <v>142</v>
      </c>
      <c r="F4100" s="110">
        <v>6173</v>
      </c>
      <c r="G4100" s="109" t="s">
        <v>120</v>
      </c>
      <c r="H4100" s="109">
        <v>44</v>
      </c>
      <c r="I4100" s="109">
        <v>764</v>
      </c>
      <c r="J4100" s="110">
        <v>1466</v>
      </c>
    </row>
    <row r="4101" spans="1:10" s="119" customFormat="1">
      <c r="A4101" s="123" t="s">
        <v>120</v>
      </c>
      <c r="B4101" s="275" t="s">
        <v>947</v>
      </c>
      <c r="C4101" s="276"/>
      <c r="D4101" s="276"/>
      <c r="E4101" s="276"/>
      <c r="F4101" s="276"/>
      <c r="G4101" s="276"/>
      <c r="H4101" s="276"/>
      <c r="I4101" s="276"/>
      <c r="J4101" s="276"/>
    </row>
    <row r="4102" spans="1:10">
      <c r="A4102" s="103" t="s">
        <v>6350</v>
      </c>
      <c r="B4102" s="124" t="s">
        <v>6351</v>
      </c>
      <c r="C4102" s="110">
        <v>17428</v>
      </c>
      <c r="D4102" s="109" t="s">
        <v>120</v>
      </c>
      <c r="E4102" s="109">
        <v>174</v>
      </c>
      <c r="F4102" s="110">
        <v>8693</v>
      </c>
      <c r="G4102" s="109" t="s">
        <v>120</v>
      </c>
      <c r="H4102" s="109">
        <v>50</v>
      </c>
      <c r="I4102" s="109">
        <v>491</v>
      </c>
      <c r="J4102" s="110">
        <v>1024</v>
      </c>
    </row>
    <row r="4103" spans="1:10">
      <c r="A4103" s="103" t="s">
        <v>6352</v>
      </c>
      <c r="B4103" s="124" t="s">
        <v>932</v>
      </c>
      <c r="C4103" s="110">
        <v>581</v>
      </c>
      <c r="D4103" s="109" t="s">
        <v>120</v>
      </c>
      <c r="E4103" s="109">
        <v>6</v>
      </c>
      <c r="F4103" s="110">
        <v>6176</v>
      </c>
      <c r="G4103" s="109" t="s">
        <v>120</v>
      </c>
      <c r="H4103" s="109">
        <v>1063</v>
      </c>
      <c r="I4103" s="109" t="s">
        <v>122</v>
      </c>
      <c r="J4103" s="110" t="s">
        <v>122</v>
      </c>
    </row>
    <row r="4104" spans="1:10">
      <c r="A4104" s="103" t="s">
        <v>6353</v>
      </c>
      <c r="B4104" s="124" t="s">
        <v>934</v>
      </c>
      <c r="C4104" s="110">
        <v>16847</v>
      </c>
      <c r="D4104" s="109" t="s">
        <v>120</v>
      </c>
      <c r="E4104" s="109">
        <v>168</v>
      </c>
      <c r="F4104" s="110">
        <v>2517</v>
      </c>
      <c r="G4104" s="109" t="s">
        <v>120</v>
      </c>
      <c r="H4104" s="109">
        <v>15</v>
      </c>
      <c r="I4104" s="109" t="s">
        <v>122</v>
      </c>
      <c r="J4104" s="110" t="s">
        <v>122</v>
      </c>
    </row>
    <row r="4105" spans="1:10">
      <c r="A4105" s="103" t="s">
        <v>6354</v>
      </c>
      <c r="B4105" s="124" t="s">
        <v>6355</v>
      </c>
      <c r="C4105" s="110">
        <v>37398</v>
      </c>
      <c r="D4105" s="109" t="s">
        <v>120</v>
      </c>
      <c r="E4105" s="109">
        <v>374</v>
      </c>
      <c r="F4105" s="110">
        <v>24318</v>
      </c>
      <c r="G4105" s="109" t="s">
        <v>120</v>
      </c>
      <c r="H4105" s="109">
        <v>65</v>
      </c>
      <c r="I4105" s="109">
        <v>35</v>
      </c>
      <c r="J4105" s="110">
        <v>259</v>
      </c>
    </row>
    <row r="4106" spans="1:10">
      <c r="A4106" s="103" t="s">
        <v>6356</v>
      </c>
      <c r="B4106" s="124" t="s">
        <v>932</v>
      </c>
      <c r="C4106" s="110">
        <v>1830</v>
      </c>
      <c r="D4106" s="109" t="s">
        <v>120</v>
      </c>
      <c r="E4106" s="109">
        <v>18</v>
      </c>
      <c r="F4106" s="110">
        <v>17140</v>
      </c>
      <c r="G4106" s="109" t="s">
        <v>120</v>
      </c>
      <c r="H4106" s="109">
        <v>937</v>
      </c>
      <c r="I4106" s="109" t="s">
        <v>122</v>
      </c>
      <c r="J4106" s="110" t="s">
        <v>122</v>
      </c>
    </row>
    <row r="4107" spans="1:10">
      <c r="A4107" s="103" t="s">
        <v>6357</v>
      </c>
      <c r="B4107" s="124" t="s">
        <v>934</v>
      </c>
      <c r="C4107" s="110">
        <v>35568</v>
      </c>
      <c r="D4107" s="109" t="s">
        <v>120</v>
      </c>
      <c r="E4107" s="109">
        <v>356</v>
      </c>
      <c r="F4107" s="110">
        <v>7178</v>
      </c>
      <c r="G4107" s="109" t="s">
        <v>120</v>
      </c>
      <c r="H4107" s="109">
        <v>20</v>
      </c>
      <c r="I4107" s="109" t="s">
        <v>122</v>
      </c>
      <c r="J4107" s="110" t="s">
        <v>122</v>
      </c>
    </row>
    <row r="4108" spans="1:10">
      <c r="A4108" s="103" t="s">
        <v>6358</v>
      </c>
      <c r="B4108" s="124" t="s">
        <v>6359</v>
      </c>
      <c r="C4108" s="110">
        <v>43009</v>
      </c>
      <c r="D4108" s="105" t="s">
        <v>927</v>
      </c>
      <c r="E4108" s="109">
        <v>430</v>
      </c>
      <c r="F4108" s="110">
        <v>12304</v>
      </c>
      <c r="G4108" s="109" t="s">
        <v>120</v>
      </c>
      <c r="H4108" s="109">
        <v>29</v>
      </c>
      <c r="I4108" s="109">
        <v>14</v>
      </c>
      <c r="J4108" s="110">
        <v>679</v>
      </c>
    </row>
    <row r="4109" spans="1:10">
      <c r="A4109" s="103" t="s">
        <v>6360</v>
      </c>
      <c r="B4109" s="124" t="s">
        <v>932</v>
      </c>
      <c r="C4109" s="110">
        <v>446</v>
      </c>
      <c r="D4109" s="109" t="s">
        <v>120</v>
      </c>
      <c r="E4109" s="109">
        <v>4</v>
      </c>
      <c r="F4109" s="110">
        <v>5860</v>
      </c>
      <c r="G4109" s="109" t="s">
        <v>120</v>
      </c>
      <c r="H4109" s="109">
        <v>1314</v>
      </c>
      <c r="I4109" s="109" t="s">
        <v>122</v>
      </c>
      <c r="J4109" s="110" t="s">
        <v>122</v>
      </c>
    </row>
    <row r="4110" spans="1:10">
      <c r="A4110" s="103" t="s">
        <v>6361</v>
      </c>
      <c r="B4110" s="124" t="s">
        <v>934</v>
      </c>
      <c r="C4110" s="110">
        <v>42563</v>
      </c>
      <c r="D4110" s="109" t="s">
        <v>120</v>
      </c>
      <c r="E4110" s="109">
        <v>426</v>
      </c>
      <c r="F4110" s="110">
        <v>6444</v>
      </c>
      <c r="G4110" s="109" t="s">
        <v>120</v>
      </c>
      <c r="H4110" s="109">
        <v>15</v>
      </c>
      <c r="I4110" s="109" t="s">
        <v>122</v>
      </c>
      <c r="J4110" s="110" t="s">
        <v>122</v>
      </c>
    </row>
    <row r="4111" spans="1:10" s="119" customFormat="1">
      <c r="A4111" s="123" t="s">
        <v>120</v>
      </c>
      <c r="B4111" s="273" t="s">
        <v>6362</v>
      </c>
      <c r="C4111" s="274"/>
      <c r="D4111" s="274"/>
      <c r="E4111" s="274"/>
      <c r="F4111" s="274"/>
      <c r="G4111" s="274"/>
      <c r="H4111" s="274"/>
      <c r="I4111" s="274"/>
      <c r="J4111" s="274"/>
    </row>
    <row r="4112" spans="1:10" s="119" customFormat="1">
      <c r="A4112" s="123" t="s">
        <v>120</v>
      </c>
      <c r="B4112" s="275" t="s">
        <v>922</v>
      </c>
      <c r="C4112" s="276"/>
      <c r="D4112" s="276"/>
      <c r="E4112" s="276"/>
      <c r="F4112" s="276"/>
      <c r="G4112" s="276"/>
      <c r="H4112" s="276"/>
      <c r="I4112" s="276"/>
      <c r="J4112" s="276"/>
    </row>
    <row r="4113" spans="1:10">
      <c r="A4113" s="103" t="s">
        <v>6363</v>
      </c>
      <c r="B4113" s="124" t="s">
        <v>6364</v>
      </c>
      <c r="C4113" s="110">
        <v>4060</v>
      </c>
      <c r="D4113" s="109" t="s">
        <v>120</v>
      </c>
      <c r="E4113" s="109">
        <v>41</v>
      </c>
      <c r="F4113" s="110">
        <v>68217</v>
      </c>
      <c r="G4113" s="109" t="s">
        <v>120</v>
      </c>
      <c r="H4113" s="109">
        <v>1680</v>
      </c>
      <c r="I4113" s="109">
        <v>2089</v>
      </c>
      <c r="J4113" s="110">
        <v>57</v>
      </c>
    </row>
    <row r="4114" spans="1:10" s="119" customFormat="1">
      <c r="A4114" s="123" t="s">
        <v>120</v>
      </c>
      <c r="B4114" s="275" t="s">
        <v>924</v>
      </c>
      <c r="C4114" s="276"/>
      <c r="D4114" s="276"/>
      <c r="E4114" s="276"/>
      <c r="F4114" s="276"/>
      <c r="G4114" s="276"/>
      <c r="H4114" s="276"/>
      <c r="I4114" s="276"/>
      <c r="J4114" s="276"/>
    </row>
    <row r="4115" spans="1:10">
      <c r="A4115" s="103" t="s">
        <v>6365</v>
      </c>
      <c r="B4115" s="124" t="s">
        <v>6364</v>
      </c>
      <c r="C4115" s="110">
        <v>17816</v>
      </c>
      <c r="D4115" s="109" t="s">
        <v>120</v>
      </c>
      <c r="E4115" s="109">
        <v>178</v>
      </c>
      <c r="F4115" s="110">
        <v>12268</v>
      </c>
      <c r="G4115" s="109" t="s">
        <v>120</v>
      </c>
      <c r="H4115" s="109">
        <v>69</v>
      </c>
      <c r="I4115" s="109">
        <v>467</v>
      </c>
      <c r="J4115" s="110">
        <v>681</v>
      </c>
    </row>
    <row r="4116" spans="1:10">
      <c r="A4116" s="103" t="s">
        <v>6366</v>
      </c>
      <c r="B4116" s="124" t="s">
        <v>6367</v>
      </c>
      <c r="C4116" s="110">
        <v>11449</v>
      </c>
      <c r="D4116" s="109" t="s">
        <v>120</v>
      </c>
      <c r="E4116" s="109">
        <v>114</v>
      </c>
      <c r="F4116" s="110">
        <v>5443</v>
      </c>
      <c r="G4116" s="109" t="s">
        <v>120</v>
      </c>
      <c r="H4116" s="109">
        <v>48</v>
      </c>
      <c r="I4116" s="109">
        <v>1134</v>
      </c>
      <c r="J4116" s="110">
        <v>1626</v>
      </c>
    </row>
    <row r="4117" spans="1:10">
      <c r="A4117" s="103" t="s">
        <v>6368</v>
      </c>
      <c r="B4117" s="124" t="s">
        <v>6369</v>
      </c>
      <c r="C4117" s="110">
        <v>11354</v>
      </c>
      <c r="D4117" s="109" t="s">
        <v>120</v>
      </c>
      <c r="E4117" s="109">
        <v>114</v>
      </c>
      <c r="F4117" s="110">
        <v>6743</v>
      </c>
      <c r="G4117" s="109" t="s">
        <v>120</v>
      </c>
      <c r="H4117" s="109">
        <v>59</v>
      </c>
      <c r="I4117" s="109">
        <v>1149</v>
      </c>
      <c r="J4117" s="110">
        <v>1353</v>
      </c>
    </row>
    <row r="4118" spans="1:10">
      <c r="A4118" s="103" t="s">
        <v>6370</v>
      </c>
      <c r="B4118" s="124" t="s">
        <v>6371</v>
      </c>
      <c r="C4118" s="110">
        <v>9891</v>
      </c>
      <c r="D4118" s="109" t="s">
        <v>120</v>
      </c>
      <c r="E4118" s="109">
        <v>99</v>
      </c>
      <c r="F4118" s="110">
        <v>4038</v>
      </c>
      <c r="G4118" s="109" t="s">
        <v>120</v>
      </c>
      <c r="H4118" s="109">
        <v>41</v>
      </c>
      <c r="I4118" s="109">
        <v>1407</v>
      </c>
      <c r="J4118" s="110">
        <v>1985</v>
      </c>
    </row>
    <row r="4119" spans="1:10">
      <c r="A4119" s="103" t="s">
        <v>6372</v>
      </c>
      <c r="B4119" s="124" t="s">
        <v>6373</v>
      </c>
      <c r="C4119" s="110">
        <v>10556</v>
      </c>
      <c r="D4119" s="109" t="s">
        <v>120</v>
      </c>
      <c r="E4119" s="109">
        <v>105</v>
      </c>
      <c r="F4119" s="110">
        <v>5965</v>
      </c>
      <c r="G4119" s="109" t="s">
        <v>120</v>
      </c>
      <c r="H4119" s="109">
        <v>57</v>
      </c>
      <c r="I4119" s="109">
        <v>1294</v>
      </c>
      <c r="J4119" s="110">
        <v>1519</v>
      </c>
    </row>
    <row r="4120" spans="1:10" s="119" customFormat="1">
      <c r="A4120" s="123" t="s">
        <v>120</v>
      </c>
      <c r="B4120" s="275" t="s">
        <v>947</v>
      </c>
      <c r="C4120" s="276"/>
      <c r="D4120" s="276"/>
      <c r="E4120" s="276"/>
      <c r="F4120" s="276"/>
      <c r="G4120" s="276"/>
      <c r="H4120" s="276"/>
      <c r="I4120" s="276"/>
      <c r="J4120" s="276"/>
    </row>
    <row r="4121" spans="1:10">
      <c r="A4121" s="103" t="s">
        <v>6374</v>
      </c>
      <c r="B4121" s="124" t="s">
        <v>6375</v>
      </c>
      <c r="C4121" s="110">
        <v>11194</v>
      </c>
      <c r="D4121" s="109" t="s">
        <v>120</v>
      </c>
      <c r="E4121" s="109">
        <v>112</v>
      </c>
      <c r="F4121" s="110">
        <v>7405</v>
      </c>
      <c r="G4121" s="109" t="s">
        <v>120</v>
      </c>
      <c r="H4121" s="109">
        <v>66</v>
      </c>
      <c r="I4121" s="109">
        <v>1178</v>
      </c>
      <c r="J4121" s="110">
        <v>1225</v>
      </c>
    </row>
    <row r="4122" spans="1:10">
      <c r="A4122" s="103" t="s">
        <v>6376</v>
      </c>
      <c r="B4122" s="124" t="s">
        <v>932</v>
      </c>
      <c r="C4122" s="110">
        <v>1019</v>
      </c>
      <c r="D4122" s="109" t="s">
        <v>120</v>
      </c>
      <c r="E4122" s="109">
        <v>10</v>
      </c>
      <c r="F4122" s="110">
        <v>2691</v>
      </c>
      <c r="G4122" s="109" t="s">
        <v>120</v>
      </c>
      <c r="H4122" s="109">
        <v>264</v>
      </c>
      <c r="I4122" s="109" t="s">
        <v>122</v>
      </c>
      <c r="J4122" s="110" t="s">
        <v>122</v>
      </c>
    </row>
    <row r="4123" spans="1:10">
      <c r="A4123" s="103" t="s">
        <v>6377</v>
      </c>
      <c r="B4123" s="124" t="s">
        <v>934</v>
      </c>
      <c r="C4123" s="110">
        <v>10175</v>
      </c>
      <c r="D4123" s="109" t="s">
        <v>120</v>
      </c>
      <c r="E4123" s="109">
        <v>102</v>
      </c>
      <c r="F4123" s="110">
        <v>4714</v>
      </c>
      <c r="G4123" s="109" t="s">
        <v>120</v>
      </c>
      <c r="H4123" s="109">
        <v>46</v>
      </c>
      <c r="I4123" s="109" t="s">
        <v>122</v>
      </c>
      <c r="J4123" s="110" t="s">
        <v>122</v>
      </c>
    </row>
    <row r="4124" spans="1:10">
      <c r="A4124" s="103" t="s">
        <v>6378</v>
      </c>
      <c r="B4124" s="124" t="s">
        <v>6379</v>
      </c>
      <c r="C4124" s="110">
        <v>13193</v>
      </c>
      <c r="D4124" s="109" t="s">
        <v>120</v>
      </c>
      <c r="E4124" s="109">
        <v>132</v>
      </c>
      <c r="F4124" s="110">
        <v>7452</v>
      </c>
      <c r="G4124" s="109" t="s">
        <v>120</v>
      </c>
      <c r="H4124" s="109">
        <v>56</v>
      </c>
      <c r="I4124" s="109">
        <v>884</v>
      </c>
      <c r="J4124" s="110">
        <v>1212</v>
      </c>
    </row>
    <row r="4125" spans="1:10">
      <c r="A4125" s="103" t="s">
        <v>6380</v>
      </c>
      <c r="B4125" s="124" t="s">
        <v>932</v>
      </c>
      <c r="C4125" s="110">
        <v>962</v>
      </c>
      <c r="D4125" s="109" t="s">
        <v>120</v>
      </c>
      <c r="E4125" s="109">
        <v>10</v>
      </c>
      <c r="F4125" s="110">
        <v>2618</v>
      </c>
      <c r="G4125" s="109" t="s">
        <v>120</v>
      </c>
      <c r="H4125" s="109">
        <v>272</v>
      </c>
      <c r="I4125" s="109" t="s">
        <v>122</v>
      </c>
      <c r="J4125" s="110" t="s">
        <v>122</v>
      </c>
    </row>
    <row r="4126" spans="1:10">
      <c r="A4126" s="103" t="s">
        <v>6381</v>
      </c>
      <c r="B4126" s="124" t="s">
        <v>934</v>
      </c>
      <c r="C4126" s="110">
        <v>12231</v>
      </c>
      <c r="D4126" s="109" t="s">
        <v>120</v>
      </c>
      <c r="E4126" s="109">
        <v>122</v>
      </c>
      <c r="F4126" s="110">
        <v>4834</v>
      </c>
      <c r="G4126" s="109" t="s">
        <v>120</v>
      </c>
      <c r="H4126" s="109">
        <v>40</v>
      </c>
      <c r="I4126" s="109" t="s">
        <v>122</v>
      </c>
      <c r="J4126" s="110" t="s">
        <v>122</v>
      </c>
    </row>
    <row r="4127" spans="1:10">
      <c r="A4127" s="103" t="s">
        <v>6382</v>
      </c>
      <c r="B4127" s="124" t="s">
        <v>6383</v>
      </c>
      <c r="C4127" s="110">
        <v>17530</v>
      </c>
      <c r="D4127" s="109" t="s">
        <v>120</v>
      </c>
      <c r="E4127" s="109">
        <v>175</v>
      </c>
      <c r="F4127" s="110">
        <v>14294</v>
      </c>
      <c r="G4127" s="109" t="s">
        <v>120</v>
      </c>
      <c r="H4127" s="109">
        <v>82</v>
      </c>
      <c r="I4127" s="109">
        <v>484</v>
      </c>
      <c r="J4127" s="110">
        <v>555</v>
      </c>
    </row>
    <row r="4128" spans="1:10">
      <c r="A4128" s="103" t="s">
        <v>6384</v>
      </c>
      <c r="B4128" s="124" t="s">
        <v>932</v>
      </c>
      <c r="C4128" s="110">
        <v>546</v>
      </c>
      <c r="D4128" s="109" t="s">
        <v>120</v>
      </c>
      <c r="E4128" s="109">
        <v>5</v>
      </c>
      <c r="F4128" s="110">
        <v>7655</v>
      </c>
      <c r="G4128" s="109" t="s">
        <v>120</v>
      </c>
      <c r="H4128" s="109">
        <v>1402</v>
      </c>
      <c r="I4128" s="109" t="s">
        <v>122</v>
      </c>
      <c r="J4128" s="110" t="s">
        <v>122</v>
      </c>
    </row>
    <row r="4129" spans="1:10">
      <c r="A4129" s="103" t="s">
        <v>6385</v>
      </c>
      <c r="B4129" s="124" t="s">
        <v>934</v>
      </c>
      <c r="C4129" s="110">
        <v>16984</v>
      </c>
      <c r="D4129" s="109" t="s">
        <v>120</v>
      </c>
      <c r="E4129" s="109">
        <v>170</v>
      </c>
      <c r="F4129" s="110">
        <v>6639</v>
      </c>
      <c r="G4129" s="109" t="s">
        <v>120</v>
      </c>
      <c r="H4129" s="109">
        <v>39</v>
      </c>
      <c r="I4129" s="109" t="s">
        <v>122</v>
      </c>
      <c r="J4129" s="110" t="s">
        <v>122</v>
      </c>
    </row>
    <row r="4130" spans="1:10">
      <c r="A4130" s="103" t="s">
        <v>6386</v>
      </c>
      <c r="B4130" s="124" t="s">
        <v>6387</v>
      </c>
      <c r="C4130" s="110">
        <v>18460</v>
      </c>
      <c r="D4130" s="109" t="s">
        <v>120</v>
      </c>
      <c r="E4130" s="109">
        <v>185</v>
      </c>
      <c r="F4130" s="110">
        <v>13593</v>
      </c>
      <c r="G4130" s="109" t="s">
        <v>120</v>
      </c>
      <c r="H4130" s="109">
        <v>74</v>
      </c>
      <c r="I4130" s="109">
        <v>427</v>
      </c>
      <c r="J4130" s="110">
        <v>588</v>
      </c>
    </row>
    <row r="4131" spans="1:10">
      <c r="A4131" s="103" t="s">
        <v>6388</v>
      </c>
      <c r="B4131" s="124" t="s">
        <v>932</v>
      </c>
      <c r="C4131" s="110">
        <v>831</v>
      </c>
      <c r="D4131" s="109" t="s">
        <v>120</v>
      </c>
      <c r="E4131" s="109">
        <v>8</v>
      </c>
      <c r="F4131" s="110">
        <v>7812</v>
      </c>
      <c r="G4131" s="109" t="s">
        <v>120</v>
      </c>
      <c r="H4131" s="109">
        <v>940</v>
      </c>
      <c r="I4131" s="109" t="s">
        <v>122</v>
      </c>
      <c r="J4131" s="110" t="s">
        <v>122</v>
      </c>
    </row>
    <row r="4132" spans="1:10">
      <c r="A4132" s="103" t="s">
        <v>6389</v>
      </c>
      <c r="B4132" s="124" t="s">
        <v>934</v>
      </c>
      <c r="C4132" s="110">
        <v>17629</v>
      </c>
      <c r="D4132" s="109" t="s">
        <v>120</v>
      </c>
      <c r="E4132" s="109">
        <v>177</v>
      </c>
      <c r="F4132" s="110">
        <v>5781</v>
      </c>
      <c r="G4132" s="109" t="s">
        <v>120</v>
      </c>
      <c r="H4132" s="109">
        <v>33</v>
      </c>
      <c r="I4132" s="109" t="s">
        <v>122</v>
      </c>
      <c r="J4132" s="110" t="s">
        <v>122</v>
      </c>
    </row>
    <row r="4133" spans="1:10" s="119" customFormat="1">
      <c r="A4133" s="123" t="s">
        <v>120</v>
      </c>
      <c r="B4133" s="273" t="s">
        <v>6390</v>
      </c>
      <c r="C4133" s="274"/>
      <c r="D4133" s="274"/>
      <c r="E4133" s="274"/>
      <c r="F4133" s="274"/>
      <c r="G4133" s="274"/>
      <c r="H4133" s="274"/>
      <c r="I4133" s="274"/>
      <c r="J4133" s="274"/>
    </row>
    <row r="4134" spans="1:10" s="119" customFormat="1">
      <c r="A4134" s="123" t="s">
        <v>120</v>
      </c>
      <c r="B4134" s="275" t="s">
        <v>943</v>
      </c>
      <c r="C4134" s="276"/>
      <c r="D4134" s="276"/>
      <c r="E4134" s="276"/>
      <c r="F4134" s="276"/>
      <c r="G4134" s="276"/>
      <c r="H4134" s="276"/>
      <c r="I4134" s="276"/>
      <c r="J4134" s="276"/>
    </row>
    <row r="4135" spans="1:10">
      <c r="A4135" s="103" t="s">
        <v>6391</v>
      </c>
      <c r="B4135" s="124" t="s">
        <v>6392</v>
      </c>
      <c r="C4135" s="110">
        <v>8659</v>
      </c>
      <c r="D4135" s="109" t="s">
        <v>120</v>
      </c>
      <c r="E4135" s="109">
        <v>86</v>
      </c>
      <c r="F4135" s="110">
        <v>5948</v>
      </c>
      <c r="G4135" s="109" t="s">
        <v>120</v>
      </c>
      <c r="H4135" s="109">
        <v>69</v>
      </c>
      <c r="I4135" s="109">
        <v>1583</v>
      </c>
      <c r="J4135" s="110">
        <v>1523</v>
      </c>
    </row>
    <row r="4136" spans="1:10">
      <c r="A4136" s="103" t="s">
        <v>6393</v>
      </c>
      <c r="B4136" s="124" t="s">
        <v>2157</v>
      </c>
      <c r="C4136" s="110">
        <v>10073</v>
      </c>
      <c r="D4136" s="109" t="s">
        <v>120</v>
      </c>
      <c r="E4136" s="109">
        <v>100</v>
      </c>
      <c r="F4136" s="110">
        <v>8630</v>
      </c>
      <c r="G4136" s="109" t="s">
        <v>120</v>
      </c>
      <c r="H4136" s="109">
        <v>86</v>
      </c>
      <c r="I4136" s="109">
        <v>1377</v>
      </c>
      <c r="J4136" s="110">
        <v>1033</v>
      </c>
    </row>
    <row r="4137" spans="1:10" s="119" customFormat="1">
      <c r="A4137" s="123" t="s">
        <v>120</v>
      </c>
      <c r="B4137" s="275" t="s">
        <v>947</v>
      </c>
      <c r="C4137" s="276"/>
      <c r="D4137" s="276"/>
      <c r="E4137" s="276"/>
      <c r="F4137" s="276"/>
      <c r="G4137" s="276"/>
      <c r="H4137" s="276"/>
      <c r="I4137" s="276"/>
      <c r="J4137" s="276"/>
    </row>
    <row r="4138" spans="1:10">
      <c r="A4138" s="103" t="s">
        <v>6394</v>
      </c>
      <c r="B4138" s="124" t="s">
        <v>6395</v>
      </c>
      <c r="C4138" s="110">
        <v>12764</v>
      </c>
      <c r="D4138" s="109" t="s">
        <v>120</v>
      </c>
      <c r="E4138" s="109">
        <v>128</v>
      </c>
      <c r="F4138" s="110">
        <v>7473</v>
      </c>
      <c r="G4138" s="109" t="s">
        <v>120</v>
      </c>
      <c r="H4138" s="109">
        <v>59</v>
      </c>
      <c r="I4138" s="109">
        <v>948</v>
      </c>
      <c r="J4138" s="110">
        <v>1206</v>
      </c>
    </row>
    <row r="4139" spans="1:10">
      <c r="A4139" s="103" t="s">
        <v>6396</v>
      </c>
      <c r="B4139" s="124" t="s">
        <v>932</v>
      </c>
      <c r="C4139" s="110">
        <v>629</v>
      </c>
      <c r="D4139" s="109" t="s">
        <v>120</v>
      </c>
      <c r="E4139" s="109">
        <v>7</v>
      </c>
      <c r="F4139" s="110">
        <v>2502</v>
      </c>
      <c r="G4139" s="109" t="s">
        <v>120</v>
      </c>
      <c r="H4139" s="109">
        <v>398</v>
      </c>
      <c r="I4139" s="109" t="s">
        <v>122</v>
      </c>
      <c r="J4139" s="110" t="s">
        <v>122</v>
      </c>
    </row>
    <row r="4140" spans="1:10">
      <c r="A4140" s="103" t="s">
        <v>6397</v>
      </c>
      <c r="B4140" s="124" t="s">
        <v>934</v>
      </c>
      <c r="C4140" s="110">
        <v>12135</v>
      </c>
      <c r="D4140" s="109" t="s">
        <v>120</v>
      </c>
      <c r="E4140" s="109">
        <v>121</v>
      </c>
      <c r="F4140" s="110">
        <v>4971</v>
      </c>
      <c r="G4140" s="109" t="s">
        <v>120</v>
      </c>
      <c r="H4140" s="109">
        <v>41</v>
      </c>
      <c r="I4140" s="109" t="s">
        <v>122</v>
      </c>
      <c r="J4140" s="110" t="s">
        <v>122</v>
      </c>
    </row>
    <row r="4141" spans="1:10">
      <c r="A4141" s="103" t="s">
        <v>6398</v>
      </c>
      <c r="B4141" s="124" t="s">
        <v>6399</v>
      </c>
      <c r="C4141" s="110">
        <v>13728</v>
      </c>
      <c r="D4141" s="109" t="s">
        <v>120</v>
      </c>
      <c r="E4141" s="109">
        <v>137</v>
      </c>
      <c r="F4141" s="110">
        <v>28192</v>
      </c>
      <c r="G4141" s="109" t="s">
        <v>120</v>
      </c>
      <c r="H4141" s="109">
        <v>205</v>
      </c>
      <c r="I4141" s="109">
        <v>811</v>
      </c>
      <c r="J4141" s="110">
        <v>204</v>
      </c>
    </row>
    <row r="4142" spans="1:10">
      <c r="A4142" s="103" t="s">
        <v>6400</v>
      </c>
      <c r="B4142" s="124" t="s">
        <v>932</v>
      </c>
      <c r="C4142" s="110">
        <v>1109</v>
      </c>
      <c r="D4142" s="109" t="s">
        <v>120</v>
      </c>
      <c r="E4142" s="109">
        <v>11</v>
      </c>
      <c r="F4142" s="110">
        <v>20296</v>
      </c>
      <c r="G4142" s="109" t="s">
        <v>120</v>
      </c>
      <c r="H4142" s="109">
        <v>1830</v>
      </c>
      <c r="I4142" s="109" t="s">
        <v>122</v>
      </c>
      <c r="J4142" s="110" t="s">
        <v>122</v>
      </c>
    </row>
    <row r="4143" spans="1:10">
      <c r="A4143" s="103" t="s">
        <v>6401</v>
      </c>
      <c r="B4143" s="124" t="s">
        <v>934</v>
      </c>
      <c r="C4143" s="110">
        <v>12619</v>
      </c>
      <c r="D4143" s="109" t="s">
        <v>120</v>
      </c>
      <c r="E4143" s="109">
        <v>126</v>
      </c>
      <c r="F4143" s="110">
        <v>7896</v>
      </c>
      <c r="G4143" s="109" t="s">
        <v>120</v>
      </c>
      <c r="H4143" s="109">
        <v>63</v>
      </c>
      <c r="I4143" s="109" t="s">
        <v>122</v>
      </c>
      <c r="J4143" s="110" t="s">
        <v>122</v>
      </c>
    </row>
    <row r="4144" spans="1:10">
      <c r="A4144" s="103" t="s">
        <v>6402</v>
      </c>
      <c r="B4144" s="124" t="s">
        <v>6403</v>
      </c>
      <c r="C4144" s="110">
        <v>12954</v>
      </c>
      <c r="D4144" s="109" t="s">
        <v>120</v>
      </c>
      <c r="E4144" s="109">
        <v>130</v>
      </c>
      <c r="F4144" s="110">
        <v>12994</v>
      </c>
      <c r="G4144" s="109" t="s">
        <v>120</v>
      </c>
      <c r="H4144" s="109">
        <v>100</v>
      </c>
      <c r="I4144" s="109">
        <v>915</v>
      </c>
      <c r="J4144" s="110">
        <v>630</v>
      </c>
    </row>
    <row r="4145" spans="1:10">
      <c r="A4145" s="103" t="s">
        <v>6404</v>
      </c>
      <c r="B4145" s="124" t="s">
        <v>932</v>
      </c>
      <c r="C4145" s="110">
        <v>705</v>
      </c>
      <c r="D4145" s="109" t="s">
        <v>120</v>
      </c>
      <c r="E4145" s="109">
        <v>7</v>
      </c>
      <c r="F4145" s="110">
        <v>4320</v>
      </c>
      <c r="G4145" s="109" t="s">
        <v>120</v>
      </c>
      <c r="H4145" s="109">
        <v>613</v>
      </c>
      <c r="I4145" s="109" t="s">
        <v>122</v>
      </c>
      <c r="J4145" s="110" t="s">
        <v>122</v>
      </c>
    </row>
    <row r="4146" spans="1:10">
      <c r="A4146" s="103" t="s">
        <v>6405</v>
      </c>
      <c r="B4146" s="124" t="s">
        <v>934</v>
      </c>
      <c r="C4146" s="110">
        <v>12249</v>
      </c>
      <c r="D4146" s="109" t="s">
        <v>120</v>
      </c>
      <c r="E4146" s="109">
        <v>123</v>
      </c>
      <c r="F4146" s="110">
        <v>8674</v>
      </c>
      <c r="G4146" s="109" t="s">
        <v>120</v>
      </c>
      <c r="H4146" s="109">
        <v>71</v>
      </c>
      <c r="I4146" s="109" t="s">
        <v>122</v>
      </c>
      <c r="J4146" s="110" t="s">
        <v>122</v>
      </c>
    </row>
    <row r="4147" spans="1:10">
      <c r="A4147" s="103" t="s">
        <v>6406</v>
      </c>
      <c r="B4147" s="124" t="s">
        <v>6407</v>
      </c>
      <c r="C4147" s="110">
        <v>9654</v>
      </c>
      <c r="D4147" s="109" t="s">
        <v>120</v>
      </c>
      <c r="E4147" s="109">
        <v>97</v>
      </c>
      <c r="F4147" s="110">
        <v>4937</v>
      </c>
      <c r="G4147" s="109" t="s">
        <v>120</v>
      </c>
      <c r="H4147" s="109">
        <v>51</v>
      </c>
      <c r="I4147" s="109">
        <v>1440</v>
      </c>
      <c r="J4147" s="110">
        <v>1752</v>
      </c>
    </row>
    <row r="4148" spans="1:10">
      <c r="A4148" s="103" t="s">
        <v>6408</v>
      </c>
      <c r="B4148" s="124" t="s">
        <v>932</v>
      </c>
      <c r="C4148" s="110">
        <v>436</v>
      </c>
      <c r="D4148" s="109" t="s">
        <v>120</v>
      </c>
      <c r="E4148" s="109">
        <v>4</v>
      </c>
      <c r="F4148" s="110">
        <v>2088</v>
      </c>
      <c r="G4148" s="109" t="s">
        <v>120</v>
      </c>
      <c r="H4148" s="109">
        <v>479</v>
      </c>
      <c r="I4148" s="109" t="s">
        <v>122</v>
      </c>
      <c r="J4148" s="110" t="s">
        <v>122</v>
      </c>
    </row>
    <row r="4149" spans="1:10">
      <c r="A4149" s="103" t="s">
        <v>6409</v>
      </c>
      <c r="B4149" s="124" t="s">
        <v>934</v>
      </c>
      <c r="C4149" s="110">
        <v>9218</v>
      </c>
      <c r="D4149" s="109" t="s">
        <v>120</v>
      </c>
      <c r="E4149" s="109">
        <v>93</v>
      </c>
      <c r="F4149" s="110">
        <v>2849</v>
      </c>
      <c r="G4149" s="109" t="s">
        <v>120</v>
      </c>
      <c r="H4149" s="109">
        <v>31</v>
      </c>
      <c r="I4149" s="109" t="s">
        <v>122</v>
      </c>
      <c r="J4149" s="110" t="s">
        <v>122</v>
      </c>
    </row>
    <row r="4150" spans="1:10">
      <c r="A4150" s="103" t="s">
        <v>6410</v>
      </c>
      <c r="B4150" s="124" t="s">
        <v>6411</v>
      </c>
      <c r="C4150" s="110">
        <v>13193</v>
      </c>
      <c r="D4150" s="109" t="s">
        <v>120</v>
      </c>
      <c r="E4150" s="109">
        <v>132</v>
      </c>
      <c r="F4150" s="110">
        <v>7734</v>
      </c>
      <c r="G4150" s="109" t="s">
        <v>120</v>
      </c>
      <c r="H4150" s="109">
        <v>59</v>
      </c>
      <c r="I4150" s="109">
        <v>884</v>
      </c>
      <c r="J4150" s="110">
        <v>1164</v>
      </c>
    </row>
    <row r="4151" spans="1:10">
      <c r="A4151" s="103" t="s">
        <v>6412</v>
      </c>
      <c r="B4151" s="124" t="s">
        <v>932</v>
      </c>
      <c r="C4151" s="110">
        <v>348</v>
      </c>
      <c r="D4151" s="109" t="s">
        <v>120</v>
      </c>
      <c r="E4151" s="109">
        <v>3</v>
      </c>
      <c r="F4151" s="110">
        <v>2855</v>
      </c>
      <c r="G4151" s="109" t="s">
        <v>120</v>
      </c>
      <c r="H4151" s="109">
        <v>820</v>
      </c>
      <c r="I4151" s="109" t="s">
        <v>122</v>
      </c>
      <c r="J4151" s="110" t="s">
        <v>122</v>
      </c>
    </row>
    <row r="4152" spans="1:10">
      <c r="A4152" s="103" t="s">
        <v>6413</v>
      </c>
      <c r="B4152" s="124" t="s">
        <v>934</v>
      </c>
      <c r="C4152" s="110">
        <v>12845</v>
      </c>
      <c r="D4152" s="109" t="s">
        <v>120</v>
      </c>
      <c r="E4152" s="109">
        <v>129</v>
      </c>
      <c r="F4152" s="110">
        <v>4879</v>
      </c>
      <c r="G4152" s="109" t="s">
        <v>120</v>
      </c>
      <c r="H4152" s="109">
        <v>38</v>
      </c>
      <c r="I4152" s="109" t="s">
        <v>122</v>
      </c>
      <c r="J4152" s="110" t="s">
        <v>122</v>
      </c>
    </row>
    <row r="4153" spans="1:10" s="119" customFormat="1">
      <c r="A4153" s="123" t="s">
        <v>120</v>
      </c>
      <c r="B4153" s="273" t="s">
        <v>6414</v>
      </c>
      <c r="C4153" s="274"/>
      <c r="D4153" s="274"/>
      <c r="E4153" s="274"/>
      <c r="F4153" s="274"/>
      <c r="G4153" s="274"/>
      <c r="H4153" s="274"/>
      <c r="I4153" s="274"/>
      <c r="J4153" s="274"/>
    </row>
    <row r="4154" spans="1:10" s="119" customFormat="1">
      <c r="A4154" s="123" t="s">
        <v>120</v>
      </c>
      <c r="B4154" s="275" t="s">
        <v>1022</v>
      </c>
      <c r="C4154" s="276"/>
      <c r="D4154" s="276"/>
      <c r="E4154" s="276"/>
      <c r="F4154" s="276"/>
      <c r="G4154" s="276"/>
      <c r="H4154" s="276"/>
      <c r="I4154" s="276"/>
      <c r="J4154" s="276"/>
    </row>
    <row r="4155" spans="1:10">
      <c r="A4155" s="103" t="s">
        <v>6415</v>
      </c>
      <c r="B4155" s="124" t="s">
        <v>6416</v>
      </c>
      <c r="C4155" s="110">
        <v>6687</v>
      </c>
      <c r="D4155" s="109" t="s">
        <v>120</v>
      </c>
      <c r="E4155" s="109">
        <v>67</v>
      </c>
      <c r="F4155" s="110">
        <v>5068</v>
      </c>
      <c r="G4155" s="109" t="s">
        <v>120</v>
      </c>
      <c r="H4155" s="109">
        <v>76</v>
      </c>
      <c r="I4155" s="109">
        <v>1883</v>
      </c>
      <c r="J4155" s="110">
        <v>1728</v>
      </c>
    </row>
    <row r="4156" spans="1:10">
      <c r="A4156" s="103" t="s">
        <v>6417</v>
      </c>
      <c r="B4156" s="124" t="s">
        <v>6418</v>
      </c>
      <c r="C4156" s="110">
        <v>13382</v>
      </c>
      <c r="D4156" s="109" t="s">
        <v>120</v>
      </c>
      <c r="E4156" s="109">
        <v>133</v>
      </c>
      <c r="F4156" s="110">
        <v>6673</v>
      </c>
      <c r="G4156" s="109" t="s">
        <v>120</v>
      </c>
      <c r="H4156" s="109">
        <v>50</v>
      </c>
      <c r="I4156" s="109">
        <v>861</v>
      </c>
      <c r="J4156" s="110">
        <v>1367</v>
      </c>
    </row>
    <row r="4157" spans="1:10" s="119" customFormat="1">
      <c r="A4157" s="123" t="s">
        <v>120</v>
      </c>
      <c r="B4157" s="275" t="s">
        <v>1101</v>
      </c>
      <c r="C4157" s="276"/>
      <c r="D4157" s="276"/>
      <c r="E4157" s="276"/>
      <c r="F4157" s="276"/>
      <c r="G4157" s="276"/>
      <c r="H4157" s="276"/>
      <c r="I4157" s="276"/>
      <c r="J4157" s="276"/>
    </row>
    <row r="4158" spans="1:10">
      <c r="A4158" s="103" t="s">
        <v>6419</v>
      </c>
      <c r="B4158" s="124" t="s">
        <v>6420</v>
      </c>
      <c r="C4158" s="110">
        <v>13259</v>
      </c>
      <c r="D4158" s="109" t="s">
        <v>120</v>
      </c>
      <c r="E4158" s="109">
        <v>133</v>
      </c>
      <c r="F4158" s="110">
        <v>20064</v>
      </c>
      <c r="G4158" s="109" t="s">
        <v>120</v>
      </c>
      <c r="H4158" s="109">
        <v>151</v>
      </c>
      <c r="I4158" s="109">
        <v>875</v>
      </c>
      <c r="J4158" s="110">
        <v>341</v>
      </c>
    </row>
    <row r="4159" spans="1:10">
      <c r="A4159" s="103" t="s">
        <v>6421</v>
      </c>
      <c r="B4159" s="124" t="s">
        <v>932</v>
      </c>
      <c r="C4159" s="110">
        <v>1821</v>
      </c>
      <c r="D4159" s="109" t="s">
        <v>120</v>
      </c>
      <c r="E4159" s="109">
        <v>18</v>
      </c>
      <c r="F4159" s="110">
        <v>14697</v>
      </c>
      <c r="G4159" s="109" t="s">
        <v>120</v>
      </c>
      <c r="H4159" s="109">
        <v>807</v>
      </c>
      <c r="I4159" s="109" t="s">
        <v>122</v>
      </c>
      <c r="J4159" s="110" t="s">
        <v>122</v>
      </c>
    </row>
    <row r="4160" spans="1:10">
      <c r="A4160" s="103" t="s">
        <v>6422</v>
      </c>
      <c r="B4160" s="124" t="s">
        <v>934</v>
      </c>
      <c r="C4160" s="110">
        <v>11438</v>
      </c>
      <c r="D4160" s="109" t="s">
        <v>120</v>
      </c>
      <c r="E4160" s="109">
        <v>115</v>
      </c>
      <c r="F4160" s="110">
        <v>5367</v>
      </c>
      <c r="G4160" s="109" t="s">
        <v>120</v>
      </c>
      <c r="H4160" s="109">
        <v>47</v>
      </c>
      <c r="I4160" s="109" t="s">
        <v>122</v>
      </c>
      <c r="J4160" s="110" t="s">
        <v>122</v>
      </c>
    </row>
    <row r="4161" spans="1:10">
      <c r="A4161" s="103" t="s">
        <v>6423</v>
      </c>
      <c r="B4161" s="124" t="s">
        <v>6424</v>
      </c>
      <c r="C4161" s="110">
        <v>20101</v>
      </c>
      <c r="D4161" s="109" t="s">
        <v>120</v>
      </c>
      <c r="E4161" s="109">
        <v>201</v>
      </c>
      <c r="F4161" s="110">
        <v>13178</v>
      </c>
      <c r="G4161" s="109" t="s">
        <v>120</v>
      </c>
      <c r="H4161" s="109">
        <v>66</v>
      </c>
      <c r="I4161" s="109">
        <v>341</v>
      </c>
      <c r="J4161" s="110">
        <v>615</v>
      </c>
    </row>
    <row r="4162" spans="1:10">
      <c r="A4162" s="103" t="s">
        <v>6425</v>
      </c>
      <c r="B4162" s="124" t="s">
        <v>932</v>
      </c>
      <c r="C4162" s="110">
        <v>337</v>
      </c>
      <c r="D4162" s="109" t="s">
        <v>120</v>
      </c>
      <c r="E4162" s="109">
        <v>3</v>
      </c>
      <c r="F4162" s="110">
        <v>3587</v>
      </c>
      <c r="G4162" s="109" t="s">
        <v>120</v>
      </c>
      <c r="H4162" s="109">
        <v>1064</v>
      </c>
      <c r="I4162" s="109" t="s">
        <v>122</v>
      </c>
      <c r="J4162" s="110" t="s">
        <v>122</v>
      </c>
    </row>
    <row r="4163" spans="1:10">
      <c r="A4163" s="103" t="s">
        <v>6426</v>
      </c>
      <c r="B4163" s="124" t="s">
        <v>934</v>
      </c>
      <c r="C4163" s="110">
        <v>19764</v>
      </c>
      <c r="D4163" s="109" t="s">
        <v>120</v>
      </c>
      <c r="E4163" s="109">
        <v>198</v>
      </c>
      <c r="F4163" s="110">
        <v>9591</v>
      </c>
      <c r="G4163" s="109" t="s">
        <v>120</v>
      </c>
      <c r="H4163" s="109">
        <v>49</v>
      </c>
      <c r="I4163" s="109" t="s">
        <v>122</v>
      </c>
      <c r="J4163" s="110" t="s">
        <v>122</v>
      </c>
    </row>
    <row r="4164" spans="1:10">
      <c r="A4164" s="103" t="s">
        <v>6427</v>
      </c>
      <c r="B4164" s="124" t="s">
        <v>6428</v>
      </c>
      <c r="C4164" s="110">
        <v>10758</v>
      </c>
      <c r="D4164" s="109" t="s">
        <v>120</v>
      </c>
      <c r="E4164" s="109">
        <v>108</v>
      </c>
      <c r="F4164" s="110">
        <v>6910</v>
      </c>
      <c r="G4164" s="109" t="s">
        <v>120</v>
      </c>
      <c r="H4164" s="109">
        <v>64</v>
      </c>
      <c r="I4164" s="109">
        <v>1263</v>
      </c>
      <c r="J4164" s="110">
        <v>1313</v>
      </c>
    </row>
    <row r="4165" spans="1:10">
      <c r="A4165" s="103" t="s">
        <v>6429</v>
      </c>
      <c r="B4165" s="124" t="s">
        <v>932</v>
      </c>
      <c r="C4165" s="110">
        <v>124</v>
      </c>
      <c r="D4165" s="109" t="s">
        <v>120</v>
      </c>
      <c r="E4165" s="109">
        <v>1</v>
      </c>
      <c r="F4165" s="110">
        <v>1757</v>
      </c>
      <c r="G4165" s="109" t="s">
        <v>120</v>
      </c>
      <c r="H4165" s="109">
        <v>1417</v>
      </c>
      <c r="I4165" s="109" t="s">
        <v>122</v>
      </c>
      <c r="J4165" s="110" t="s">
        <v>122</v>
      </c>
    </row>
    <row r="4166" spans="1:10">
      <c r="A4166" s="103" t="s">
        <v>6430</v>
      </c>
      <c r="B4166" s="124" t="s">
        <v>934</v>
      </c>
      <c r="C4166" s="110">
        <v>10634</v>
      </c>
      <c r="D4166" s="109" t="s">
        <v>120</v>
      </c>
      <c r="E4166" s="109">
        <v>107</v>
      </c>
      <c r="F4166" s="110">
        <v>5153</v>
      </c>
      <c r="G4166" s="109" t="s">
        <v>120</v>
      </c>
      <c r="H4166" s="109">
        <v>48</v>
      </c>
      <c r="I4166" s="109" t="s">
        <v>122</v>
      </c>
      <c r="J4166" s="110" t="s">
        <v>122</v>
      </c>
    </row>
    <row r="4167" spans="1:10" s="119" customFormat="1">
      <c r="A4167" s="123" t="s">
        <v>120</v>
      </c>
      <c r="B4167" s="273" t="s">
        <v>6431</v>
      </c>
      <c r="C4167" s="274"/>
      <c r="D4167" s="274"/>
      <c r="E4167" s="274"/>
      <c r="F4167" s="274"/>
      <c r="G4167" s="274"/>
      <c r="H4167" s="274"/>
      <c r="I4167" s="274"/>
      <c r="J4167" s="274"/>
    </row>
    <row r="4168" spans="1:10" s="119" customFormat="1">
      <c r="A4168" s="123" t="s">
        <v>120</v>
      </c>
      <c r="B4168" s="275" t="s">
        <v>1296</v>
      </c>
      <c r="C4168" s="276"/>
      <c r="D4168" s="276"/>
      <c r="E4168" s="276"/>
      <c r="F4168" s="276"/>
      <c r="G4168" s="276"/>
      <c r="H4168" s="276"/>
      <c r="I4168" s="276"/>
      <c r="J4168" s="276"/>
    </row>
    <row r="4169" spans="1:10">
      <c r="A4169" s="103" t="s">
        <v>6432</v>
      </c>
      <c r="B4169" s="124" t="s">
        <v>6433</v>
      </c>
      <c r="C4169" s="110">
        <v>8392</v>
      </c>
      <c r="D4169" s="109" t="s">
        <v>120</v>
      </c>
      <c r="E4169" s="109">
        <v>84</v>
      </c>
      <c r="F4169" s="110">
        <v>7442</v>
      </c>
      <c r="G4169" s="109" t="s">
        <v>120</v>
      </c>
      <c r="H4169" s="109">
        <v>89</v>
      </c>
      <c r="I4169" s="109">
        <v>1639</v>
      </c>
      <c r="J4169" s="110">
        <v>1214</v>
      </c>
    </row>
    <row r="4170" spans="1:10" s="119" customFormat="1">
      <c r="A4170" s="123" t="s">
        <v>120</v>
      </c>
      <c r="B4170" s="275" t="s">
        <v>947</v>
      </c>
      <c r="C4170" s="276"/>
      <c r="D4170" s="276"/>
      <c r="E4170" s="276"/>
      <c r="F4170" s="276"/>
      <c r="G4170" s="276"/>
      <c r="H4170" s="276"/>
      <c r="I4170" s="276"/>
      <c r="J4170" s="276"/>
    </row>
    <row r="4171" spans="1:10">
      <c r="A4171" s="103" t="s">
        <v>6434</v>
      </c>
      <c r="B4171" s="124" t="s">
        <v>6435</v>
      </c>
      <c r="C4171" s="110">
        <v>13309</v>
      </c>
      <c r="D4171" s="109" t="s">
        <v>120</v>
      </c>
      <c r="E4171" s="109">
        <v>133</v>
      </c>
      <c r="F4171" s="110">
        <v>8142</v>
      </c>
      <c r="G4171" s="109" t="s">
        <v>120</v>
      </c>
      <c r="H4171" s="109">
        <v>61</v>
      </c>
      <c r="I4171" s="109">
        <v>869</v>
      </c>
      <c r="J4171" s="110">
        <v>1101</v>
      </c>
    </row>
    <row r="4172" spans="1:10">
      <c r="A4172" s="103" t="s">
        <v>6436</v>
      </c>
      <c r="B4172" s="124" t="s">
        <v>932</v>
      </c>
      <c r="C4172" s="110">
        <v>1007</v>
      </c>
      <c r="D4172" s="109" t="s">
        <v>120</v>
      </c>
      <c r="E4172" s="109">
        <v>10</v>
      </c>
      <c r="F4172" s="110">
        <v>1413</v>
      </c>
      <c r="G4172" s="109" t="s">
        <v>120</v>
      </c>
      <c r="H4172" s="109">
        <v>140</v>
      </c>
      <c r="I4172" s="109" t="s">
        <v>122</v>
      </c>
      <c r="J4172" s="110" t="s">
        <v>122</v>
      </c>
    </row>
    <row r="4173" spans="1:10">
      <c r="A4173" s="103" t="s">
        <v>6437</v>
      </c>
      <c r="B4173" s="124" t="s">
        <v>934</v>
      </c>
      <c r="C4173" s="110">
        <v>12302</v>
      </c>
      <c r="D4173" s="109" t="s">
        <v>120</v>
      </c>
      <c r="E4173" s="109">
        <v>123</v>
      </c>
      <c r="F4173" s="110">
        <v>6729</v>
      </c>
      <c r="G4173" s="109" t="s">
        <v>120</v>
      </c>
      <c r="H4173" s="109">
        <v>55</v>
      </c>
      <c r="I4173" s="109" t="s">
        <v>122</v>
      </c>
      <c r="J4173" s="110" t="s">
        <v>122</v>
      </c>
    </row>
    <row r="4174" spans="1:10">
      <c r="A4174" s="103" t="s">
        <v>6438</v>
      </c>
      <c r="B4174" s="124" t="s">
        <v>4590</v>
      </c>
      <c r="C4174" s="110">
        <v>20013</v>
      </c>
      <c r="D4174" s="109" t="s">
        <v>120</v>
      </c>
      <c r="E4174" s="109">
        <v>200</v>
      </c>
      <c r="F4174" s="110">
        <v>45731</v>
      </c>
      <c r="G4174" s="109" t="s">
        <v>120</v>
      </c>
      <c r="H4174" s="109">
        <v>229</v>
      </c>
      <c r="I4174" s="109">
        <v>345</v>
      </c>
      <c r="J4174" s="110">
        <v>107</v>
      </c>
    </row>
    <row r="4175" spans="1:10">
      <c r="A4175" s="103" t="s">
        <v>6439</v>
      </c>
      <c r="B4175" s="124" t="s">
        <v>932</v>
      </c>
      <c r="C4175" s="110">
        <v>1638</v>
      </c>
      <c r="D4175" s="109" t="s">
        <v>120</v>
      </c>
      <c r="E4175" s="109">
        <v>16</v>
      </c>
      <c r="F4175" s="110">
        <v>26106</v>
      </c>
      <c r="G4175" s="109" t="s">
        <v>120</v>
      </c>
      <c r="H4175" s="109">
        <v>1594</v>
      </c>
      <c r="I4175" s="109" t="s">
        <v>122</v>
      </c>
      <c r="J4175" s="110" t="s">
        <v>122</v>
      </c>
    </row>
    <row r="4176" spans="1:10">
      <c r="A4176" s="103" t="s">
        <v>6440</v>
      </c>
      <c r="B4176" s="124" t="s">
        <v>934</v>
      </c>
      <c r="C4176" s="110">
        <v>18375</v>
      </c>
      <c r="D4176" s="109" t="s">
        <v>120</v>
      </c>
      <c r="E4176" s="109">
        <v>184</v>
      </c>
      <c r="F4176" s="110">
        <v>19625</v>
      </c>
      <c r="G4176" s="109" t="s">
        <v>120</v>
      </c>
      <c r="H4176" s="109">
        <v>107</v>
      </c>
      <c r="I4176" s="109" t="s">
        <v>122</v>
      </c>
      <c r="J4176" s="110" t="s">
        <v>122</v>
      </c>
    </row>
    <row r="4177" spans="1:10">
      <c r="A4177" s="103" t="s">
        <v>6441</v>
      </c>
      <c r="B4177" s="124" t="s">
        <v>6442</v>
      </c>
      <c r="C4177" s="110">
        <v>17015</v>
      </c>
      <c r="D4177" s="109" t="s">
        <v>120</v>
      </c>
      <c r="E4177" s="109">
        <v>170</v>
      </c>
      <c r="F4177" s="110">
        <v>10248</v>
      </c>
      <c r="G4177" s="109" t="s">
        <v>120</v>
      </c>
      <c r="H4177" s="109">
        <v>60</v>
      </c>
      <c r="I4177" s="109">
        <v>517</v>
      </c>
      <c r="J4177" s="110">
        <v>848</v>
      </c>
    </row>
    <row r="4178" spans="1:10">
      <c r="A4178" s="103" t="s">
        <v>6443</v>
      </c>
      <c r="B4178" s="124" t="s">
        <v>932</v>
      </c>
      <c r="C4178" s="110">
        <v>216</v>
      </c>
      <c r="D4178" s="109" t="s">
        <v>120</v>
      </c>
      <c r="E4178" s="109">
        <v>2</v>
      </c>
      <c r="F4178" s="110">
        <v>2110</v>
      </c>
      <c r="G4178" s="109" t="s">
        <v>120</v>
      </c>
      <c r="H4178" s="109">
        <v>977</v>
      </c>
      <c r="I4178" s="109" t="s">
        <v>122</v>
      </c>
      <c r="J4178" s="110" t="s">
        <v>122</v>
      </c>
    </row>
    <row r="4179" spans="1:10">
      <c r="A4179" s="103" t="s">
        <v>6444</v>
      </c>
      <c r="B4179" s="124" t="s">
        <v>934</v>
      </c>
      <c r="C4179" s="110">
        <v>16799</v>
      </c>
      <c r="D4179" s="109" t="s">
        <v>120</v>
      </c>
      <c r="E4179" s="109">
        <v>168</v>
      </c>
      <c r="F4179" s="110">
        <v>8138</v>
      </c>
      <c r="G4179" s="109" t="s">
        <v>120</v>
      </c>
      <c r="H4179" s="109">
        <v>48</v>
      </c>
      <c r="I4179" s="109" t="s">
        <v>122</v>
      </c>
      <c r="J4179" s="110" t="s">
        <v>122</v>
      </c>
    </row>
    <row r="4180" spans="1:10" s="119" customFormat="1">
      <c r="A4180" s="123" t="s">
        <v>120</v>
      </c>
      <c r="B4180" s="273" t="s">
        <v>6445</v>
      </c>
      <c r="C4180" s="274"/>
      <c r="D4180" s="274"/>
      <c r="E4180" s="274"/>
      <c r="F4180" s="274"/>
      <c r="G4180" s="274"/>
      <c r="H4180" s="274"/>
      <c r="I4180" s="274"/>
      <c r="J4180" s="274"/>
    </row>
    <row r="4181" spans="1:10" s="119" customFormat="1">
      <c r="A4181" s="123" t="s">
        <v>120</v>
      </c>
      <c r="B4181" s="275" t="s">
        <v>943</v>
      </c>
      <c r="C4181" s="276"/>
      <c r="D4181" s="276"/>
      <c r="E4181" s="276"/>
      <c r="F4181" s="276"/>
      <c r="G4181" s="276"/>
      <c r="H4181" s="276"/>
      <c r="I4181" s="276"/>
      <c r="J4181" s="276"/>
    </row>
    <row r="4182" spans="1:10">
      <c r="A4182" s="103" t="s">
        <v>6446</v>
      </c>
      <c r="B4182" s="124" t="s">
        <v>6447</v>
      </c>
      <c r="C4182" s="110">
        <v>15752</v>
      </c>
      <c r="D4182" s="109" t="s">
        <v>120</v>
      </c>
      <c r="E4182" s="109">
        <v>158</v>
      </c>
      <c r="F4182" s="110">
        <v>9940</v>
      </c>
      <c r="G4182" s="109" t="s">
        <v>120</v>
      </c>
      <c r="H4182" s="109">
        <v>63</v>
      </c>
      <c r="I4182" s="109">
        <v>619</v>
      </c>
      <c r="J4182" s="110">
        <v>881</v>
      </c>
    </row>
    <row r="4183" spans="1:10">
      <c r="A4183" s="103" t="s">
        <v>6448</v>
      </c>
      <c r="B4183" s="124" t="s">
        <v>2511</v>
      </c>
      <c r="C4183" s="110">
        <v>12695</v>
      </c>
      <c r="D4183" s="109" t="s">
        <v>120</v>
      </c>
      <c r="E4183" s="109">
        <v>127</v>
      </c>
      <c r="F4183" s="110">
        <v>5817</v>
      </c>
      <c r="G4183" s="109" t="s">
        <v>120</v>
      </c>
      <c r="H4183" s="109">
        <v>46</v>
      </c>
      <c r="I4183" s="109">
        <v>956</v>
      </c>
      <c r="J4183" s="110">
        <v>1553</v>
      </c>
    </row>
    <row r="4184" spans="1:10">
      <c r="A4184" s="103" t="s">
        <v>6449</v>
      </c>
      <c r="B4184" s="124" t="s">
        <v>6450</v>
      </c>
      <c r="C4184" s="110">
        <v>8831</v>
      </c>
      <c r="D4184" s="109" t="s">
        <v>120</v>
      </c>
      <c r="E4184" s="109">
        <v>88</v>
      </c>
      <c r="F4184" s="110">
        <v>4746</v>
      </c>
      <c r="G4184" s="109" t="s">
        <v>120</v>
      </c>
      <c r="H4184" s="109">
        <v>54</v>
      </c>
      <c r="I4184" s="109">
        <v>1556</v>
      </c>
      <c r="J4184" s="110">
        <v>1807</v>
      </c>
    </row>
    <row r="4185" spans="1:10">
      <c r="A4185" s="103" t="s">
        <v>6451</v>
      </c>
      <c r="B4185" s="124" t="s">
        <v>6452</v>
      </c>
      <c r="C4185" s="110">
        <v>10540</v>
      </c>
      <c r="D4185" s="109" t="s">
        <v>120</v>
      </c>
      <c r="E4185" s="109">
        <v>105</v>
      </c>
      <c r="F4185" s="110">
        <v>9591</v>
      </c>
      <c r="G4185" s="109" t="s">
        <v>120</v>
      </c>
      <c r="H4185" s="109">
        <v>91</v>
      </c>
      <c r="I4185" s="109">
        <v>1297</v>
      </c>
      <c r="J4185" s="110">
        <v>919</v>
      </c>
    </row>
    <row r="4186" spans="1:10">
      <c r="A4186" s="103" t="s">
        <v>6453</v>
      </c>
      <c r="B4186" s="124" t="s">
        <v>6454</v>
      </c>
      <c r="C4186" s="110">
        <v>8865</v>
      </c>
      <c r="D4186" s="109" t="s">
        <v>120</v>
      </c>
      <c r="E4186" s="109">
        <v>89</v>
      </c>
      <c r="F4186" s="110">
        <v>7547</v>
      </c>
      <c r="G4186" s="109" t="s">
        <v>120</v>
      </c>
      <c r="H4186" s="109">
        <v>85</v>
      </c>
      <c r="I4186" s="109">
        <v>1551</v>
      </c>
      <c r="J4186" s="110">
        <v>1195</v>
      </c>
    </row>
    <row r="4187" spans="1:10">
      <c r="A4187" s="103" t="s">
        <v>6455</v>
      </c>
      <c r="B4187" s="124" t="s">
        <v>6456</v>
      </c>
      <c r="C4187" s="110">
        <v>7550</v>
      </c>
      <c r="D4187" s="109" t="s">
        <v>120</v>
      </c>
      <c r="E4187" s="109">
        <v>76</v>
      </c>
      <c r="F4187" s="110">
        <v>5213</v>
      </c>
      <c r="G4187" s="109" t="s">
        <v>120</v>
      </c>
      <c r="H4187" s="109">
        <v>69</v>
      </c>
      <c r="I4187" s="109">
        <v>1765</v>
      </c>
      <c r="J4187" s="110">
        <v>1684</v>
      </c>
    </row>
    <row r="4188" spans="1:10">
      <c r="A4188" s="103" t="s">
        <v>6457</v>
      </c>
      <c r="B4188" s="124" t="s">
        <v>6458</v>
      </c>
      <c r="C4188" s="110">
        <v>11089</v>
      </c>
      <c r="D4188" s="109" t="s">
        <v>120</v>
      </c>
      <c r="E4188" s="109">
        <v>111</v>
      </c>
      <c r="F4188" s="110">
        <v>4873</v>
      </c>
      <c r="G4188" s="109" t="s">
        <v>120</v>
      </c>
      <c r="H4188" s="109">
        <v>44</v>
      </c>
      <c r="I4188" s="109">
        <v>1202</v>
      </c>
      <c r="J4188" s="110">
        <v>1773</v>
      </c>
    </row>
    <row r="4189" spans="1:10">
      <c r="A4189" s="103" t="s">
        <v>6459</v>
      </c>
      <c r="B4189" s="124" t="s">
        <v>6460</v>
      </c>
      <c r="C4189" s="110">
        <v>11033</v>
      </c>
      <c r="D4189" s="109" t="s">
        <v>120</v>
      </c>
      <c r="E4189" s="109">
        <v>110</v>
      </c>
      <c r="F4189" s="110">
        <v>7812</v>
      </c>
      <c r="G4189" s="109" t="s">
        <v>120</v>
      </c>
      <c r="H4189" s="109">
        <v>71</v>
      </c>
      <c r="I4189" s="109">
        <v>1217</v>
      </c>
      <c r="J4189" s="110">
        <v>1151</v>
      </c>
    </row>
    <row r="4190" spans="1:10">
      <c r="A4190" s="103" t="s">
        <v>6461</v>
      </c>
      <c r="B4190" s="124" t="s">
        <v>6462</v>
      </c>
      <c r="C4190" s="110">
        <v>11367</v>
      </c>
      <c r="D4190" s="109" t="s">
        <v>120</v>
      </c>
      <c r="E4190" s="109">
        <v>114</v>
      </c>
      <c r="F4190" s="110">
        <v>9546</v>
      </c>
      <c r="G4190" s="109" t="s">
        <v>120</v>
      </c>
      <c r="H4190" s="109">
        <v>84</v>
      </c>
      <c r="I4190" s="109">
        <v>1146</v>
      </c>
      <c r="J4190" s="110">
        <v>921</v>
      </c>
    </row>
    <row r="4191" spans="1:10" s="119" customFormat="1">
      <c r="A4191" s="123" t="s">
        <v>120</v>
      </c>
      <c r="B4191" s="275" t="s">
        <v>947</v>
      </c>
      <c r="C4191" s="276"/>
      <c r="D4191" s="276"/>
      <c r="E4191" s="276"/>
      <c r="F4191" s="276"/>
      <c r="G4191" s="276"/>
      <c r="H4191" s="276"/>
      <c r="I4191" s="276"/>
      <c r="J4191" s="276"/>
    </row>
    <row r="4192" spans="1:10">
      <c r="A4192" s="103" t="s">
        <v>6463</v>
      </c>
      <c r="B4192" s="124" t="s">
        <v>6464</v>
      </c>
      <c r="C4192" s="110">
        <v>10427</v>
      </c>
      <c r="D4192" s="109" t="s">
        <v>120</v>
      </c>
      <c r="E4192" s="109">
        <v>104</v>
      </c>
      <c r="F4192" s="110">
        <v>10808</v>
      </c>
      <c r="G4192" s="109" t="s">
        <v>120</v>
      </c>
      <c r="H4192" s="109">
        <v>104</v>
      </c>
      <c r="I4192" s="109">
        <v>1314</v>
      </c>
      <c r="J4192" s="110">
        <v>804</v>
      </c>
    </row>
    <row r="4193" spans="1:10">
      <c r="A4193" s="103" t="s">
        <v>6465</v>
      </c>
      <c r="B4193" s="124" t="s">
        <v>932</v>
      </c>
      <c r="C4193" s="110">
        <v>868</v>
      </c>
      <c r="D4193" s="109" t="s">
        <v>120</v>
      </c>
      <c r="E4193" s="109">
        <v>9</v>
      </c>
      <c r="F4193" s="110">
        <v>3629</v>
      </c>
      <c r="G4193" s="109" t="s">
        <v>120</v>
      </c>
      <c r="H4193" s="109">
        <v>418</v>
      </c>
      <c r="I4193" s="109" t="s">
        <v>122</v>
      </c>
      <c r="J4193" s="110" t="s">
        <v>122</v>
      </c>
    </row>
    <row r="4194" spans="1:10">
      <c r="A4194" s="103" t="s">
        <v>6466</v>
      </c>
      <c r="B4194" s="124" t="s">
        <v>934</v>
      </c>
      <c r="C4194" s="110">
        <v>9559</v>
      </c>
      <c r="D4194" s="109" t="s">
        <v>120</v>
      </c>
      <c r="E4194" s="109">
        <v>95</v>
      </c>
      <c r="F4194" s="110">
        <v>7179</v>
      </c>
      <c r="G4194" s="109" t="s">
        <v>120</v>
      </c>
      <c r="H4194" s="109">
        <v>75</v>
      </c>
      <c r="I4194" s="109" t="s">
        <v>122</v>
      </c>
      <c r="J4194" s="110" t="s">
        <v>122</v>
      </c>
    </row>
    <row r="4195" spans="1:10">
      <c r="A4195" s="103" t="s">
        <v>6467</v>
      </c>
      <c r="B4195" s="124" t="s">
        <v>6468</v>
      </c>
      <c r="C4195" s="110">
        <v>7850</v>
      </c>
      <c r="D4195" s="109" t="s">
        <v>120</v>
      </c>
      <c r="E4195" s="109">
        <v>78</v>
      </c>
      <c r="F4195" s="110">
        <v>7133</v>
      </c>
      <c r="G4195" s="109" t="s">
        <v>120</v>
      </c>
      <c r="H4195" s="109">
        <v>91</v>
      </c>
      <c r="I4195" s="109">
        <v>1724</v>
      </c>
      <c r="J4195" s="110">
        <v>1272</v>
      </c>
    </row>
    <row r="4196" spans="1:10">
      <c r="A4196" s="103" t="s">
        <v>6469</v>
      </c>
      <c r="B4196" s="124" t="s">
        <v>932</v>
      </c>
      <c r="C4196" s="110">
        <v>99</v>
      </c>
      <c r="D4196" s="109" t="s">
        <v>120</v>
      </c>
      <c r="E4196" s="109">
        <v>1</v>
      </c>
      <c r="F4196" s="110">
        <v>1494</v>
      </c>
      <c r="G4196" s="109" t="s">
        <v>120</v>
      </c>
      <c r="H4196" s="109">
        <v>1509</v>
      </c>
      <c r="I4196" s="109" t="s">
        <v>122</v>
      </c>
      <c r="J4196" s="110" t="s">
        <v>122</v>
      </c>
    </row>
    <row r="4197" spans="1:10">
      <c r="A4197" s="103" t="s">
        <v>6470</v>
      </c>
      <c r="B4197" s="124" t="s">
        <v>934</v>
      </c>
      <c r="C4197" s="110">
        <v>7751</v>
      </c>
      <c r="D4197" s="109" t="s">
        <v>120</v>
      </c>
      <c r="E4197" s="109">
        <v>77</v>
      </c>
      <c r="F4197" s="110">
        <v>5639</v>
      </c>
      <c r="G4197" s="109" t="s">
        <v>120</v>
      </c>
      <c r="H4197" s="109">
        <v>73</v>
      </c>
      <c r="I4197" s="109" t="s">
        <v>122</v>
      </c>
      <c r="J4197" s="110" t="s">
        <v>122</v>
      </c>
    </row>
    <row r="4198" spans="1:10" s="119" customFormat="1">
      <c r="A4198" s="123" t="s">
        <v>120</v>
      </c>
      <c r="B4198" s="273" t="s">
        <v>6471</v>
      </c>
      <c r="C4198" s="274"/>
      <c r="D4198" s="274"/>
      <c r="E4198" s="274"/>
      <c r="F4198" s="274"/>
      <c r="G4198" s="274"/>
      <c r="H4198" s="274"/>
      <c r="I4198" s="274"/>
      <c r="J4198" s="274"/>
    </row>
    <row r="4199" spans="1:10" s="119" customFormat="1">
      <c r="A4199" s="123" t="s">
        <v>120</v>
      </c>
      <c r="B4199" s="275" t="s">
        <v>1022</v>
      </c>
      <c r="C4199" s="276"/>
      <c r="D4199" s="276"/>
      <c r="E4199" s="276"/>
      <c r="F4199" s="276"/>
      <c r="G4199" s="276"/>
      <c r="H4199" s="276"/>
      <c r="I4199" s="276"/>
      <c r="J4199" s="276"/>
    </row>
    <row r="4200" spans="1:10">
      <c r="A4200" s="103" t="s">
        <v>6472</v>
      </c>
      <c r="B4200" s="124" t="s">
        <v>2094</v>
      </c>
      <c r="C4200" s="110">
        <v>7441</v>
      </c>
      <c r="D4200" s="109" t="s">
        <v>120</v>
      </c>
      <c r="E4200" s="109">
        <v>74</v>
      </c>
      <c r="F4200" s="110">
        <v>7987</v>
      </c>
      <c r="G4200" s="109" t="s">
        <v>120</v>
      </c>
      <c r="H4200" s="109">
        <v>107</v>
      </c>
      <c r="I4200" s="109">
        <v>1787</v>
      </c>
      <c r="J4200" s="110">
        <v>1126</v>
      </c>
    </row>
    <row r="4201" spans="1:10">
      <c r="A4201" s="103" t="s">
        <v>6473</v>
      </c>
      <c r="B4201" s="124" t="s">
        <v>6474</v>
      </c>
      <c r="C4201" s="110">
        <v>8535</v>
      </c>
      <c r="D4201" s="109" t="s">
        <v>120</v>
      </c>
      <c r="E4201" s="109">
        <v>85</v>
      </c>
      <c r="F4201" s="110">
        <v>6100</v>
      </c>
      <c r="G4201" s="109" t="s">
        <v>120</v>
      </c>
      <c r="H4201" s="109">
        <v>71</v>
      </c>
      <c r="I4201" s="109">
        <v>1610</v>
      </c>
      <c r="J4201" s="110">
        <v>1479</v>
      </c>
    </row>
    <row r="4202" spans="1:10">
      <c r="A4202" s="103" t="s">
        <v>6475</v>
      </c>
      <c r="B4202" s="124" t="s">
        <v>6476</v>
      </c>
      <c r="C4202" s="110">
        <v>7771</v>
      </c>
      <c r="D4202" s="109" t="s">
        <v>120</v>
      </c>
      <c r="E4202" s="109">
        <v>78</v>
      </c>
      <c r="F4202" s="110">
        <v>5356</v>
      </c>
      <c r="G4202" s="109" t="s">
        <v>120</v>
      </c>
      <c r="H4202" s="109">
        <v>69</v>
      </c>
      <c r="I4202" s="109">
        <v>1736</v>
      </c>
      <c r="J4202" s="110">
        <v>1648</v>
      </c>
    </row>
    <row r="4203" spans="1:10">
      <c r="A4203" s="103" t="s">
        <v>6477</v>
      </c>
      <c r="B4203" s="124" t="s">
        <v>6478</v>
      </c>
      <c r="C4203" s="110">
        <v>7533</v>
      </c>
      <c r="D4203" s="109" t="s">
        <v>120</v>
      </c>
      <c r="E4203" s="109">
        <v>75</v>
      </c>
      <c r="F4203" s="110">
        <v>3777</v>
      </c>
      <c r="G4203" s="109" t="s">
        <v>120</v>
      </c>
      <c r="H4203" s="109">
        <v>50</v>
      </c>
      <c r="I4203" s="109">
        <v>1769</v>
      </c>
      <c r="J4203" s="110">
        <v>2047</v>
      </c>
    </row>
    <row r="4204" spans="1:10">
      <c r="A4204" s="103" t="s">
        <v>6479</v>
      </c>
      <c r="B4204" s="124" t="s">
        <v>6480</v>
      </c>
      <c r="C4204" s="110">
        <v>9655</v>
      </c>
      <c r="D4204" s="109" t="s">
        <v>120</v>
      </c>
      <c r="E4204" s="109">
        <v>97</v>
      </c>
      <c r="F4204" s="110">
        <v>3804</v>
      </c>
      <c r="G4204" s="109" t="s">
        <v>120</v>
      </c>
      <c r="H4204" s="109">
        <v>39</v>
      </c>
      <c r="I4204" s="109">
        <v>1439</v>
      </c>
      <c r="J4204" s="110">
        <v>2042</v>
      </c>
    </row>
    <row r="4205" spans="1:10">
      <c r="A4205" s="103" t="s">
        <v>6481</v>
      </c>
      <c r="B4205" s="124" t="s">
        <v>6482</v>
      </c>
      <c r="C4205" s="110">
        <v>7504</v>
      </c>
      <c r="D4205" s="109" t="s">
        <v>120</v>
      </c>
      <c r="E4205" s="109">
        <v>75</v>
      </c>
      <c r="F4205" s="110">
        <v>4945</v>
      </c>
      <c r="G4205" s="109" t="s">
        <v>120</v>
      </c>
      <c r="H4205" s="109">
        <v>66</v>
      </c>
      <c r="I4205" s="109">
        <v>1776</v>
      </c>
      <c r="J4205" s="110">
        <v>1750</v>
      </c>
    </row>
    <row r="4206" spans="1:10" s="119" customFormat="1">
      <c r="A4206" s="123" t="s">
        <v>120</v>
      </c>
      <c r="B4206" s="275" t="s">
        <v>1026</v>
      </c>
      <c r="C4206" s="276"/>
      <c r="D4206" s="276"/>
      <c r="E4206" s="276"/>
      <c r="F4206" s="276"/>
      <c r="G4206" s="276"/>
      <c r="H4206" s="276"/>
      <c r="I4206" s="276"/>
      <c r="J4206" s="276"/>
    </row>
    <row r="4207" spans="1:10">
      <c r="A4207" s="103" t="s">
        <v>6483</v>
      </c>
      <c r="B4207" s="124" t="s">
        <v>6484</v>
      </c>
      <c r="C4207" s="110">
        <v>12387</v>
      </c>
      <c r="D4207" s="109" t="s">
        <v>120</v>
      </c>
      <c r="E4207" s="109">
        <v>124</v>
      </c>
      <c r="F4207" s="110">
        <v>24482</v>
      </c>
      <c r="G4207" s="109" t="s">
        <v>120</v>
      </c>
      <c r="H4207" s="109">
        <v>198</v>
      </c>
      <c r="I4207" s="109">
        <v>997</v>
      </c>
      <c r="J4207" s="110">
        <v>255</v>
      </c>
    </row>
    <row r="4208" spans="1:10">
      <c r="A4208" s="103" t="s">
        <v>6485</v>
      </c>
      <c r="B4208" s="124" t="s">
        <v>932</v>
      </c>
      <c r="C4208" s="110">
        <v>779</v>
      </c>
      <c r="D4208" s="109" t="s">
        <v>120</v>
      </c>
      <c r="E4208" s="109">
        <v>8</v>
      </c>
      <c r="F4208" s="110">
        <v>14012</v>
      </c>
      <c r="G4208" s="109" t="s">
        <v>120</v>
      </c>
      <c r="H4208" s="109">
        <v>1799</v>
      </c>
      <c r="I4208" s="109" t="s">
        <v>122</v>
      </c>
      <c r="J4208" s="110" t="s">
        <v>122</v>
      </c>
    </row>
    <row r="4209" spans="1:10">
      <c r="A4209" s="103" t="s">
        <v>6486</v>
      </c>
      <c r="B4209" s="124" t="s">
        <v>934</v>
      </c>
      <c r="C4209" s="110">
        <v>11608</v>
      </c>
      <c r="D4209" s="109" t="s">
        <v>120</v>
      </c>
      <c r="E4209" s="109">
        <v>116</v>
      </c>
      <c r="F4209" s="110">
        <v>10470</v>
      </c>
      <c r="G4209" s="109" t="s">
        <v>120</v>
      </c>
      <c r="H4209" s="109">
        <v>90</v>
      </c>
      <c r="I4209" s="109" t="s">
        <v>122</v>
      </c>
      <c r="J4209" s="110" t="s">
        <v>122</v>
      </c>
    </row>
    <row r="4210" spans="1:10" s="119" customFormat="1">
      <c r="A4210" s="123" t="s">
        <v>120</v>
      </c>
      <c r="B4210" s="273" t="s">
        <v>6487</v>
      </c>
      <c r="C4210" s="274"/>
      <c r="D4210" s="274"/>
      <c r="E4210" s="274"/>
      <c r="F4210" s="274"/>
      <c r="G4210" s="274"/>
      <c r="H4210" s="274"/>
      <c r="I4210" s="274"/>
      <c r="J4210" s="274"/>
    </row>
    <row r="4211" spans="1:10" s="119" customFormat="1">
      <c r="A4211" s="123" t="s">
        <v>120</v>
      </c>
      <c r="B4211" s="275" t="s">
        <v>922</v>
      </c>
      <c r="C4211" s="276"/>
      <c r="D4211" s="276"/>
      <c r="E4211" s="276"/>
      <c r="F4211" s="276"/>
      <c r="G4211" s="276"/>
      <c r="H4211" s="276"/>
      <c r="I4211" s="276"/>
      <c r="J4211" s="276"/>
    </row>
    <row r="4212" spans="1:10">
      <c r="A4212" s="103" t="s">
        <v>6488</v>
      </c>
      <c r="B4212" s="124" t="s">
        <v>6489</v>
      </c>
      <c r="C4212" s="110">
        <v>1385</v>
      </c>
      <c r="D4212" s="109" t="s">
        <v>120</v>
      </c>
      <c r="E4212" s="109">
        <v>14</v>
      </c>
      <c r="F4212" s="110">
        <v>21686</v>
      </c>
      <c r="G4212" s="109" t="s">
        <v>120</v>
      </c>
      <c r="H4212" s="109">
        <v>1566</v>
      </c>
      <c r="I4212" s="109">
        <v>2289</v>
      </c>
      <c r="J4212" s="110">
        <v>309</v>
      </c>
    </row>
    <row r="4213" spans="1:10" s="119" customFormat="1">
      <c r="A4213" s="123" t="s">
        <v>120</v>
      </c>
      <c r="B4213" s="275" t="s">
        <v>1022</v>
      </c>
      <c r="C4213" s="276"/>
      <c r="D4213" s="276"/>
      <c r="E4213" s="276"/>
      <c r="F4213" s="276"/>
      <c r="G4213" s="276"/>
      <c r="H4213" s="276"/>
      <c r="I4213" s="276"/>
      <c r="J4213" s="276"/>
    </row>
    <row r="4214" spans="1:10">
      <c r="A4214" s="103" t="s">
        <v>6490</v>
      </c>
      <c r="B4214" s="124" t="s">
        <v>6491</v>
      </c>
      <c r="C4214" s="110">
        <v>13377</v>
      </c>
      <c r="D4214" s="109" t="s">
        <v>120</v>
      </c>
      <c r="E4214" s="109">
        <v>134</v>
      </c>
      <c r="F4214" s="110">
        <v>7831</v>
      </c>
      <c r="G4214" s="109" t="s">
        <v>120</v>
      </c>
      <c r="H4214" s="109">
        <v>59</v>
      </c>
      <c r="I4214" s="109">
        <v>862</v>
      </c>
      <c r="J4214" s="110">
        <v>1149</v>
      </c>
    </row>
    <row r="4215" spans="1:10">
      <c r="A4215" s="103" t="s">
        <v>6492</v>
      </c>
      <c r="B4215" s="124" t="s">
        <v>6493</v>
      </c>
      <c r="C4215" s="110">
        <v>7779</v>
      </c>
      <c r="D4215" s="109" t="s">
        <v>120</v>
      </c>
      <c r="E4215" s="109">
        <v>78</v>
      </c>
      <c r="F4215" s="110">
        <v>3005</v>
      </c>
      <c r="G4215" s="109" t="s">
        <v>120</v>
      </c>
      <c r="H4215" s="109">
        <v>39</v>
      </c>
      <c r="I4215" s="109">
        <v>1732</v>
      </c>
      <c r="J4215" s="110">
        <v>2196</v>
      </c>
    </row>
    <row r="4216" spans="1:10">
      <c r="A4216" s="103" t="s">
        <v>6494</v>
      </c>
      <c r="B4216" s="124" t="s">
        <v>6495</v>
      </c>
      <c r="C4216" s="110">
        <v>7333</v>
      </c>
      <c r="D4216" s="109" t="s">
        <v>120</v>
      </c>
      <c r="E4216" s="109">
        <v>73</v>
      </c>
      <c r="F4216" s="110">
        <v>5693</v>
      </c>
      <c r="G4216" s="109" t="s">
        <v>120</v>
      </c>
      <c r="H4216" s="109">
        <v>78</v>
      </c>
      <c r="I4216" s="109">
        <v>1802</v>
      </c>
      <c r="J4216" s="110">
        <v>1578</v>
      </c>
    </row>
    <row r="4217" spans="1:10">
      <c r="A4217" s="103" t="s">
        <v>6496</v>
      </c>
      <c r="B4217" s="124" t="s">
        <v>6489</v>
      </c>
      <c r="C4217" s="110">
        <v>10258</v>
      </c>
      <c r="D4217" s="109" t="s">
        <v>120</v>
      </c>
      <c r="E4217" s="109">
        <v>103</v>
      </c>
      <c r="F4217" s="110">
        <v>7795</v>
      </c>
      <c r="G4217" s="109" t="s">
        <v>120</v>
      </c>
      <c r="H4217" s="109">
        <v>76</v>
      </c>
      <c r="I4217" s="109">
        <v>1346</v>
      </c>
      <c r="J4217" s="110">
        <v>1156</v>
      </c>
    </row>
    <row r="4218" spans="1:10">
      <c r="A4218" s="103" t="s">
        <v>6497</v>
      </c>
      <c r="B4218" s="124" t="s">
        <v>6498</v>
      </c>
      <c r="C4218" s="110">
        <v>10464</v>
      </c>
      <c r="D4218" s="109" t="s">
        <v>120</v>
      </c>
      <c r="E4218" s="109">
        <v>105</v>
      </c>
      <c r="F4218" s="110">
        <v>6855</v>
      </c>
      <c r="G4218" s="109" t="s">
        <v>120</v>
      </c>
      <c r="H4218" s="109">
        <v>66</v>
      </c>
      <c r="I4218" s="109">
        <v>1306</v>
      </c>
      <c r="J4218" s="110">
        <v>1328</v>
      </c>
    </row>
    <row r="4219" spans="1:10">
      <c r="A4219" s="103" t="s">
        <v>6499</v>
      </c>
      <c r="B4219" s="124" t="s">
        <v>6500</v>
      </c>
      <c r="C4219" s="110">
        <v>8170</v>
      </c>
      <c r="D4219" s="109" t="s">
        <v>120</v>
      </c>
      <c r="E4219" s="109">
        <v>82</v>
      </c>
      <c r="F4219" s="110">
        <v>4502</v>
      </c>
      <c r="G4219" s="109" t="s">
        <v>120</v>
      </c>
      <c r="H4219" s="109">
        <v>55</v>
      </c>
      <c r="I4219" s="109">
        <v>1677</v>
      </c>
      <c r="J4219" s="110">
        <v>1871</v>
      </c>
    </row>
    <row r="4220" spans="1:10">
      <c r="A4220" s="103" t="s">
        <v>6501</v>
      </c>
      <c r="B4220" s="124" t="s">
        <v>6502</v>
      </c>
      <c r="C4220" s="110">
        <v>8732</v>
      </c>
      <c r="D4220" s="109" t="s">
        <v>120</v>
      </c>
      <c r="E4220" s="109">
        <v>87</v>
      </c>
      <c r="F4220" s="110">
        <v>6155</v>
      </c>
      <c r="G4220" s="109" t="s">
        <v>120</v>
      </c>
      <c r="H4220" s="109">
        <v>70</v>
      </c>
      <c r="I4220" s="109">
        <v>1571</v>
      </c>
      <c r="J4220" s="110">
        <v>1470</v>
      </c>
    </row>
    <row r="4221" spans="1:10" s="119" customFormat="1">
      <c r="A4221" s="123" t="s">
        <v>120</v>
      </c>
      <c r="B4221" s="275" t="s">
        <v>947</v>
      </c>
      <c r="C4221" s="276"/>
      <c r="D4221" s="276"/>
      <c r="E4221" s="276"/>
      <c r="F4221" s="276"/>
      <c r="G4221" s="276"/>
      <c r="H4221" s="276"/>
      <c r="I4221" s="276"/>
      <c r="J4221" s="276"/>
    </row>
    <row r="4222" spans="1:10">
      <c r="A4222" s="103" t="s">
        <v>6503</v>
      </c>
      <c r="B4222" s="124" t="s">
        <v>2275</v>
      </c>
      <c r="C4222" s="110">
        <v>13035</v>
      </c>
      <c r="D4222" s="109" t="s">
        <v>120</v>
      </c>
      <c r="E4222" s="109">
        <v>130</v>
      </c>
      <c r="F4222" s="110">
        <v>6284</v>
      </c>
      <c r="G4222" s="109" t="s">
        <v>120</v>
      </c>
      <c r="H4222" s="109">
        <v>48</v>
      </c>
      <c r="I4222" s="109">
        <v>905</v>
      </c>
      <c r="J4222" s="110">
        <v>1445</v>
      </c>
    </row>
    <row r="4223" spans="1:10">
      <c r="A4223" s="103" t="s">
        <v>6504</v>
      </c>
      <c r="B4223" s="124" t="s">
        <v>932</v>
      </c>
      <c r="C4223" s="110">
        <v>880</v>
      </c>
      <c r="D4223" s="109" t="s">
        <v>120</v>
      </c>
      <c r="E4223" s="109">
        <v>9</v>
      </c>
      <c r="F4223" s="110">
        <v>1986</v>
      </c>
      <c r="G4223" s="109" t="s">
        <v>120</v>
      </c>
      <c r="H4223" s="109">
        <v>226</v>
      </c>
      <c r="I4223" s="109" t="s">
        <v>122</v>
      </c>
      <c r="J4223" s="110" t="s">
        <v>122</v>
      </c>
    </row>
    <row r="4224" spans="1:10">
      <c r="A4224" s="103" t="s">
        <v>6505</v>
      </c>
      <c r="B4224" s="124" t="s">
        <v>934</v>
      </c>
      <c r="C4224" s="110">
        <v>12155</v>
      </c>
      <c r="D4224" s="109" t="s">
        <v>120</v>
      </c>
      <c r="E4224" s="109">
        <v>121</v>
      </c>
      <c r="F4224" s="110">
        <v>4298</v>
      </c>
      <c r="G4224" s="109" t="s">
        <v>120</v>
      </c>
      <c r="H4224" s="109">
        <v>35</v>
      </c>
      <c r="I4224" s="109" t="s">
        <v>122</v>
      </c>
      <c r="J4224" s="110" t="s">
        <v>122</v>
      </c>
    </row>
    <row r="4225" spans="1:10">
      <c r="A4225" s="103" t="s">
        <v>6506</v>
      </c>
      <c r="B4225" s="124" t="s">
        <v>2258</v>
      </c>
      <c r="C4225" s="110">
        <v>12893</v>
      </c>
      <c r="D4225" s="109" t="s">
        <v>120</v>
      </c>
      <c r="E4225" s="109">
        <v>129</v>
      </c>
      <c r="F4225" s="110">
        <v>12801</v>
      </c>
      <c r="G4225" s="109" t="s">
        <v>120</v>
      </c>
      <c r="H4225" s="109">
        <v>99</v>
      </c>
      <c r="I4225" s="109">
        <v>928</v>
      </c>
      <c r="J4225" s="110">
        <v>644</v>
      </c>
    </row>
    <row r="4226" spans="1:10">
      <c r="A4226" s="103" t="s">
        <v>6507</v>
      </c>
      <c r="B4226" s="124" t="s">
        <v>932</v>
      </c>
      <c r="C4226" s="110">
        <v>431</v>
      </c>
      <c r="D4226" s="109" t="s">
        <v>120</v>
      </c>
      <c r="E4226" s="109">
        <v>4</v>
      </c>
      <c r="F4226" s="110">
        <v>6418</v>
      </c>
      <c r="G4226" s="109" t="s">
        <v>120</v>
      </c>
      <c r="H4226" s="109">
        <v>1489</v>
      </c>
      <c r="I4226" s="109" t="s">
        <v>122</v>
      </c>
      <c r="J4226" s="110" t="s">
        <v>122</v>
      </c>
    </row>
    <row r="4227" spans="1:10">
      <c r="A4227" s="103" t="s">
        <v>6508</v>
      </c>
      <c r="B4227" s="124" t="s">
        <v>934</v>
      </c>
      <c r="C4227" s="110">
        <v>12462</v>
      </c>
      <c r="D4227" s="109" t="s">
        <v>120</v>
      </c>
      <c r="E4227" s="109">
        <v>125</v>
      </c>
      <c r="F4227" s="110">
        <v>6383</v>
      </c>
      <c r="G4227" s="109" t="s">
        <v>120</v>
      </c>
      <c r="H4227" s="109">
        <v>51</v>
      </c>
      <c r="I4227" s="109" t="s">
        <v>122</v>
      </c>
      <c r="J4227" s="110" t="s">
        <v>122</v>
      </c>
    </row>
    <row r="4228" spans="1:10">
      <c r="A4228" s="103" t="s">
        <v>6509</v>
      </c>
      <c r="B4228" s="124" t="s">
        <v>6510</v>
      </c>
      <c r="C4228" s="110">
        <v>7645</v>
      </c>
      <c r="D4228" s="109" t="s">
        <v>120</v>
      </c>
      <c r="E4228" s="109">
        <v>76</v>
      </c>
      <c r="F4228" s="110">
        <v>4120</v>
      </c>
      <c r="G4228" s="109" t="s">
        <v>120</v>
      </c>
      <c r="H4228" s="109">
        <v>54</v>
      </c>
      <c r="I4228" s="109">
        <v>1754</v>
      </c>
      <c r="J4228" s="110">
        <v>1968</v>
      </c>
    </row>
    <row r="4229" spans="1:10">
      <c r="A4229" s="103" t="s">
        <v>6511</v>
      </c>
      <c r="B4229" s="124" t="s">
        <v>932</v>
      </c>
      <c r="C4229" s="110">
        <v>298</v>
      </c>
      <c r="D4229" s="109" t="s">
        <v>120</v>
      </c>
      <c r="E4229" s="109">
        <v>3</v>
      </c>
      <c r="F4229" s="110">
        <v>1648</v>
      </c>
      <c r="G4229" s="109" t="s">
        <v>120</v>
      </c>
      <c r="H4229" s="109">
        <v>553</v>
      </c>
      <c r="I4229" s="109" t="s">
        <v>122</v>
      </c>
      <c r="J4229" s="110" t="s">
        <v>122</v>
      </c>
    </row>
    <row r="4230" spans="1:10">
      <c r="A4230" s="103" t="s">
        <v>6512</v>
      </c>
      <c r="B4230" s="124" t="s">
        <v>934</v>
      </c>
      <c r="C4230" s="110">
        <v>7347</v>
      </c>
      <c r="D4230" s="109" t="s">
        <v>120</v>
      </c>
      <c r="E4230" s="109">
        <v>73</v>
      </c>
      <c r="F4230" s="110">
        <v>2472</v>
      </c>
      <c r="G4230" s="109" t="s">
        <v>120</v>
      </c>
      <c r="H4230" s="109">
        <v>34</v>
      </c>
      <c r="I4230" s="109" t="s">
        <v>122</v>
      </c>
      <c r="J4230" s="110" t="s">
        <v>122</v>
      </c>
    </row>
    <row r="4231" spans="1:10" s="119" customFormat="1">
      <c r="A4231" s="123" t="s">
        <v>120</v>
      </c>
      <c r="B4231" s="273" t="s">
        <v>6513</v>
      </c>
      <c r="C4231" s="274"/>
      <c r="D4231" s="274"/>
      <c r="E4231" s="274"/>
      <c r="F4231" s="274"/>
      <c r="G4231" s="274"/>
      <c r="H4231" s="274"/>
      <c r="I4231" s="274"/>
      <c r="J4231" s="274"/>
    </row>
    <row r="4232" spans="1:10" s="119" customFormat="1">
      <c r="A4232" s="123" t="s">
        <v>120</v>
      </c>
      <c r="B4232" s="275" t="s">
        <v>924</v>
      </c>
      <c r="C4232" s="276"/>
      <c r="D4232" s="276"/>
      <c r="E4232" s="276"/>
      <c r="F4232" s="276"/>
      <c r="G4232" s="276"/>
      <c r="H4232" s="276"/>
      <c r="I4232" s="276"/>
      <c r="J4232" s="276"/>
    </row>
    <row r="4233" spans="1:10">
      <c r="A4233" s="103" t="s">
        <v>6514</v>
      </c>
      <c r="B4233" s="124" t="s">
        <v>6515</v>
      </c>
      <c r="C4233" s="110">
        <v>11782</v>
      </c>
      <c r="D4233" s="109" t="s">
        <v>120</v>
      </c>
      <c r="E4233" s="109">
        <v>118</v>
      </c>
      <c r="F4233" s="110">
        <v>5160</v>
      </c>
      <c r="G4233" s="109" t="s">
        <v>120</v>
      </c>
      <c r="H4233" s="109">
        <v>44</v>
      </c>
      <c r="I4233" s="109">
        <v>1084</v>
      </c>
      <c r="J4233" s="110">
        <v>1702</v>
      </c>
    </row>
    <row r="4234" spans="1:10">
      <c r="A4234" s="103" t="s">
        <v>6516</v>
      </c>
      <c r="B4234" s="124" t="s">
        <v>6517</v>
      </c>
      <c r="C4234" s="110">
        <v>10765</v>
      </c>
      <c r="D4234" s="109" t="s">
        <v>120</v>
      </c>
      <c r="E4234" s="109">
        <v>108</v>
      </c>
      <c r="F4234" s="110">
        <v>11487</v>
      </c>
      <c r="G4234" s="109" t="s">
        <v>120</v>
      </c>
      <c r="H4234" s="109">
        <v>107</v>
      </c>
      <c r="I4234" s="109">
        <v>1261</v>
      </c>
      <c r="J4234" s="110">
        <v>745</v>
      </c>
    </row>
    <row r="4235" spans="1:10">
      <c r="A4235" s="103" t="s">
        <v>6518</v>
      </c>
      <c r="B4235" s="124" t="s">
        <v>6519</v>
      </c>
      <c r="C4235" s="110">
        <v>13204</v>
      </c>
      <c r="D4235" s="109" t="s">
        <v>120</v>
      </c>
      <c r="E4235" s="109">
        <v>132</v>
      </c>
      <c r="F4235" s="110">
        <v>11250</v>
      </c>
      <c r="G4235" s="109" t="s">
        <v>120</v>
      </c>
      <c r="H4235" s="109">
        <v>85</v>
      </c>
      <c r="I4235" s="109">
        <v>882</v>
      </c>
      <c r="J4235" s="110">
        <v>762</v>
      </c>
    </row>
    <row r="4236" spans="1:10">
      <c r="A4236" s="103" t="s">
        <v>6520</v>
      </c>
      <c r="B4236" s="124" t="s">
        <v>6521</v>
      </c>
      <c r="C4236" s="110">
        <v>9250</v>
      </c>
      <c r="D4236" s="109" t="s">
        <v>120</v>
      </c>
      <c r="E4236" s="109">
        <v>92</v>
      </c>
      <c r="F4236" s="110">
        <v>8112</v>
      </c>
      <c r="G4236" s="109" t="s">
        <v>120</v>
      </c>
      <c r="H4236" s="109">
        <v>88</v>
      </c>
      <c r="I4236" s="109">
        <v>1506</v>
      </c>
      <c r="J4236" s="110">
        <v>1106</v>
      </c>
    </row>
    <row r="4237" spans="1:10">
      <c r="A4237" s="103" t="s">
        <v>6522</v>
      </c>
      <c r="B4237" s="124" t="s">
        <v>2609</v>
      </c>
      <c r="C4237" s="110">
        <v>10466</v>
      </c>
      <c r="D4237" s="109" t="s">
        <v>120</v>
      </c>
      <c r="E4237" s="109">
        <v>105</v>
      </c>
      <c r="F4237" s="110">
        <v>7275</v>
      </c>
      <c r="G4237" s="109" t="s">
        <v>120</v>
      </c>
      <c r="H4237" s="109">
        <v>70</v>
      </c>
      <c r="I4237" s="109">
        <v>1305</v>
      </c>
      <c r="J4237" s="110">
        <v>1249</v>
      </c>
    </row>
    <row r="4238" spans="1:10">
      <c r="A4238" s="103" t="s">
        <v>6523</v>
      </c>
      <c r="B4238" s="124" t="s">
        <v>6524</v>
      </c>
      <c r="C4238" s="110">
        <v>8489</v>
      </c>
      <c r="D4238" s="109" t="s">
        <v>120</v>
      </c>
      <c r="E4238" s="109">
        <v>85</v>
      </c>
      <c r="F4238" s="110">
        <v>6122</v>
      </c>
      <c r="G4238" s="109" t="s">
        <v>120</v>
      </c>
      <c r="H4238" s="109">
        <v>72</v>
      </c>
      <c r="I4238" s="109">
        <v>1618</v>
      </c>
      <c r="J4238" s="110">
        <v>1475</v>
      </c>
    </row>
    <row r="4239" spans="1:10">
      <c r="A4239" s="103" t="s">
        <v>6525</v>
      </c>
      <c r="B4239" s="124" t="s">
        <v>6526</v>
      </c>
      <c r="C4239" s="110">
        <v>9773</v>
      </c>
      <c r="D4239" s="109" t="s">
        <v>120</v>
      </c>
      <c r="E4239" s="109">
        <v>98</v>
      </c>
      <c r="F4239" s="110">
        <v>12436</v>
      </c>
      <c r="G4239" s="109" t="s">
        <v>120</v>
      </c>
      <c r="H4239" s="109">
        <v>127</v>
      </c>
      <c r="I4239" s="109">
        <v>1425</v>
      </c>
      <c r="J4239" s="110">
        <v>669</v>
      </c>
    </row>
    <row r="4240" spans="1:10">
      <c r="A4240" s="103" t="s">
        <v>6527</v>
      </c>
      <c r="B4240" s="124" t="s">
        <v>6528</v>
      </c>
      <c r="C4240" s="110">
        <v>14755</v>
      </c>
      <c r="D4240" s="109" t="s">
        <v>120</v>
      </c>
      <c r="E4240" s="109">
        <v>147</v>
      </c>
      <c r="F4240" s="110">
        <v>7287</v>
      </c>
      <c r="G4240" s="109" t="s">
        <v>120</v>
      </c>
      <c r="H4240" s="109">
        <v>49</v>
      </c>
      <c r="I4240" s="109">
        <v>699</v>
      </c>
      <c r="J4240" s="110">
        <v>1247</v>
      </c>
    </row>
    <row r="4241" spans="1:10">
      <c r="A4241" s="103" t="s">
        <v>6529</v>
      </c>
      <c r="B4241" s="124" t="s">
        <v>6530</v>
      </c>
      <c r="C4241" s="110">
        <v>8320</v>
      </c>
      <c r="D4241" s="109" t="s">
        <v>120</v>
      </c>
      <c r="E4241" s="109">
        <v>83</v>
      </c>
      <c r="F4241" s="110">
        <v>6202</v>
      </c>
      <c r="G4241" s="109" t="s">
        <v>120</v>
      </c>
      <c r="H4241" s="109">
        <v>75</v>
      </c>
      <c r="I4241" s="109">
        <v>1650</v>
      </c>
      <c r="J4241" s="110">
        <v>1460</v>
      </c>
    </row>
    <row r="4242" spans="1:10" s="119" customFormat="1">
      <c r="A4242" s="123" t="s">
        <v>120</v>
      </c>
      <c r="B4242" s="275" t="s">
        <v>1101</v>
      </c>
      <c r="C4242" s="276"/>
      <c r="D4242" s="276"/>
      <c r="E4242" s="276"/>
      <c r="F4242" s="276"/>
      <c r="G4242" s="276"/>
      <c r="H4242" s="276"/>
      <c r="I4242" s="276"/>
      <c r="J4242" s="276"/>
    </row>
    <row r="4243" spans="1:10">
      <c r="A4243" s="103" t="s">
        <v>6531</v>
      </c>
      <c r="B4243" s="124" t="s">
        <v>6532</v>
      </c>
      <c r="C4243" s="110">
        <v>9897</v>
      </c>
      <c r="D4243" s="109" t="s">
        <v>120</v>
      </c>
      <c r="E4243" s="109">
        <v>99</v>
      </c>
      <c r="F4243" s="110">
        <v>12079</v>
      </c>
      <c r="G4243" s="109" t="s">
        <v>120</v>
      </c>
      <c r="H4243" s="109">
        <v>122</v>
      </c>
      <c r="I4243" s="109">
        <v>1406</v>
      </c>
      <c r="J4243" s="110">
        <v>694</v>
      </c>
    </row>
    <row r="4244" spans="1:10">
      <c r="A4244" s="103" t="s">
        <v>6533</v>
      </c>
      <c r="B4244" s="124" t="s">
        <v>932</v>
      </c>
      <c r="C4244" s="110">
        <v>352</v>
      </c>
      <c r="D4244" s="109" t="s">
        <v>120</v>
      </c>
      <c r="E4244" s="109">
        <v>4</v>
      </c>
      <c r="F4244" s="110">
        <v>4478</v>
      </c>
      <c r="G4244" s="109" t="s">
        <v>120</v>
      </c>
      <c r="H4244" s="109">
        <v>1272</v>
      </c>
      <c r="I4244" s="109" t="s">
        <v>122</v>
      </c>
      <c r="J4244" s="110" t="s">
        <v>122</v>
      </c>
    </row>
    <row r="4245" spans="1:10">
      <c r="A4245" s="103" t="s">
        <v>6534</v>
      </c>
      <c r="B4245" s="124" t="s">
        <v>934</v>
      </c>
      <c r="C4245" s="110">
        <v>9545</v>
      </c>
      <c r="D4245" s="109" t="s">
        <v>120</v>
      </c>
      <c r="E4245" s="109">
        <v>95</v>
      </c>
      <c r="F4245" s="110">
        <v>7601</v>
      </c>
      <c r="G4245" s="109" t="s">
        <v>120</v>
      </c>
      <c r="H4245" s="109">
        <v>80</v>
      </c>
      <c r="I4245" s="109" t="s">
        <v>122</v>
      </c>
      <c r="J4245" s="110" t="s">
        <v>122</v>
      </c>
    </row>
    <row r="4246" spans="1:10">
      <c r="A4246" s="103" t="s">
        <v>6535</v>
      </c>
      <c r="B4246" s="124" t="s">
        <v>6536</v>
      </c>
      <c r="C4246" s="110">
        <v>11028</v>
      </c>
      <c r="D4246" s="109" t="s">
        <v>120</v>
      </c>
      <c r="E4246" s="109">
        <v>110</v>
      </c>
      <c r="F4246" s="110">
        <v>9947</v>
      </c>
      <c r="G4246" s="109" t="s">
        <v>120</v>
      </c>
      <c r="H4246" s="109">
        <v>90</v>
      </c>
      <c r="I4246" s="109">
        <v>1220</v>
      </c>
      <c r="J4246" s="110">
        <v>879</v>
      </c>
    </row>
    <row r="4247" spans="1:10">
      <c r="A4247" s="103" t="s">
        <v>6537</v>
      </c>
      <c r="B4247" s="124" t="s">
        <v>932</v>
      </c>
      <c r="C4247" s="110">
        <v>780</v>
      </c>
      <c r="D4247" s="109" t="s">
        <v>120</v>
      </c>
      <c r="E4247" s="109">
        <v>8</v>
      </c>
      <c r="F4247" s="110">
        <v>4151</v>
      </c>
      <c r="G4247" s="109" t="s">
        <v>120</v>
      </c>
      <c r="H4247" s="109">
        <v>532</v>
      </c>
      <c r="I4247" s="109" t="s">
        <v>122</v>
      </c>
      <c r="J4247" s="110" t="s">
        <v>122</v>
      </c>
    </row>
    <row r="4248" spans="1:10">
      <c r="A4248" s="103" t="s">
        <v>6538</v>
      </c>
      <c r="B4248" s="124" t="s">
        <v>934</v>
      </c>
      <c r="C4248" s="110">
        <v>10248</v>
      </c>
      <c r="D4248" s="109" t="s">
        <v>120</v>
      </c>
      <c r="E4248" s="109">
        <v>102</v>
      </c>
      <c r="F4248" s="110">
        <v>5796</v>
      </c>
      <c r="G4248" s="109" t="s">
        <v>120</v>
      </c>
      <c r="H4248" s="109">
        <v>57</v>
      </c>
      <c r="I4248" s="109" t="s">
        <v>122</v>
      </c>
      <c r="J4248" s="110" t="s">
        <v>122</v>
      </c>
    </row>
    <row r="4249" spans="1:10">
      <c r="A4249" s="103" t="s">
        <v>6539</v>
      </c>
      <c r="B4249" s="124" t="s">
        <v>6540</v>
      </c>
      <c r="C4249" s="110">
        <v>11790</v>
      </c>
      <c r="D4249" s="109" t="s">
        <v>120</v>
      </c>
      <c r="E4249" s="109">
        <v>118</v>
      </c>
      <c r="F4249" s="110">
        <v>8249</v>
      </c>
      <c r="G4249" s="109" t="s">
        <v>120</v>
      </c>
      <c r="H4249" s="109">
        <v>70</v>
      </c>
      <c r="I4249" s="109">
        <v>1082</v>
      </c>
      <c r="J4249" s="110">
        <v>1086</v>
      </c>
    </row>
    <row r="4250" spans="1:10">
      <c r="A4250" s="103" t="s">
        <v>6541</v>
      </c>
      <c r="B4250" s="124" t="s">
        <v>932</v>
      </c>
      <c r="C4250" s="110">
        <v>970</v>
      </c>
      <c r="D4250" s="109" t="s">
        <v>120</v>
      </c>
      <c r="E4250" s="109">
        <v>10</v>
      </c>
      <c r="F4250" s="110">
        <v>2373</v>
      </c>
      <c r="G4250" s="109" t="s">
        <v>120</v>
      </c>
      <c r="H4250" s="109">
        <v>245</v>
      </c>
      <c r="I4250" s="109" t="s">
        <v>122</v>
      </c>
      <c r="J4250" s="110" t="s">
        <v>122</v>
      </c>
    </row>
    <row r="4251" spans="1:10">
      <c r="A4251" s="103" t="s">
        <v>6542</v>
      </c>
      <c r="B4251" s="124" t="s">
        <v>934</v>
      </c>
      <c r="C4251" s="110">
        <v>10820</v>
      </c>
      <c r="D4251" s="109" t="s">
        <v>120</v>
      </c>
      <c r="E4251" s="109">
        <v>108</v>
      </c>
      <c r="F4251" s="110">
        <v>5876</v>
      </c>
      <c r="G4251" s="109" t="s">
        <v>120</v>
      </c>
      <c r="H4251" s="109">
        <v>54</v>
      </c>
      <c r="I4251" s="109" t="s">
        <v>122</v>
      </c>
      <c r="J4251" s="110" t="s">
        <v>122</v>
      </c>
    </row>
    <row r="4252" spans="1:10">
      <c r="A4252" s="103" t="s">
        <v>6543</v>
      </c>
      <c r="B4252" s="124" t="s">
        <v>6544</v>
      </c>
      <c r="C4252" s="110">
        <v>13742</v>
      </c>
      <c r="D4252" s="109" t="s">
        <v>120</v>
      </c>
      <c r="E4252" s="109">
        <v>137</v>
      </c>
      <c r="F4252" s="110">
        <v>10380</v>
      </c>
      <c r="G4252" s="109" t="s">
        <v>120</v>
      </c>
      <c r="H4252" s="109">
        <v>76</v>
      </c>
      <c r="I4252" s="109">
        <v>809</v>
      </c>
      <c r="J4252" s="110">
        <v>842</v>
      </c>
    </row>
    <row r="4253" spans="1:10">
      <c r="A4253" s="103" t="s">
        <v>6545</v>
      </c>
      <c r="B4253" s="124" t="s">
        <v>932</v>
      </c>
      <c r="C4253" s="110">
        <v>621</v>
      </c>
      <c r="D4253" s="109" t="s">
        <v>120</v>
      </c>
      <c r="E4253" s="109">
        <v>6</v>
      </c>
      <c r="F4253" s="110">
        <v>3538</v>
      </c>
      <c r="G4253" s="109" t="s">
        <v>120</v>
      </c>
      <c r="H4253" s="109">
        <v>570</v>
      </c>
      <c r="I4253" s="109" t="s">
        <v>122</v>
      </c>
      <c r="J4253" s="110" t="s">
        <v>122</v>
      </c>
    </row>
    <row r="4254" spans="1:10">
      <c r="A4254" s="103" t="s">
        <v>6546</v>
      </c>
      <c r="B4254" s="124" t="s">
        <v>934</v>
      </c>
      <c r="C4254" s="110">
        <v>13121</v>
      </c>
      <c r="D4254" s="109" t="s">
        <v>120</v>
      </c>
      <c r="E4254" s="109">
        <v>131</v>
      </c>
      <c r="F4254" s="110">
        <v>6842</v>
      </c>
      <c r="G4254" s="109" t="s">
        <v>120</v>
      </c>
      <c r="H4254" s="109">
        <v>52</v>
      </c>
      <c r="I4254" s="109" t="s">
        <v>122</v>
      </c>
      <c r="J4254" s="110" t="s">
        <v>122</v>
      </c>
    </row>
    <row r="4255" spans="1:10">
      <c r="A4255" s="103" t="s">
        <v>6547</v>
      </c>
      <c r="B4255" s="124" t="s">
        <v>6548</v>
      </c>
      <c r="C4255" s="110">
        <v>14563</v>
      </c>
      <c r="D4255" s="109" t="s">
        <v>120</v>
      </c>
      <c r="E4255" s="109">
        <v>146</v>
      </c>
      <c r="F4255" s="110">
        <v>14067</v>
      </c>
      <c r="G4255" s="109" t="s">
        <v>120</v>
      </c>
      <c r="H4255" s="109">
        <v>97</v>
      </c>
      <c r="I4255" s="109">
        <v>725</v>
      </c>
      <c r="J4255" s="110">
        <v>567</v>
      </c>
    </row>
    <row r="4256" spans="1:10">
      <c r="A4256" s="103" t="s">
        <v>6549</v>
      </c>
      <c r="B4256" s="124" t="s">
        <v>932</v>
      </c>
      <c r="C4256" s="110">
        <v>718</v>
      </c>
      <c r="D4256" s="109" t="s">
        <v>120</v>
      </c>
      <c r="E4256" s="109">
        <v>7</v>
      </c>
      <c r="F4256" s="110">
        <v>3131</v>
      </c>
      <c r="G4256" s="109" t="s">
        <v>120</v>
      </c>
      <c r="H4256" s="109">
        <v>436</v>
      </c>
      <c r="I4256" s="109" t="s">
        <v>122</v>
      </c>
      <c r="J4256" s="110" t="s">
        <v>122</v>
      </c>
    </row>
    <row r="4257" spans="1:10">
      <c r="A4257" s="103" t="s">
        <v>6550</v>
      </c>
      <c r="B4257" s="124" t="s">
        <v>934</v>
      </c>
      <c r="C4257" s="110">
        <v>13845</v>
      </c>
      <c r="D4257" s="109" t="s">
        <v>120</v>
      </c>
      <c r="E4257" s="109">
        <v>139</v>
      </c>
      <c r="F4257" s="110">
        <v>10936</v>
      </c>
      <c r="G4257" s="109" t="s">
        <v>120</v>
      </c>
      <c r="H4257" s="109">
        <v>79</v>
      </c>
      <c r="I4257" s="109" t="s">
        <v>122</v>
      </c>
      <c r="J4257" s="110" t="s">
        <v>122</v>
      </c>
    </row>
    <row r="4258" spans="1:10" s="119" customFormat="1">
      <c r="A4258" s="123" t="s">
        <v>120</v>
      </c>
      <c r="B4258" s="273" t="s">
        <v>6551</v>
      </c>
      <c r="C4258" s="274"/>
      <c r="D4258" s="274"/>
      <c r="E4258" s="274"/>
      <c r="F4258" s="274"/>
      <c r="G4258" s="274"/>
      <c r="H4258" s="274"/>
      <c r="I4258" s="274"/>
      <c r="J4258" s="274"/>
    </row>
    <row r="4259" spans="1:10" s="119" customFormat="1">
      <c r="A4259" s="123" t="s">
        <v>120</v>
      </c>
      <c r="B4259" s="275" t="s">
        <v>922</v>
      </c>
      <c r="C4259" s="276"/>
      <c r="D4259" s="276"/>
      <c r="E4259" s="276"/>
      <c r="F4259" s="276"/>
      <c r="G4259" s="276"/>
      <c r="H4259" s="276"/>
      <c r="I4259" s="276"/>
      <c r="J4259" s="276"/>
    </row>
    <row r="4260" spans="1:10">
      <c r="A4260" s="103" t="s">
        <v>6552</v>
      </c>
      <c r="B4260" s="124" t="s">
        <v>6553</v>
      </c>
      <c r="C4260" s="110">
        <v>901</v>
      </c>
      <c r="D4260" s="109" t="s">
        <v>120</v>
      </c>
      <c r="E4260" s="109">
        <v>9</v>
      </c>
      <c r="F4260" s="110">
        <v>23876</v>
      </c>
      <c r="G4260" s="109" t="s">
        <v>120</v>
      </c>
      <c r="H4260" s="109">
        <v>2650</v>
      </c>
      <c r="I4260" s="109">
        <v>2327</v>
      </c>
      <c r="J4260" s="110">
        <v>268</v>
      </c>
    </row>
    <row r="4261" spans="1:10" s="119" customFormat="1">
      <c r="A4261" s="123" t="s">
        <v>120</v>
      </c>
      <c r="B4261" s="275" t="s">
        <v>1296</v>
      </c>
      <c r="C4261" s="276"/>
      <c r="D4261" s="276"/>
      <c r="E4261" s="276"/>
      <c r="F4261" s="276"/>
      <c r="G4261" s="276"/>
      <c r="H4261" s="276"/>
      <c r="I4261" s="276"/>
      <c r="J4261" s="276"/>
    </row>
    <row r="4262" spans="1:10">
      <c r="A4262" s="103" t="s">
        <v>6554</v>
      </c>
      <c r="B4262" s="124" t="s">
        <v>6553</v>
      </c>
      <c r="C4262" s="110">
        <v>20250</v>
      </c>
      <c r="D4262" s="109" t="s">
        <v>120</v>
      </c>
      <c r="E4262" s="109">
        <v>202</v>
      </c>
      <c r="F4262" s="110">
        <v>16144</v>
      </c>
      <c r="G4262" s="109" t="s">
        <v>120</v>
      </c>
      <c r="H4262" s="109">
        <v>80</v>
      </c>
      <c r="I4262" s="109">
        <v>333</v>
      </c>
      <c r="J4262" s="110">
        <v>465</v>
      </c>
    </row>
    <row r="4263" spans="1:10" s="119" customFormat="1">
      <c r="A4263" s="123" t="s">
        <v>120</v>
      </c>
      <c r="B4263" s="275" t="s">
        <v>947</v>
      </c>
      <c r="C4263" s="276"/>
      <c r="D4263" s="276"/>
      <c r="E4263" s="276"/>
      <c r="F4263" s="276"/>
      <c r="G4263" s="276"/>
      <c r="H4263" s="276"/>
      <c r="I4263" s="276"/>
      <c r="J4263" s="276"/>
    </row>
    <row r="4264" spans="1:10">
      <c r="A4264" s="103" t="s">
        <v>6555</v>
      </c>
      <c r="B4264" s="124" t="s">
        <v>6556</v>
      </c>
      <c r="C4264" s="110">
        <v>14219</v>
      </c>
      <c r="D4264" s="109" t="s">
        <v>120</v>
      </c>
      <c r="E4264" s="109">
        <v>142</v>
      </c>
      <c r="F4264" s="110">
        <v>11513</v>
      </c>
      <c r="G4264" s="109" t="s">
        <v>120</v>
      </c>
      <c r="H4264" s="109">
        <v>81</v>
      </c>
      <c r="I4264" s="109">
        <v>757</v>
      </c>
      <c r="J4264" s="110">
        <v>742</v>
      </c>
    </row>
    <row r="4265" spans="1:10">
      <c r="A4265" s="103" t="s">
        <v>6557</v>
      </c>
      <c r="B4265" s="124" t="s">
        <v>932</v>
      </c>
      <c r="C4265" s="110">
        <v>332</v>
      </c>
      <c r="D4265" s="109" t="s">
        <v>120</v>
      </c>
      <c r="E4265" s="109">
        <v>3</v>
      </c>
      <c r="F4265" s="110">
        <v>5307</v>
      </c>
      <c r="G4265" s="109" t="s">
        <v>120</v>
      </c>
      <c r="H4265" s="109">
        <v>1598</v>
      </c>
      <c r="I4265" s="109" t="s">
        <v>122</v>
      </c>
      <c r="J4265" s="110" t="s">
        <v>122</v>
      </c>
    </row>
    <row r="4266" spans="1:10">
      <c r="A4266" s="103" t="s">
        <v>6558</v>
      </c>
      <c r="B4266" s="124" t="s">
        <v>934</v>
      </c>
      <c r="C4266" s="110">
        <v>13887</v>
      </c>
      <c r="D4266" s="109" t="s">
        <v>120</v>
      </c>
      <c r="E4266" s="109">
        <v>139</v>
      </c>
      <c r="F4266" s="110">
        <v>6206</v>
      </c>
      <c r="G4266" s="109" t="s">
        <v>120</v>
      </c>
      <c r="H4266" s="109">
        <v>45</v>
      </c>
      <c r="I4266" s="109" t="s">
        <v>122</v>
      </c>
      <c r="J4266" s="110" t="s">
        <v>122</v>
      </c>
    </row>
    <row r="4267" spans="1:10">
      <c r="A4267" s="103" t="s">
        <v>6559</v>
      </c>
      <c r="B4267" s="124" t="s">
        <v>6560</v>
      </c>
      <c r="C4267" s="110">
        <v>17895</v>
      </c>
      <c r="D4267" s="109" t="s">
        <v>120</v>
      </c>
      <c r="E4267" s="109">
        <v>179</v>
      </c>
      <c r="F4267" s="110">
        <v>10043</v>
      </c>
      <c r="G4267" s="109" t="s">
        <v>120</v>
      </c>
      <c r="H4267" s="109">
        <v>56</v>
      </c>
      <c r="I4267" s="109">
        <v>458</v>
      </c>
      <c r="J4267" s="110">
        <v>868</v>
      </c>
    </row>
    <row r="4268" spans="1:10">
      <c r="A4268" s="103" t="s">
        <v>6561</v>
      </c>
      <c r="B4268" s="124" t="s">
        <v>932</v>
      </c>
      <c r="C4268" s="110">
        <v>227</v>
      </c>
      <c r="D4268" s="109" t="s">
        <v>120</v>
      </c>
      <c r="E4268" s="109">
        <v>2</v>
      </c>
      <c r="F4268" s="110">
        <v>1717</v>
      </c>
      <c r="G4268" s="109" t="s">
        <v>120</v>
      </c>
      <c r="H4268" s="109">
        <v>756</v>
      </c>
      <c r="I4268" s="109" t="s">
        <v>122</v>
      </c>
      <c r="J4268" s="110" t="s">
        <v>122</v>
      </c>
    </row>
    <row r="4269" spans="1:10">
      <c r="A4269" s="103" t="s">
        <v>6562</v>
      </c>
      <c r="B4269" s="124" t="s">
        <v>934</v>
      </c>
      <c r="C4269" s="110">
        <v>17668</v>
      </c>
      <c r="D4269" s="109" t="s">
        <v>120</v>
      </c>
      <c r="E4269" s="109">
        <v>177</v>
      </c>
      <c r="F4269" s="110">
        <v>8326</v>
      </c>
      <c r="G4269" s="109" t="s">
        <v>120</v>
      </c>
      <c r="H4269" s="109">
        <v>47</v>
      </c>
      <c r="I4269" s="109" t="s">
        <v>122</v>
      </c>
      <c r="J4269" s="110" t="s">
        <v>122</v>
      </c>
    </row>
    <row r="4270" spans="1:10">
      <c r="A4270" s="103" t="s">
        <v>6563</v>
      </c>
      <c r="B4270" s="124" t="s">
        <v>6564</v>
      </c>
      <c r="C4270" s="110">
        <v>18977</v>
      </c>
      <c r="D4270" s="109" t="s">
        <v>120</v>
      </c>
      <c r="E4270" s="109">
        <v>190</v>
      </c>
      <c r="F4270" s="110">
        <v>17607</v>
      </c>
      <c r="G4270" s="109" t="s">
        <v>120</v>
      </c>
      <c r="H4270" s="109">
        <v>93</v>
      </c>
      <c r="I4270" s="109">
        <v>393</v>
      </c>
      <c r="J4270" s="110">
        <v>415</v>
      </c>
    </row>
    <row r="4271" spans="1:10">
      <c r="A4271" s="103" t="s">
        <v>6565</v>
      </c>
      <c r="B4271" s="124" t="s">
        <v>932</v>
      </c>
      <c r="C4271" s="110">
        <v>530</v>
      </c>
      <c r="D4271" s="109" t="s">
        <v>120</v>
      </c>
      <c r="E4271" s="109">
        <v>5</v>
      </c>
      <c r="F4271" s="110">
        <v>5641</v>
      </c>
      <c r="G4271" s="109" t="s">
        <v>120</v>
      </c>
      <c r="H4271" s="109">
        <v>1064</v>
      </c>
      <c r="I4271" s="109" t="s">
        <v>122</v>
      </c>
      <c r="J4271" s="110" t="s">
        <v>122</v>
      </c>
    </row>
    <row r="4272" spans="1:10">
      <c r="A4272" s="103" t="s">
        <v>6566</v>
      </c>
      <c r="B4272" s="124" t="s">
        <v>934</v>
      </c>
      <c r="C4272" s="110">
        <v>18447</v>
      </c>
      <c r="D4272" s="109" t="s">
        <v>120</v>
      </c>
      <c r="E4272" s="109">
        <v>185</v>
      </c>
      <c r="F4272" s="110">
        <v>11966</v>
      </c>
      <c r="G4272" s="109" t="s">
        <v>120</v>
      </c>
      <c r="H4272" s="109">
        <v>65</v>
      </c>
      <c r="I4272" s="109" t="s">
        <v>122</v>
      </c>
      <c r="J4272" s="110" t="s">
        <v>122</v>
      </c>
    </row>
    <row r="4273" spans="1:10" s="119" customFormat="1">
      <c r="A4273" s="123" t="s">
        <v>120</v>
      </c>
      <c r="B4273" s="273" t="s">
        <v>6567</v>
      </c>
      <c r="C4273" s="274"/>
      <c r="D4273" s="274"/>
      <c r="E4273" s="274"/>
      <c r="F4273" s="274"/>
      <c r="G4273" s="274"/>
      <c r="H4273" s="274"/>
      <c r="I4273" s="274"/>
      <c r="J4273" s="274"/>
    </row>
    <row r="4274" spans="1:10" s="119" customFormat="1">
      <c r="A4274" s="123" t="s">
        <v>120</v>
      </c>
      <c r="B4274" s="275" t="s">
        <v>922</v>
      </c>
      <c r="C4274" s="276"/>
      <c r="D4274" s="276"/>
      <c r="E4274" s="276"/>
      <c r="F4274" s="276"/>
      <c r="G4274" s="276"/>
      <c r="H4274" s="276"/>
      <c r="I4274" s="276"/>
      <c r="J4274" s="276"/>
    </row>
    <row r="4275" spans="1:10">
      <c r="A4275" s="103" t="s">
        <v>6568</v>
      </c>
      <c r="B4275" s="124" t="s">
        <v>2663</v>
      </c>
      <c r="C4275" s="110">
        <v>2929</v>
      </c>
      <c r="D4275" s="109" t="s">
        <v>120</v>
      </c>
      <c r="E4275" s="109">
        <v>29</v>
      </c>
      <c r="F4275" s="110">
        <v>2851</v>
      </c>
      <c r="G4275" s="109" t="s">
        <v>120</v>
      </c>
      <c r="H4275" s="109">
        <v>97</v>
      </c>
      <c r="I4275" s="109">
        <v>2171</v>
      </c>
      <c r="J4275" s="110">
        <v>2216</v>
      </c>
    </row>
    <row r="4276" spans="1:10" s="119" customFormat="1">
      <c r="A4276" s="123" t="s">
        <v>120</v>
      </c>
      <c r="B4276" s="275" t="s">
        <v>1296</v>
      </c>
      <c r="C4276" s="276"/>
      <c r="D4276" s="276"/>
      <c r="E4276" s="276"/>
      <c r="F4276" s="276"/>
      <c r="G4276" s="276"/>
      <c r="H4276" s="276"/>
      <c r="I4276" s="276"/>
      <c r="J4276" s="276"/>
    </row>
    <row r="4277" spans="1:10">
      <c r="A4277" s="103" t="s">
        <v>6569</v>
      </c>
      <c r="B4277" s="124" t="s">
        <v>6570</v>
      </c>
      <c r="C4277" s="110">
        <v>7920</v>
      </c>
      <c r="D4277" s="109" t="s">
        <v>120</v>
      </c>
      <c r="E4277" s="109">
        <v>80</v>
      </c>
      <c r="F4277" s="110">
        <v>5204</v>
      </c>
      <c r="G4277" s="109" t="s">
        <v>120</v>
      </c>
      <c r="H4277" s="109">
        <v>66</v>
      </c>
      <c r="I4277" s="109">
        <v>1715</v>
      </c>
      <c r="J4277" s="110">
        <v>1687</v>
      </c>
    </row>
    <row r="4278" spans="1:10" s="119" customFormat="1">
      <c r="A4278" s="123" t="s">
        <v>120</v>
      </c>
      <c r="B4278" s="275" t="s">
        <v>1047</v>
      </c>
      <c r="C4278" s="276"/>
      <c r="D4278" s="276"/>
      <c r="E4278" s="276"/>
      <c r="F4278" s="276"/>
      <c r="G4278" s="276"/>
      <c r="H4278" s="276"/>
      <c r="I4278" s="276"/>
      <c r="J4278" s="276"/>
    </row>
    <row r="4279" spans="1:10">
      <c r="A4279" s="103" t="s">
        <v>6571</v>
      </c>
      <c r="B4279" s="124" t="s">
        <v>6572</v>
      </c>
      <c r="C4279" s="110">
        <v>11210</v>
      </c>
      <c r="D4279" s="109" t="s">
        <v>120</v>
      </c>
      <c r="E4279" s="109">
        <v>112</v>
      </c>
      <c r="F4279" s="110">
        <v>8090</v>
      </c>
      <c r="G4279" s="109" t="s">
        <v>120</v>
      </c>
      <c r="H4279" s="109">
        <v>72</v>
      </c>
      <c r="I4279" s="109">
        <v>1175</v>
      </c>
      <c r="J4279" s="110">
        <v>1110</v>
      </c>
    </row>
    <row r="4280" spans="1:10">
      <c r="A4280" s="103" t="s">
        <v>6573</v>
      </c>
      <c r="B4280" s="124" t="s">
        <v>932</v>
      </c>
      <c r="C4280" s="110">
        <v>487</v>
      </c>
      <c r="D4280" s="109" t="s">
        <v>120</v>
      </c>
      <c r="E4280" s="109">
        <v>5</v>
      </c>
      <c r="F4280" s="110">
        <v>3237</v>
      </c>
      <c r="G4280" s="109" t="s">
        <v>120</v>
      </c>
      <c r="H4280" s="109">
        <v>665</v>
      </c>
      <c r="I4280" s="109" t="s">
        <v>122</v>
      </c>
      <c r="J4280" s="110" t="s">
        <v>122</v>
      </c>
    </row>
    <row r="4281" spans="1:10">
      <c r="A4281" s="103" t="s">
        <v>6574</v>
      </c>
      <c r="B4281" s="124" t="s">
        <v>934</v>
      </c>
      <c r="C4281" s="110">
        <v>10723</v>
      </c>
      <c r="D4281" s="109" t="s">
        <v>120</v>
      </c>
      <c r="E4281" s="109">
        <v>107</v>
      </c>
      <c r="F4281" s="110">
        <v>4853</v>
      </c>
      <c r="G4281" s="109" t="s">
        <v>120</v>
      </c>
      <c r="H4281" s="109">
        <v>45</v>
      </c>
      <c r="I4281" s="109" t="s">
        <v>122</v>
      </c>
      <c r="J4281" s="110" t="s">
        <v>122</v>
      </c>
    </row>
    <row r="4282" spans="1:10">
      <c r="A4282" s="103" t="s">
        <v>6575</v>
      </c>
      <c r="B4282" s="124" t="s">
        <v>6576</v>
      </c>
      <c r="C4282" s="110">
        <v>15242</v>
      </c>
      <c r="D4282" s="109" t="s">
        <v>120</v>
      </c>
      <c r="E4282" s="109">
        <v>152</v>
      </c>
      <c r="F4282" s="110">
        <v>13211</v>
      </c>
      <c r="G4282" s="109" t="s">
        <v>120</v>
      </c>
      <c r="H4282" s="109">
        <v>87</v>
      </c>
      <c r="I4282" s="109">
        <v>653</v>
      </c>
      <c r="J4282" s="110">
        <v>614</v>
      </c>
    </row>
    <row r="4283" spans="1:10">
      <c r="A4283" s="103" t="s">
        <v>6577</v>
      </c>
      <c r="B4283" s="124" t="s">
        <v>932</v>
      </c>
      <c r="C4283" s="110">
        <v>589</v>
      </c>
      <c r="D4283" s="109" t="s">
        <v>120</v>
      </c>
      <c r="E4283" s="109">
        <v>6</v>
      </c>
      <c r="F4283" s="110">
        <v>6472</v>
      </c>
      <c r="G4283" s="109" t="s">
        <v>120</v>
      </c>
      <c r="H4283" s="109">
        <v>1099</v>
      </c>
      <c r="I4283" s="109" t="s">
        <v>122</v>
      </c>
      <c r="J4283" s="110" t="s">
        <v>122</v>
      </c>
    </row>
    <row r="4284" spans="1:10">
      <c r="A4284" s="103" t="s">
        <v>6578</v>
      </c>
      <c r="B4284" s="124" t="s">
        <v>934</v>
      </c>
      <c r="C4284" s="110">
        <v>14653</v>
      </c>
      <c r="D4284" s="109" t="s">
        <v>120</v>
      </c>
      <c r="E4284" s="109">
        <v>146</v>
      </c>
      <c r="F4284" s="110">
        <v>6739</v>
      </c>
      <c r="G4284" s="109" t="s">
        <v>120</v>
      </c>
      <c r="H4284" s="109">
        <v>46</v>
      </c>
      <c r="I4284" s="109" t="s">
        <v>122</v>
      </c>
      <c r="J4284" s="110" t="s">
        <v>122</v>
      </c>
    </row>
    <row r="4285" spans="1:10">
      <c r="A4285" s="103" t="s">
        <v>6579</v>
      </c>
      <c r="B4285" s="124" t="s">
        <v>6580</v>
      </c>
      <c r="C4285" s="110">
        <v>25580</v>
      </c>
      <c r="D4285" s="109" t="s">
        <v>120</v>
      </c>
      <c r="E4285" s="109">
        <v>256</v>
      </c>
      <c r="F4285" s="110">
        <v>40341</v>
      </c>
      <c r="G4285" s="109" t="s">
        <v>120</v>
      </c>
      <c r="H4285" s="109">
        <v>158</v>
      </c>
      <c r="I4285" s="109">
        <v>167</v>
      </c>
      <c r="J4285" s="110">
        <v>126</v>
      </c>
    </row>
    <row r="4286" spans="1:10">
      <c r="A4286" s="103" t="s">
        <v>6581</v>
      </c>
      <c r="B4286" s="124" t="s">
        <v>932</v>
      </c>
      <c r="C4286" s="110">
        <v>2254</v>
      </c>
      <c r="D4286" s="109" t="s">
        <v>120</v>
      </c>
      <c r="E4286" s="109">
        <v>23</v>
      </c>
      <c r="F4286" s="110">
        <v>28804</v>
      </c>
      <c r="G4286" s="109" t="s">
        <v>120</v>
      </c>
      <c r="H4286" s="109">
        <v>1278</v>
      </c>
      <c r="I4286" s="109" t="s">
        <v>122</v>
      </c>
      <c r="J4286" s="110" t="s">
        <v>122</v>
      </c>
    </row>
    <row r="4287" spans="1:10">
      <c r="A4287" s="103" t="s">
        <v>6582</v>
      </c>
      <c r="B4287" s="124" t="s">
        <v>934</v>
      </c>
      <c r="C4287" s="110">
        <v>23326</v>
      </c>
      <c r="D4287" s="109" t="s">
        <v>120</v>
      </c>
      <c r="E4287" s="109">
        <v>233</v>
      </c>
      <c r="F4287" s="110">
        <v>11537</v>
      </c>
      <c r="G4287" s="109" t="s">
        <v>120</v>
      </c>
      <c r="H4287" s="109">
        <v>49</v>
      </c>
      <c r="I4287" s="109" t="s">
        <v>122</v>
      </c>
      <c r="J4287" s="110" t="s">
        <v>122</v>
      </c>
    </row>
    <row r="4288" spans="1:10">
      <c r="A4288" s="103" t="s">
        <v>6583</v>
      </c>
      <c r="B4288" s="124" t="s">
        <v>2596</v>
      </c>
      <c r="C4288" s="110">
        <v>8487</v>
      </c>
      <c r="D4288" s="109" t="s">
        <v>120</v>
      </c>
      <c r="E4288" s="109">
        <v>85</v>
      </c>
      <c r="F4288" s="110">
        <v>7577</v>
      </c>
      <c r="G4288" s="109" t="s">
        <v>120</v>
      </c>
      <c r="H4288" s="109">
        <v>89</v>
      </c>
      <c r="I4288" s="109">
        <v>1619</v>
      </c>
      <c r="J4288" s="110">
        <v>1189</v>
      </c>
    </row>
    <row r="4289" spans="1:10">
      <c r="A4289" s="103" t="s">
        <v>6584</v>
      </c>
      <c r="B4289" s="124" t="s">
        <v>932</v>
      </c>
      <c r="C4289" s="110">
        <v>620</v>
      </c>
      <c r="D4289" s="109" t="s">
        <v>120</v>
      </c>
      <c r="E4289" s="109">
        <v>6</v>
      </c>
      <c r="F4289" s="110">
        <v>4487</v>
      </c>
      <c r="G4289" s="109" t="s">
        <v>120</v>
      </c>
      <c r="H4289" s="109">
        <v>724</v>
      </c>
      <c r="I4289" s="109" t="s">
        <v>122</v>
      </c>
      <c r="J4289" s="110" t="s">
        <v>122</v>
      </c>
    </row>
    <row r="4290" spans="1:10">
      <c r="A4290" s="103" t="s">
        <v>6585</v>
      </c>
      <c r="B4290" s="124" t="s">
        <v>934</v>
      </c>
      <c r="C4290" s="110">
        <v>7867</v>
      </c>
      <c r="D4290" s="109" t="s">
        <v>120</v>
      </c>
      <c r="E4290" s="109">
        <v>79</v>
      </c>
      <c r="F4290" s="110">
        <v>3090</v>
      </c>
      <c r="G4290" s="109" t="s">
        <v>120</v>
      </c>
      <c r="H4290" s="109">
        <v>39</v>
      </c>
      <c r="I4290" s="109" t="s">
        <v>122</v>
      </c>
      <c r="J4290" s="110" t="s">
        <v>122</v>
      </c>
    </row>
    <row r="4291" spans="1:10" s="119" customFormat="1">
      <c r="A4291" s="123" t="s">
        <v>120</v>
      </c>
      <c r="B4291" s="273" t="s">
        <v>6586</v>
      </c>
      <c r="C4291" s="274"/>
      <c r="D4291" s="274"/>
      <c r="E4291" s="274"/>
      <c r="F4291" s="274"/>
      <c r="G4291" s="274"/>
      <c r="H4291" s="274"/>
      <c r="I4291" s="274"/>
      <c r="J4291" s="274"/>
    </row>
    <row r="4292" spans="1:10" s="119" customFormat="1">
      <c r="A4292" s="123" t="s">
        <v>120</v>
      </c>
      <c r="B4292" s="275" t="s">
        <v>943</v>
      </c>
      <c r="C4292" s="276"/>
      <c r="D4292" s="276"/>
      <c r="E4292" s="276"/>
      <c r="F4292" s="276"/>
      <c r="G4292" s="276"/>
      <c r="H4292" s="276"/>
      <c r="I4292" s="276"/>
      <c r="J4292" s="276"/>
    </row>
    <row r="4293" spans="1:10">
      <c r="A4293" s="103" t="s">
        <v>6587</v>
      </c>
      <c r="B4293" s="124" t="s">
        <v>6588</v>
      </c>
      <c r="C4293" s="110">
        <v>11319</v>
      </c>
      <c r="D4293" s="109" t="s">
        <v>120</v>
      </c>
      <c r="E4293" s="109">
        <v>113</v>
      </c>
      <c r="F4293" s="110">
        <v>8301</v>
      </c>
      <c r="G4293" s="109" t="s">
        <v>120</v>
      </c>
      <c r="H4293" s="109">
        <v>73</v>
      </c>
      <c r="I4293" s="109">
        <v>1158</v>
      </c>
      <c r="J4293" s="110">
        <v>1073</v>
      </c>
    </row>
    <row r="4294" spans="1:10">
      <c r="A4294" s="103" t="s">
        <v>6589</v>
      </c>
      <c r="B4294" s="124" t="s">
        <v>1534</v>
      </c>
      <c r="C4294" s="110">
        <v>10385</v>
      </c>
      <c r="D4294" s="109" t="s">
        <v>120</v>
      </c>
      <c r="E4294" s="109">
        <v>104</v>
      </c>
      <c r="F4294" s="110">
        <v>8382</v>
      </c>
      <c r="G4294" s="109" t="s">
        <v>120</v>
      </c>
      <c r="H4294" s="109">
        <v>81</v>
      </c>
      <c r="I4294" s="109">
        <v>1322</v>
      </c>
      <c r="J4294" s="110">
        <v>1066</v>
      </c>
    </row>
    <row r="4295" spans="1:10">
      <c r="A4295" s="103" t="s">
        <v>6590</v>
      </c>
      <c r="B4295" s="124" t="s">
        <v>6591</v>
      </c>
      <c r="C4295" s="110">
        <v>13494</v>
      </c>
      <c r="D4295" s="109" t="s">
        <v>120</v>
      </c>
      <c r="E4295" s="109">
        <v>134</v>
      </c>
      <c r="F4295" s="110">
        <v>8108</v>
      </c>
      <c r="G4295" s="109" t="s">
        <v>120</v>
      </c>
      <c r="H4295" s="109">
        <v>60</v>
      </c>
      <c r="I4295" s="109">
        <v>838</v>
      </c>
      <c r="J4295" s="110">
        <v>1108</v>
      </c>
    </row>
    <row r="4296" spans="1:10">
      <c r="A4296" s="103" t="s">
        <v>6592</v>
      </c>
      <c r="B4296" s="124" t="s">
        <v>6593</v>
      </c>
      <c r="C4296" s="110">
        <v>6184</v>
      </c>
      <c r="D4296" s="109" t="s">
        <v>120</v>
      </c>
      <c r="E4296" s="109">
        <v>62</v>
      </c>
      <c r="F4296" s="110">
        <v>3836</v>
      </c>
      <c r="G4296" s="109" t="s">
        <v>120</v>
      </c>
      <c r="H4296" s="109">
        <v>62</v>
      </c>
      <c r="I4296" s="109">
        <v>1937</v>
      </c>
      <c r="J4296" s="110">
        <v>2035</v>
      </c>
    </row>
    <row r="4297" spans="1:10">
      <c r="A4297" s="103" t="s">
        <v>6594</v>
      </c>
      <c r="B4297" s="124" t="s">
        <v>6595</v>
      </c>
      <c r="C4297" s="110">
        <v>12775</v>
      </c>
      <c r="D4297" s="109" t="s">
        <v>120</v>
      </c>
      <c r="E4297" s="109">
        <v>128</v>
      </c>
      <c r="F4297" s="110">
        <v>9669</v>
      </c>
      <c r="G4297" s="109" t="s">
        <v>120</v>
      </c>
      <c r="H4297" s="109">
        <v>76</v>
      </c>
      <c r="I4297" s="109">
        <v>946</v>
      </c>
      <c r="J4297" s="110">
        <v>908</v>
      </c>
    </row>
    <row r="4298" spans="1:10" s="119" customFormat="1">
      <c r="A4298" s="123" t="s">
        <v>120</v>
      </c>
      <c r="B4298" s="275" t="s">
        <v>1101</v>
      </c>
      <c r="C4298" s="276"/>
      <c r="D4298" s="276"/>
      <c r="E4298" s="276"/>
      <c r="F4298" s="276"/>
      <c r="G4298" s="276"/>
      <c r="H4298" s="276"/>
      <c r="I4298" s="276"/>
      <c r="J4298" s="276"/>
    </row>
    <row r="4299" spans="1:10">
      <c r="A4299" s="103" t="s">
        <v>6596</v>
      </c>
      <c r="B4299" s="124" t="s">
        <v>5272</v>
      </c>
      <c r="C4299" s="110">
        <v>12864</v>
      </c>
      <c r="D4299" s="109" t="s">
        <v>120</v>
      </c>
      <c r="E4299" s="109">
        <v>129</v>
      </c>
      <c r="F4299" s="110">
        <v>9269</v>
      </c>
      <c r="G4299" s="109" t="s">
        <v>120</v>
      </c>
      <c r="H4299" s="109">
        <v>72</v>
      </c>
      <c r="I4299" s="109">
        <v>930</v>
      </c>
      <c r="J4299" s="110">
        <v>944</v>
      </c>
    </row>
    <row r="4300" spans="1:10">
      <c r="A4300" s="103" t="s">
        <v>6597</v>
      </c>
      <c r="B4300" s="124" t="s">
        <v>932</v>
      </c>
      <c r="C4300" s="110">
        <v>476</v>
      </c>
      <c r="D4300" s="109" t="s">
        <v>120</v>
      </c>
      <c r="E4300" s="109">
        <v>5</v>
      </c>
      <c r="F4300" s="110">
        <v>2369</v>
      </c>
      <c r="G4300" s="109" t="s">
        <v>120</v>
      </c>
      <c r="H4300" s="109">
        <v>498</v>
      </c>
      <c r="I4300" s="109" t="s">
        <v>122</v>
      </c>
      <c r="J4300" s="110" t="s">
        <v>122</v>
      </c>
    </row>
    <row r="4301" spans="1:10">
      <c r="A4301" s="103" t="s">
        <v>6598</v>
      </c>
      <c r="B4301" s="124" t="s">
        <v>934</v>
      </c>
      <c r="C4301" s="110">
        <v>12388</v>
      </c>
      <c r="D4301" s="109" t="s">
        <v>120</v>
      </c>
      <c r="E4301" s="109">
        <v>124</v>
      </c>
      <c r="F4301" s="110">
        <v>6900</v>
      </c>
      <c r="G4301" s="109" t="s">
        <v>120</v>
      </c>
      <c r="H4301" s="109">
        <v>56</v>
      </c>
      <c r="I4301" s="109" t="s">
        <v>122</v>
      </c>
      <c r="J4301" s="110" t="s">
        <v>122</v>
      </c>
    </row>
    <row r="4302" spans="1:10">
      <c r="A4302" s="103" t="s">
        <v>6599</v>
      </c>
      <c r="B4302" s="124" t="s">
        <v>6600</v>
      </c>
      <c r="C4302" s="110">
        <v>13560</v>
      </c>
      <c r="D4302" s="109" t="s">
        <v>120</v>
      </c>
      <c r="E4302" s="109">
        <v>136</v>
      </c>
      <c r="F4302" s="110">
        <v>9636</v>
      </c>
      <c r="G4302" s="109" t="s">
        <v>120</v>
      </c>
      <c r="H4302" s="109">
        <v>71</v>
      </c>
      <c r="I4302" s="109">
        <v>831</v>
      </c>
      <c r="J4302" s="110">
        <v>915</v>
      </c>
    </row>
    <row r="4303" spans="1:10">
      <c r="A4303" s="103" t="s">
        <v>6601</v>
      </c>
      <c r="B4303" s="124" t="s">
        <v>932</v>
      </c>
      <c r="C4303" s="110">
        <v>220</v>
      </c>
      <c r="D4303" s="109" t="s">
        <v>120</v>
      </c>
      <c r="E4303" s="109">
        <v>2</v>
      </c>
      <c r="F4303" s="110">
        <v>2897</v>
      </c>
      <c r="G4303" s="109" t="s">
        <v>120</v>
      </c>
      <c r="H4303" s="109">
        <v>1317</v>
      </c>
      <c r="I4303" s="109" t="s">
        <v>122</v>
      </c>
      <c r="J4303" s="110" t="s">
        <v>122</v>
      </c>
    </row>
    <row r="4304" spans="1:10">
      <c r="A4304" s="103" t="s">
        <v>6602</v>
      </c>
      <c r="B4304" s="124" t="s">
        <v>934</v>
      </c>
      <c r="C4304" s="110">
        <v>13340</v>
      </c>
      <c r="D4304" s="109" t="s">
        <v>120</v>
      </c>
      <c r="E4304" s="109">
        <v>134</v>
      </c>
      <c r="F4304" s="110">
        <v>6739</v>
      </c>
      <c r="G4304" s="109" t="s">
        <v>120</v>
      </c>
      <c r="H4304" s="109">
        <v>51</v>
      </c>
      <c r="I4304" s="109" t="s">
        <v>122</v>
      </c>
      <c r="J4304" s="110" t="s">
        <v>122</v>
      </c>
    </row>
    <row r="4305" spans="1:10" s="119" customFormat="1">
      <c r="A4305" s="123" t="s">
        <v>120</v>
      </c>
      <c r="B4305" s="273" t="s">
        <v>6603</v>
      </c>
      <c r="C4305" s="274"/>
      <c r="D4305" s="274"/>
      <c r="E4305" s="274"/>
      <c r="F4305" s="274"/>
      <c r="G4305" s="274"/>
      <c r="H4305" s="274"/>
      <c r="I4305" s="274"/>
      <c r="J4305" s="274"/>
    </row>
    <row r="4306" spans="1:10" s="119" customFormat="1">
      <c r="A4306" s="123" t="s">
        <v>120</v>
      </c>
      <c r="B4306" s="275" t="s">
        <v>943</v>
      </c>
      <c r="C4306" s="276"/>
      <c r="D4306" s="276"/>
      <c r="E4306" s="276"/>
      <c r="F4306" s="276"/>
      <c r="G4306" s="276"/>
      <c r="H4306" s="276"/>
      <c r="I4306" s="276"/>
      <c r="J4306" s="276"/>
    </row>
    <row r="4307" spans="1:10">
      <c r="A4307" s="103" t="s">
        <v>6604</v>
      </c>
      <c r="B4307" s="124" t="s">
        <v>6605</v>
      </c>
      <c r="C4307" s="110">
        <v>8452</v>
      </c>
      <c r="D4307" s="109" t="s">
        <v>120</v>
      </c>
      <c r="E4307" s="109">
        <v>85</v>
      </c>
      <c r="F4307" s="110">
        <v>3306</v>
      </c>
      <c r="G4307" s="109" t="s">
        <v>120</v>
      </c>
      <c r="H4307" s="109">
        <v>39</v>
      </c>
      <c r="I4307" s="109">
        <v>1628</v>
      </c>
      <c r="J4307" s="110">
        <v>2146</v>
      </c>
    </row>
    <row r="4308" spans="1:10">
      <c r="A4308" s="103" t="s">
        <v>6606</v>
      </c>
      <c r="B4308" s="124" t="s">
        <v>6607</v>
      </c>
      <c r="C4308" s="110">
        <v>14176</v>
      </c>
      <c r="D4308" s="109" t="s">
        <v>120</v>
      </c>
      <c r="E4308" s="109">
        <v>141</v>
      </c>
      <c r="F4308" s="110">
        <v>6341</v>
      </c>
      <c r="G4308" s="109" t="s">
        <v>120</v>
      </c>
      <c r="H4308" s="109">
        <v>45</v>
      </c>
      <c r="I4308" s="109">
        <v>760</v>
      </c>
      <c r="J4308" s="110">
        <v>1435</v>
      </c>
    </row>
    <row r="4309" spans="1:10" s="119" customFormat="1">
      <c r="A4309" s="123" t="s">
        <v>120</v>
      </c>
      <c r="B4309" s="275" t="s">
        <v>1101</v>
      </c>
      <c r="C4309" s="276"/>
      <c r="D4309" s="276"/>
      <c r="E4309" s="276"/>
      <c r="F4309" s="276"/>
      <c r="G4309" s="276"/>
      <c r="H4309" s="276"/>
      <c r="I4309" s="276"/>
      <c r="J4309" s="276"/>
    </row>
    <row r="4310" spans="1:10">
      <c r="A4310" s="103" t="s">
        <v>6608</v>
      </c>
      <c r="B4310" s="124" t="s">
        <v>6609</v>
      </c>
      <c r="C4310" s="110">
        <v>30704</v>
      </c>
      <c r="D4310" s="109" t="s">
        <v>120</v>
      </c>
      <c r="E4310" s="109">
        <v>307</v>
      </c>
      <c r="F4310" s="110">
        <v>18391</v>
      </c>
      <c r="G4310" s="109" t="s">
        <v>120</v>
      </c>
      <c r="H4310" s="109">
        <v>60</v>
      </c>
      <c r="I4310" s="109">
        <v>92</v>
      </c>
      <c r="J4310" s="110">
        <v>387</v>
      </c>
    </row>
    <row r="4311" spans="1:10">
      <c r="A4311" s="103" t="s">
        <v>6610</v>
      </c>
      <c r="B4311" s="124" t="s">
        <v>932</v>
      </c>
      <c r="C4311" s="110">
        <v>698</v>
      </c>
      <c r="D4311" s="109" t="s">
        <v>120</v>
      </c>
      <c r="E4311" s="109">
        <v>7</v>
      </c>
      <c r="F4311" s="110">
        <v>10587</v>
      </c>
      <c r="G4311" s="109" t="s">
        <v>120</v>
      </c>
      <c r="H4311" s="109">
        <v>1517</v>
      </c>
      <c r="I4311" s="109" t="s">
        <v>122</v>
      </c>
      <c r="J4311" s="110" t="s">
        <v>122</v>
      </c>
    </row>
    <row r="4312" spans="1:10">
      <c r="A4312" s="103" t="s">
        <v>6611</v>
      </c>
      <c r="B4312" s="124" t="s">
        <v>934</v>
      </c>
      <c r="C4312" s="110">
        <v>30006</v>
      </c>
      <c r="D4312" s="109" t="s">
        <v>120</v>
      </c>
      <c r="E4312" s="109">
        <v>300</v>
      </c>
      <c r="F4312" s="110">
        <v>7804</v>
      </c>
      <c r="G4312" s="109" t="s">
        <v>120</v>
      </c>
      <c r="H4312" s="109">
        <v>26</v>
      </c>
      <c r="I4312" s="109" t="s">
        <v>122</v>
      </c>
      <c r="J4312" s="110" t="s">
        <v>122</v>
      </c>
    </row>
    <row r="4313" spans="1:10">
      <c r="A4313" s="103" t="s">
        <v>6612</v>
      </c>
      <c r="B4313" s="124" t="s">
        <v>6613</v>
      </c>
      <c r="C4313" s="110">
        <v>20312</v>
      </c>
      <c r="D4313" s="109" t="s">
        <v>120</v>
      </c>
      <c r="E4313" s="109">
        <v>203</v>
      </c>
      <c r="F4313" s="110">
        <v>8713</v>
      </c>
      <c r="G4313" s="109" t="s">
        <v>120</v>
      </c>
      <c r="H4313" s="109">
        <v>43</v>
      </c>
      <c r="I4313" s="109">
        <v>327</v>
      </c>
      <c r="J4313" s="110">
        <v>1020</v>
      </c>
    </row>
    <row r="4314" spans="1:10">
      <c r="A4314" s="103" t="s">
        <v>6614</v>
      </c>
      <c r="B4314" s="124" t="s">
        <v>932</v>
      </c>
      <c r="C4314" s="110">
        <v>1408</v>
      </c>
      <c r="D4314" s="109" t="s">
        <v>120</v>
      </c>
      <c r="E4314" s="109">
        <v>14</v>
      </c>
      <c r="F4314" s="110">
        <v>5993</v>
      </c>
      <c r="G4314" s="109" t="s">
        <v>120</v>
      </c>
      <c r="H4314" s="109">
        <v>426</v>
      </c>
      <c r="I4314" s="109" t="s">
        <v>122</v>
      </c>
      <c r="J4314" s="110" t="s">
        <v>122</v>
      </c>
    </row>
    <row r="4315" spans="1:10">
      <c r="A4315" s="103" t="s">
        <v>6615</v>
      </c>
      <c r="B4315" s="124" t="s">
        <v>934</v>
      </c>
      <c r="C4315" s="110">
        <v>18904</v>
      </c>
      <c r="D4315" s="109" t="s">
        <v>120</v>
      </c>
      <c r="E4315" s="109">
        <v>189</v>
      </c>
      <c r="F4315" s="110">
        <v>2720</v>
      </c>
      <c r="G4315" s="109" t="s">
        <v>120</v>
      </c>
      <c r="H4315" s="109">
        <v>14</v>
      </c>
      <c r="I4315" s="109" t="s">
        <v>122</v>
      </c>
      <c r="J4315" s="110" t="s">
        <v>122</v>
      </c>
    </row>
    <row r="4316" spans="1:10" s="119" customFormat="1">
      <c r="A4316" s="123" t="s">
        <v>120</v>
      </c>
      <c r="B4316" s="273" t="s">
        <v>6616</v>
      </c>
      <c r="C4316" s="274"/>
      <c r="D4316" s="274"/>
      <c r="E4316" s="274"/>
      <c r="F4316" s="274"/>
      <c r="G4316" s="274"/>
      <c r="H4316" s="274"/>
      <c r="I4316" s="274"/>
      <c r="J4316" s="274"/>
    </row>
    <row r="4317" spans="1:10" s="119" customFormat="1">
      <c r="A4317" s="123" t="s">
        <v>120</v>
      </c>
      <c r="B4317" s="275" t="s">
        <v>943</v>
      </c>
      <c r="C4317" s="276"/>
      <c r="D4317" s="276"/>
      <c r="E4317" s="276"/>
      <c r="F4317" s="276"/>
      <c r="G4317" s="276"/>
      <c r="H4317" s="276"/>
      <c r="I4317" s="276"/>
      <c r="J4317" s="276"/>
    </row>
    <row r="4318" spans="1:10">
      <c r="A4318" s="103" t="s">
        <v>6617</v>
      </c>
      <c r="B4318" s="124" t="s">
        <v>6618</v>
      </c>
      <c r="C4318" s="110">
        <v>10648</v>
      </c>
      <c r="D4318" s="109" t="s">
        <v>120</v>
      </c>
      <c r="E4318" s="109">
        <v>106</v>
      </c>
      <c r="F4318" s="110">
        <v>5523</v>
      </c>
      <c r="G4318" s="109" t="s">
        <v>120</v>
      </c>
      <c r="H4318" s="109">
        <v>52</v>
      </c>
      <c r="I4318" s="109">
        <v>1282</v>
      </c>
      <c r="J4318" s="110">
        <v>1609</v>
      </c>
    </row>
    <row r="4319" spans="1:10">
      <c r="A4319" s="103" t="s">
        <v>6619</v>
      </c>
      <c r="B4319" s="124" t="s">
        <v>6620</v>
      </c>
      <c r="C4319" s="110">
        <v>20825</v>
      </c>
      <c r="D4319" s="109" t="s">
        <v>120</v>
      </c>
      <c r="E4319" s="109">
        <v>209</v>
      </c>
      <c r="F4319" s="110">
        <v>3695</v>
      </c>
      <c r="G4319" s="109" t="s">
        <v>120</v>
      </c>
      <c r="H4319" s="109">
        <v>18</v>
      </c>
      <c r="I4319" s="109">
        <v>297</v>
      </c>
      <c r="J4319" s="110">
        <v>2067</v>
      </c>
    </row>
    <row r="4320" spans="1:10" s="119" customFormat="1">
      <c r="A4320" s="123" t="s">
        <v>120</v>
      </c>
      <c r="B4320" s="275" t="s">
        <v>947</v>
      </c>
      <c r="C4320" s="276"/>
      <c r="D4320" s="276"/>
      <c r="E4320" s="276"/>
      <c r="F4320" s="276"/>
      <c r="G4320" s="276"/>
      <c r="H4320" s="276"/>
      <c r="I4320" s="276"/>
      <c r="J4320" s="276"/>
    </row>
    <row r="4321" spans="1:10">
      <c r="A4321" s="103" t="s">
        <v>6621</v>
      </c>
      <c r="B4321" s="124" t="s">
        <v>6622</v>
      </c>
      <c r="C4321" s="110">
        <v>18354</v>
      </c>
      <c r="D4321" s="109" t="s">
        <v>120</v>
      </c>
      <c r="E4321" s="109">
        <v>184</v>
      </c>
      <c r="F4321" s="110">
        <v>9089</v>
      </c>
      <c r="G4321" s="109" t="s">
        <v>120</v>
      </c>
      <c r="H4321" s="109">
        <v>50</v>
      </c>
      <c r="I4321" s="109">
        <v>431</v>
      </c>
      <c r="J4321" s="110">
        <v>969</v>
      </c>
    </row>
    <row r="4322" spans="1:10">
      <c r="A4322" s="103" t="s">
        <v>6623</v>
      </c>
      <c r="B4322" s="124" t="s">
        <v>932</v>
      </c>
      <c r="C4322" s="110">
        <v>316</v>
      </c>
      <c r="D4322" s="109" t="s">
        <v>120</v>
      </c>
      <c r="E4322" s="109">
        <v>3</v>
      </c>
      <c r="F4322" s="110">
        <v>2954</v>
      </c>
      <c r="G4322" s="109" t="s">
        <v>120</v>
      </c>
      <c r="H4322" s="109">
        <v>935</v>
      </c>
      <c r="I4322" s="109" t="s">
        <v>122</v>
      </c>
      <c r="J4322" s="110" t="s">
        <v>122</v>
      </c>
    </row>
    <row r="4323" spans="1:10">
      <c r="A4323" s="103" t="s">
        <v>6624</v>
      </c>
      <c r="B4323" s="124" t="s">
        <v>934</v>
      </c>
      <c r="C4323" s="110">
        <v>18038</v>
      </c>
      <c r="D4323" s="109" t="s">
        <v>120</v>
      </c>
      <c r="E4323" s="109">
        <v>181</v>
      </c>
      <c r="F4323" s="110">
        <v>6135</v>
      </c>
      <c r="G4323" s="109" t="s">
        <v>120</v>
      </c>
      <c r="H4323" s="109">
        <v>34</v>
      </c>
      <c r="I4323" s="109" t="s">
        <v>122</v>
      </c>
      <c r="J4323" s="110" t="s">
        <v>122</v>
      </c>
    </row>
    <row r="4324" spans="1:10">
      <c r="A4324" s="103" t="s">
        <v>6625</v>
      </c>
      <c r="B4324" s="124" t="s">
        <v>6626</v>
      </c>
      <c r="C4324" s="110">
        <v>18645</v>
      </c>
      <c r="D4324" s="109" t="s">
        <v>120</v>
      </c>
      <c r="E4324" s="109">
        <v>186</v>
      </c>
      <c r="F4324" s="110">
        <v>27045</v>
      </c>
      <c r="G4324" s="109" t="s">
        <v>120</v>
      </c>
      <c r="H4324" s="109">
        <v>145</v>
      </c>
      <c r="I4324" s="109">
        <v>414</v>
      </c>
      <c r="J4324" s="110">
        <v>219</v>
      </c>
    </row>
    <row r="4325" spans="1:10">
      <c r="A4325" s="103" t="s">
        <v>6627</v>
      </c>
      <c r="B4325" s="124" t="s">
        <v>932</v>
      </c>
      <c r="C4325" s="110">
        <v>520</v>
      </c>
      <c r="D4325" s="109" t="s">
        <v>120</v>
      </c>
      <c r="E4325" s="109">
        <v>5</v>
      </c>
      <c r="F4325" s="110">
        <v>14431</v>
      </c>
      <c r="G4325" s="109" t="s">
        <v>120</v>
      </c>
      <c r="H4325" s="109">
        <v>2775</v>
      </c>
      <c r="I4325" s="109" t="s">
        <v>122</v>
      </c>
      <c r="J4325" s="110" t="s">
        <v>122</v>
      </c>
    </row>
    <row r="4326" spans="1:10">
      <c r="A4326" s="103" t="s">
        <v>6628</v>
      </c>
      <c r="B4326" s="124" t="s">
        <v>934</v>
      </c>
      <c r="C4326" s="110">
        <v>18125</v>
      </c>
      <c r="D4326" s="109" t="s">
        <v>120</v>
      </c>
      <c r="E4326" s="109">
        <v>181</v>
      </c>
      <c r="F4326" s="110">
        <v>12614</v>
      </c>
      <c r="G4326" s="109" t="s">
        <v>120</v>
      </c>
      <c r="H4326" s="109">
        <v>70</v>
      </c>
      <c r="I4326" s="109" t="s">
        <v>122</v>
      </c>
      <c r="J4326" s="110" t="s">
        <v>122</v>
      </c>
    </row>
    <row r="4327" spans="1:10">
      <c r="A4327" s="103" t="s">
        <v>6629</v>
      </c>
      <c r="B4327" s="124" t="s">
        <v>6630</v>
      </c>
      <c r="C4327" s="110">
        <v>14891</v>
      </c>
      <c r="D4327" s="109" t="s">
        <v>120</v>
      </c>
      <c r="E4327" s="109">
        <v>149</v>
      </c>
      <c r="F4327" s="110">
        <v>16397</v>
      </c>
      <c r="G4327" s="109" t="s">
        <v>120</v>
      </c>
      <c r="H4327" s="109">
        <v>110</v>
      </c>
      <c r="I4327" s="109">
        <v>686</v>
      </c>
      <c r="J4327" s="110">
        <v>456</v>
      </c>
    </row>
    <row r="4328" spans="1:10">
      <c r="A4328" s="103" t="s">
        <v>6631</v>
      </c>
      <c r="B4328" s="124" t="s">
        <v>932</v>
      </c>
      <c r="C4328" s="110">
        <v>642</v>
      </c>
      <c r="D4328" s="109" t="s">
        <v>120</v>
      </c>
      <c r="E4328" s="109">
        <v>6</v>
      </c>
      <c r="F4328" s="110">
        <v>9572</v>
      </c>
      <c r="G4328" s="109" t="s">
        <v>120</v>
      </c>
      <c r="H4328" s="109">
        <v>1491</v>
      </c>
      <c r="I4328" s="109" t="s">
        <v>122</v>
      </c>
      <c r="J4328" s="110" t="s">
        <v>122</v>
      </c>
    </row>
    <row r="4329" spans="1:10">
      <c r="A4329" s="103" t="s">
        <v>6632</v>
      </c>
      <c r="B4329" s="124" t="s">
        <v>934</v>
      </c>
      <c r="C4329" s="110">
        <v>14249</v>
      </c>
      <c r="D4329" s="109" t="s">
        <v>120</v>
      </c>
      <c r="E4329" s="109">
        <v>143</v>
      </c>
      <c r="F4329" s="110">
        <v>6825</v>
      </c>
      <c r="G4329" s="109" t="s">
        <v>120</v>
      </c>
      <c r="H4329" s="109">
        <v>48</v>
      </c>
      <c r="I4329" s="109" t="s">
        <v>122</v>
      </c>
      <c r="J4329" s="110" t="s">
        <v>122</v>
      </c>
    </row>
    <row r="4330" spans="1:10">
      <c r="A4330" s="103" t="s">
        <v>6633</v>
      </c>
      <c r="B4330" s="124" t="s">
        <v>6634</v>
      </c>
      <c r="C4330" s="110">
        <v>17999</v>
      </c>
      <c r="D4330" s="109" t="s">
        <v>120</v>
      </c>
      <c r="E4330" s="109">
        <v>180</v>
      </c>
      <c r="F4330" s="110">
        <v>13794</v>
      </c>
      <c r="G4330" s="109" t="s">
        <v>120</v>
      </c>
      <c r="H4330" s="109">
        <v>77</v>
      </c>
      <c r="I4330" s="109">
        <v>449</v>
      </c>
      <c r="J4330" s="110">
        <v>578</v>
      </c>
    </row>
    <row r="4331" spans="1:10">
      <c r="A4331" s="103" t="s">
        <v>6635</v>
      </c>
      <c r="B4331" s="124" t="s">
        <v>932</v>
      </c>
      <c r="C4331" s="110">
        <v>542</v>
      </c>
      <c r="D4331" s="109" t="s">
        <v>120</v>
      </c>
      <c r="E4331" s="109">
        <v>5</v>
      </c>
      <c r="F4331" s="110">
        <v>7239</v>
      </c>
      <c r="G4331" s="109" t="s">
        <v>120</v>
      </c>
      <c r="H4331" s="109">
        <v>1336</v>
      </c>
      <c r="I4331" s="109" t="s">
        <v>122</v>
      </c>
      <c r="J4331" s="110" t="s">
        <v>122</v>
      </c>
    </row>
    <row r="4332" spans="1:10">
      <c r="A4332" s="103" t="s">
        <v>6636</v>
      </c>
      <c r="B4332" s="124" t="s">
        <v>934</v>
      </c>
      <c r="C4332" s="110">
        <v>17457</v>
      </c>
      <c r="D4332" s="109" t="s">
        <v>120</v>
      </c>
      <c r="E4332" s="109">
        <v>175</v>
      </c>
      <c r="F4332" s="110">
        <v>6555</v>
      </c>
      <c r="G4332" s="109" t="s">
        <v>120</v>
      </c>
      <c r="H4332" s="109">
        <v>38</v>
      </c>
      <c r="I4332" s="109" t="s">
        <v>122</v>
      </c>
      <c r="J4332" s="110" t="s">
        <v>122</v>
      </c>
    </row>
    <row r="4333" spans="1:10" s="119" customFormat="1">
      <c r="A4333" s="123" t="s">
        <v>120</v>
      </c>
      <c r="B4333" s="273" t="s">
        <v>6637</v>
      </c>
      <c r="C4333" s="274"/>
      <c r="D4333" s="274"/>
      <c r="E4333" s="274"/>
      <c r="F4333" s="274"/>
      <c r="G4333" s="274"/>
      <c r="H4333" s="274"/>
      <c r="I4333" s="274"/>
      <c r="J4333" s="274"/>
    </row>
    <row r="4334" spans="1:10" s="119" customFormat="1">
      <c r="A4334" s="123" t="s">
        <v>120</v>
      </c>
      <c r="B4334" s="275" t="s">
        <v>4202</v>
      </c>
      <c r="C4334" s="276"/>
      <c r="D4334" s="276"/>
      <c r="E4334" s="276"/>
      <c r="F4334" s="276"/>
      <c r="G4334" s="276"/>
      <c r="H4334" s="276"/>
      <c r="I4334" s="276"/>
      <c r="J4334" s="276"/>
    </row>
    <row r="4335" spans="1:10">
      <c r="A4335" s="103" t="s">
        <v>6638</v>
      </c>
      <c r="B4335" s="124" t="s">
        <v>6639</v>
      </c>
      <c r="C4335" s="110">
        <v>15476</v>
      </c>
      <c r="D4335" s="109" t="s">
        <v>120</v>
      </c>
      <c r="E4335" s="109">
        <v>155</v>
      </c>
      <c r="F4335" s="110">
        <v>7293</v>
      </c>
      <c r="G4335" s="109" t="s">
        <v>120</v>
      </c>
      <c r="H4335" s="109">
        <v>47</v>
      </c>
      <c r="I4335" s="109">
        <v>633</v>
      </c>
      <c r="J4335" s="110">
        <v>1246</v>
      </c>
    </row>
    <row r="4336" spans="1:10" s="119" customFormat="1">
      <c r="A4336" s="123" t="s">
        <v>120</v>
      </c>
      <c r="B4336" s="275" t="s">
        <v>947</v>
      </c>
      <c r="C4336" s="276"/>
      <c r="D4336" s="276"/>
      <c r="E4336" s="276"/>
      <c r="F4336" s="276"/>
      <c r="G4336" s="276"/>
      <c r="H4336" s="276"/>
      <c r="I4336" s="276"/>
      <c r="J4336" s="276"/>
    </row>
    <row r="4337" spans="1:10">
      <c r="A4337" s="103" t="s">
        <v>6640</v>
      </c>
      <c r="B4337" s="124" t="s">
        <v>6641</v>
      </c>
      <c r="C4337" s="110">
        <v>34004</v>
      </c>
      <c r="D4337" s="109" t="s">
        <v>120</v>
      </c>
      <c r="E4337" s="109">
        <v>340</v>
      </c>
      <c r="F4337" s="110">
        <v>34179</v>
      </c>
      <c r="G4337" s="109" t="s">
        <v>120</v>
      </c>
      <c r="H4337" s="109">
        <v>101</v>
      </c>
      <c r="I4337" s="109">
        <v>57</v>
      </c>
      <c r="J4337" s="110">
        <v>156</v>
      </c>
    </row>
    <row r="4338" spans="1:10">
      <c r="A4338" s="103" t="s">
        <v>6642</v>
      </c>
      <c r="B4338" s="124" t="s">
        <v>932</v>
      </c>
      <c r="C4338" s="110">
        <v>1408</v>
      </c>
      <c r="D4338" s="109" t="s">
        <v>120</v>
      </c>
      <c r="E4338" s="109">
        <v>14</v>
      </c>
      <c r="F4338" s="110">
        <v>18055</v>
      </c>
      <c r="G4338" s="109" t="s">
        <v>120</v>
      </c>
      <c r="H4338" s="109">
        <v>1282</v>
      </c>
      <c r="I4338" s="109" t="s">
        <v>122</v>
      </c>
      <c r="J4338" s="110" t="s">
        <v>122</v>
      </c>
    </row>
    <row r="4339" spans="1:10">
      <c r="A4339" s="103" t="s">
        <v>6643</v>
      </c>
      <c r="B4339" s="124" t="s">
        <v>934</v>
      </c>
      <c r="C4339" s="110">
        <v>32596</v>
      </c>
      <c r="D4339" s="109" t="s">
        <v>120</v>
      </c>
      <c r="E4339" s="109">
        <v>326</v>
      </c>
      <c r="F4339" s="110">
        <v>16124</v>
      </c>
      <c r="G4339" s="109" t="s">
        <v>120</v>
      </c>
      <c r="H4339" s="109">
        <v>49</v>
      </c>
      <c r="I4339" s="109" t="s">
        <v>122</v>
      </c>
      <c r="J4339" s="110" t="s">
        <v>122</v>
      </c>
    </row>
    <row r="4340" spans="1:10">
      <c r="A4340" s="103" t="s">
        <v>6644</v>
      </c>
      <c r="B4340" s="124" t="s">
        <v>6645</v>
      </c>
      <c r="C4340" s="110">
        <v>21624</v>
      </c>
      <c r="D4340" s="109" t="s">
        <v>120</v>
      </c>
      <c r="E4340" s="109">
        <v>216</v>
      </c>
      <c r="F4340" s="110">
        <v>18353</v>
      </c>
      <c r="G4340" s="109" t="s">
        <v>120</v>
      </c>
      <c r="H4340" s="109">
        <v>85</v>
      </c>
      <c r="I4340" s="109">
        <v>269</v>
      </c>
      <c r="J4340" s="110">
        <v>388</v>
      </c>
    </row>
    <row r="4341" spans="1:10">
      <c r="A4341" s="103" t="s">
        <v>6646</v>
      </c>
      <c r="B4341" s="124" t="s">
        <v>932</v>
      </c>
      <c r="C4341" s="110">
        <v>1124</v>
      </c>
      <c r="D4341" s="109" t="s">
        <v>120</v>
      </c>
      <c r="E4341" s="109">
        <v>11</v>
      </c>
      <c r="F4341" s="110">
        <v>11088</v>
      </c>
      <c r="G4341" s="109" t="s">
        <v>120</v>
      </c>
      <c r="H4341" s="109">
        <v>986</v>
      </c>
      <c r="I4341" s="109" t="s">
        <v>122</v>
      </c>
      <c r="J4341" s="110" t="s">
        <v>122</v>
      </c>
    </row>
    <row r="4342" spans="1:10">
      <c r="A4342" s="103" t="s">
        <v>6647</v>
      </c>
      <c r="B4342" s="124" t="s">
        <v>934</v>
      </c>
      <c r="C4342" s="110">
        <v>20500</v>
      </c>
      <c r="D4342" s="109" t="s">
        <v>120</v>
      </c>
      <c r="E4342" s="109">
        <v>205</v>
      </c>
      <c r="F4342" s="110">
        <v>7265</v>
      </c>
      <c r="G4342" s="109" t="s">
        <v>120</v>
      </c>
      <c r="H4342" s="109">
        <v>35</v>
      </c>
      <c r="I4342" s="109" t="s">
        <v>122</v>
      </c>
      <c r="J4342" s="110" t="s">
        <v>122</v>
      </c>
    </row>
    <row r="4343" spans="1:10" s="119" customFormat="1">
      <c r="A4343" s="123" t="s">
        <v>120</v>
      </c>
      <c r="B4343" s="273" t="s">
        <v>6648</v>
      </c>
      <c r="C4343" s="274"/>
      <c r="D4343" s="274"/>
      <c r="E4343" s="274"/>
      <c r="F4343" s="274"/>
      <c r="G4343" s="274"/>
      <c r="H4343" s="274"/>
      <c r="I4343" s="274"/>
      <c r="J4343" s="274"/>
    </row>
    <row r="4344" spans="1:10" s="119" customFormat="1">
      <c r="A4344" s="123" t="s">
        <v>120</v>
      </c>
      <c r="B4344" s="275" t="s">
        <v>922</v>
      </c>
      <c r="C4344" s="276"/>
      <c r="D4344" s="276"/>
      <c r="E4344" s="276"/>
      <c r="F4344" s="276"/>
      <c r="G4344" s="276"/>
      <c r="H4344" s="276"/>
      <c r="I4344" s="276"/>
      <c r="J4344" s="276"/>
    </row>
    <row r="4345" spans="1:10">
      <c r="A4345" s="103" t="s">
        <v>6649</v>
      </c>
      <c r="B4345" s="124" t="s">
        <v>6650</v>
      </c>
      <c r="C4345" s="110">
        <v>4190</v>
      </c>
      <c r="D4345" s="109" t="s">
        <v>120</v>
      </c>
      <c r="E4345" s="109">
        <v>42</v>
      </c>
      <c r="F4345" s="110">
        <v>71931</v>
      </c>
      <c r="G4345" s="109" t="s">
        <v>120</v>
      </c>
      <c r="H4345" s="109">
        <v>1717</v>
      </c>
      <c r="I4345" s="109">
        <v>2078</v>
      </c>
      <c r="J4345" s="110">
        <v>54</v>
      </c>
    </row>
    <row r="4346" spans="1:10" s="119" customFormat="1">
      <c r="A4346" s="123" t="s">
        <v>120</v>
      </c>
      <c r="B4346" s="275" t="s">
        <v>1022</v>
      </c>
      <c r="C4346" s="276"/>
      <c r="D4346" s="276"/>
      <c r="E4346" s="276"/>
      <c r="F4346" s="276"/>
      <c r="G4346" s="276"/>
      <c r="H4346" s="276"/>
      <c r="I4346" s="276"/>
      <c r="J4346" s="276"/>
    </row>
    <row r="4347" spans="1:10">
      <c r="A4347" s="103" t="s">
        <v>6651</v>
      </c>
      <c r="B4347" s="124" t="s">
        <v>6650</v>
      </c>
      <c r="C4347" s="110">
        <v>20786</v>
      </c>
      <c r="D4347" s="109" t="s">
        <v>120</v>
      </c>
      <c r="E4347" s="109">
        <v>208</v>
      </c>
      <c r="F4347" s="110">
        <v>19147</v>
      </c>
      <c r="G4347" s="109" t="s">
        <v>120</v>
      </c>
      <c r="H4347" s="109">
        <v>92</v>
      </c>
      <c r="I4347" s="109">
        <v>301</v>
      </c>
      <c r="J4347" s="110">
        <v>366</v>
      </c>
    </row>
    <row r="4348" spans="1:10">
      <c r="A4348" s="103" t="s">
        <v>6652</v>
      </c>
      <c r="B4348" s="124" t="s">
        <v>6653</v>
      </c>
      <c r="C4348" s="110">
        <v>16339</v>
      </c>
      <c r="D4348" s="109" t="s">
        <v>120</v>
      </c>
      <c r="E4348" s="109">
        <v>163</v>
      </c>
      <c r="F4348" s="110">
        <v>12179</v>
      </c>
      <c r="G4348" s="109" t="s">
        <v>120</v>
      </c>
      <c r="H4348" s="109">
        <v>75</v>
      </c>
      <c r="I4348" s="109">
        <v>563</v>
      </c>
      <c r="J4348" s="110">
        <v>686</v>
      </c>
    </row>
    <row r="4349" spans="1:10">
      <c r="A4349" s="103" t="s">
        <v>6654</v>
      </c>
      <c r="B4349" s="124" t="s">
        <v>6655</v>
      </c>
      <c r="C4349" s="110">
        <v>16317</v>
      </c>
      <c r="D4349" s="109" t="s">
        <v>120</v>
      </c>
      <c r="E4349" s="109">
        <v>163</v>
      </c>
      <c r="F4349" s="110">
        <v>9684</v>
      </c>
      <c r="G4349" s="109" t="s">
        <v>120</v>
      </c>
      <c r="H4349" s="109">
        <v>59</v>
      </c>
      <c r="I4349" s="109">
        <v>567</v>
      </c>
      <c r="J4349" s="110">
        <v>905</v>
      </c>
    </row>
    <row r="4350" spans="1:10">
      <c r="A4350" s="103" t="s">
        <v>6656</v>
      </c>
      <c r="B4350" s="124" t="s">
        <v>6657</v>
      </c>
      <c r="C4350" s="110">
        <v>18772</v>
      </c>
      <c r="D4350" s="109" t="s">
        <v>120</v>
      </c>
      <c r="E4350" s="109">
        <v>188</v>
      </c>
      <c r="F4350" s="110">
        <v>6573</v>
      </c>
      <c r="G4350" s="109" t="s">
        <v>120</v>
      </c>
      <c r="H4350" s="109">
        <v>35</v>
      </c>
      <c r="I4350" s="109">
        <v>405</v>
      </c>
      <c r="J4350" s="110">
        <v>1385</v>
      </c>
    </row>
    <row r="4351" spans="1:10" s="119" customFormat="1">
      <c r="A4351" s="123" t="s">
        <v>120</v>
      </c>
      <c r="B4351" s="275" t="s">
        <v>947</v>
      </c>
      <c r="C4351" s="276"/>
      <c r="D4351" s="276"/>
      <c r="E4351" s="276"/>
      <c r="F4351" s="276"/>
      <c r="G4351" s="276"/>
      <c r="H4351" s="276"/>
      <c r="I4351" s="276"/>
      <c r="J4351" s="276"/>
    </row>
    <row r="4352" spans="1:10">
      <c r="A4352" s="103" t="s">
        <v>6658</v>
      </c>
      <c r="B4352" s="124" t="s">
        <v>6659</v>
      </c>
      <c r="C4352" s="110">
        <v>12542</v>
      </c>
      <c r="D4352" s="109" t="s">
        <v>120</v>
      </c>
      <c r="E4352" s="109">
        <v>125</v>
      </c>
      <c r="F4352" s="110">
        <v>15563</v>
      </c>
      <c r="G4352" s="109" t="s">
        <v>120</v>
      </c>
      <c r="H4352" s="109">
        <v>124</v>
      </c>
      <c r="I4352" s="109">
        <v>973</v>
      </c>
      <c r="J4352" s="110">
        <v>492</v>
      </c>
    </row>
    <row r="4353" spans="1:10">
      <c r="A4353" s="103" t="s">
        <v>6660</v>
      </c>
      <c r="B4353" s="124" t="s">
        <v>932</v>
      </c>
      <c r="C4353" s="110">
        <v>158</v>
      </c>
      <c r="D4353" s="109" t="s">
        <v>120</v>
      </c>
      <c r="E4353" s="109">
        <v>1</v>
      </c>
      <c r="F4353" s="110">
        <v>4752</v>
      </c>
      <c r="G4353" s="109" t="s">
        <v>120</v>
      </c>
      <c r="H4353" s="109">
        <v>3008</v>
      </c>
      <c r="I4353" s="109" t="s">
        <v>122</v>
      </c>
      <c r="J4353" s="110" t="s">
        <v>122</v>
      </c>
    </row>
    <row r="4354" spans="1:10">
      <c r="A4354" s="103" t="s">
        <v>6661</v>
      </c>
      <c r="B4354" s="124" t="s">
        <v>934</v>
      </c>
      <c r="C4354" s="110">
        <v>12384</v>
      </c>
      <c r="D4354" s="109" t="s">
        <v>120</v>
      </c>
      <c r="E4354" s="109">
        <v>124</v>
      </c>
      <c r="F4354" s="110">
        <v>10811</v>
      </c>
      <c r="G4354" s="109" t="s">
        <v>120</v>
      </c>
      <c r="H4354" s="109">
        <v>87</v>
      </c>
      <c r="I4354" s="109" t="s">
        <v>122</v>
      </c>
      <c r="J4354" s="110" t="s">
        <v>122</v>
      </c>
    </row>
    <row r="4355" spans="1:10">
      <c r="A4355" s="103" t="s">
        <v>6662</v>
      </c>
      <c r="B4355" s="124" t="s">
        <v>6663</v>
      </c>
      <c r="C4355" s="110">
        <v>13609</v>
      </c>
      <c r="D4355" s="109" t="s">
        <v>120</v>
      </c>
      <c r="E4355" s="109">
        <v>136</v>
      </c>
      <c r="F4355" s="110">
        <v>14655</v>
      </c>
      <c r="G4355" s="109" t="s">
        <v>120</v>
      </c>
      <c r="H4355" s="109">
        <v>108</v>
      </c>
      <c r="I4355" s="109">
        <v>822</v>
      </c>
      <c r="J4355" s="110">
        <v>535</v>
      </c>
    </row>
    <row r="4356" spans="1:10">
      <c r="A4356" s="103" t="s">
        <v>6664</v>
      </c>
      <c r="B4356" s="124" t="s">
        <v>932</v>
      </c>
      <c r="C4356" s="110">
        <v>476</v>
      </c>
      <c r="D4356" s="109" t="s">
        <v>120</v>
      </c>
      <c r="E4356" s="109">
        <v>5</v>
      </c>
      <c r="F4356" s="110">
        <v>5145</v>
      </c>
      <c r="G4356" s="109" t="s">
        <v>120</v>
      </c>
      <c r="H4356" s="109">
        <v>1081</v>
      </c>
      <c r="I4356" s="109" t="s">
        <v>122</v>
      </c>
      <c r="J4356" s="110" t="s">
        <v>122</v>
      </c>
    </row>
    <row r="4357" spans="1:10">
      <c r="A4357" s="103" t="s">
        <v>6665</v>
      </c>
      <c r="B4357" s="124" t="s">
        <v>934</v>
      </c>
      <c r="C4357" s="110">
        <v>13133</v>
      </c>
      <c r="D4357" s="109" t="s">
        <v>120</v>
      </c>
      <c r="E4357" s="109">
        <v>131</v>
      </c>
      <c r="F4357" s="110">
        <v>9510</v>
      </c>
      <c r="G4357" s="109" t="s">
        <v>120</v>
      </c>
      <c r="H4357" s="109">
        <v>72</v>
      </c>
      <c r="I4357" s="109" t="s">
        <v>122</v>
      </c>
      <c r="J4357" s="110" t="s">
        <v>122</v>
      </c>
    </row>
    <row r="4358" spans="1:10">
      <c r="A4358" s="103" t="s">
        <v>6666</v>
      </c>
      <c r="B4358" s="124" t="s">
        <v>6667</v>
      </c>
      <c r="C4358" s="110">
        <v>13457</v>
      </c>
      <c r="D4358" s="109" t="s">
        <v>120</v>
      </c>
      <c r="E4358" s="109">
        <v>135</v>
      </c>
      <c r="F4358" s="110">
        <v>11849</v>
      </c>
      <c r="G4358" s="109" t="s">
        <v>120</v>
      </c>
      <c r="H4358" s="109">
        <v>88</v>
      </c>
      <c r="I4358" s="109">
        <v>844</v>
      </c>
      <c r="J4358" s="110">
        <v>710</v>
      </c>
    </row>
    <row r="4359" spans="1:10">
      <c r="A4359" s="103" t="s">
        <v>6668</v>
      </c>
      <c r="B4359" s="124" t="s">
        <v>932</v>
      </c>
      <c r="C4359" s="110">
        <v>205</v>
      </c>
      <c r="D4359" s="109" t="s">
        <v>120</v>
      </c>
      <c r="E4359" s="109">
        <v>2</v>
      </c>
      <c r="F4359" s="110">
        <v>2115</v>
      </c>
      <c r="G4359" s="109" t="s">
        <v>120</v>
      </c>
      <c r="H4359" s="109">
        <v>1032</v>
      </c>
      <c r="I4359" s="109" t="s">
        <v>122</v>
      </c>
      <c r="J4359" s="110" t="s">
        <v>122</v>
      </c>
    </row>
    <row r="4360" spans="1:10">
      <c r="A4360" s="103" t="s">
        <v>6669</v>
      </c>
      <c r="B4360" s="124" t="s">
        <v>934</v>
      </c>
      <c r="C4360" s="110">
        <v>13252</v>
      </c>
      <c r="D4360" s="109" t="s">
        <v>120</v>
      </c>
      <c r="E4360" s="109">
        <v>133</v>
      </c>
      <c r="F4360" s="110">
        <v>9734</v>
      </c>
      <c r="G4360" s="109" t="s">
        <v>120</v>
      </c>
      <c r="H4360" s="109">
        <v>73</v>
      </c>
      <c r="I4360" s="109" t="s">
        <v>122</v>
      </c>
      <c r="J4360" s="110" t="s">
        <v>122</v>
      </c>
    </row>
    <row r="4361" spans="1:10" s="119" customFormat="1">
      <c r="A4361" s="123" t="s">
        <v>120</v>
      </c>
      <c r="B4361" s="273" t="s">
        <v>6670</v>
      </c>
      <c r="C4361" s="274"/>
      <c r="D4361" s="274"/>
      <c r="E4361" s="274"/>
      <c r="F4361" s="274"/>
      <c r="G4361" s="274"/>
      <c r="H4361" s="274"/>
      <c r="I4361" s="274"/>
      <c r="J4361" s="274"/>
    </row>
    <row r="4362" spans="1:10" s="119" customFormat="1">
      <c r="A4362" s="123" t="s">
        <v>120</v>
      </c>
      <c r="B4362" s="275" t="s">
        <v>943</v>
      </c>
      <c r="C4362" s="276"/>
      <c r="D4362" s="276"/>
      <c r="E4362" s="276"/>
      <c r="F4362" s="276"/>
      <c r="G4362" s="276"/>
      <c r="H4362" s="276"/>
      <c r="I4362" s="276"/>
      <c r="J4362" s="276"/>
    </row>
    <row r="4363" spans="1:10">
      <c r="A4363" s="103" t="s">
        <v>6671</v>
      </c>
      <c r="B4363" s="124" t="s">
        <v>6672</v>
      </c>
      <c r="C4363" s="110">
        <v>7074</v>
      </c>
      <c r="D4363" s="109" t="s">
        <v>120</v>
      </c>
      <c r="E4363" s="109">
        <v>71</v>
      </c>
      <c r="F4363" s="110">
        <v>2490</v>
      </c>
      <c r="G4363" s="109" t="s">
        <v>120</v>
      </c>
      <c r="H4363" s="109">
        <v>35</v>
      </c>
      <c r="I4363" s="109">
        <v>1840</v>
      </c>
      <c r="J4363" s="110">
        <v>2262</v>
      </c>
    </row>
    <row r="4364" spans="1:10">
      <c r="A4364" s="103" t="s">
        <v>6673</v>
      </c>
      <c r="B4364" s="124" t="s">
        <v>6674</v>
      </c>
      <c r="C4364" s="110">
        <v>9938</v>
      </c>
      <c r="D4364" s="109" t="s">
        <v>120</v>
      </c>
      <c r="E4364" s="109">
        <v>99</v>
      </c>
      <c r="F4364" s="110">
        <v>5383</v>
      </c>
      <c r="G4364" s="109" t="s">
        <v>120</v>
      </c>
      <c r="H4364" s="109">
        <v>54</v>
      </c>
      <c r="I4364" s="109">
        <v>1400</v>
      </c>
      <c r="J4364" s="110">
        <v>1640</v>
      </c>
    </row>
    <row r="4365" spans="1:10">
      <c r="A4365" s="103" t="s">
        <v>6675</v>
      </c>
      <c r="B4365" s="124" t="s">
        <v>6676</v>
      </c>
      <c r="C4365" s="110">
        <v>12921</v>
      </c>
      <c r="D4365" s="109" t="s">
        <v>120</v>
      </c>
      <c r="E4365" s="109">
        <v>130</v>
      </c>
      <c r="F4365" s="110">
        <v>6139</v>
      </c>
      <c r="G4365" s="109" t="s">
        <v>120</v>
      </c>
      <c r="H4365" s="109">
        <v>48</v>
      </c>
      <c r="I4365" s="109">
        <v>921</v>
      </c>
      <c r="J4365" s="110">
        <v>1472</v>
      </c>
    </row>
    <row r="4366" spans="1:10">
      <c r="A4366" s="103" t="s">
        <v>6677</v>
      </c>
      <c r="B4366" s="124" t="s">
        <v>6678</v>
      </c>
      <c r="C4366" s="110">
        <v>7493</v>
      </c>
      <c r="D4366" s="109" t="s">
        <v>120</v>
      </c>
      <c r="E4366" s="109">
        <v>75</v>
      </c>
      <c r="F4366" s="110">
        <v>3621</v>
      </c>
      <c r="G4366" s="109" t="s">
        <v>120</v>
      </c>
      <c r="H4366" s="109">
        <v>48</v>
      </c>
      <c r="I4366" s="109">
        <v>1780</v>
      </c>
      <c r="J4366" s="110">
        <v>2086</v>
      </c>
    </row>
    <row r="4367" spans="1:10" s="119" customFormat="1">
      <c r="A4367" s="123" t="s">
        <v>120</v>
      </c>
      <c r="B4367" s="275" t="s">
        <v>1101</v>
      </c>
      <c r="C4367" s="276"/>
      <c r="D4367" s="276"/>
      <c r="E4367" s="276"/>
      <c r="F4367" s="276"/>
      <c r="G4367" s="276"/>
      <c r="H4367" s="276"/>
      <c r="I4367" s="276"/>
      <c r="J4367" s="276"/>
    </row>
    <row r="4368" spans="1:10">
      <c r="A4368" s="103" t="s">
        <v>6679</v>
      </c>
      <c r="B4368" s="124" t="s">
        <v>6680</v>
      </c>
      <c r="C4368" s="110">
        <v>12380</v>
      </c>
      <c r="D4368" s="109" t="s">
        <v>120</v>
      </c>
      <c r="E4368" s="109">
        <v>124</v>
      </c>
      <c r="F4368" s="110">
        <v>7817</v>
      </c>
      <c r="G4368" s="109" t="s">
        <v>120</v>
      </c>
      <c r="H4368" s="109">
        <v>63</v>
      </c>
      <c r="I4368" s="109">
        <v>999</v>
      </c>
      <c r="J4368" s="110">
        <v>1150</v>
      </c>
    </row>
    <row r="4369" spans="1:10">
      <c r="A4369" s="103" t="s">
        <v>6681</v>
      </c>
      <c r="B4369" s="124" t="s">
        <v>932</v>
      </c>
      <c r="C4369" s="110">
        <v>258</v>
      </c>
      <c r="D4369" s="109" t="s">
        <v>120</v>
      </c>
      <c r="E4369" s="109">
        <v>3</v>
      </c>
      <c r="F4369" s="110">
        <v>1924</v>
      </c>
      <c r="G4369" s="109" t="s">
        <v>120</v>
      </c>
      <c r="H4369" s="109">
        <v>746</v>
      </c>
      <c r="I4369" s="109" t="s">
        <v>122</v>
      </c>
      <c r="J4369" s="110" t="s">
        <v>122</v>
      </c>
    </row>
    <row r="4370" spans="1:10">
      <c r="A4370" s="103" t="s">
        <v>6682</v>
      </c>
      <c r="B4370" s="124" t="s">
        <v>934</v>
      </c>
      <c r="C4370" s="110">
        <v>12122</v>
      </c>
      <c r="D4370" s="109" t="s">
        <v>120</v>
      </c>
      <c r="E4370" s="109">
        <v>121</v>
      </c>
      <c r="F4370" s="110">
        <v>5893</v>
      </c>
      <c r="G4370" s="109" t="s">
        <v>120</v>
      </c>
      <c r="H4370" s="109">
        <v>49</v>
      </c>
      <c r="I4370" s="109" t="s">
        <v>122</v>
      </c>
      <c r="J4370" s="110" t="s">
        <v>122</v>
      </c>
    </row>
    <row r="4371" spans="1:10">
      <c r="A4371" s="103" t="s">
        <v>6683</v>
      </c>
      <c r="B4371" s="124" t="s">
        <v>6684</v>
      </c>
      <c r="C4371" s="110">
        <v>8718</v>
      </c>
      <c r="D4371" s="109" t="s">
        <v>120</v>
      </c>
      <c r="E4371" s="109">
        <v>87</v>
      </c>
      <c r="F4371" s="110">
        <v>6046</v>
      </c>
      <c r="G4371" s="109" t="s">
        <v>120</v>
      </c>
      <c r="H4371" s="109">
        <v>69</v>
      </c>
      <c r="I4371" s="109">
        <v>1575</v>
      </c>
      <c r="J4371" s="110">
        <v>1492</v>
      </c>
    </row>
    <row r="4372" spans="1:10">
      <c r="A4372" s="103" t="s">
        <v>6685</v>
      </c>
      <c r="B4372" s="124" t="s">
        <v>932</v>
      </c>
      <c r="C4372" s="110">
        <v>252</v>
      </c>
      <c r="D4372" s="109" t="s">
        <v>120</v>
      </c>
      <c r="E4372" s="109">
        <v>3</v>
      </c>
      <c r="F4372" s="110">
        <v>1845</v>
      </c>
      <c r="G4372" s="109" t="s">
        <v>120</v>
      </c>
      <c r="H4372" s="109">
        <v>732</v>
      </c>
      <c r="I4372" s="109" t="s">
        <v>122</v>
      </c>
      <c r="J4372" s="110" t="s">
        <v>122</v>
      </c>
    </row>
    <row r="4373" spans="1:10">
      <c r="A4373" s="103" t="s">
        <v>6686</v>
      </c>
      <c r="B4373" s="124" t="s">
        <v>934</v>
      </c>
      <c r="C4373" s="110">
        <v>8466</v>
      </c>
      <c r="D4373" s="109" t="s">
        <v>120</v>
      </c>
      <c r="E4373" s="109">
        <v>84</v>
      </c>
      <c r="F4373" s="110">
        <v>4201</v>
      </c>
      <c r="G4373" s="109" t="s">
        <v>120</v>
      </c>
      <c r="H4373" s="109">
        <v>50</v>
      </c>
      <c r="I4373" s="109" t="s">
        <v>122</v>
      </c>
      <c r="J4373" s="110" t="s">
        <v>122</v>
      </c>
    </row>
    <row r="4374" spans="1:10">
      <c r="A4374" s="103" t="s">
        <v>6687</v>
      </c>
      <c r="B4374" s="124" t="s">
        <v>6688</v>
      </c>
      <c r="C4374" s="110">
        <v>18739</v>
      </c>
      <c r="D4374" s="109" t="s">
        <v>120</v>
      </c>
      <c r="E4374" s="109">
        <v>187</v>
      </c>
      <c r="F4374" s="110">
        <v>24004</v>
      </c>
      <c r="G4374" s="109" t="s">
        <v>120</v>
      </c>
      <c r="H4374" s="109">
        <v>128</v>
      </c>
      <c r="I4374" s="109">
        <v>408</v>
      </c>
      <c r="J4374" s="110">
        <v>267</v>
      </c>
    </row>
    <row r="4375" spans="1:10">
      <c r="A4375" s="103" t="s">
        <v>6689</v>
      </c>
      <c r="B4375" s="124" t="s">
        <v>932</v>
      </c>
      <c r="C4375" s="110">
        <v>1213</v>
      </c>
      <c r="D4375" s="109" t="s">
        <v>120</v>
      </c>
      <c r="E4375" s="109">
        <v>12</v>
      </c>
      <c r="F4375" s="110">
        <v>14134</v>
      </c>
      <c r="G4375" s="109" t="s">
        <v>120</v>
      </c>
      <c r="H4375" s="109">
        <v>1165</v>
      </c>
      <c r="I4375" s="109" t="s">
        <v>122</v>
      </c>
      <c r="J4375" s="110" t="s">
        <v>122</v>
      </c>
    </row>
    <row r="4376" spans="1:10">
      <c r="A4376" s="103" t="s">
        <v>6690</v>
      </c>
      <c r="B4376" s="124" t="s">
        <v>934</v>
      </c>
      <c r="C4376" s="110">
        <v>17526</v>
      </c>
      <c r="D4376" s="109" t="s">
        <v>120</v>
      </c>
      <c r="E4376" s="109">
        <v>175</v>
      </c>
      <c r="F4376" s="110">
        <v>9870</v>
      </c>
      <c r="G4376" s="109" t="s">
        <v>120</v>
      </c>
      <c r="H4376" s="109">
        <v>56</v>
      </c>
      <c r="I4376" s="109" t="s">
        <v>122</v>
      </c>
      <c r="J4376" s="110" t="s">
        <v>122</v>
      </c>
    </row>
    <row r="4377" spans="1:10" s="119" customFormat="1">
      <c r="A4377" s="123" t="s">
        <v>120</v>
      </c>
      <c r="B4377" s="273" t="s">
        <v>6691</v>
      </c>
      <c r="C4377" s="274"/>
      <c r="D4377" s="274"/>
      <c r="E4377" s="274"/>
      <c r="F4377" s="274"/>
      <c r="G4377" s="274"/>
      <c r="H4377" s="274"/>
      <c r="I4377" s="274"/>
      <c r="J4377" s="274"/>
    </row>
    <row r="4378" spans="1:10" s="119" customFormat="1">
      <c r="A4378" s="123" t="s">
        <v>120</v>
      </c>
      <c r="B4378" s="275" t="s">
        <v>1019</v>
      </c>
      <c r="C4378" s="276"/>
      <c r="D4378" s="276"/>
      <c r="E4378" s="276"/>
      <c r="F4378" s="276"/>
      <c r="G4378" s="276"/>
      <c r="H4378" s="276"/>
      <c r="I4378" s="276"/>
      <c r="J4378" s="276"/>
    </row>
    <row r="4379" spans="1:10">
      <c r="A4379" s="103" t="s">
        <v>6692</v>
      </c>
      <c r="B4379" s="124" t="s">
        <v>6693</v>
      </c>
      <c r="C4379" s="110">
        <v>10268</v>
      </c>
      <c r="D4379" s="109" t="s">
        <v>120</v>
      </c>
      <c r="E4379" s="109">
        <v>103</v>
      </c>
      <c r="F4379" s="110">
        <v>73139</v>
      </c>
      <c r="G4379" s="109" t="s">
        <v>120</v>
      </c>
      <c r="H4379" s="109">
        <v>712</v>
      </c>
      <c r="I4379" s="109">
        <v>1343</v>
      </c>
      <c r="J4379" s="110">
        <v>50</v>
      </c>
    </row>
    <row r="4380" spans="1:10" s="119" customFormat="1">
      <c r="A4380" s="123" t="s">
        <v>120</v>
      </c>
      <c r="B4380" s="275" t="s">
        <v>943</v>
      </c>
      <c r="C4380" s="276"/>
      <c r="D4380" s="276"/>
      <c r="E4380" s="276"/>
      <c r="F4380" s="276"/>
      <c r="G4380" s="276"/>
      <c r="H4380" s="276"/>
      <c r="I4380" s="276"/>
      <c r="J4380" s="276"/>
    </row>
    <row r="4381" spans="1:10">
      <c r="A4381" s="103" t="s">
        <v>6694</v>
      </c>
      <c r="B4381" s="124" t="s">
        <v>6695</v>
      </c>
      <c r="C4381" s="110">
        <v>7557</v>
      </c>
      <c r="D4381" s="109" t="s">
        <v>120</v>
      </c>
      <c r="E4381" s="109">
        <v>76</v>
      </c>
      <c r="F4381" s="110">
        <v>4852</v>
      </c>
      <c r="G4381" s="109" t="s">
        <v>120</v>
      </c>
      <c r="H4381" s="109">
        <v>64</v>
      </c>
      <c r="I4381" s="109">
        <v>1764</v>
      </c>
      <c r="J4381" s="110">
        <v>1779</v>
      </c>
    </row>
    <row r="4382" spans="1:10">
      <c r="A4382" s="103" t="s">
        <v>6696</v>
      </c>
      <c r="B4382" s="124" t="s">
        <v>6697</v>
      </c>
      <c r="C4382" s="110">
        <v>15064</v>
      </c>
      <c r="D4382" s="109" t="s">
        <v>120</v>
      </c>
      <c r="E4382" s="109">
        <v>151</v>
      </c>
      <c r="F4382" s="110">
        <v>7860</v>
      </c>
      <c r="G4382" s="109" t="s">
        <v>120</v>
      </c>
      <c r="H4382" s="109">
        <v>52</v>
      </c>
      <c r="I4382" s="109">
        <v>672</v>
      </c>
      <c r="J4382" s="110">
        <v>1143</v>
      </c>
    </row>
    <row r="4383" spans="1:10">
      <c r="A4383" s="103" t="s">
        <v>6698</v>
      </c>
      <c r="B4383" s="124" t="s">
        <v>6699</v>
      </c>
      <c r="C4383" s="110">
        <v>7091</v>
      </c>
      <c r="D4383" s="109" t="s">
        <v>120</v>
      </c>
      <c r="E4383" s="109">
        <v>71</v>
      </c>
      <c r="F4383" s="110">
        <v>3171</v>
      </c>
      <c r="G4383" s="109" t="s">
        <v>120</v>
      </c>
      <c r="H4383" s="109">
        <v>45</v>
      </c>
      <c r="I4383" s="109">
        <v>1837</v>
      </c>
      <c r="J4383" s="110">
        <v>2168</v>
      </c>
    </row>
    <row r="4384" spans="1:10">
      <c r="A4384" s="103" t="s">
        <v>6700</v>
      </c>
      <c r="B4384" s="124" t="s">
        <v>3621</v>
      </c>
      <c r="C4384" s="110">
        <v>26746</v>
      </c>
      <c r="D4384" s="109" t="s">
        <v>120</v>
      </c>
      <c r="E4384" s="109">
        <v>266</v>
      </c>
      <c r="F4384" s="110">
        <v>9196</v>
      </c>
      <c r="G4384" s="109" t="s">
        <v>120</v>
      </c>
      <c r="H4384" s="109">
        <v>34</v>
      </c>
      <c r="I4384" s="109">
        <v>140</v>
      </c>
      <c r="J4384" s="110">
        <v>953</v>
      </c>
    </row>
    <row r="4385" spans="1:10" s="119" customFormat="1">
      <c r="A4385" s="123" t="s">
        <v>120</v>
      </c>
      <c r="B4385" s="275" t="s">
        <v>947</v>
      </c>
      <c r="C4385" s="276"/>
      <c r="D4385" s="276"/>
      <c r="E4385" s="276"/>
      <c r="F4385" s="276"/>
      <c r="G4385" s="276"/>
      <c r="H4385" s="276"/>
      <c r="I4385" s="276"/>
      <c r="J4385" s="276"/>
    </row>
    <row r="4386" spans="1:10">
      <c r="A4386" s="103" t="s">
        <v>6701</v>
      </c>
      <c r="B4386" s="124" t="s">
        <v>6702</v>
      </c>
      <c r="C4386" s="110">
        <v>19078</v>
      </c>
      <c r="D4386" s="109" t="s">
        <v>120</v>
      </c>
      <c r="E4386" s="109">
        <v>191</v>
      </c>
      <c r="F4386" s="110">
        <v>9495</v>
      </c>
      <c r="G4386" s="109" t="s">
        <v>120</v>
      </c>
      <c r="H4386" s="109">
        <v>50</v>
      </c>
      <c r="I4386" s="109">
        <v>388</v>
      </c>
      <c r="J4386" s="110">
        <v>923</v>
      </c>
    </row>
    <row r="4387" spans="1:10">
      <c r="A4387" s="103" t="s">
        <v>6703</v>
      </c>
      <c r="B4387" s="124" t="s">
        <v>932</v>
      </c>
      <c r="C4387" s="110">
        <v>325</v>
      </c>
      <c r="D4387" s="109" t="s">
        <v>120</v>
      </c>
      <c r="E4387" s="109">
        <v>3</v>
      </c>
      <c r="F4387" s="110">
        <v>2952</v>
      </c>
      <c r="G4387" s="109" t="s">
        <v>120</v>
      </c>
      <c r="H4387" s="109">
        <v>908</v>
      </c>
      <c r="I4387" s="109" t="s">
        <v>122</v>
      </c>
      <c r="J4387" s="110" t="s">
        <v>122</v>
      </c>
    </row>
    <row r="4388" spans="1:10">
      <c r="A4388" s="103" t="s">
        <v>6704</v>
      </c>
      <c r="B4388" s="124" t="s">
        <v>934</v>
      </c>
      <c r="C4388" s="110">
        <v>18753</v>
      </c>
      <c r="D4388" s="109" t="s">
        <v>120</v>
      </c>
      <c r="E4388" s="109">
        <v>188</v>
      </c>
      <c r="F4388" s="110">
        <v>6543</v>
      </c>
      <c r="G4388" s="109" t="s">
        <v>120</v>
      </c>
      <c r="H4388" s="109">
        <v>35</v>
      </c>
      <c r="I4388" s="109" t="s">
        <v>122</v>
      </c>
      <c r="J4388" s="110" t="s">
        <v>122</v>
      </c>
    </row>
    <row r="4389" spans="1:10">
      <c r="A4389" s="103" t="s">
        <v>6705</v>
      </c>
      <c r="B4389" s="124" t="s">
        <v>6706</v>
      </c>
      <c r="C4389" s="110">
        <v>12813</v>
      </c>
      <c r="D4389" s="109" t="s">
        <v>120</v>
      </c>
      <c r="E4389" s="109">
        <v>128</v>
      </c>
      <c r="F4389" s="110">
        <v>7957</v>
      </c>
      <c r="G4389" s="109" t="s">
        <v>120</v>
      </c>
      <c r="H4389" s="109">
        <v>62</v>
      </c>
      <c r="I4389" s="109">
        <v>941</v>
      </c>
      <c r="J4389" s="110">
        <v>1132</v>
      </c>
    </row>
    <row r="4390" spans="1:10">
      <c r="A4390" s="103" t="s">
        <v>6707</v>
      </c>
      <c r="B4390" s="124" t="s">
        <v>932</v>
      </c>
      <c r="C4390" s="110">
        <v>578</v>
      </c>
      <c r="D4390" s="109" t="s">
        <v>120</v>
      </c>
      <c r="E4390" s="109">
        <v>6</v>
      </c>
      <c r="F4390" s="110">
        <v>3674</v>
      </c>
      <c r="G4390" s="109" t="s">
        <v>120</v>
      </c>
      <c r="H4390" s="109">
        <v>636</v>
      </c>
      <c r="I4390" s="109" t="s">
        <v>122</v>
      </c>
      <c r="J4390" s="110" t="s">
        <v>122</v>
      </c>
    </row>
    <row r="4391" spans="1:10">
      <c r="A4391" s="103" t="s">
        <v>6708</v>
      </c>
      <c r="B4391" s="124" t="s">
        <v>934</v>
      </c>
      <c r="C4391" s="110">
        <v>12235</v>
      </c>
      <c r="D4391" s="109" t="s">
        <v>120</v>
      </c>
      <c r="E4391" s="109">
        <v>122</v>
      </c>
      <c r="F4391" s="110">
        <v>4283</v>
      </c>
      <c r="G4391" s="109" t="s">
        <v>120</v>
      </c>
      <c r="H4391" s="109">
        <v>35</v>
      </c>
      <c r="I4391" s="109" t="s">
        <v>122</v>
      </c>
      <c r="J4391" s="110" t="s">
        <v>122</v>
      </c>
    </row>
    <row r="4392" spans="1:10">
      <c r="A4392" s="103" t="s">
        <v>6709</v>
      </c>
      <c r="B4392" s="124" t="s">
        <v>6710</v>
      </c>
      <c r="C4392" s="110">
        <v>15905</v>
      </c>
      <c r="D4392" s="109" t="s">
        <v>120</v>
      </c>
      <c r="E4392" s="109">
        <v>159</v>
      </c>
      <c r="F4392" s="110">
        <v>13926</v>
      </c>
      <c r="G4392" s="109" t="s">
        <v>120</v>
      </c>
      <c r="H4392" s="109">
        <v>88</v>
      </c>
      <c r="I4392" s="109">
        <v>608</v>
      </c>
      <c r="J4392" s="110">
        <v>571</v>
      </c>
    </row>
    <row r="4393" spans="1:10">
      <c r="A4393" s="103" t="s">
        <v>6711</v>
      </c>
      <c r="B4393" s="124" t="s">
        <v>932</v>
      </c>
      <c r="C4393" s="110">
        <v>412</v>
      </c>
      <c r="D4393" s="109" t="s">
        <v>120</v>
      </c>
      <c r="E4393" s="109">
        <v>4</v>
      </c>
      <c r="F4393" s="110">
        <v>5123</v>
      </c>
      <c r="G4393" s="109" t="s">
        <v>120</v>
      </c>
      <c r="H4393" s="109">
        <v>1243</v>
      </c>
      <c r="I4393" s="109" t="s">
        <v>122</v>
      </c>
      <c r="J4393" s="110" t="s">
        <v>122</v>
      </c>
    </row>
    <row r="4394" spans="1:10">
      <c r="A4394" s="103" t="s">
        <v>6712</v>
      </c>
      <c r="B4394" s="124" t="s">
        <v>934</v>
      </c>
      <c r="C4394" s="110">
        <v>15493</v>
      </c>
      <c r="D4394" s="109" t="s">
        <v>120</v>
      </c>
      <c r="E4394" s="109">
        <v>155</v>
      </c>
      <c r="F4394" s="110">
        <v>8803</v>
      </c>
      <c r="G4394" s="109" t="s">
        <v>120</v>
      </c>
      <c r="H4394" s="109">
        <v>57</v>
      </c>
      <c r="I4394" s="109" t="s">
        <v>122</v>
      </c>
      <c r="J4394" s="110" t="s">
        <v>122</v>
      </c>
    </row>
    <row r="4395" spans="1:10">
      <c r="A4395" s="103" t="s">
        <v>6713</v>
      </c>
      <c r="B4395" s="124" t="s">
        <v>6714</v>
      </c>
      <c r="C4395" s="110">
        <v>12299</v>
      </c>
      <c r="D4395" s="109" t="s">
        <v>120</v>
      </c>
      <c r="E4395" s="109">
        <v>123</v>
      </c>
      <c r="F4395" s="110">
        <v>6516</v>
      </c>
      <c r="G4395" s="109" t="s">
        <v>120</v>
      </c>
      <c r="H4395" s="109">
        <v>53</v>
      </c>
      <c r="I4395" s="109">
        <v>1009</v>
      </c>
      <c r="J4395" s="110">
        <v>1395</v>
      </c>
    </row>
    <row r="4396" spans="1:10">
      <c r="A4396" s="103" t="s">
        <v>6715</v>
      </c>
      <c r="B4396" s="124" t="s">
        <v>932</v>
      </c>
      <c r="C4396" s="110">
        <v>482</v>
      </c>
      <c r="D4396" s="109" t="s">
        <v>120</v>
      </c>
      <c r="E4396" s="109">
        <v>5</v>
      </c>
      <c r="F4396" s="110">
        <v>2598</v>
      </c>
      <c r="G4396" s="109" t="s">
        <v>120</v>
      </c>
      <c r="H4396" s="109">
        <v>539</v>
      </c>
      <c r="I4396" s="109" t="s">
        <v>122</v>
      </c>
      <c r="J4396" s="110" t="s">
        <v>122</v>
      </c>
    </row>
    <row r="4397" spans="1:10">
      <c r="A4397" s="103" t="s">
        <v>6716</v>
      </c>
      <c r="B4397" s="124" t="s">
        <v>934</v>
      </c>
      <c r="C4397" s="110">
        <v>11817</v>
      </c>
      <c r="D4397" s="109" t="s">
        <v>120</v>
      </c>
      <c r="E4397" s="109">
        <v>118</v>
      </c>
      <c r="F4397" s="110">
        <v>3918</v>
      </c>
      <c r="G4397" s="109" t="s">
        <v>120</v>
      </c>
      <c r="H4397" s="109">
        <v>33</v>
      </c>
      <c r="I4397" s="109" t="s">
        <v>122</v>
      </c>
      <c r="J4397" s="110" t="s">
        <v>122</v>
      </c>
    </row>
    <row r="4398" spans="1:10" s="119" customFormat="1">
      <c r="A4398" s="123" t="s">
        <v>120</v>
      </c>
      <c r="B4398" s="273" t="s">
        <v>6717</v>
      </c>
      <c r="C4398" s="274"/>
      <c r="D4398" s="274"/>
      <c r="E4398" s="274"/>
      <c r="F4398" s="274"/>
      <c r="G4398" s="274"/>
      <c r="H4398" s="274"/>
      <c r="I4398" s="274"/>
      <c r="J4398" s="274"/>
    </row>
    <row r="4399" spans="1:10" s="119" customFormat="1">
      <c r="A4399" s="123" t="s">
        <v>120</v>
      </c>
      <c r="B4399" s="275" t="s">
        <v>1022</v>
      </c>
      <c r="C4399" s="276"/>
      <c r="D4399" s="276"/>
      <c r="E4399" s="276"/>
      <c r="F4399" s="276"/>
      <c r="G4399" s="276"/>
      <c r="H4399" s="276"/>
      <c r="I4399" s="276"/>
      <c r="J4399" s="276"/>
    </row>
    <row r="4400" spans="1:10">
      <c r="A4400" s="103" t="s">
        <v>6718</v>
      </c>
      <c r="B4400" s="124" t="s">
        <v>4567</v>
      </c>
      <c r="C4400" s="110">
        <v>9809</v>
      </c>
      <c r="D4400" s="109" t="s">
        <v>120</v>
      </c>
      <c r="E4400" s="109">
        <v>98</v>
      </c>
      <c r="F4400" s="110">
        <v>4947</v>
      </c>
      <c r="G4400" s="109" t="s">
        <v>120</v>
      </c>
      <c r="H4400" s="109">
        <v>50</v>
      </c>
      <c r="I4400" s="109">
        <v>1422</v>
      </c>
      <c r="J4400" s="110">
        <v>1749</v>
      </c>
    </row>
    <row r="4401" spans="1:10">
      <c r="A4401" s="103" t="s">
        <v>6719</v>
      </c>
      <c r="B4401" s="124" t="s">
        <v>6720</v>
      </c>
      <c r="C4401" s="110">
        <v>10843</v>
      </c>
      <c r="D4401" s="109" t="s">
        <v>120</v>
      </c>
      <c r="E4401" s="109">
        <v>108</v>
      </c>
      <c r="F4401" s="110">
        <v>4602</v>
      </c>
      <c r="G4401" s="109" t="s">
        <v>120</v>
      </c>
      <c r="H4401" s="109">
        <v>42</v>
      </c>
      <c r="I4401" s="109">
        <v>1249</v>
      </c>
      <c r="J4401" s="110">
        <v>1840</v>
      </c>
    </row>
    <row r="4402" spans="1:10">
      <c r="A4402" s="103" t="s">
        <v>6721</v>
      </c>
      <c r="B4402" s="124" t="s">
        <v>6722</v>
      </c>
      <c r="C4402" s="110">
        <v>13588</v>
      </c>
      <c r="D4402" s="109" t="s">
        <v>120</v>
      </c>
      <c r="E4402" s="109">
        <v>136</v>
      </c>
      <c r="F4402" s="110">
        <v>10777</v>
      </c>
      <c r="G4402" s="109" t="s">
        <v>120</v>
      </c>
      <c r="H4402" s="109">
        <v>79</v>
      </c>
      <c r="I4402" s="109">
        <v>826</v>
      </c>
      <c r="J4402" s="110">
        <v>807</v>
      </c>
    </row>
    <row r="4403" spans="1:10" s="119" customFormat="1">
      <c r="A4403" s="123" t="s">
        <v>120</v>
      </c>
      <c r="B4403" s="275" t="s">
        <v>947</v>
      </c>
      <c r="C4403" s="276"/>
      <c r="D4403" s="276"/>
      <c r="E4403" s="276"/>
      <c r="F4403" s="276"/>
      <c r="G4403" s="276"/>
      <c r="H4403" s="276"/>
      <c r="I4403" s="276"/>
      <c r="J4403" s="276"/>
    </row>
    <row r="4404" spans="1:10">
      <c r="A4404" s="103" t="s">
        <v>6723</v>
      </c>
      <c r="B4404" s="124" t="s">
        <v>6724</v>
      </c>
      <c r="C4404" s="110">
        <v>7363</v>
      </c>
      <c r="D4404" s="109" t="s">
        <v>120</v>
      </c>
      <c r="E4404" s="109">
        <v>74</v>
      </c>
      <c r="F4404" s="110">
        <v>4753</v>
      </c>
      <c r="G4404" s="109" t="s">
        <v>120</v>
      </c>
      <c r="H4404" s="109">
        <v>65</v>
      </c>
      <c r="I4404" s="109">
        <v>1796</v>
      </c>
      <c r="J4404" s="110">
        <v>1805</v>
      </c>
    </row>
    <row r="4405" spans="1:10">
      <c r="A4405" s="103" t="s">
        <v>6725</v>
      </c>
      <c r="B4405" s="124" t="s">
        <v>932</v>
      </c>
      <c r="C4405" s="110">
        <v>688</v>
      </c>
      <c r="D4405" s="109" t="s">
        <v>120</v>
      </c>
      <c r="E4405" s="109">
        <v>7</v>
      </c>
      <c r="F4405" s="110">
        <v>1787</v>
      </c>
      <c r="G4405" s="109" t="s">
        <v>120</v>
      </c>
      <c r="H4405" s="109">
        <v>260</v>
      </c>
      <c r="I4405" s="109" t="s">
        <v>122</v>
      </c>
      <c r="J4405" s="110" t="s">
        <v>122</v>
      </c>
    </row>
    <row r="4406" spans="1:10">
      <c r="A4406" s="103" t="s">
        <v>6726</v>
      </c>
      <c r="B4406" s="124" t="s">
        <v>934</v>
      </c>
      <c r="C4406" s="110">
        <v>6675</v>
      </c>
      <c r="D4406" s="109" t="s">
        <v>120</v>
      </c>
      <c r="E4406" s="109">
        <v>67</v>
      </c>
      <c r="F4406" s="110">
        <v>2966</v>
      </c>
      <c r="G4406" s="109" t="s">
        <v>120</v>
      </c>
      <c r="H4406" s="109">
        <v>44</v>
      </c>
      <c r="I4406" s="109" t="s">
        <v>122</v>
      </c>
      <c r="J4406" s="110" t="s">
        <v>122</v>
      </c>
    </row>
    <row r="4407" spans="1:10">
      <c r="A4407" s="103" t="s">
        <v>6727</v>
      </c>
      <c r="B4407" s="124" t="s">
        <v>6728</v>
      </c>
      <c r="C4407" s="110">
        <v>11671</v>
      </c>
      <c r="D4407" s="109" t="s">
        <v>120</v>
      </c>
      <c r="E4407" s="109">
        <v>117</v>
      </c>
      <c r="F4407" s="110">
        <v>8128</v>
      </c>
      <c r="G4407" s="109" t="s">
        <v>120</v>
      </c>
      <c r="H4407" s="109">
        <v>70</v>
      </c>
      <c r="I4407" s="109">
        <v>1101</v>
      </c>
      <c r="J4407" s="110">
        <v>1104</v>
      </c>
    </row>
    <row r="4408" spans="1:10">
      <c r="A4408" s="103" t="s">
        <v>6729</v>
      </c>
      <c r="B4408" s="124" t="s">
        <v>932</v>
      </c>
      <c r="C4408" s="110">
        <v>1970</v>
      </c>
      <c r="D4408" s="109" t="s">
        <v>120</v>
      </c>
      <c r="E4408" s="109">
        <v>20</v>
      </c>
      <c r="F4408" s="110">
        <v>3128</v>
      </c>
      <c r="G4408" s="109" t="s">
        <v>120</v>
      </c>
      <c r="H4408" s="109">
        <v>159</v>
      </c>
      <c r="I4408" s="109" t="s">
        <v>122</v>
      </c>
      <c r="J4408" s="110" t="s">
        <v>122</v>
      </c>
    </row>
    <row r="4409" spans="1:10">
      <c r="A4409" s="103" t="s">
        <v>6730</v>
      </c>
      <c r="B4409" s="124" t="s">
        <v>934</v>
      </c>
      <c r="C4409" s="110">
        <v>9701</v>
      </c>
      <c r="D4409" s="109" t="s">
        <v>120</v>
      </c>
      <c r="E4409" s="109">
        <v>97</v>
      </c>
      <c r="F4409" s="110">
        <v>5000</v>
      </c>
      <c r="G4409" s="109" t="s">
        <v>120</v>
      </c>
      <c r="H4409" s="109">
        <v>52</v>
      </c>
      <c r="I4409" s="109" t="s">
        <v>122</v>
      </c>
      <c r="J4409" s="110" t="s">
        <v>122</v>
      </c>
    </row>
    <row r="4410" spans="1:10">
      <c r="A4410" s="103" t="s">
        <v>6731</v>
      </c>
      <c r="B4410" s="124" t="s">
        <v>6732</v>
      </c>
      <c r="C4410" s="110">
        <v>18033</v>
      </c>
      <c r="D4410" s="109" t="s">
        <v>120</v>
      </c>
      <c r="E4410" s="109">
        <v>180</v>
      </c>
      <c r="F4410" s="110">
        <v>29807</v>
      </c>
      <c r="G4410" s="109" t="s">
        <v>120</v>
      </c>
      <c r="H4410" s="109">
        <v>165</v>
      </c>
      <c r="I4410" s="109">
        <v>447</v>
      </c>
      <c r="J4410" s="110">
        <v>192</v>
      </c>
    </row>
    <row r="4411" spans="1:10">
      <c r="A4411" s="103" t="s">
        <v>6733</v>
      </c>
      <c r="B4411" s="124" t="s">
        <v>932</v>
      </c>
      <c r="C4411" s="110">
        <v>1338</v>
      </c>
      <c r="D4411" s="109" t="s">
        <v>120</v>
      </c>
      <c r="E4411" s="109">
        <v>13</v>
      </c>
      <c r="F4411" s="110">
        <v>17192</v>
      </c>
      <c r="G4411" s="109" t="s">
        <v>120</v>
      </c>
      <c r="H4411" s="109">
        <v>1285</v>
      </c>
      <c r="I4411" s="109" t="s">
        <v>122</v>
      </c>
      <c r="J4411" s="110" t="s">
        <v>122</v>
      </c>
    </row>
    <row r="4412" spans="1:10">
      <c r="A4412" s="103" t="s">
        <v>6734</v>
      </c>
      <c r="B4412" s="124" t="s">
        <v>934</v>
      </c>
      <c r="C4412" s="110">
        <v>16695</v>
      </c>
      <c r="D4412" s="109" t="s">
        <v>120</v>
      </c>
      <c r="E4412" s="109">
        <v>167</v>
      </c>
      <c r="F4412" s="110">
        <v>12615</v>
      </c>
      <c r="G4412" s="109" t="s">
        <v>120</v>
      </c>
      <c r="H4412" s="109">
        <v>76</v>
      </c>
      <c r="I4412" s="109" t="s">
        <v>122</v>
      </c>
      <c r="J4412" s="110" t="s">
        <v>122</v>
      </c>
    </row>
    <row r="4413" spans="1:10" s="119" customFormat="1">
      <c r="A4413" s="123" t="s">
        <v>120</v>
      </c>
      <c r="B4413" s="273" t="s">
        <v>6735</v>
      </c>
      <c r="C4413" s="274"/>
      <c r="D4413" s="274"/>
      <c r="E4413" s="274"/>
      <c r="F4413" s="274"/>
      <c r="G4413" s="274"/>
      <c r="H4413" s="274"/>
      <c r="I4413" s="274"/>
      <c r="J4413" s="274"/>
    </row>
    <row r="4414" spans="1:10" s="119" customFormat="1">
      <c r="A4414" s="123" t="s">
        <v>120</v>
      </c>
      <c r="B4414" s="275" t="s">
        <v>936</v>
      </c>
      <c r="C4414" s="276"/>
      <c r="D4414" s="276"/>
      <c r="E4414" s="276"/>
      <c r="F4414" s="276"/>
      <c r="G4414" s="276"/>
      <c r="H4414" s="276"/>
      <c r="I4414" s="276"/>
      <c r="J4414" s="276"/>
    </row>
    <row r="4415" spans="1:10">
      <c r="A4415" s="103" t="s">
        <v>6736</v>
      </c>
      <c r="B4415" s="124" t="s">
        <v>6737</v>
      </c>
      <c r="C4415" s="110">
        <v>1351</v>
      </c>
      <c r="D4415" s="109" t="s">
        <v>120</v>
      </c>
      <c r="E4415" s="109">
        <v>14</v>
      </c>
      <c r="F4415" s="110">
        <v>31941</v>
      </c>
      <c r="G4415" s="109" t="s">
        <v>120</v>
      </c>
      <c r="H4415" s="109">
        <v>2364</v>
      </c>
      <c r="I4415" s="109">
        <v>2296</v>
      </c>
      <c r="J4415" s="110">
        <v>173</v>
      </c>
    </row>
    <row r="4416" spans="1:10">
      <c r="A4416" s="103" t="s">
        <v>6738</v>
      </c>
      <c r="B4416" s="124" t="s">
        <v>6739</v>
      </c>
      <c r="C4416" s="110">
        <v>1639</v>
      </c>
      <c r="D4416" s="109" t="s">
        <v>120</v>
      </c>
      <c r="E4416" s="109">
        <v>16</v>
      </c>
      <c r="F4416" s="110">
        <v>9657</v>
      </c>
      <c r="G4416" s="109" t="s">
        <v>120</v>
      </c>
      <c r="H4416" s="109">
        <v>589</v>
      </c>
      <c r="I4416" s="109">
        <v>2267</v>
      </c>
      <c r="J4416" s="110">
        <v>912</v>
      </c>
    </row>
    <row r="4417" spans="1:10" s="119" customFormat="1">
      <c r="A4417" s="123" t="s">
        <v>120</v>
      </c>
      <c r="B4417" s="275" t="s">
        <v>924</v>
      </c>
      <c r="C4417" s="276"/>
      <c r="D4417" s="276"/>
      <c r="E4417" s="276"/>
      <c r="F4417" s="276"/>
      <c r="G4417" s="276"/>
      <c r="H4417" s="276"/>
      <c r="I4417" s="276"/>
      <c r="J4417" s="276"/>
    </row>
    <row r="4418" spans="1:10">
      <c r="A4418" s="103" t="s">
        <v>6740</v>
      </c>
      <c r="B4418" s="124" t="s">
        <v>6741</v>
      </c>
      <c r="C4418" s="110">
        <v>8248</v>
      </c>
      <c r="D4418" s="109" t="s">
        <v>120</v>
      </c>
      <c r="E4418" s="109">
        <v>82</v>
      </c>
      <c r="F4418" s="110">
        <v>27617</v>
      </c>
      <c r="G4418" s="109" t="s">
        <v>120</v>
      </c>
      <c r="H4418" s="109">
        <v>335</v>
      </c>
      <c r="I4418" s="109">
        <v>1665</v>
      </c>
      <c r="J4418" s="110">
        <v>211</v>
      </c>
    </row>
    <row r="4419" spans="1:10">
      <c r="A4419" s="103" t="s">
        <v>6742</v>
      </c>
      <c r="B4419" s="124" t="s">
        <v>6743</v>
      </c>
      <c r="C4419" s="110">
        <v>10802</v>
      </c>
      <c r="D4419" s="109" t="s">
        <v>120</v>
      </c>
      <c r="E4419" s="109">
        <v>108</v>
      </c>
      <c r="F4419" s="110">
        <v>28138</v>
      </c>
      <c r="G4419" s="109" t="s">
        <v>120</v>
      </c>
      <c r="H4419" s="109">
        <v>260</v>
      </c>
      <c r="I4419" s="109">
        <v>1256</v>
      </c>
      <c r="J4419" s="110">
        <v>205</v>
      </c>
    </row>
    <row r="4420" spans="1:10">
      <c r="A4420" s="103" t="s">
        <v>6744</v>
      </c>
      <c r="B4420" s="124" t="s">
        <v>6745</v>
      </c>
      <c r="C4420" s="110">
        <v>7446</v>
      </c>
      <c r="D4420" s="109" t="s">
        <v>120</v>
      </c>
      <c r="E4420" s="109">
        <v>74</v>
      </c>
      <c r="F4420" s="110">
        <v>8868</v>
      </c>
      <c r="G4420" s="109" t="s">
        <v>120</v>
      </c>
      <c r="H4420" s="109">
        <v>119</v>
      </c>
      <c r="I4420" s="109">
        <v>1785</v>
      </c>
      <c r="J4420" s="110">
        <v>1003</v>
      </c>
    </row>
    <row r="4421" spans="1:10">
      <c r="A4421" s="103" t="s">
        <v>6746</v>
      </c>
      <c r="B4421" s="124" t="s">
        <v>6747</v>
      </c>
      <c r="C4421" s="110">
        <v>6641</v>
      </c>
      <c r="D4421" s="109" t="s">
        <v>120</v>
      </c>
      <c r="E4421" s="109">
        <v>66</v>
      </c>
      <c r="F4421" s="110">
        <v>30620</v>
      </c>
      <c r="G4421" s="109" t="s">
        <v>120</v>
      </c>
      <c r="H4421" s="109">
        <v>461</v>
      </c>
      <c r="I4421" s="109">
        <v>1890</v>
      </c>
      <c r="J4421" s="110">
        <v>183</v>
      </c>
    </row>
    <row r="4422" spans="1:10">
      <c r="A4422" s="103" t="s">
        <v>6748</v>
      </c>
      <c r="B4422" s="124" t="s">
        <v>4426</v>
      </c>
      <c r="C4422" s="110">
        <v>7930</v>
      </c>
      <c r="D4422" s="109" t="s">
        <v>120</v>
      </c>
      <c r="E4422" s="109">
        <v>79</v>
      </c>
      <c r="F4422" s="110">
        <v>18637</v>
      </c>
      <c r="G4422" s="109" t="s">
        <v>120</v>
      </c>
      <c r="H4422" s="109">
        <v>235</v>
      </c>
      <c r="I4422" s="109">
        <v>1712</v>
      </c>
      <c r="J4422" s="110">
        <v>377</v>
      </c>
    </row>
    <row r="4423" spans="1:10">
      <c r="A4423" s="103" t="s">
        <v>6749</v>
      </c>
      <c r="B4423" s="124" t="s">
        <v>6750</v>
      </c>
      <c r="C4423" s="110">
        <v>11601</v>
      </c>
      <c r="D4423" s="109" t="s">
        <v>120</v>
      </c>
      <c r="E4423" s="109">
        <v>117</v>
      </c>
      <c r="F4423" s="110">
        <v>18104</v>
      </c>
      <c r="G4423" s="109" t="s">
        <v>120</v>
      </c>
      <c r="H4423" s="109">
        <v>156</v>
      </c>
      <c r="I4423" s="109">
        <v>1114</v>
      </c>
      <c r="J4423" s="110">
        <v>398</v>
      </c>
    </row>
    <row r="4424" spans="1:10">
      <c r="A4424" s="103" t="s">
        <v>6751</v>
      </c>
      <c r="B4424" s="124" t="s">
        <v>6752</v>
      </c>
      <c r="C4424" s="110">
        <v>10175</v>
      </c>
      <c r="D4424" s="109" t="s">
        <v>120</v>
      </c>
      <c r="E4424" s="109">
        <v>102</v>
      </c>
      <c r="F4424" s="110">
        <v>28070</v>
      </c>
      <c r="G4424" s="109" t="s">
        <v>120</v>
      </c>
      <c r="H4424" s="109">
        <v>276</v>
      </c>
      <c r="I4424" s="109">
        <v>1357</v>
      </c>
      <c r="J4424" s="110">
        <v>206</v>
      </c>
    </row>
    <row r="4425" spans="1:10" s="119" customFormat="1">
      <c r="A4425" s="123" t="s">
        <v>120</v>
      </c>
      <c r="B4425" s="275" t="s">
        <v>947</v>
      </c>
      <c r="C4425" s="276"/>
      <c r="D4425" s="276"/>
      <c r="E4425" s="276"/>
      <c r="F4425" s="276"/>
      <c r="G4425" s="276"/>
      <c r="H4425" s="276"/>
      <c r="I4425" s="276"/>
      <c r="J4425" s="276"/>
    </row>
    <row r="4426" spans="1:10">
      <c r="A4426" s="103" t="s">
        <v>6753</v>
      </c>
      <c r="B4426" s="124" t="s">
        <v>6754</v>
      </c>
      <c r="C4426" s="110">
        <v>9058</v>
      </c>
      <c r="D4426" s="109" t="s">
        <v>120</v>
      </c>
      <c r="E4426" s="109">
        <v>91</v>
      </c>
      <c r="F4426" s="110">
        <v>12610</v>
      </c>
      <c r="G4426" s="109" t="s">
        <v>120</v>
      </c>
      <c r="H4426" s="109">
        <v>139</v>
      </c>
      <c r="I4426" s="109">
        <v>1526</v>
      </c>
      <c r="J4426" s="110">
        <v>656</v>
      </c>
    </row>
    <row r="4427" spans="1:10">
      <c r="A4427" s="103" t="s">
        <v>6755</v>
      </c>
      <c r="B4427" s="124" t="s">
        <v>932</v>
      </c>
      <c r="C4427" s="110">
        <v>296</v>
      </c>
      <c r="D4427" s="109" t="s">
        <v>120</v>
      </c>
      <c r="E4427" s="109">
        <v>3</v>
      </c>
      <c r="F4427" s="110">
        <v>6008</v>
      </c>
      <c r="G4427" s="109" t="s">
        <v>120</v>
      </c>
      <c r="H4427" s="109">
        <v>2030</v>
      </c>
      <c r="I4427" s="109" t="s">
        <v>122</v>
      </c>
      <c r="J4427" s="110" t="s">
        <v>122</v>
      </c>
    </row>
    <row r="4428" spans="1:10">
      <c r="A4428" s="103" t="s">
        <v>6756</v>
      </c>
      <c r="B4428" s="124" t="s">
        <v>934</v>
      </c>
      <c r="C4428" s="110">
        <v>8762</v>
      </c>
      <c r="D4428" s="109" t="s">
        <v>120</v>
      </c>
      <c r="E4428" s="109">
        <v>88</v>
      </c>
      <c r="F4428" s="110">
        <v>6602</v>
      </c>
      <c r="G4428" s="109" t="s">
        <v>120</v>
      </c>
      <c r="H4428" s="109">
        <v>75</v>
      </c>
      <c r="I4428" s="109" t="s">
        <v>122</v>
      </c>
      <c r="J4428" s="110" t="s">
        <v>122</v>
      </c>
    </row>
    <row r="4429" spans="1:10">
      <c r="A4429" s="103" t="s">
        <v>6757</v>
      </c>
      <c r="B4429" s="124" t="s">
        <v>6758</v>
      </c>
      <c r="C4429" s="110">
        <v>15481</v>
      </c>
      <c r="D4429" s="109" t="s">
        <v>120</v>
      </c>
      <c r="E4429" s="109">
        <v>155</v>
      </c>
      <c r="F4429" s="110">
        <v>18491</v>
      </c>
      <c r="G4429" s="109" t="s">
        <v>120</v>
      </c>
      <c r="H4429" s="109">
        <v>119</v>
      </c>
      <c r="I4429" s="109">
        <v>631</v>
      </c>
      <c r="J4429" s="110">
        <v>382</v>
      </c>
    </row>
    <row r="4430" spans="1:10">
      <c r="A4430" s="103" t="s">
        <v>6759</v>
      </c>
      <c r="B4430" s="124" t="s">
        <v>932</v>
      </c>
      <c r="C4430" s="110">
        <v>798</v>
      </c>
      <c r="D4430" s="109" t="s">
        <v>120</v>
      </c>
      <c r="E4430" s="109">
        <v>8</v>
      </c>
      <c r="F4430" s="110">
        <v>9684</v>
      </c>
      <c r="G4430" s="109" t="s">
        <v>120</v>
      </c>
      <c r="H4430" s="109">
        <v>1214</v>
      </c>
      <c r="I4430" s="109" t="s">
        <v>122</v>
      </c>
      <c r="J4430" s="110" t="s">
        <v>122</v>
      </c>
    </row>
    <row r="4431" spans="1:10">
      <c r="A4431" s="103" t="s">
        <v>6760</v>
      </c>
      <c r="B4431" s="124" t="s">
        <v>934</v>
      </c>
      <c r="C4431" s="110">
        <v>14683</v>
      </c>
      <c r="D4431" s="109" t="s">
        <v>120</v>
      </c>
      <c r="E4431" s="109">
        <v>147</v>
      </c>
      <c r="F4431" s="110">
        <v>8807</v>
      </c>
      <c r="G4431" s="109" t="s">
        <v>120</v>
      </c>
      <c r="H4431" s="109">
        <v>60</v>
      </c>
      <c r="I4431" s="109" t="s">
        <v>122</v>
      </c>
      <c r="J4431" s="110" t="s">
        <v>122</v>
      </c>
    </row>
    <row r="4432" spans="1:10">
      <c r="A4432" s="103" t="s">
        <v>6761</v>
      </c>
      <c r="B4432" s="124" t="s">
        <v>6762</v>
      </c>
      <c r="C4432" s="110">
        <v>18612</v>
      </c>
      <c r="D4432" s="109" t="s">
        <v>120</v>
      </c>
      <c r="E4432" s="109">
        <v>186</v>
      </c>
      <c r="F4432" s="110">
        <v>29787</v>
      </c>
      <c r="G4432" s="109" t="s">
        <v>120</v>
      </c>
      <c r="H4432" s="109">
        <v>160</v>
      </c>
      <c r="I4432" s="109">
        <v>415</v>
      </c>
      <c r="J4432" s="110">
        <v>193</v>
      </c>
    </row>
    <row r="4433" spans="1:10">
      <c r="A4433" s="103" t="s">
        <v>6763</v>
      </c>
      <c r="B4433" s="124" t="s">
        <v>932</v>
      </c>
      <c r="C4433" s="110">
        <v>599</v>
      </c>
      <c r="D4433" s="109" t="s">
        <v>120</v>
      </c>
      <c r="E4433" s="109">
        <v>6</v>
      </c>
      <c r="F4433" s="110">
        <v>7953</v>
      </c>
      <c r="G4433" s="109" t="s">
        <v>120</v>
      </c>
      <c r="H4433" s="109">
        <v>1328</v>
      </c>
      <c r="I4433" s="109" t="s">
        <v>122</v>
      </c>
      <c r="J4433" s="110" t="s">
        <v>122</v>
      </c>
    </row>
    <row r="4434" spans="1:10">
      <c r="A4434" s="103" t="s">
        <v>6764</v>
      </c>
      <c r="B4434" s="124" t="s">
        <v>934</v>
      </c>
      <c r="C4434" s="110">
        <v>18013</v>
      </c>
      <c r="D4434" s="109" t="s">
        <v>120</v>
      </c>
      <c r="E4434" s="109">
        <v>180</v>
      </c>
      <c r="F4434" s="110">
        <v>21834</v>
      </c>
      <c r="G4434" s="109" t="s">
        <v>120</v>
      </c>
      <c r="H4434" s="109">
        <v>121</v>
      </c>
      <c r="I4434" s="109" t="s">
        <v>122</v>
      </c>
      <c r="J4434" s="110" t="s">
        <v>122</v>
      </c>
    </row>
    <row r="4435" spans="1:10">
      <c r="A4435" s="103" t="s">
        <v>6765</v>
      </c>
      <c r="B4435" s="124" t="s">
        <v>6766</v>
      </c>
      <c r="C4435" s="110">
        <v>17143</v>
      </c>
      <c r="D4435" s="109" t="s">
        <v>120</v>
      </c>
      <c r="E4435" s="109">
        <v>172</v>
      </c>
      <c r="F4435" s="110">
        <v>33442</v>
      </c>
      <c r="G4435" s="109" t="s">
        <v>120</v>
      </c>
      <c r="H4435" s="109">
        <v>195</v>
      </c>
      <c r="I4435" s="109">
        <v>505</v>
      </c>
      <c r="J4435" s="110">
        <v>163</v>
      </c>
    </row>
    <row r="4436" spans="1:10">
      <c r="A4436" s="103" t="s">
        <v>6767</v>
      </c>
      <c r="B4436" s="124" t="s">
        <v>932</v>
      </c>
      <c r="C4436" s="110">
        <v>1350</v>
      </c>
      <c r="D4436" s="109" t="s">
        <v>120</v>
      </c>
      <c r="E4436" s="109">
        <v>14</v>
      </c>
      <c r="F4436" s="110">
        <v>14124</v>
      </c>
      <c r="G4436" s="109" t="s">
        <v>120</v>
      </c>
      <c r="H4436" s="109">
        <v>1046</v>
      </c>
      <c r="I4436" s="109" t="s">
        <v>122</v>
      </c>
      <c r="J4436" s="110" t="s">
        <v>122</v>
      </c>
    </row>
    <row r="4437" spans="1:10">
      <c r="A4437" s="103" t="s">
        <v>6768</v>
      </c>
      <c r="B4437" s="124" t="s">
        <v>934</v>
      </c>
      <c r="C4437" s="110">
        <v>15793</v>
      </c>
      <c r="D4437" s="109" t="s">
        <v>120</v>
      </c>
      <c r="E4437" s="109">
        <v>158</v>
      </c>
      <c r="F4437" s="110">
        <v>19318</v>
      </c>
      <c r="G4437" s="109" t="s">
        <v>120</v>
      </c>
      <c r="H4437" s="109">
        <v>122</v>
      </c>
      <c r="I4437" s="109" t="s">
        <v>122</v>
      </c>
      <c r="J4437" s="110" t="s">
        <v>122</v>
      </c>
    </row>
    <row r="4438" spans="1:10">
      <c r="A4438" s="103" t="s">
        <v>6769</v>
      </c>
      <c r="B4438" s="124" t="s">
        <v>6770</v>
      </c>
      <c r="C4438" s="110">
        <v>17223</v>
      </c>
      <c r="D4438" s="109" t="s">
        <v>120</v>
      </c>
      <c r="E4438" s="109">
        <v>172</v>
      </c>
      <c r="F4438" s="110">
        <v>16901</v>
      </c>
      <c r="G4438" s="109" t="s">
        <v>120</v>
      </c>
      <c r="H4438" s="109">
        <v>98</v>
      </c>
      <c r="I4438" s="109">
        <v>498</v>
      </c>
      <c r="J4438" s="110">
        <v>436</v>
      </c>
    </row>
    <row r="4439" spans="1:10">
      <c r="A4439" s="103" t="s">
        <v>6771</v>
      </c>
      <c r="B4439" s="124" t="s">
        <v>932</v>
      </c>
      <c r="C4439" s="110">
        <v>862</v>
      </c>
      <c r="D4439" s="109" t="s">
        <v>120</v>
      </c>
      <c r="E4439" s="109">
        <v>9</v>
      </c>
      <c r="F4439" s="110">
        <v>10433</v>
      </c>
      <c r="G4439" s="109" t="s">
        <v>120</v>
      </c>
      <c r="H4439" s="109">
        <v>1210</v>
      </c>
      <c r="I4439" s="109" t="s">
        <v>122</v>
      </c>
      <c r="J4439" s="110" t="s">
        <v>122</v>
      </c>
    </row>
    <row r="4440" spans="1:10">
      <c r="A4440" s="103" t="s">
        <v>6772</v>
      </c>
      <c r="B4440" s="124" t="s">
        <v>934</v>
      </c>
      <c r="C4440" s="110">
        <v>16361</v>
      </c>
      <c r="D4440" s="109" t="s">
        <v>120</v>
      </c>
      <c r="E4440" s="109">
        <v>163</v>
      </c>
      <c r="F4440" s="110">
        <v>6468</v>
      </c>
      <c r="G4440" s="109" t="s">
        <v>120</v>
      </c>
      <c r="H4440" s="109">
        <v>40</v>
      </c>
      <c r="I4440" s="109" t="s">
        <v>122</v>
      </c>
      <c r="J4440" s="110" t="s">
        <v>122</v>
      </c>
    </row>
    <row r="4441" spans="1:10">
      <c r="A4441" s="103" t="s">
        <v>6773</v>
      </c>
      <c r="B4441" s="124" t="s">
        <v>6774</v>
      </c>
      <c r="C4441" s="110">
        <v>18958</v>
      </c>
      <c r="D4441" s="109" t="s">
        <v>120</v>
      </c>
      <c r="E4441" s="109">
        <v>189</v>
      </c>
      <c r="F4441" s="110">
        <v>19741</v>
      </c>
      <c r="G4441" s="109" t="s">
        <v>120</v>
      </c>
      <c r="H4441" s="109">
        <v>104</v>
      </c>
      <c r="I4441" s="109">
        <v>395</v>
      </c>
      <c r="J4441" s="110">
        <v>350</v>
      </c>
    </row>
    <row r="4442" spans="1:10">
      <c r="A4442" s="103" t="s">
        <v>6775</v>
      </c>
      <c r="B4442" s="124" t="s">
        <v>932</v>
      </c>
      <c r="C4442" s="110">
        <v>1024</v>
      </c>
      <c r="D4442" s="109" t="s">
        <v>120</v>
      </c>
      <c r="E4442" s="109">
        <v>10</v>
      </c>
      <c r="F4442" s="110">
        <v>9311</v>
      </c>
      <c r="G4442" s="109" t="s">
        <v>120</v>
      </c>
      <c r="H4442" s="109">
        <v>909</v>
      </c>
      <c r="I4442" s="109" t="s">
        <v>122</v>
      </c>
      <c r="J4442" s="110" t="s">
        <v>122</v>
      </c>
    </row>
    <row r="4443" spans="1:10">
      <c r="A4443" s="103" t="s">
        <v>6776</v>
      </c>
      <c r="B4443" s="124" t="s">
        <v>934</v>
      </c>
      <c r="C4443" s="110">
        <v>17934</v>
      </c>
      <c r="D4443" s="109" t="s">
        <v>120</v>
      </c>
      <c r="E4443" s="109">
        <v>179</v>
      </c>
      <c r="F4443" s="110">
        <v>10430</v>
      </c>
      <c r="G4443" s="109" t="s">
        <v>120</v>
      </c>
      <c r="H4443" s="109">
        <v>58</v>
      </c>
      <c r="I4443" s="109" t="s">
        <v>122</v>
      </c>
      <c r="J4443" s="110" t="s">
        <v>122</v>
      </c>
    </row>
    <row r="4444" spans="1:10">
      <c r="A4444" s="103" t="s">
        <v>6777</v>
      </c>
      <c r="B4444" s="124" t="s">
        <v>6778</v>
      </c>
      <c r="C4444" s="110">
        <v>17502</v>
      </c>
      <c r="D4444" s="109" t="s">
        <v>120</v>
      </c>
      <c r="E4444" s="109">
        <v>175</v>
      </c>
      <c r="F4444" s="110">
        <v>15126</v>
      </c>
      <c r="G4444" s="109" t="s">
        <v>120</v>
      </c>
      <c r="H4444" s="109">
        <v>86</v>
      </c>
      <c r="I4444" s="109">
        <v>486</v>
      </c>
      <c r="J4444" s="110">
        <v>511</v>
      </c>
    </row>
    <row r="4445" spans="1:10">
      <c r="A4445" s="103" t="s">
        <v>6779</v>
      </c>
      <c r="B4445" s="124" t="s">
        <v>932</v>
      </c>
      <c r="C4445" s="110">
        <v>569</v>
      </c>
      <c r="D4445" s="109" t="s">
        <v>120</v>
      </c>
      <c r="E4445" s="109">
        <v>6</v>
      </c>
      <c r="F4445" s="110">
        <v>5946</v>
      </c>
      <c r="G4445" s="109" t="s">
        <v>120</v>
      </c>
      <c r="H4445" s="109">
        <v>1045</v>
      </c>
      <c r="I4445" s="109" t="s">
        <v>122</v>
      </c>
      <c r="J4445" s="110" t="s">
        <v>122</v>
      </c>
    </row>
    <row r="4446" spans="1:10">
      <c r="A4446" s="103" t="s">
        <v>6780</v>
      </c>
      <c r="B4446" s="124" t="s">
        <v>934</v>
      </c>
      <c r="C4446" s="110">
        <v>16933</v>
      </c>
      <c r="D4446" s="109" t="s">
        <v>120</v>
      </c>
      <c r="E4446" s="109">
        <v>169</v>
      </c>
      <c r="F4446" s="110">
        <v>9180</v>
      </c>
      <c r="G4446" s="109" t="s">
        <v>120</v>
      </c>
      <c r="H4446" s="109">
        <v>54</v>
      </c>
      <c r="I4446" s="109" t="s">
        <v>122</v>
      </c>
      <c r="J4446" s="110" t="s">
        <v>122</v>
      </c>
    </row>
    <row r="4447" spans="1:10">
      <c r="A4447" s="103" t="s">
        <v>6781</v>
      </c>
      <c r="B4447" s="124" t="s">
        <v>6782</v>
      </c>
      <c r="C4447" s="110">
        <v>10178</v>
      </c>
      <c r="D4447" s="109" t="s">
        <v>120</v>
      </c>
      <c r="E4447" s="109">
        <v>102</v>
      </c>
      <c r="F4447" s="110">
        <v>51522</v>
      </c>
      <c r="G4447" s="109" t="s">
        <v>120</v>
      </c>
      <c r="H4447" s="109">
        <v>506</v>
      </c>
      <c r="I4447" s="109">
        <v>1356</v>
      </c>
      <c r="J4447" s="110">
        <v>89</v>
      </c>
    </row>
    <row r="4448" spans="1:10">
      <c r="A4448" s="103" t="s">
        <v>6783</v>
      </c>
      <c r="B4448" s="124" t="s">
        <v>932</v>
      </c>
      <c r="C4448" s="110">
        <v>823</v>
      </c>
      <c r="D4448" s="109" t="s">
        <v>120</v>
      </c>
      <c r="E4448" s="109">
        <v>9</v>
      </c>
      <c r="F4448" s="110">
        <v>30201</v>
      </c>
      <c r="G4448" s="109" t="s">
        <v>120</v>
      </c>
      <c r="H4448" s="109">
        <v>3670</v>
      </c>
      <c r="I4448" s="109" t="s">
        <v>122</v>
      </c>
      <c r="J4448" s="110" t="s">
        <v>122</v>
      </c>
    </row>
    <row r="4449" spans="1:10">
      <c r="A4449" s="103" t="s">
        <v>6784</v>
      </c>
      <c r="B4449" s="124" t="s">
        <v>934</v>
      </c>
      <c r="C4449" s="110">
        <v>9355</v>
      </c>
      <c r="D4449" s="109" t="s">
        <v>120</v>
      </c>
      <c r="E4449" s="109">
        <v>93</v>
      </c>
      <c r="F4449" s="110">
        <v>21321</v>
      </c>
      <c r="G4449" s="109" t="s">
        <v>120</v>
      </c>
      <c r="H4449" s="109">
        <v>228</v>
      </c>
      <c r="I4449" s="109" t="s">
        <v>122</v>
      </c>
      <c r="J4449" s="110" t="s">
        <v>122</v>
      </c>
    </row>
    <row r="4450" spans="1:10" s="119" customFormat="1">
      <c r="A4450" s="123" t="s">
        <v>120</v>
      </c>
      <c r="B4450" s="273" t="s">
        <v>6785</v>
      </c>
      <c r="C4450" s="274"/>
      <c r="D4450" s="274"/>
      <c r="E4450" s="274"/>
      <c r="F4450" s="274"/>
      <c r="G4450" s="274"/>
      <c r="H4450" s="274"/>
      <c r="I4450" s="274"/>
      <c r="J4450" s="274"/>
    </row>
    <row r="4451" spans="1:10" s="119" customFormat="1">
      <c r="A4451" s="123" t="s">
        <v>120</v>
      </c>
      <c r="B4451" s="275" t="s">
        <v>1296</v>
      </c>
      <c r="C4451" s="276"/>
      <c r="D4451" s="276"/>
      <c r="E4451" s="276"/>
      <c r="F4451" s="276"/>
      <c r="G4451" s="276"/>
      <c r="H4451" s="276"/>
      <c r="I4451" s="276"/>
      <c r="J4451" s="276"/>
    </row>
    <row r="4452" spans="1:10">
      <c r="A4452" s="103" t="s">
        <v>6786</v>
      </c>
      <c r="B4452" s="124" t="s">
        <v>6787</v>
      </c>
      <c r="C4452" s="110">
        <v>7750</v>
      </c>
      <c r="D4452" s="109" t="s">
        <v>120</v>
      </c>
      <c r="E4452" s="109">
        <v>78</v>
      </c>
      <c r="F4452" s="110">
        <v>4918</v>
      </c>
      <c r="G4452" s="109" t="s">
        <v>120</v>
      </c>
      <c r="H4452" s="109">
        <v>63</v>
      </c>
      <c r="I4452" s="109">
        <v>1741</v>
      </c>
      <c r="J4452" s="110">
        <v>1758</v>
      </c>
    </row>
    <row r="4453" spans="1:10" s="119" customFormat="1">
      <c r="A4453" s="123" t="s">
        <v>120</v>
      </c>
      <c r="B4453" s="275" t="s">
        <v>1101</v>
      </c>
      <c r="C4453" s="276"/>
      <c r="D4453" s="276"/>
      <c r="E4453" s="276"/>
      <c r="F4453" s="276"/>
      <c r="G4453" s="276"/>
      <c r="H4453" s="276"/>
      <c r="I4453" s="276"/>
      <c r="J4453" s="276"/>
    </row>
    <row r="4454" spans="1:10">
      <c r="A4454" s="103" t="s">
        <v>6788</v>
      </c>
      <c r="B4454" s="124" t="s">
        <v>6789</v>
      </c>
      <c r="C4454" s="110">
        <v>12350</v>
      </c>
      <c r="D4454" s="109" t="s">
        <v>120</v>
      </c>
      <c r="E4454" s="109">
        <v>124</v>
      </c>
      <c r="F4454" s="110">
        <v>8739</v>
      </c>
      <c r="G4454" s="109" t="s">
        <v>120</v>
      </c>
      <c r="H4454" s="109">
        <v>71</v>
      </c>
      <c r="I4454" s="109">
        <v>1005</v>
      </c>
      <c r="J4454" s="110">
        <v>1015</v>
      </c>
    </row>
    <row r="4455" spans="1:10">
      <c r="A4455" s="103" t="s">
        <v>6790</v>
      </c>
      <c r="B4455" s="124" t="s">
        <v>932</v>
      </c>
      <c r="C4455" s="110">
        <v>234</v>
      </c>
      <c r="D4455" s="109" t="s">
        <v>120</v>
      </c>
      <c r="E4455" s="109">
        <v>2</v>
      </c>
      <c r="F4455" s="110">
        <v>2908</v>
      </c>
      <c r="G4455" s="109" t="s">
        <v>120</v>
      </c>
      <c r="H4455" s="109">
        <v>1243</v>
      </c>
      <c r="I4455" s="109" t="s">
        <v>122</v>
      </c>
      <c r="J4455" s="110" t="s">
        <v>122</v>
      </c>
    </row>
    <row r="4456" spans="1:10">
      <c r="A4456" s="103" t="s">
        <v>6791</v>
      </c>
      <c r="B4456" s="124" t="s">
        <v>934</v>
      </c>
      <c r="C4456" s="110">
        <v>12116</v>
      </c>
      <c r="D4456" s="109" t="s">
        <v>120</v>
      </c>
      <c r="E4456" s="109">
        <v>122</v>
      </c>
      <c r="F4456" s="110">
        <v>5831</v>
      </c>
      <c r="G4456" s="109" t="s">
        <v>120</v>
      </c>
      <c r="H4456" s="109">
        <v>48</v>
      </c>
      <c r="I4456" s="109" t="s">
        <v>122</v>
      </c>
      <c r="J4456" s="110" t="s">
        <v>122</v>
      </c>
    </row>
    <row r="4457" spans="1:10">
      <c r="A4457" s="103" t="s">
        <v>6792</v>
      </c>
      <c r="B4457" s="124" t="s">
        <v>6793</v>
      </c>
      <c r="C4457" s="110">
        <v>11487</v>
      </c>
      <c r="D4457" s="109" t="s">
        <v>120</v>
      </c>
      <c r="E4457" s="109">
        <v>115</v>
      </c>
      <c r="F4457" s="110">
        <v>7053</v>
      </c>
      <c r="G4457" s="109" t="s">
        <v>120</v>
      </c>
      <c r="H4457" s="109">
        <v>61</v>
      </c>
      <c r="I4457" s="109">
        <v>1126</v>
      </c>
      <c r="J4457" s="110">
        <v>1284</v>
      </c>
    </row>
    <row r="4458" spans="1:10">
      <c r="A4458" s="103" t="s">
        <v>6794</v>
      </c>
      <c r="B4458" s="124" t="s">
        <v>932</v>
      </c>
      <c r="C4458" s="110">
        <v>162</v>
      </c>
      <c r="D4458" s="109" t="s">
        <v>120</v>
      </c>
      <c r="E4458" s="109">
        <v>2</v>
      </c>
      <c r="F4458" s="110">
        <v>1977</v>
      </c>
      <c r="G4458" s="109" t="s">
        <v>120</v>
      </c>
      <c r="H4458" s="109">
        <v>1220</v>
      </c>
      <c r="I4458" s="109" t="s">
        <v>122</v>
      </c>
      <c r="J4458" s="110" t="s">
        <v>122</v>
      </c>
    </row>
    <row r="4459" spans="1:10">
      <c r="A4459" s="103" t="s">
        <v>6795</v>
      </c>
      <c r="B4459" s="124" t="s">
        <v>934</v>
      </c>
      <c r="C4459" s="110">
        <v>11325</v>
      </c>
      <c r="D4459" s="109" t="s">
        <v>120</v>
      </c>
      <c r="E4459" s="109">
        <v>113</v>
      </c>
      <c r="F4459" s="110">
        <v>5076</v>
      </c>
      <c r="G4459" s="109" t="s">
        <v>120</v>
      </c>
      <c r="H4459" s="109">
        <v>45</v>
      </c>
      <c r="I4459" s="109" t="s">
        <v>122</v>
      </c>
      <c r="J4459" s="110" t="s">
        <v>122</v>
      </c>
    </row>
    <row r="4460" spans="1:10">
      <c r="A4460" s="103" t="s">
        <v>6796</v>
      </c>
      <c r="B4460" s="124" t="s">
        <v>6797</v>
      </c>
      <c r="C4460" s="110">
        <v>10348</v>
      </c>
      <c r="D4460" s="109" t="s">
        <v>120</v>
      </c>
      <c r="E4460" s="109">
        <v>103</v>
      </c>
      <c r="F4460" s="110">
        <v>9249</v>
      </c>
      <c r="G4460" s="109" t="s">
        <v>120</v>
      </c>
      <c r="H4460" s="109">
        <v>89</v>
      </c>
      <c r="I4460" s="109">
        <v>1329</v>
      </c>
      <c r="J4460" s="110">
        <v>947</v>
      </c>
    </row>
    <row r="4461" spans="1:10">
      <c r="A4461" s="103" t="s">
        <v>6798</v>
      </c>
      <c r="B4461" s="124" t="s">
        <v>932</v>
      </c>
      <c r="C4461" s="110">
        <v>314</v>
      </c>
      <c r="D4461" s="109" t="s">
        <v>120</v>
      </c>
      <c r="E4461" s="109">
        <v>3</v>
      </c>
      <c r="F4461" s="110">
        <v>3198</v>
      </c>
      <c r="G4461" s="109" t="s">
        <v>120</v>
      </c>
      <c r="H4461" s="109">
        <v>1018</v>
      </c>
      <c r="I4461" s="109" t="s">
        <v>122</v>
      </c>
      <c r="J4461" s="110" t="s">
        <v>122</v>
      </c>
    </row>
    <row r="4462" spans="1:10">
      <c r="A4462" s="103" t="s">
        <v>6799</v>
      </c>
      <c r="B4462" s="124" t="s">
        <v>934</v>
      </c>
      <c r="C4462" s="110">
        <v>10034</v>
      </c>
      <c r="D4462" s="109" t="s">
        <v>120</v>
      </c>
      <c r="E4462" s="109">
        <v>100</v>
      </c>
      <c r="F4462" s="110">
        <v>6051</v>
      </c>
      <c r="G4462" s="109" t="s">
        <v>120</v>
      </c>
      <c r="H4462" s="109">
        <v>60</v>
      </c>
      <c r="I4462" s="109" t="s">
        <v>122</v>
      </c>
      <c r="J4462" s="110" t="s">
        <v>122</v>
      </c>
    </row>
    <row r="4463" spans="1:10">
      <c r="A4463" s="103" t="s">
        <v>6800</v>
      </c>
      <c r="B4463" s="124" t="s">
        <v>6801</v>
      </c>
      <c r="C4463" s="110">
        <v>13417</v>
      </c>
      <c r="D4463" s="109" t="s">
        <v>120</v>
      </c>
      <c r="E4463" s="109">
        <v>134</v>
      </c>
      <c r="F4463" s="110">
        <v>30303</v>
      </c>
      <c r="G4463" s="109" t="s">
        <v>120</v>
      </c>
      <c r="H4463" s="109">
        <v>226</v>
      </c>
      <c r="I4463" s="109">
        <v>851</v>
      </c>
      <c r="J4463" s="110">
        <v>186</v>
      </c>
    </row>
    <row r="4464" spans="1:10">
      <c r="A4464" s="103" t="s">
        <v>6802</v>
      </c>
      <c r="B4464" s="124" t="s">
        <v>932</v>
      </c>
      <c r="C4464" s="110">
        <v>774</v>
      </c>
      <c r="D4464" s="109" t="s">
        <v>120</v>
      </c>
      <c r="E4464" s="109">
        <v>8</v>
      </c>
      <c r="F4464" s="110">
        <v>20111</v>
      </c>
      <c r="G4464" s="109" t="s">
        <v>120</v>
      </c>
      <c r="H4464" s="109">
        <v>2598</v>
      </c>
      <c r="I4464" s="109" t="s">
        <v>122</v>
      </c>
      <c r="J4464" s="110" t="s">
        <v>122</v>
      </c>
    </row>
    <row r="4465" spans="1:10">
      <c r="A4465" s="103" t="s">
        <v>6803</v>
      </c>
      <c r="B4465" s="124" t="s">
        <v>934</v>
      </c>
      <c r="C4465" s="110">
        <v>12643</v>
      </c>
      <c r="D4465" s="109" t="s">
        <v>120</v>
      </c>
      <c r="E4465" s="109">
        <v>126</v>
      </c>
      <c r="F4465" s="110">
        <v>10192</v>
      </c>
      <c r="G4465" s="109" t="s">
        <v>120</v>
      </c>
      <c r="H4465" s="109">
        <v>81</v>
      </c>
      <c r="I4465" s="109" t="s">
        <v>122</v>
      </c>
      <c r="J4465" s="110" t="s">
        <v>122</v>
      </c>
    </row>
    <row r="4466" spans="1:10" s="119" customFormat="1">
      <c r="A4466" s="123" t="s">
        <v>120</v>
      </c>
      <c r="B4466" s="273" t="s">
        <v>6804</v>
      </c>
      <c r="C4466" s="274"/>
      <c r="D4466" s="274"/>
      <c r="E4466" s="274"/>
      <c r="F4466" s="274"/>
      <c r="G4466" s="274"/>
      <c r="H4466" s="274"/>
      <c r="I4466" s="274"/>
      <c r="J4466" s="274"/>
    </row>
    <row r="4467" spans="1:10" s="119" customFormat="1">
      <c r="A4467" s="123" t="s">
        <v>120</v>
      </c>
      <c r="B4467" s="275" t="s">
        <v>1019</v>
      </c>
      <c r="C4467" s="276"/>
      <c r="D4467" s="276"/>
      <c r="E4467" s="276"/>
      <c r="F4467" s="276"/>
      <c r="G4467" s="276"/>
      <c r="H4467" s="276"/>
      <c r="I4467" s="276"/>
      <c r="J4467" s="276"/>
    </row>
    <row r="4468" spans="1:10">
      <c r="A4468" s="103" t="s">
        <v>6805</v>
      </c>
      <c r="B4468" s="124" t="s">
        <v>6806</v>
      </c>
      <c r="C4468" s="110">
        <v>1030</v>
      </c>
      <c r="D4468" s="109" t="s">
        <v>120</v>
      </c>
      <c r="E4468" s="109">
        <v>10</v>
      </c>
      <c r="F4468" s="110">
        <v>13658</v>
      </c>
      <c r="G4468" s="109" t="s">
        <v>120</v>
      </c>
      <c r="H4468" s="109">
        <v>1326</v>
      </c>
      <c r="I4468" s="109">
        <v>2318</v>
      </c>
      <c r="J4468" s="110">
        <v>584</v>
      </c>
    </row>
    <row r="4469" spans="1:10" s="119" customFormat="1">
      <c r="A4469" s="123" t="s">
        <v>120</v>
      </c>
      <c r="B4469" s="275" t="s">
        <v>986</v>
      </c>
      <c r="C4469" s="276"/>
      <c r="D4469" s="276"/>
      <c r="E4469" s="276"/>
      <c r="F4469" s="276"/>
      <c r="G4469" s="276"/>
      <c r="H4469" s="276"/>
      <c r="I4469" s="276"/>
      <c r="J4469" s="276"/>
    </row>
    <row r="4470" spans="1:10">
      <c r="A4470" s="103" t="s">
        <v>6807</v>
      </c>
      <c r="B4470" s="124" t="s">
        <v>6808</v>
      </c>
      <c r="C4470" s="110">
        <v>9858</v>
      </c>
      <c r="D4470" s="109" t="s">
        <v>120</v>
      </c>
      <c r="E4470" s="109">
        <v>99</v>
      </c>
      <c r="F4470" s="110">
        <v>5740</v>
      </c>
      <c r="G4470" s="109" t="s">
        <v>120</v>
      </c>
      <c r="H4470" s="109">
        <v>58</v>
      </c>
      <c r="I4470" s="109">
        <v>1413</v>
      </c>
      <c r="J4470" s="110">
        <v>1571</v>
      </c>
    </row>
    <row r="4471" spans="1:10">
      <c r="A4471" s="103" t="s">
        <v>6809</v>
      </c>
      <c r="B4471" s="124" t="s">
        <v>6810</v>
      </c>
      <c r="C4471" s="110">
        <v>9803</v>
      </c>
      <c r="D4471" s="109" t="s">
        <v>120</v>
      </c>
      <c r="E4471" s="109">
        <v>98</v>
      </c>
      <c r="F4471" s="110">
        <v>3795</v>
      </c>
      <c r="G4471" s="109" t="s">
        <v>120</v>
      </c>
      <c r="H4471" s="109">
        <v>39</v>
      </c>
      <c r="I4471" s="109">
        <v>1423</v>
      </c>
      <c r="J4471" s="110">
        <v>2044</v>
      </c>
    </row>
    <row r="4472" spans="1:10">
      <c r="A4472" s="103" t="s">
        <v>6811</v>
      </c>
      <c r="B4472" s="124" t="s">
        <v>6812</v>
      </c>
      <c r="C4472" s="110">
        <v>10355</v>
      </c>
      <c r="D4472" s="109" t="s">
        <v>120</v>
      </c>
      <c r="E4472" s="109">
        <v>104</v>
      </c>
      <c r="F4472" s="110">
        <v>5077</v>
      </c>
      <c r="G4472" s="109" t="s">
        <v>120</v>
      </c>
      <c r="H4472" s="109">
        <v>49</v>
      </c>
      <c r="I4472" s="109">
        <v>1328</v>
      </c>
      <c r="J4472" s="110">
        <v>1726</v>
      </c>
    </row>
    <row r="4473" spans="1:10">
      <c r="A4473" s="103" t="s">
        <v>6813</v>
      </c>
      <c r="B4473" s="124" t="s">
        <v>6814</v>
      </c>
      <c r="C4473" s="110">
        <v>8069</v>
      </c>
      <c r="D4473" s="109" t="s">
        <v>120</v>
      </c>
      <c r="E4473" s="109">
        <v>81</v>
      </c>
      <c r="F4473" s="110">
        <v>2320</v>
      </c>
      <c r="G4473" s="105" t="s">
        <v>1075</v>
      </c>
      <c r="H4473" s="109">
        <v>29</v>
      </c>
      <c r="I4473" s="109">
        <v>1694</v>
      </c>
      <c r="J4473" s="110">
        <v>2276</v>
      </c>
    </row>
    <row r="4474" spans="1:10">
      <c r="A4474" s="103" t="s">
        <v>6815</v>
      </c>
      <c r="B4474" s="124" t="s">
        <v>6806</v>
      </c>
      <c r="C4474" s="110">
        <v>14481</v>
      </c>
      <c r="D4474" s="109" t="s">
        <v>120</v>
      </c>
      <c r="E4474" s="109">
        <v>144</v>
      </c>
      <c r="F4474" s="110">
        <v>9263</v>
      </c>
      <c r="G4474" s="109" t="s">
        <v>120</v>
      </c>
      <c r="H4474" s="109">
        <v>64</v>
      </c>
      <c r="I4474" s="109">
        <v>734</v>
      </c>
      <c r="J4474" s="110">
        <v>945</v>
      </c>
    </row>
    <row r="4475" spans="1:10">
      <c r="A4475" s="103" t="s">
        <v>6816</v>
      </c>
      <c r="B4475" s="124" t="s">
        <v>6817</v>
      </c>
      <c r="C4475" s="110">
        <v>14234</v>
      </c>
      <c r="D4475" s="109" t="s">
        <v>120</v>
      </c>
      <c r="E4475" s="109">
        <v>142</v>
      </c>
      <c r="F4475" s="110">
        <v>10279</v>
      </c>
      <c r="G4475" s="109" t="s">
        <v>120</v>
      </c>
      <c r="H4475" s="109">
        <v>72</v>
      </c>
      <c r="I4475" s="109">
        <v>755</v>
      </c>
      <c r="J4475" s="110">
        <v>846</v>
      </c>
    </row>
    <row r="4476" spans="1:10" s="119" customFormat="1">
      <c r="A4476" s="123" t="s">
        <v>120</v>
      </c>
      <c r="B4476" s="275" t="s">
        <v>1026</v>
      </c>
      <c r="C4476" s="276"/>
      <c r="D4476" s="276"/>
      <c r="E4476" s="276"/>
      <c r="F4476" s="276"/>
      <c r="G4476" s="276"/>
      <c r="H4476" s="276"/>
      <c r="I4476" s="276"/>
      <c r="J4476" s="276"/>
    </row>
    <row r="4477" spans="1:10">
      <c r="A4477" s="103" t="s">
        <v>6818</v>
      </c>
      <c r="B4477" s="124" t="s">
        <v>6819</v>
      </c>
      <c r="C4477" s="110">
        <v>15971</v>
      </c>
      <c r="D4477" s="109" t="s">
        <v>120</v>
      </c>
      <c r="E4477" s="109">
        <v>160</v>
      </c>
      <c r="F4477" s="110">
        <v>8945</v>
      </c>
      <c r="G4477" s="109" t="s">
        <v>120</v>
      </c>
      <c r="H4477" s="109">
        <v>56</v>
      </c>
      <c r="I4477" s="109">
        <v>600</v>
      </c>
      <c r="J4477" s="110">
        <v>991</v>
      </c>
    </row>
    <row r="4478" spans="1:10">
      <c r="A4478" s="103" t="s">
        <v>6820</v>
      </c>
      <c r="B4478" s="124" t="s">
        <v>932</v>
      </c>
      <c r="C4478" s="110">
        <v>344</v>
      </c>
      <c r="D4478" s="109" t="s">
        <v>120</v>
      </c>
      <c r="E4478" s="109">
        <v>4</v>
      </c>
      <c r="F4478" s="110">
        <v>2945</v>
      </c>
      <c r="G4478" s="109" t="s">
        <v>120</v>
      </c>
      <c r="H4478" s="109">
        <v>856</v>
      </c>
      <c r="I4478" s="109" t="s">
        <v>122</v>
      </c>
      <c r="J4478" s="110" t="s">
        <v>122</v>
      </c>
    </row>
    <row r="4479" spans="1:10">
      <c r="A4479" s="103" t="s">
        <v>6821</v>
      </c>
      <c r="B4479" s="124" t="s">
        <v>934</v>
      </c>
      <c r="C4479" s="110">
        <v>15627</v>
      </c>
      <c r="D4479" s="109" t="s">
        <v>120</v>
      </c>
      <c r="E4479" s="109">
        <v>156</v>
      </c>
      <c r="F4479" s="110">
        <v>6000</v>
      </c>
      <c r="G4479" s="109" t="s">
        <v>120</v>
      </c>
      <c r="H4479" s="109">
        <v>38</v>
      </c>
      <c r="I4479" s="109" t="s">
        <v>122</v>
      </c>
      <c r="J4479" s="110" t="s">
        <v>122</v>
      </c>
    </row>
    <row r="4480" spans="1:10" s="119" customFormat="1">
      <c r="A4480" s="123" t="s">
        <v>120</v>
      </c>
      <c r="B4480" s="273" t="s">
        <v>6822</v>
      </c>
      <c r="C4480" s="274"/>
      <c r="D4480" s="274"/>
      <c r="E4480" s="274"/>
      <c r="F4480" s="274"/>
      <c r="G4480" s="274"/>
      <c r="H4480" s="274"/>
      <c r="I4480" s="274"/>
      <c r="J4480" s="274"/>
    </row>
    <row r="4481" spans="1:10" s="119" customFormat="1">
      <c r="A4481" s="123" t="s">
        <v>120</v>
      </c>
      <c r="B4481" s="275" t="s">
        <v>1019</v>
      </c>
      <c r="C4481" s="276"/>
      <c r="D4481" s="276"/>
      <c r="E4481" s="276"/>
      <c r="F4481" s="276"/>
      <c r="G4481" s="276"/>
      <c r="H4481" s="276"/>
      <c r="I4481" s="276"/>
      <c r="J4481" s="276"/>
    </row>
    <row r="4482" spans="1:10">
      <c r="A4482" s="103" t="s">
        <v>6823</v>
      </c>
      <c r="B4482" s="124" t="s">
        <v>6824</v>
      </c>
      <c r="C4482" s="110">
        <v>374</v>
      </c>
      <c r="D4482" s="105" t="s">
        <v>1075</v>
      </c>
      <c r="E4482" s="109">
        <v>4</v>
      </c>
      <c r="F4482" s="110">
        <v>2375</v>
      </c>
      <c r="G4482" s="109" t="s">
        <v>120</v>
      </c>
      <c r="H4482" s="109">
        <v>635</v>
      </c>
      <c r="I4482" s="109">
        <v>2342</v>
      </c>
      <c r="J4482" s="110">
        <v>2271</v>
      </c>
    </row>
    <row r="4483" spans="1:10" s="119" customFormat="1">
      <c r="A4483" s="123" t="s">
        <v>120</v>
      </c>
      <c r="B4483" s="275" t="s">
        <v>943</v>
      </c>
      <c r="C4483" s="276"/>
      <c r="D4483" s="276"/>
      <c r="E4483" s="276"/>
      <c r="F4483" s="276"/>
      <c r="G4483" s="276"/>
      <c r="H4483" s="276"/>
      <c r="I4483" s="276"/>
      <c r="J4483" s="276"/>
    </row>
    <row r="4484" spans="1:10">
      <c r="A4484" s="103" t="s">
        <v>6825</v>
      </c>
      <c r="B4484" s="124" t="s">
        <v>6826</v>
      </c>
      <c r="C4484" s="110">
        <v>15630</v>
      </c>
      <c r="D4484" s="109" t="s">
        <v>120</v>
      </c>
      <c r="E4484" s="109">
        <v>155</v>
      </c>
      <c r="F4484" s="110">
        <v>9109</v>
      </c>
      <c r="G4484" s="109" t="s">
        <v>120</v>
      </c>
      <c r="H4484" s="109">
        <v>58</v>
      </c>
      <c r="I4484" s="109">
        <v>623</v>
      </c>
      <c r="J4484" s="110">
        <v>964</v>
      </c>
    </row>
    <row r="4485" spans="1:10">
      <c r="A4485" s="103" t="s">
        <v>6827</v>
      </c>
      <c r="B4485" s="124" t="s">
        <v>6828</v>
      </c>
      <c r="C4485" s="110">
        <v>12790</v>
      </c>
      <c r="D4485" s="109" t="s">
        <v>120</v>
      </c>
      <c r="E4485" s="109">
        <v>128</v>
      </c>
      <c r="F4485" s="110">
        <v>8755</v>
      </c>
      <c r="G4485" s="109" t="s">
        <v>120</v>
      </c>
      <c r="H4485" s="109">
        <v>68</v>
      </c>
      <c r="I4485" s="109">
        <v>944</v>
      </c>
      <c r="J4485" s="110">
        <v>1014</v>
      </c>
    </row>
    <row r="4486" spans="1:10">
      <c r="A4486" s="103" t="s">
        <v>6829</v>
      </c>
      <c r="B4486" s="124" t="s">
        <v>6824</v>
      </c>
      <c r="C4486" s="110">
        <v>11084</v>
      </c>
      <c r="D4486" s="109" t="s">
        <v>120</v>
      </c>
      <c r="E4486" s="109">
        <v>111</v>
      </c>
      <c r="F4486" s="110">
        <v>4467</v>
      </c>
      <c r="G4486" s="109" t="s">
        <v>120</v>
      </c>
      <c r="H4486" s="109">
        <v>40</v>
      </c>
      <c r="I4486" s="109">
        <v>1204</v>
      </c>
      <c r="J4486" s="110">
        <v>1876</v>
      </c>
    </row>
    <row r="4487" spans="1:10" s="119" customFormat="1">
      <c r="A4487" s="123" t="s">
        <v>120</v>
      </c>
      <c r="B4487" s="275" t="s">
        <v>1101</v>
      </c>
      <c r="C4487" s="276"/>
      <c r="D4487" s="276"/>
      <c r="E4487" s="276"/>
      <c r="F4487" s="276"/>
      <c r="G4487" s="276"/>
      <c r="H4487" s="276"/>
      <c r="I4487" s="276"/>
      <c r="J4487" s="276"/>
    </row>
    <row r="4488" spans="1:10">
      <c r="A4488" s="103" t="s">
        <v>6830</v>
      </c>
      <c r="B4488" s="124" t="s">
        <v>6831</v>
      </c>
      <c r="C4488" s="110">
        <v>8480</v>
      </c>
      <c r="D4488" s="109" t="s">
        <v>120</v>
      </c>
      <c r="E4488" s="109">
        <v>85</v>
      </c>
      <c r="F4488" s="110">
        <v>4925</v>
      </c>
      <c r="G4488" s="109" t="s">
        <v>120</v>
      </c>
      <c r="H4488" s="109">
        <v>58</v>
      </c>
      <c r="I4488" s="109">
        <v>1620</v>
      </c>
      <c r="J4488" s="110">
        <v>1755</v>
      </c>
    </row>
    <row r="4489" spans="1:10">
      <c r="A4489" s="103" t="s">
        <v>6832</v>
      </c>
      <c r="B4489" s="124" t="s">
        <v>932</v>
      </c>
      <c r="C4489" s="110">
        <v>125</v>
      </c>
      <c r="D4489" s="109" t="s">
        <v>120</v>
      </c>
      <c r="E4489" s="109">
        <v>1</v>
      </c>
      <c r="F4489" s="110">
        <v>1892</v>
      </c>
      <c r="G4489" s="109" t="s">
        <v>120</v>
      </c>
      <c r="H4489" s="109">
        <v>1514</v>
      </c>
      <c r="I4489" s="109" t="s">
        <v>122</v>
      </c>
      <c r="J4489" s="110" t="s">
        <v>122</v>
      </c>
    </row>
    <row r="4490" spans="1:10">
      <c r="A4490" s="103" t="s">
        <v>6833</v>
      </c>
      <c r="B4490" s="124" t="s">
        <v>934</v>
      </c>
      <c r="C4490" s="110">
        <v>8355</v>
      </c>
      <c r="D4490" s="109" t="s">
        <v>120</v>
      </c>
      <c r="E4490" s="109">
        <v>84</v>
      </c>
      <c r="F4490" s="110">
        <v>3033</v>
      </c>
      <c r="G4490" s="109" t="s">
        <v>120</v>
      </c>
      <c r="H4490" s="109">
        <v>36</v>
      </c>
      <c r="I4490" s="109" t="s">
        <v>122</v>
      </c>
      <c r="J4490" s="110" t="s">
        <v>122</v>
      </c>
    </row>
    <row r="4491" spans="1:10">
      <c r="A4491" s="103" t="s">
        <v>6834</v>
      </c>
      <c r="B4491" s="124" t="s">
        <v>3476</v>
      </c>
      <c r="C4491" s="110">
        <v>15847</v>
      </c>
      <c r="D4491" s="109" t="s">
        <v>120</v>
      </c>
      <c r="E4491" s="109">
        <v>158</v>
      </c>
      <c r="F4491" s="110">
        <v>12708</v>
      </c>
      <c r="G4491" s="109" t="s">
        <v>120</v>
      </c>
      <c r="H4491" s="109">
        <v>80</v>
      </c>
      <c r="I4491" s="109">
        <v>612</v>
      </c>
      <c r="J4491" s="110">
        <v>650</v>
      </c>
    </row>
    <row r="4492" spans="1:10">
      <c r="A4492" s="103" t="s">
        <v>6835</v>
      </c>
      <c r="B4492" s="124" t="s">
        <v>932</v>
      </c>
      <c r="C4492" s="110">
        <v>932</v>
      </c>
      <c r="D4492" s="109" t="s">
        <v>120</v>
      </c>
      <c r="E4492" s="109">
        <v>9</v>
      </c>
      <c r="F4492" s="110">
        <v>8134</v>
      </c>
      <c r="G4492" s="109" t="s">
        <v>120</v>
      </c>
      <c r="H4492" s="109">
        <v>873</v>
      </c>
      <c r="I4492" s="109" t="s">
        <v>122</v>
      </c>
      <c r="J4492" s="110" t="s">
        <v>122</v>
      </c>
    </row>
    <row r="4493" spans="1:10">
      <c r="A4493" s="103" t="s">
        <v>6836</v>
      </c>
      <c r="B4493" s="124" t="s">
        <v>934</v>
      </c>
      <c r="C4493" s="110">
        <v>14915</v>
      </c>
      <c r="D4493" s="109" t="s">
        <v>120</v>
      </c>
      <c r="E4493" s="109">
        <v>149</v>
      </c>
      <c r="F4493" s="110">
        <v>4574</v>
      </c>
      <c r="G4493" s="109" t="s">
        <v>120</v>
      </c>
      <c r="H4493" s="109">
        <v>31</v>
      </c>
      <c r="I4493" s="109" t="s">
        <v>122</v>
      </c>
      <c r="J4493" s="110" t="s">
        <v>122</v>
      </c>
    </row>
    <row r="4494" spans="1:10">
      <c r="A4494" s="103" t="s">
        <v>6837</v>
      </c>
      <c r="B4494" s="124" t="s">
        <v>6838</v>
      </c>
      <c r="C4494" s="110">
        <v>17552</v>
      </c>
      <c r="D4494" s="109" t="s">
        <v>120</v>
      </c>
      <c r="E4494" s="109">
        <v>176</v>
      </c>
      <c r="F4494" s="110">
        <v>30251</v>
      </c>
      <c r="G4494" s="109" t="s">
        <v>120</v>
      </c>
      <c r="H4494" s="109">
        <v>172</v>
      </c>
      <c r="I4494" s="109">
        <v>481</v>
      </c>
      <c r="J4494" s="110">
        <v>187</v>
      </c>
    </row>
    <row r="4495" spans="1:10">
      <c r="A4495" s="103" t="s">
        <v>6839</v>
      </c>
      <c r="B4495" s="124" t="s">
        <v>932</v>
      </c>
      <c r="C4495" s="110">
        <v>1108</v>
      </c>
      <c r="D4495" s="109" t="s">
        <v>120</v>
      </c>
      <c r="E4495" s="109">
        <v>11</v>
      </c>
      <c r="F4495" s="110">
        <v>18853</v>
      </c>
      <c r="G4495" s="109" t="s">
        <v>120</v>
      </c>
      <c r="H4495" s="109">
        <v>1702</v>
      </c>
      <c r="I4495" s="109" t="s">
        <v>122</v>
      </c>
      <c r="J4495" s="110" t="s">
        <v>122</v>
      </c>
    </row>
    <row r="4496" spans="1:10">
      <c r="A4496" s="103" t="s">
        <v>6840</v>
      </c>
      <c r="B4496" s="124" t="s">
        <v>934</v>
      </c>
      <c r="C4496" s="110">
        <v>16444</v>
      </c>
      <c r="D4496" s="109" t="s">
        <v>120</v>
      </c>
      <c r="E4496" s="109">
        <v>165</v>
      </c>
      <c r="F4496" s="110">
        <v>11398</v>
      </c>
      <c r="G4496" s="109" t="s">
        <v>120</v>
      </c>
      <c r="H4496" s="109">
        <v>69</v>
      </c>
      <c r="I4496" s="109" t="s">
        <v>122</v>
      </c>
      <c r="J4496" s="110" t="s">
        <v>122</v>
      </c>
    </row>
    <row r="4497" spans="1:10">
      <c r="A4497" s="103" t="s">
        <v>6841</v>
      </c>
      <c r="B4497" s="124" t="s">
        <v>6842</v>
      </c>
      <c r="C4497" s="110">
        <v>30172</v>
      </c>
      <c r="D4497" s="109" t="s">
        <v>120</v>
      </c>
      <c r="E4497" s="109">
        <v>302</v>
      </c>
      <c r="F4497" s="110">
        <v>19074</v>
      </c>
      <c r="G4497" s="109" t="s">
        <v>120</v>
      </c>
      <c r="H4497" s="109">
        <v>63</v>
      </c>
      <c r="I4497" s="109">
        <v>94</v>
      </c>
      <c r="J4497" s="110">
        <v>368</v>
      </c>
    </row>
    <row r="4498" spans="1:10">
      <c r="A4498" s="103" t="s">
        <v>6843</v>
      </c>
      <c r="B4498" s="124" t="s">
        <v>932</v>
      </c>
      <c r="C4498" s="110">
        <v>581</v>
      </c>
      <c r="D4498" s="109" t="s">
        <v>120</v>
      </c>
      <c r="E4498" s="109">
        <v>6</v>
      </c>
      <c r="F4498" s="110">
        <v>11119</v>
      </c>
      <c r="G4498" s="109" t="s">
        <v>120</v>
      </c>
      <c r="H4498" s="109">
        <v>1914</v>
      </c>
      <c r="I4498" s="109" t="s">
        <v>122</v>
      </c>
      <c r="J4498" s="110" t="s">
        <v>122</v>
      </c>
    </row>
    <row r="4499" spans="1:10">
      <c r="A4499" s="103" t="s">
        <v>6844</v>
      </c>
      <c r="B4499" s="124" t="s">
        <v>934</v>
      </c>
      <c r="C4499" s="110">
        <v>29591</v>
      </c>
      <c r="D4499" s="109" t="s">
        <v>120</v>
      </c>
      <c r="E4499" s="109">
        <v>296</v>
      </c>
      <c r="F4499" s="110">
        <v>7955</v>
      </c>
      <c r="G4499" s="109" t="s">
        <v>120</v>
      </c>
      <c r="H4499" s="109">
        <v>27</v>
      </c>
      <c r="I4499" s="109" t="s">
        <v>122</v>
      </c>
      <c r="J4499" s="110" t="s">
        <v>122</v>
      </c>
    </row>
    <row r="4500" spans="1:10" s="119" customFormat="1">
      <c r="A4500" s="123" t="s">
        <v>120</v>
      </c>
      <c r="B4500" s="273" t="s">
        <v>1218</v>
      </c>
      <c r="C4500" s="274"/>
      <c r="D4500" s="274"/>
      <c r="E4500" s="274"/>
      <c r="F4500" s="274"/>
      <c r="G4500" s="274"/>
      <c r="H4500" s="274"/>
      <c r="I4500" s="274"/>
      <c r="J4500" s="274"/>
    </row>
    <row r="4501" spans="1:10" s="119" customFormat="1">
      <c r="A4501" s="123" t="s">
        <v>120</v>
      </c>
      <c r="B4501" s="275" t="s">
        <v>924</v>
      </c>
      <c r="C4501" s="276"/>
      <c r="D4501" s="276"/>
      <c r="E4501" s="276"/>
      <c r="F4501" s="276"/>
      <c r="G4501" s="276"/>
      <c r="H4501" s="276"/>
      <c r="I4501" s="276"/>
      <c r="J4501" s="276"/>
    </row>
    <row r="4502" spans="1:10">
      <c r="A4502" s="103" t="s">
        <v>6845</v>
      </c>
      <c r="B4502" s="124" t="s">
        <v>6846</v>
      </c>
      <c r="C4502" s="110">
        <v>7936</v>
      </c>
      <c r="D4502" s="109" t="s">
        <v>120</v>
      </c>
      <c r="E4502" s="109">
        <v>79</v>
      </c>
      <c r="F4502" s="110">
        <v>3079</v>
      </c>
      <c r="G4502" s="109" t="s">
        <v>120</v>
      </c>
      <c r="H4502" s="109">
        <v>39</v>
      </c>
      <c r="I4502" s="109">
        <v>1710</v>
      </c>
      <c r="J4502" s="110">
        <v>2186</v>
      </c>
    </row>
    <row r="4503" spans="1:10">
      <c r="A4503" s="103" t="s">
        <v>6847</v>
      </c>
      <c r="B4503" s="124" t="s">
        <v>6848</v>
      </c>
      <c r="C4503" s="110">
        <v>11072</v>
      </c>
      <c r="D4503" s="109" t="s">
        <v>120</v>
      </c>
      <c r="E4503" s="109">
        <v>111</v>
      </c>
      <c r="F4503" s="110">
        <v>7136</v>
      </c>
      <c r="G4503" s="109" t="s">
        <v>120</v>
      </c>
      <c r="H4503" s="109">
        <v>64</v>
      </c>
      <c r="I4503" s="109">
        <v>1207</v>
      </c>
      <c r="J4503" s="110">
        <v>1271</v>
      </c>
    </row>
    <row r="4504" spans="1:10">
      <c r="A4504" s="103" t="s">
        <v>6849</v>
      </c>
      <c r="B4504" s="124" t="s">
        <v>6850</v>
      </c>
      <c r="C4504" s="110">
        <v>12007</v>
      </c>
      <c r="D4504" s="109" t="s">
        <v>120</v>
      </c>
      <c r="E4504" s="109">
        <v>120</v>
      </c>
      <c r="F4504" s="110">
        <v>9057</v>
      </c>
      <c r="G4504" s="109" t="s">
        <v>120</v>
      </c>
      <c r="H4504" s="109">
        <v>75</v>
      </c>
      <c r="I4504" s="109">
        <v>1053</v>
      </c>
      <c r="J4504" s="110">
        <v>977</v>
      </c>
    </row>
    <row r="4505" spans="1:10">
      <c r="A4505" s="103" t="s">
        <v>6851</v>
      </c>
      <c r="B4505" s="124" t="s">
        <v>6852</v>
      </c>
      <c r="C4505" s="110">
        <v>10655</v>
      </c>
      <c r="D4505" s="109" t="s">
        <v>120</v>
      </c>
      <c r="E4505" s="109">
        <v>107</v>
      </c>
      <c r="F4505" s="110">
        <v>6958</v>
      </c>
      <c r="G4505" s="109" t="s">
        <v>120</v>
      </c>
      <c r="H4505" s="109">
        <v>65</v>
      </c>
      <c r="I4505" s="109">
        <v>1279</v>
      </c>
      <c r="J4505" s="110">
        <v>1302</v>
      </c>
    </row>
    <row r="4506" spans="1:10" s="119" customFormat="1">
      <c r="A4506" s="123" t="s">
        <v>120</v>
      </c>
      <c r="B4506" s="275" t="s">
        <v>1026</v>
      </c>
      <c r="C4506" s="276"/>
      <c r="D4506" s="276"/>
      <c r="E4506" s="276"/>
      <c r="F4506" s="276"/>
      <c r="G4506" s="276"/>
      <c r="H4506" s="276"/>
      <c r="I4506" s="276"/>
      <c r="J4506" s="276"/>
    </row>
    <row r="4507" spans="1:10">
      <c r="A4507" s="103" t="s">
        <v>6853</v>
      </c>
      <c r="B4507" s="124" t="s">
        <v>6854</v>
      </c>
      <c r="C4507" s="110">
        <v>20716</v>
      </c>
      <c r="D4507" s="109" t="s">
        <v>120</v>
      </c>
      <c r="E4507" s="109">
        <v>207</v>
      </c>
      <c r="F4507" s="110">
        <v>32649</v>
      </c>
      <c r="G4507" s="109" t="s">
        <v>120</v>
      </c>
      <c r="H4507" s="109">
        <v>158</v>
      </c>
      <c r="I4507" s="109">
        <v>307</v>
      </c>
      <c r="J4507" s="110">
        <v>169</v>
      </c>
    </row>
    <row r="4508" spans="1:10">
      <c r="A4508" s="103" t="s">
        <v>6855</v>
      </c>
      <c r="B4508" s="124" t="s">
        <v>932</v>
      </c>
      <c r="C4508" s="110">
        <v>2192</v>
      </c>
      <c r="D4508" s="109" t="s">
        <v>120</v>
      </c>
      <c r="E4508" s="109">
        <v>22</v>
      </c>
      <c r="F4508" s="110">
        <v>23505</v>
      </c>
      <c r="G4508" s="109" t="s">
        <v>120</v>
      </c>
      <c r="H4508" s="109">
        <v>1072</v>
      </c>
      <c r="I4508" s="109" t="s">
        <v>122</v>
      </c>
      <c r="J4508" s="110" t="s">
        <v>122</v>
      </c>
    </row>
    <row r="4509" spans="1:10">
      <c r="A4509" s="103" t="s">
        <v>6856</v>
      </c>
      <c r="B4509" s="124" t="s">
        <v>934</v>
      </c>
      <c r="C4509" s="110">
        <v>18524</v>
      </c>
      <c r="D4509" s="109" t="s">
        <v>120</v>
      </c>
      <c r="E4509" s="109">
        <v>185</v>
      </c>
      <c r="F4509" s="110">
        <v>9144</v>
      </c>
      <c r="G4509" s="109" t="s">
        <v>120</v>
      </c>
      <c r="H4509" s="109">
        <v>49</v>
      </c>
      <c r="I4509" s="109" t="s">
        <v>122</v>
      </c>
      <c r="J4509" s="110" t="s">
        <v>122</v>
      </c>
    </row>
    <row r="4510" spans="1:10" s="119" customFormat="1">
      <c r="A4510" s="123" t="s">
        <v>120</v>
      </c>
      <c r="B4510" s="273" t="s">
        <v>6857</v>
      </c>
      <c r="C4510" s="274"/>
      <c r="D4510" s="274"/>
      <c r="E4510" s="274"/>
      <c r="F4510" s="274"/>
      <c r="G4510" s="274"/>
      <c r="H4510" s="274"/>
      <c r="I4510" s="274"/>
      <c r="J4510" s="274"/>
    </row>
    <row r="4511" spans="1:10" s="119" customFormat="1">
      <c r="A4511" s="123" t="s">
        <v>120</v>
      </c>
      <c r="B4511" s="275" t="s">
        <v>1568</v>
      </c>
      <c r="C4511" s="276"/>
      <c r="D4511" s="276"/>
      <c r="E4511" s="276"/>
      <c r="F4511" s="276"/>
      <c r="G4511" s="276"/>
      <c r="H4511" s="276"/>
      <c r="I4511" s="276"/>
      <c r="J4511" s="276"/>
    </row>
    <row r="4512" spans="1:10">
      <c r="A4512" s="103" t="s">
        <v>6858</v>
      </c>
      <c r="B4512" s="124" t="s">
        <v>1418</v>
      </c>
      <c r="C4512" s="110">
        <v>9583</v>
      </c>
      <c r="D4512" s="109" t="s">
        <v>120</v>
      </c>
      <c r="E4512" s="109">
        <v>96</v>
      </c>
      <c r="F4512" s="110">
        <v>4892</v>
      </c>
      <c r="G4512" s="109" t="s">
        <v>120</v>
      </c>
      <c r="H4512" s="109">
        <v>51</v>
      </c>
      <c r="I4512" s="109">
        <v>1452</v>
      </c>
      <c r="J4512" s="110">
        <v>1768</v>
      </c>
    </row>
    <row r="4513" spans="1:10" s="119" customFormat="1">
      <c r="A4513" s="123" t="s">
        <v>120</v>
      </c>
      <c r="B4513" s="275" t="s">
        <v>1101</v>
      </c>
      <c r="C4513" s="276"/>
      <c r="D4513" s="276"/>
      <c r="E4513" s="276"/>
      <c r="F4513" s="276"/>
      <c r="G4513" s="276"/>
      <c r="H4513" s="276"/>
      <c r="I4513" s="276"/>
      <c r="J4513" s="276"/>
    </row>
    <row r="4514" spans="1:10">
      <c r="A4514" s="103" t="s">
        <v>6859</v>
      </c>
      <c r="B4514" s="124" t="s">
        <v>6860</v>
      </c>
      <c r="C4514" s="110">
        <v>12448</v>
      </c>
      <c r="D4514" s="109" t="s">
        <v>120</v>
      </c>
      <c r="E4514" s="109">
        <v>124</v>
      </c>
      <c r="F4514" s="110">
        <v>5883</v>
      </c>
      <c r="G4514" s="109" t="s">
        <v>120</v>
      </c>
      <c r="H4514" s="109">
        <v>47</v>
      </c>
      <c r="I4514" s="109">
        <v>988</v>
      </c>
      <c r="J4514" s="110">
        <v>1535</v>
      </c>
    </row>
    <row r="4515" spans="1:10">
      <c r="A4515" s="103" t="s">
        <v>6861</v>
      </c>
      <c r="B4515" s="124" t="s">
        <v>932</v>
      </c>
      <c r="C4515" s="110">
        <v>620</v>
      </c>
      <c r="D4515" s="109" t="s">
        <v>120</v>
      </c>
      <c r="E4515" s="109">
        <v>6</v>
      </c>
      <c r="F4515" s="110">
        <v>1560</v>
      </c>
      <c r="G4515" s="109" t="s">
        <v>120</v>
      </c>
      <c r="H4515" s="109">
        <v>252</v>
      </c>
      <c r="I4515" s="109" t="s">
        <v>122</v>
      </c>
      <c r="J4515" s="110" t="s">
        <v>122</v>
      </c>
    </row>
    <row r="4516" spans="1:10">
      <c r="A4516" s="103" t="s">
        <v>6862</v>
      </c>
      <c r="B4516" s="124" t="s">
        <v>934</v>
      </c>
      <c r="C4516" s="110">
        <v>11828</v>
      </c>
      <c r="D4516" s="109" t="s">
        <v>120</v>
      </c>
      <c r="E4516" s="109">
        <v>118</v>
      </c>
      <c r="F4516" s="110">
        <v>4323</v>
      </c>
      <c r="G4516" s="109" t="s">
        <v>120</v>
      </c>
      <c r="H4516" s="109">
        <v>37</v>
      </c>
      <c r="I4516" s="109" t="s">
        <v>122</v>
      </c>
      <c r="J4516" s="110" t="s">
        <v>122</v>
      </c>
    </row>
    <row r="4517" spans="1:10">
      <c r="A4517" s="103" t="s">
        <v>6863</v>
      </c>
      <c r="B4517" s="124" t="s">
        <v>6864</v>
      </c>
      <c r="C4517" s="110">
        <v>14792</v>
      </c>
      <c r="D4517" s="109" t="s">
        <v>120</v>
      </c>
      <c r="E4517" s="109">
        <v>148</v>
      </c>
      <c r="F4517" s="110">
        <v>8495</v>
      </c>
      <c r="G4517" s="109" t="s">
        <v>120</v>
      </c>
      <c r="H4517" s="109">
        <v>57</v>
      </c>
      <c r="I4517" s="109">
        <v>695</v>
      </c>
      <c r="J4517" s="110">
        <v>1055</v>
      </c>
    </row>
    <row r="4518" spans="1:10">
      <c r="A4518" s="103" t="s">
        <v>6865</v>
      </c>
      <c r="B4518" s="124" t="s">
        <v>932</v>
      </c>
      <c r="C4518" s="110">
        <v>196</v>
      </c>
      <c r="D4518" s="109" t="s">
        <v>120</v>
      </c>
      <c r="E4518" s="109">
        <v>2</v>
      </c>
      <c r="F4518" s="110">
        <v>2715</v>
      </c>
      <c r="G4518" s="109" t="s">
        <v>120</v>
      </c>
      <c r="H4518" s="109">
        <v>1385</v>
      </c>
      <c r="I4518" s="109" t="s">
        <v>122</v>
      </c>
      <c r="J4518" s="110" t="s">
        <v>122</v>
      </c>
    </row>
    <row r="4519" spans="1:10">
      <c r="A4519" s="103" t="s">
        <v>6866</v>
      </c>
      <c r="B4519" s="124" t="s">
        <v>934</v>
      </c>
      <c r="C4519" s="110">
        <v>14596</v>
      </c>
      <c r="D4519" s="109" t="s">
        <v>120</v>
      </c>
      <c r="E4519" s="109">
        <v>146</v>
      </c>
      <c r="F4519" s="110">
        <v>5780</v>
      </c>
      <c r="G4519" s="109" t="s">
        <v>120</v>
      </c>
      <c r="H4519" s="109">
        <v>40</v>
      </c>
      <c r="I4519" s="109" t="s">
        <v>122</v>
      </c>
      <c r="J4519" s="110" t="s">
        <v>122</v>
      </c>
    </row>
    <row r="4520" spans="1:10">
      <c r="A4520" s="103" t="s">
        <v>6867</v>
      </c>
      <c r="B4520" s="124" t="s">
        <v>6868</v>
      </c>
      <c r="C4520" s="110">
        <v>20587</v>
      </c>
      <c r="D4520" s="109" t="s">
        <v>120</v>
      </c>
      <c r="E4520" s="109">
        <v>206</v>
      </c>
      <c r="F4520" s="110">
        <v>42155</v>
      </c>
      <c r="G4520" s="109" t="s">
        <v>120</v>
      </c>
      <c r="H4520" s="109">
        <v>205</v>
      </c>
      <c r="I4520" s="109">
        <v>313</v>
      </c>
      <c r="J4520" s="110">
        <v>117</v>
      </c>
    </row>
    <row r="4521" spans="1:10">
      <c r="A4521" s="103" t="s">
        <v>6869</v>
      </c>
      <c r="B4521" s="124" t="s">
        <v>932</v>
      </c>
      <c r="C4521" s="110">
        <v>1237</v>
      </c>
      <c r="D4521" s="109" t="s">
        <v>120</v>
      </c>
      <c r="E4521" s="109">
        <v>12</v>
      </c>
      <c r="F4521" s="110">
        <v>29446</v>
      </c>
      <c r="G4521" s="109" t="s">
        <v>120</v>
      </c>
      <c r="H4521" s="109">
        <v>2380</v>
      </c>
      <c r="I4521" s="109" t="s">
        <v>122</v>
      </c>
      <c r="J4521" s="110" t="s">
        <v>122</v>
      </c>
    </row>
    <row r="4522" spans="1:10">
      <c r="A4522" s="103" t="s">
        <v>6870</v>
      </c>
      <c r="B4522" s="124" t="s">
        <v>934</v>
      </c>
      <c r="C4522" s="110">
        <v>19350</v>
      </c>
      <c r="D4522" s="109" t="s">
        <v>120</v>
      </c>
      <c r="E4522" s="109">
        <v>194</v>
      </c>
      <c r="F4522" s="110">
        <v>12709</v>
      </c>
      <c r="G4522" s="109" t="s">
        <v>120</v>
      </c>
      <c r="H4522" s="109">
        <v>66</v>
      </c>
      <c r="I4522" s="109" t="s">
        <v>122</v>
      </c>
      <c r="J4522" s="110" t="s">
        <v>122</v>
      </c>
    </row>
    <row r="4523" spans="1:10" s="119" customFormat="1">
      <c r="A4523" s="123" t="s">
        <v>120</v>
      </c>
      <c r="B4523" s="273" t="s">
        <v>6871</v>
      </c>
      <c r="C4523" s="274"/>
      <c r="D4523" s="274"/>
      <c r="E4523" s="274"/>
      <c r="F4523" s="274"/>
      <c r="G4523" s="274"/>
      <c r="H4523" s="274"/>
      <c r="I4523" s="274"/>
      <c r="J4523" s="274"/>
    </row>
    <row r="4524" spans="1:10" s="119" customFormat="1">
      <c r="A4524" s="123" t="s">
        <v>120</v>
      </c>
      <c r="B4524" s="275" t="s">
        <v>1019</v>
      </c>
      <c r="C4524" s="276"/>
      <c r="D4524" s="276"/>
      <c r="E4524" s="276"/>
      <c r="F4524" s="276"/>
      <c r="G4524" s="276"/>
      <c r="H4524" s="276"/>
      <c r="I4524" s="276"/>
      <c r="J4524" s="276"/>
    </row>
    <row r="4525" spans="1:10">
      <c r="A4525" s="103" t="s">
        <v>6872</v>
      </c>
      <c r="B4525" s="124" t="s">
        <v>6873</v>
      </c>
      <c r="C4525" s="110">
        <v>1617</v>
      </c>
      <c r="D4525" s="109" t="s">
        <v>120</v>
      </c>
      <c r="E4525" s="109">
        <v>16</v>
      </c>
      <c r="F4525" s="110">
        <v>26833</v>
      </c>
      <c r="G4525" s="109" t="s">
        <v>120</v>
      </c>
      <c r="H4525" s="109">
        <v>1659</v>
      </c>
      <c r="I4525" s="109">
        <v>2270</v>
      </c>
      <c r="J4525" s="110">
        <v>222</v>
      </c>
    </row>
    <row r="4526" spans="1:10" s="119" customFormat="1">
      <c r="A4526" s="123" t="s">
        <v>120</v>
      </c>
      <c r="B4526" s="275" t="s">
        <v>943</v>
      </c>
      <c r="C4526" s="276"/>
      <c r="D4526" s="276"/>
      <c r="E4526" s="276"/>
      <c r="F4526" s="276"/>
      <c r="G4526" s="276"/>
      <c r="H4526" s="276"/>
      <c r="I4526" s="276"/>
      <c r="J4526" s="276"/>
    </row>
    <row r="4527" spans="1:10">
      <c r="A4527" s="103" t="s">
        <v>6874</v>
      </c>
      <c r="B4527" s="124" t="s">
        <v>6875</v>
      </c>
      <c r="C4527" s="110">
        <v>11263</v>
      </c>
      <c r="D4527" s="109" t="s">
        <v>120</v>
      </c>
      <c r="E4527" s="109">
        <v>112</v>
      </c>
      <c r="F4527" s="110">
        <v>5966</v>
      </c>
      <c r="G4527" s="109" t="s">
        <v>120</v>
      </c>
      <c r="H4527" s="109">
        <v>53</v>
      </c>
      <c r="I4527" s="109">
        <v>1165</v>
      </c>
      <c r="J4527" s="110">
        <v>1518</v>
      </c>
    </row>
    <row r="4528" spans="1:10">
      <c r="A4528" s="103" t="s">
        <v>6876</v>
      </c>
      <c r="B4528" s="124" t="s">
        <v>6877</v>
      </c>
      <c r="C4528" s="110">
        <v>10105</v>
      </c>
      <c r="D4528" s="109" t="s">
        <v>120</v>
      </c>
      <c r="E4528" s="109">
        <v>101</v>
      </c>
      <c r="F4528" s="110">
        <v>5195</v>
      </c>
      <c r="G4528" s="109" t="s">
        <v>120</v>
      </c>
      <c r="H4528" s="109">
        <v>51</v>
      </c>
      <c r="I4528" s="109">
        <v>1369</v>
      </c>
      <c r="J4528" s="110">
        <v>1691</v>
      </c>
    </row>
    <row r="4529" spans="1:10">
      <c r="A4529" s="103" t="s">
        <v>6878</v>
      </c>
      <c r="B4529" s="124" t="s">
        <v>6879</v>
      </c>
      <c r="C4529" s="110">
        <v>10723</v>
      </c>
      <c r="D4529" s="109" t="s">
        <v>120</v>
      </c>
      <c r="E4529" s="109">
        <v>107</v>
      </c>
      <c r="F4529" s="110">
        <v>6585</v>
      </c>
      <c r="G4529" s="109" t="s">
        <v>120</v>
      </c>
      <c r="H4529" s="109">
        <v>61</v>
      </c>
      <c r="I4529" s="109">
        <v>1270</v>
      </c>
      <c r="J4529" s="110">
        <v>1383</v>
      </c>
    </row>
    <row r="4530" spans="1:10">
      <c r="A4530" s="103" t="s">
        <v>6880</v>
      </c>
      <c r="B4530" s="124" t="s">
        <v>6881</v>
      </c>
      <c r="C4530" s="110">
        <v>11092</v>
      </c>
      <c r="D4530" s="109" t="s">
        <v>120</v>
      </c>
      <c r="E4530" s="109">
        <v>111</v>
      </c>
      <c r="F4530" s="110">
        <v>4589</v>
      </c>
      <c r="G4530" s="109" t="s">
        <v>120</v>
      </c>
      <c r="H4530" s="109">
        <v>41</v>
      </c>
      <c r="I4530" s="109">
        <v>1201</v>
      </c>
      <c r="J4530" s="110">
        <v>1846</v>
      </c>
    </row>
    <row r="4531" spans="1:10">
      <c r="A4531" s="103" t="s">
        <v>6882</v>
      </c>
      <c r="B4531" s="124" t="s">
        <v>6873</v>
      </c>
      <c r="C4531" s="110">
        <v>10925</v>
      </c>
      <c r="D4531" s="109" t="s">
        <v>120</v>
      </c>
      <c r="E4531" s="109">
        <v>109</v>
      </c>
      <c r="F4531" s="110">
        <v>9970</v>
      </c>
      <c r="G4531" s="109" t="s">
        <v>120</v>
      </c>
      <c r="H4531" s="109">
        <v>91</v>
      </c>
      <c r="I4531" s="109">
        <v>1236</v>
      </c>
      <c r="J4531" s="110">
        <v>875</v>
      </c>
    </row>
    <row r="4532" spans="1:10">
      <c r="A4532" s="103" t="s">
        <v>6883</v>
      </c>
      <c r="B4532" s="124" t="s">
        <v>6884</v>
      </c>
      <c r="C4532" s="110">
        <v>9072</v>
      </c>
      <c r="D4532" s="109" t="s">
        <v>120</v>
      </c>
      <c r="E4532" s="109">
        <v>91</v>
      </c>
      <c r="F4532" s="110">
        <v>8085</v>
      </c>
      <c r="G4532" s="109" t="s">
        <v>120</v>
      </c>
      <c r="H4532" s="109">
        <v>89</v>
      </c>
      <c r="I4532" s="109">
        <v>1524</v>
      </c>
      <c r="J4532" s="110">
        <v>1112</v>
      </c>
    </row>
    <row r="4533" spans="1:10" s="119" customFormat="1">
      <c r="A4533" s="123" t="s">
        <v>120</v>
      </c>
      <c r="B4533" s="275" t="s">
        <v>947</v>
      </c>
      <c r="C4533" s="276"/>
      <c r="D4533" s="276"/>
      <c r="E4533" s="276"/>
      <c r="F4533" s="276"/>
      <c r="G4533" s="276"/>
      <c r="H4533" s="276"/>
      <c r="I4533" s="276"/>
      <c r="J4533" s="276"/>
    </row>
    <row r="4534" spans="1:10">
      <c r="A4534" s="103" t="s">
        <v>6885</v>
      </c>
      <c r="B4534" s="124" t="s">
        <v>3056</v>
      </c>
      <c r="C4534" s="110">
        <v>13180</v>
      </c>
      <c r="D4534" s="109" t="s">
        <v>120</v>
      </c>
      <c r="E4534" s="109">
        <v>132</v>
      </c>
      <c r="F4534" s="110">
        <v>6134</v>
      </c>
      <c r="G4534" s="109" t="s">
        <v>120</v>
      </c>
      <c r="H4534" s="109">
        <v>47</v>
      </c>
      <c r="I4534" s="109">
        <v>886</v>
      </c>
      <c r="J4534" s="110">
        <v>1473</v>
      </c>
    </row>
    <row r="4535" spans="1:10">
      <c r="A4535" s="103" t="s">
        <v>6886</v>
      </c>
      <c r="B4535" s="124" t="s">
        <v>932</v>
      </c>
      <c r="C4535" s="110">
        <v>184</v>
      </c>
      <c r="D4535" s="109" t="s">
        <v>120</v>
      </c>
      <c r="E4535" s="109">
        <v>2</v>
      </c>
      <c r="F4535" s="110">
        <v>1369</v>
      </c>
      <c r="G4535" s="109" t="s">
        <v>120</v>
      </c>
      <c r="H4535" s="109">
        <v>744</v>
      </c>
      <c r="I4535" s="109" t="s">
        <v>122</v>
      </c>
      <c r="J4535" s="110" t="s">
        <v>122</v>
      </c>
    </row>
    <row r="4536" spans="1:10">
      <c r="A4536" s="103" t="s">
        <v>6887</v>
      </c>
      <c r="B4536" s="124" t="s">
        <v>934</v>
      </c>
      <c r="C4536" s="110">
        <v>12996</v>
      </c>
      <c r="D4536" s="109" t="s">
        <v>120</v>
      </c>
      <c r="E4536" s="109">
        <v>130</v>
      </c>
      <c r="F4536" s="110">
        <v>4765</v>
      </c>
      <c r="G4536" s="109" t="s">
        <v>120</v>
      </c>
      <c r="H4536" s="109">
        <v>37</v>
      </c>
      <c r="I4536" s="109" t="s">
        <v>122</v>
      </c>
      <c r="J4536" s="110" t="s">
        <v>122</v>
      </c>
    </row>
    <row r="4537" spans="1:10">
      <c r="A4537" s="103" t="s">
        <v>6888</v>
      </c>
      <c r="B4537" s="124" t="s">
        <v>6889</v>
      </c>
      <c r="C4537" s="110">
        <v>14966</v>
      </c>
      <c r="D4537" s="109" t="s">
        <v>120</v>
      </c>
      <c r="E4537" s="109">
        <v>150</v>
      </c>
      <c r="F4537" s="110">
        <v>10537</v>
      </c>
      <c r="G4537" s="109" t="s">
        <v>120</v>
      </c>
      <c r="H4537" s="109">
        <v>70</v>
      </c>
      <c r="I4537" s="109">
        <v>680</v>
      </c>
      <c r="J4537" s="110">
        <v>829</v>
      </c>
    </row>
    <row r="4538" spans="1:10">
      <c r="A4538" s="103" t="s">
        <v>6890</v>
      </c>
      <c r="B4538" s="124" t="s">
        <v>932</v>
      </c>
      <c r="C4538" s="110">
        <v>700</v>
      </c>
      <c r="D4538" s="109" t="s">
        <v>120</v>
      </c>
      <c r="E4538" s="109">
        <v>7</v>
      </c>
      <c r="F4538" s="110">
        <v>3239</v>
      </c>
      <c r="G4538" s="109" t="s">
        <v>120</v>
      </c>
      <c r="H4538" s="109">
        <v>463</v>
      </c>
      <c r="I4538" s="109" t="s">
        <v>122</v>
      </c>
      <c r="J4538" s="110" t="s">
        <v>122</v>
      </c>
    </row>
    <row r="4539" spans="1:10">
      <c r="A4539" s="103" t="s">
        <v>6891</v>
      </c>
      <c r="B4539" s="124" t="s">
        <v>934</v>
      </c>
      <c r="C4539" s="110">
        <v>14266</v>
      </c>
      <c r="D4539" s="109" t="s">
        <v>120</v>
      </c>
      <c r="E4539" s="109">
        <v>143</v>
      </c>
      <c r="F4539" s="110">
        <v>7298</v>
      </c>
      <c r="G4539" s="109" t="s">
        <v>120</v>
      </c>
      <c r="H4539" s="109">
        <v>51</v>
      </c>
      <c r="I4539" s="109" t="s">
        <v>122</v>
      </c>
      <c r="J4539" s="110" t="s">
        <v>122</v>
      </c>
    </row>
    <row r="4540" spans="1:10" s="119" customFormat="1">
      <c r="A4540" s="123" t="s">
        <v>120</v>
      </c>
      <c r="B4540" s="273" t="s">
        <v>6892</v>
      </c>
      <c r="C4540" s="274"/>
      <c r="D4540" s="274"/>
      <c r="E4540" s="274"/>
      <c r="F4540" s="274"/>
      <c r="G4540" s="274"/>
      <c r="H4540" s="274"/>
      <c r="I4540" s="274"/>
      <c r="J4540" s="274"/>
    </row>
    <row r="4541" spans="1:10" s="119" customFormat="1">
      <c r="A4541" s="123" t="s">
        <v>120</v>
      </c>
      <c r="B4541" s="275" t="s">
        <v>922</v>
      </c>
      <c r="C4541" s="276"/>
      <c r="D4541" s="276"/>
      <c r="E4541" s="276"/>
      <c r="F4541" s="276"/>
      <c r="G4541" s="276"/>
      <c r="H4541" s="276"/>
      <c r="I4541" s="276"/>
      <c r="J4541" s="276"/>
    </row>
    <row r="4542" spans="1:10">
      <c r="A4542" s="103" t="s">
        <v>6893</v>
      </c>
      <c r="B4542" s="124" t="s">
        <v>6894</v>
      </c>
      <c r="C4542" s="110">
        <v>1783</v>
      </c>
      <c r="D4542" s="109" t="s">
        <v>120</v>
      </c>
      <c r="E4542" s="109">
        <v>18</v>
      </c>
      <c r="F4542" s="110">
        <v>25686</v>
      </c>
      <c r="G4542" s="109" t="s">
        <v>120</v>
      </c>
      <c r="H4542" s="109">
        <v>1441</v>
      </c>
      <c r="I4542" s="109">
        <v>2256</v>
      </c>
      <c r="J4542" s="110">
        <v>237</v>
      </c>
    </row>
    <row r="4543" spans="1:10" s="119" customFormat="1">
      <c r="A4543" s="123" t="s">
        <v>120</v>
      </c>
      <c r="B4543" s="275" t="s">
        <v>943</v>
      </c>
      <c r="C4543" s="276"/>
      <c r="D4543" s="276"/>
      <c r="E4543" s="276"/>
      <c r="F4543" s="276"/>
      <c r="G4543" s="276"/>
      <c r="H4543" s="276"/>
      <c r="I4543" s="276"/>
      <c r="J4543" s="276"/>
    </row>
    <row r="4544" spans="1:10">
      <c r="A4544" s="103" t="s">
        <v>6895</v>
      </c>
      <c r="B4544" s="124" t="s">
        <v>6896</v>
      </c>
      <c r="C4544" s="110">
        <v>10454</v>
      </c>
      <c r="D4544" s="109" t="s">
        <v>120</v>
      </c>
      <c r="E4544" s="109">
        <v>105</v>
      </c>
      <c r="F4544" s="110">
        <v>5326</v>
      </c>
      <c r="G4544" s="109" t="s">
        <v>120</v>
      </c>
      <c r="H4544" s="109">
        <v>51</v>
      </c>
      <c r="I4544" s="109">
        <v>1308</v>
      </c>
      <c r="J4544" s="110">
        <v>1657</v>
      </c>
    </row>
    <row r="4545" spans="1:10">
      <c r="A4545" s="103" t="s">
        <v>6897</v>
      </c>
      <c r="B4545" s="124" t="s">
        <v>6898</v>
      </c>
      <c r="C4545" s="110">
        <v>13506</v>
      </c>
      <c r="D4545" s="109" t="s">
        <v>120</v>
      </c>
      <c r="E4545" s="109">
        <v>135</v>
      </c>
      <c r="F4545" s="110">
        <v>5937</v>
      </c>
      <c r="G4545" s="109" t="s">
        <v>120</v>
      </c>
      <c r="H4545" s="109">
        <v>44</v>
      </c>
      <c r="I4545" s="109">
        <v>836</v>
      </c>
      <c r="J4545" s="110">
        <v>1526</v>
      </c>
    </row>
    <row r="4546" spans="1:10">
      <c r="A4546" s="103" t="s">
        <v>6899</v>
      </c>
      <c r="B4546" s="124" t="s">
        <v>6900</v>
      </c>
      <c r="C4546" s="110">
        <v>4406</v>
      </c>
      <c r="D4546" s="109" t="s">
        <v>120</v>
      </c>
      <c r="E4546" s="109">
        <v>44</v>
      </c>
      <c r="F4546" s="110">
        <v>2962</v>
      </c>
      <c r="G4546" s="109" t="s">
        <v>120</v>
      </c>
      <c r="H4546" s="109">
        <v>67</v>
      </c>
      <c r="I4546" s="109">
        <v>2065</v>
      </c>
      <c r="J4546" s="110">
        <v>2205</v>
      </c>
    </row>
    <row r="4547" spans="1:10">
      <c r="A4547" s="103" t="s">
        <v>6901</v>
      </c>
      <c r="B4547" s="124" t="s">
        <v>6894</v>
      </c>
      <c r="C4547" s="110">
        <v>34785</v>
      </c>
      <c r="D4547" s="109" t="s">
        <v>120</v>
      </c>
      <c r="E4547" s="109">
        <v>348</v>
      </c>
      <c r="F4547" s="110">
        <v>12316</v>
      </c>
      <c r="G4547" s="109" t="s">
        <v>120</v>
      </c>
      <c r="H4547" s="109">
        <v>35</v>
      </c>
      <c r="I4547" s="109">
        <v>52</v>
      </c>
      <c r="J4547" s="110">
        <v>677</v>
      </c>
    </row>
    <row r="4548" spans="1:10" s="119" customFormat="1">
      <c r="A4548" s="123" t="s">
        <v>120</v>
      </c>
      <c r="B4548" s="275" t="s">
        <v>947</v>
      </c>
      <c r="C4548" s="276"/>
      <c r="D4548" s="276"/>
      <c r="E4548" s="276"/>
      <c r="F4548" s="276"/>
      <c r="G4548" s="276"/>
      <c r="H4548" s="276"/>
      <c r="I4548" s="276"/>
      <c r="J4548" s="276"/>
    </row>
    <row r="4549" spans="1:10">
      <c r="A4549" s="103" t="s">
        <v>6902</v>
      </c>
      <c r="B4549" s="124" t="s">
        <v>6903</v>
      </c>
      <c r="C4549" s="110">
        <v>19182</v>
      </c>
      <c r="D4549" s="109" t="s">
        <v>120</v>
      </c>
      <c r="E4549" s="109">
        <v>192</v>
      </c>
      <c r="F4549" s="110">
        <v>8293</v>
      </c>
      <c r="G4549" s="109" t="s">
        <v>120</v>
      </c>
      <c r="H4549" s="109">
        <v>43</v>
      </c>
      <c r="I4549" s="109">
        <v>384</v>
      </c>
      <c r="J4549" s="110">
        <v>1075</v>
      </c>
    </row>
    <row r="4550" spans="1:10">
      <c r="A4550" s="103" t="s">
        <v>6904</v>
      </c>
      <c r="B4550" s="124" t="s">
        <v>932</v>
      </c>
      <c r="C4550" s="110">
        <v>1264</v>
      </c>
      <c r="D4550" s="109" t="s">
        <v>120</v>
      </c>
      <c r="E4550" s="109">
        <v>13</v>
      </c>
      <c r="F4550" s="110">
        <v>3282</v>
      </c>
      <c r="G4550" s="109" t="s">
        <v>120</v>
      </c>
      <c r="H4550" s="109">
        <v>260</v>
      </c>
      <c r="I4550" s="109" t="s">
        <v>122</v>
      </c>
      <c r="J4550" s="110" t="s">
        <v>122</v>
      </c>
    </row>
    <row r="4551" spans="1:10">
      <c r="A4551" s="103" t="s">
        <v>6905</v>
      </c>
      <c r="B4551" s="124" t="s">
        <v>934</v>
      </c>
      <c r="C4551" s="110">
        <v>17918</v>
      </c>
      <c r="D4551" s="109" t="s">
        <v>120</v>
      </c>
      <c r="E4551" s="109">
        <v>179</v>
      </c>
      <c r="F4551" s="110">
        <v>5011</v>
      </c>
      <c r="G4551" s="109" t="s">
        <v>120</v>
      </c>
      <c r="H4551" s="109">
        <v>28</v>
      </c>
      <c r="I4551" s="109" t="s">
        <v>122</v>
      </c>
      <c r="J4551" s="110" t="s">
        <v>122</v>
      </c>
    </row>
    <row r="4552" spans="1:10">
      <c r="A4552" s="103" t="s">
        <v>6906</v>
      </c>
      <c r="B4552" s="124" t="s">
        <v>6907</v>
      </c>
      <c r="C4552" s="110">
        <v>19849</v>
      </c>
      <c r="D4552" s="109" t="s">
        <v>120</v>
      </c>
      <c r="E4552" s="109">
        <v>198</v>
      </c>
      <c r="F4552" s="110">
        <v>9713</v>
      </c>
      <c r="G4552" s="109" t="s">
        <v>120</v>
      </c>
      <c r="H4552" s="109">
        <v>49</v>
      </c>
      <c r="I4552" s="109">
        <v>354</v>
      </c>
      <c r="J4552" s="110">
        <v>902</v>
      </c>
    </row>
    <row r="4553" spans="1:10">
      <c r="A4553" s="103" t="s">
        <v>6908</v>
      </c>
      <c r="B4553" s="124" t="s">
        <v>932</v>
      </c>
      <c r="C4553" s="110">
        <v>1120</v>
      </c>
      <c r="D4553" s="109" t="s">
        <v>120</v>
      </c>
      <c r="E4553" s="109">
        <v>11</v>
      </c>
      <c r="F4553" s="110">
        <v>4425</v>
      </c>
      <c r="G4553" s="109" t="s">
        <v>120</v>
      </c>
      <c r="H4553" s="109">
        <v>395</v>
      </c>
      <c r="I4553" s="109" t="s">
        <v>122</v>
      </c>
      <c r="J4553" s="110" t="s">
        <v>122</v>
      </c>
    </row>
    <row r="4554" spans="1:10">
      <c r="A4554" s="103" t="s">
        <v>6909</v>
      </c>
      <c r="B4554" s="124" t="s">
        <v>934</v>
      </c>
      <c r="C4554" s="110">
        <v>18729</v>
      </c>
      <c r="D4554" s="109" t="s">
        <v>120</v>
      </c>
      <c r="E4554" s="109">
        <v>187</v>
      </c>
      <c r="F4554" s="110">
        <v>5288</v>
      </c>
      <c r="G4554" s="109" t="s">
        <v>120</v>
      </c>
      <c r="H4554" s="109">
        <v>28</v>
      </c>
      <c r="I4554" s="109" t="s">
        <v>122</v>
      </c>
      <c r="J4554" s="110" t="s">
        <v>122</v>
      </c>
    </row>
    <row r="4555" spans="1:10" s="119" customFormat="1">
      <c r="A4555" s="123" t="s">
        <v>120</v>
      </c>
      <c r="B4555" s="273" t="s">
        <v>6910</v>
      </c>
      <c r="C4555" s="274"/>
      <c r="D4555" s="274"/>
      <c r="E4555" s="274"/>
      <c r="F4555" s="274"/>
      <c r="G4555" s="274"/>
      <c r="H4555" s="274"/>
      <c r="I4555" s="274"/>
      <c r="J4555" s="274"/>
    </row>
    <row r="4556" spans="1:10" s="119" customFormat="1">
      <c r="A4556" s="123" t="s">
        <v>120</v>
      </c>
      <c r="B4556" s="275" t="s">
        <v>943</v>
      </c>
      <c r="C4556" s="276"/>
      <c r="D4556" s="276"/>
      <c r="E4556" s="276"/>
      <c r="F4556" s="276"/>
      <c r="G4556" s="276"/>
      <c r="H4556" s="276"/>
      <c r="I4556" s="276"/>
      <c r="J4556" s="276"/>
    </row>
    <row r="4557" spans="1:10">
      <c r="A4557" s="103" t="s">
        <v>6911</v>
      </c>
      <c r="B4557" s="124" t="s">
        <v>6912</v>
      </c>
      <c r="C4557" s="110">
        <v>22514</v>
      </c>
      <c r="D4557" s="109" t="s">
        <v>120</v>
      </c>
      <c r="E4557" s="109">
        <v>225</v>
      </c>
      <c r="F4557" s="110">
        <v>14173</v>
      </c>
      <c r="G4557" s="109" t="s">
        <v>120</v>
      </c>
      <c r="H4557" s="109">
        <v>63</v>
      </c>
      <c r="I4557" s="109">
        <v>247</v>
      </c>
      <c r="J4557" s="110">
        <v>563</v>
      </c>
    </row>
    <row r="4558" spans="1:10">
      <c r="A4558" s="103" t="s">
        <v>6913</v>
      </c>
      <c r="B4558" s="124" t="s">
        <v>6914</v>
      </c>
      <c r="C4558" s="110">
        <v>20464</v>
      </c>
      <c r="D4558" s="109" t="s">
        <v>120</v>
      </c>
      <c r="E4558" s="109">
        <v>205</v>
      </c>
      <c r="F4558" s="110">
        <v>12734</v>
      </c>
      <c r="G4558" s="109" t="s">
        <v>120</v>
      </c>
      <c r="H4558" s="109">
        <v>62</v>
      </c>
      <c r="I4558" s="109">
        <v>319</v>
      </c>
      <c r="J4558" s="110">
        <v>646</v>
      </c>
    </row>
    <row r="4559" spans="1:10" s="119" customFormat="1">
      <c r="A4559" s="123" t="s">
        <v>120</v>
      </c>
      <c r="B4559" s="275" t="s">
        <v>929</v>
      </c>
      <c r="C4559" s="276"/>
      <c r="D4559" s="276"/>
      <c r="E4559" s="276"/>
      <c r="F4559" s="276"/>
      <c r="G4559" s="276"/>
      <c r="H4559" s="276"/>
      <c r="I4559" s="276"/>
      <c r="J4559" s="276"/>
    </row>
    <row r="4560" spans="1:10">
      <c r="A4560" s="103" t="s">
        <v>6915</v>
      </c>
      <c r="B4560" s="124" t="s">
        <v>6916</v>
      </c>
      <c r="C4560" s="110">
        <v>24995</v>
      </c>
      <c r="D4560" s="109" t="s">
        <v>120</v>
      </c>
      <c r="E4560" s="109">
        <v>250</v>
      </c>
      <c r="F4560" s="110">
        <v>30539</v>
      </c>
      <c r="G4560" s="109" t="s">
        <v>120</v>
      </c>
      <c r="H4560" s="109">
        <v>122</v>
      </c>
      <c r="I4560" s="109">
        <v>182</v>
      </c>
      <c r="J4560" s="110">
        <v>184</v>
      </c>
    </row>
    <row r="4561" spans="1:10">
      <c r="A4561" s="103" t="s">
        <v>6917</v>
      </c>
      <c r="B4561" s="124" t="s">
        <v>932</v>
      </c>
      <c r="C4561" s="110">
        <v>478</v>
      </c>
      <c r="D4561" s="109" t="s">
        <v>120</v>
      </c>
      <c r="E4561" s="109">
        <v>5</v>
      </c>
      <c r="F4561" s="110">
        <v>13018</v>
      </c>
      <c r="G4561" s="109" t="s">
        <v>120</v>
      </c>
      <c r="H4561" s="109">
        <v>2723</v>
      </c>
      <c r="I4561" s="109" t="s">
        <v>122</v>
      </c>
      <c r="J4561" s="110" t="s">
        <v>122</v>
      </c>
    </row>
    <row r="4562" spans="1:10">
      <c r="A4562" s="103" t="s">
        <v>6918</v>
      </c>
      <c r="B4562" s="124" t="s">
        <v>934</v>
      </c>
      <c r="C4562" s="110">
        <v>24517</v>
      </c>
      <c r="D4562" s="109" t="s">
        <v>120</v>
      </c>
      <c r="E4562" s="109">
        <v>245</v>
      </c>
      <c r="F4562" s="110">
        <v>17521</v>
      </c>
      <c r="G4562" s="109" t="s">
        <v>120</v>
      </c>
      <c r="H4562" s="109">
        <v>71</v>
      </c>
      <c r="I4562" s="109" t="s">
        <v>122</v>
      </c>
      <c r="J4562" s="110" t="s">
        <v>122</v>
      </c>
    </row>
    <row r="4563" spans="1:10" s="119" customFormat="1">
      <c r="A4563" s="123" t="s">
        <v>120</v>
      </c>
      <c r="B4563" s="273" t="s">
        <v>6919</v>
      </c>
      <c r="C4563" s="274"/>
      <c r="D4563" s="274"/>
      <c r="E4563" s="274"/>
      <c r="F4563" s="274"/>
      <c r="G4563" s="274"/>
      <c r="H4563" s="274"/>
      <c r="I4563" s="274"/>
      <c r="J4563" s="274"/>
    </row>
    <row r="4564" spans="1:10" s="119" customFormat="1">
      <c r="A4564" s="123" t="s">
        <v>120</v>
      </c>
      <c r="B4564" s="275" t="s">
        <v>1568</v>
      </c>
      <c r="C4564" s="276"/>
      <c r="D4564" s="276"/>
      <c r="E4564" s="276"/>
      <c r="F4564" s="276"/>
      <c r="G4564" s="276"/>
      <c r="H4564" s="276"/>
      <c r="I4564" s="276"/>
      <c r="J4564" s="276"/>
    </row>
    <row r="4565" spans="1:10">
      <c r="A4565" s="103" t="s">
        <v>6920</v>
      </c>
      <c r="B4565" s="124" t="s">
        <v>6921</v>
      </c>
      <c r="C4565" s="110">
        <v>11592</v>
      </c>
      <c r="D4565" s="109" t="s">
        <v>120</v>
      </c>
      <c r="E4565" s="109">
        <v>116</v>
      </c>
      <c r="F4565" s="110">
        <v>6025</v>
      </c>
      <c r="G4565" s="109" t="s">
        <v>120</v>
      </c>
      <c r="H4565" s="109">
        <v>52</v>
      </c>
      <c r="I4565" s="109">
        <v>1118</v>
      </c>
      <c r="J4565" s="110">
        <v>1497</v>
      </c>
    </row>
    <row r="4566" spans="1:10" s="119" customFormat="1">
      <c r="A4566" s="123" t="s">
        <v>120</v>
      </c>
      <c r="B4566" s="275" t="s">
        <v>947</v>
      </c>
      <c r="C4566" s="276"/>
      <c r="D4566" s="276"/>
      <c r="E4566" s="276"/>
      <c r="F4566" s="276"/>
      <c r="G4566" s="276"/>
      <c r="H4566" s="276"/>
      <c r="I4566" s="276"/>
      <c r="J4566" s="276"/>
    </row>
    <row r="4567" spans="1:10">
      <c r="A4567" s="103" t="s">
        <v>6922</v>
      </c>
      <c r="B4567" s="124" t="s">
        <v>6923</v>
      </c>
      <c r="C4567" s="110">
        <v>13212</v>
      </c>
      <c r="D4567" s="109" t="s">
        <v>120</v>
      </c>
      <c r="E4567" s="109">
        <v>132</v>
      </c>
      <c r="F4567" s="110">
        <v>10202</v>
      </c>
      <c r="G4567" s="109" t="s">
        <v>120</v>
      </c>
      <c r="H4567" s="109">
        <v>77</v>
      </c>
      <c r="I4567" s="109">
        <v>879</v>
      </c>
      <c r="J4567" s="110">
        <v>853</v>
      </c>
    </row>
    <row r="4568" spans="1:10">
      <c r="A4568" s="103" t="s">
        <v>6924</v>
      </c>
      <c r="B4568" s="124" t="s">
        <v>932</v>
      </c>
      <c r="C4568" s="110">
        <v>407</v>
      </c>
      <c r="D4568" s="109" t="s">
        <v>120</v>
      </c>
      <c r="E4568" s="109">
        <v>4</v>
      </c>
      <c r="F4568" s="110">
        <v>3551</v>
      </c>
      <c r="G4568" s="109" t="s">
        <v>120</v>
      </c>
      <c r="H4568" s="109">
        <v>872</v>
      </c>
      <c r="I4568" s="109" t="s">
        <v>122</v>
      </c>
      <c r="J4568" s="110" t="s">
        <v>122</v>
      </c>
    </row>
    <row r="4569" spans="1:10">
      <c r="A4569" s="103" t="s">
        <v>6925</v>
      </c>
      <c r="B4569" s="124" t="s">
        <v>934</v>
      </c>
      <c r="C4569" s="110">
        <v>12805</v>
      </c>
      <c r="D4569" s="109" t="s">
        <v>120</v>
      </c>
      <c r="E4569" s="109">
        <v>128</v>
      </c>
      <c r="F4569" s="110">
        <v>6651</v>
      </c>
      <c r="G4569" s="109" t="s">
        <v>120</v>
      </c>
      <c r="H4569" s="109">
        <v>52</v>
      </c>
      <c r="I4569" s="109" t="s">
        <v>122</v>
      </c>
      <c r="J4569" s="110" t="s">
        <v>122</v>
      </c>
    </row>
    <row r="4570" spans="1:10">
      <c r="A4570" s="103" t="s">
        <v>6926</v>
      </c>
      <c r="B4570" s="124" t="s">
        <v>6927</v>
      </c>
      <c r="C4570" s="110">
        <v>9586</v>
      </c>
      <c r="D4570" s="109" t="s">
        <v>120</v>
      </c>
      <c r="E4570" s="109">
        <v>96</v>
      </c>
      <c r="F4570" s="110">
        <v>7571</v>
      </c>
      <c r="G4570" s="109" t="s">
        <v>120</v>
      </c>
      <c r="H4570" s="109">
        <v>79</v>
      </c>
      <c r="I4570" s="109">
        <v>1451</v>
      </c>
      <c r="J4570" s="110">
        <v>1191</v>
      </c>
    </row>
    <row r="4571" spans="1:10">
      <c r="A4571" s="103" t="s">
        <v>6928</v>
      </c>
      <c r="B4571" s="124" t="s">
        <v>932</v>
      </c>
      <c r="C4571" s="110">
        <v>1979</v>
      </c>
      <c r="D4571" s="109" t="s">
        <v>120</v>
      </c>
      <c r="E4571" s="109">
        <v>20</v>
      </c>
      <c r="F4571" s="110">
        <v>3807</v>
      </c>
      <c r="G4571" s="109" t="s">
        <v>120</v>
      </c>
      <c r="H4571" s="109">
        <v>192</v>
      </c>
      <c r="I4571" s="109" t="s">
        <v>122</v>
      </c>
      <c r="J4571" s="110" t="s">
        <v>122</v>
      </c>
    </row>
    <row r="4572" spans="1:10">
      <c r="A4572" s="103" t="s">
        <v>6929</v>
      </c>
      <c r="B4572" s="124" t="s">
        <v>934</v>
      </c>
      <c r="C4572" s="110">
        <v>7607</v>
      </c>
      <c r="D4572" s="109" t="s">
        <v>120</v>
      </c>
      <c r="E4572" s="109">
        <v>76</v>
      </c>
      <c r="F4572" s="110">
        <v>3764</v>
      </c>
      <c r="G4572" s="109" t="s">
        <v>120</v>
      </c>
      <c r="H4572" s="109">
        <v>49</v>
      </c>
      <c r="I4572" s="109" t="s">
        <v>122</v>
      </c>
      <c r="J4572" s="110" t="s">
        <v>122</v>
      </c>
    </row>
    <row r="4573" spans="1:10">
      <c r="A4573" s="103" t="s">
        <v>6930</v>
      </c>
      <c r="B4573" s="124" t="s">
        <v>6931</v>
      </c>
      <c r="C4573" s="110">
        <v>13782</v>
      </c>
      <c r="D4573" s="109" t="s">
        <v>120</v>
      </c>
      <c r="E4573" s="109">
        <v>138</v>
      </c>
      <c r="F4573" s="110">
        <v>6937</v>
      </c>
      <c r="G4573" s="109" t="s">
        <v>120</v>
      </c>
      <c r="H4573" s="109">
        <v>50</v>
      </c>
      <c r="I4573" s="109">
        <v>806</v>
      </c>
      <c r="J4573" s="110">
        <v>1310</v>
      </c>
    </row>
    <row r="4574" spans="1:10">
      <c r="A4574" s="103" t="s">
        <v>6932</v>
      </c>
      <c r="B4574" s="124" t="s">
        <v>932</v>
      </c>
      <c r="C4574" s="110">
        <v>1216</v>
      </c>
      <c r="D4574" s="109" t="s">
        <v>120</v>
      </c>
      <c r="E4574" s="109">
        <v>12</v>
      </c>
      <c r="F4574" s="110">
        <v>3118</v>
      </c>
      <c r="G4574" s="109" t="s">
        <v>120</v>
      </c>
      <c r="H4574" s="109">
        <v>256</v>
      </c>
      <c r="I4574" s="109" t="s">
        <v>122</v>
      </c>
      <c r="J4574" s="110" t="s">
        <v>122</v>
      </c>
    </row>
    <row r="4575" spans="1:10">
      <c r="A4575" s="103" t="s">
        <v>6933</v>
      </c>
      <c r="B4575" s="124" t="s">
        <v>934</v>
      </c>
      <c r="C4575" s="110">
        <v>12566</v>
      </c>
      <c r="D4575" s="109" t="s">
        <v>120</v>
      </c>
      <c r="E4575" s="109">
        <v>126</v>
      </c>
      <c r="F4575" s="110">
        <v>3819</v>
      </c>
      <c r="G4575" s="109" t="s">
        <v>120</v>
      </c>
      <c r="H4575" s="109">
        <v>30</v>
      </c>
      <c r="I4575" s="109" t="s">
        <v>122</v>
      </c>
      <c r="J4575" s="110" t="s">
        <v>122</v>
      </c>
    </row>
    <row r="4576" spans="1:10">
      <c r="A4576" s="103" t="s">
        <v>6934</v>
      </c>
      <c r="B4576" s="124" t="s">
        <v>6935</v>
      </c>
      <c r="C4576" s="110">
        <v>22185</v>
      </c>
      <c r="D4576" s="109" t="s">
        <v>120</v>
      </c>
      <c r="E4576" s="109">
        <v>222</v>
      </c>
      <c r="F4576" s="110">
        <v>47259</v>
      </c>
      <c r="G4576" s="109" t="s">
        <v>120</v>
      </c>
      <c r="H4576" s="109">
        <v>213</v>
      </c>
      <c r="I4576" s="109">
        <v>255</v>
      </c>
      <c r="J4576" s="110">
        <v>101</v>
      </c>
    </row>
    <row r="4577" spans="1:10">
      <c r="A4577" s="103" t="s">
        <v>6936</v>
      </c>
      <c r="B4577" s="124" t="s">
        <v>932</v>
      </c>
      <c r="C4577" s="110">
        <v>1273</v>
      </c>
      <c r="D4577" s="109" t="s">
        <v>120</v>
      </c>
      <c r="E4577" s="109">
        <v>13</v>
      </c>
      <c r="F4577" s="110">
        <v>30922</v>
      </c>
      <c r="G4577" s="109" t="s">
        <v>120</v>
      </c>
      <c r="H4577" s="109">
        <v>2429</v>
      </c>
      <c r="I4577" s="109" t="s">
        <v>122</v>
      </c>
      <c r="J4577" s="110" t="s">
        <v>122</v>
      </c>
    </row>
    <row r="4578" spans="1:10">
      <c r="A4578" s="103" t="s">
        <v>6937</v>
      </c>
      <c r="B4578" s="124" t="s">
        <v>934</v>
      </c>
      <c r="C4578" s="110">
        <v>20912</v>
      </c>
      <c r="D4578" s="109" t="s">
        <v>120</v>
      </c>
      <c r="E4578" s="109">
        <v>209</v>
      </c>
      <c r="F4578" s="110">
        <v>16337</v>
      </c>
      <c r="G4578" s="109" t="s">
        <v>120</v>
      </c>
      <c r="H4578" s="109">
        <v>78</v>
      </c>
      <c r="I4578" s="109" t="s">
        <v>122</v>
      </c>
      <c r="J4578" s="110" t="s">
        <v>122</v>
      </c>
    </row>
    <row r="4579" spans="1:10" s="119" customFormat="1">
      <c r="A4579" s="123" t="s">
        <v>120</v>
      </c>
      <c r="B4579" s="273" t="s">
        <v>6938</v>
      </c>
      <c r="C4579" s="274"/>
      <c r="D4579" s="274"/>
      <c r="E4579" s="274"/>
      <c r="F4579" s="274"/>
      <c r="G4579" s="274"/>
      <c r="H4579" s="274"/>
      <c r="I4579" s="274"/>
      <c r="J4579" s="274"/>
    </row>
    <row r="4580" spans="1:10" s="119" customFormat="1">
      <c r="A4580" s="123" t="s">
        <v>120</v>
      </c>
      <c r="B4580" s="275" t="s">
        <v>922</v>
      </c>
      <c r="C4580" s="276"/>
      <c r="D4580" s="276"/>
      <c r="E4580" s="276"/>
      <c r="F4580" s="276"/>
      <c r="G4580" s="276"/>
      <c r="H4580" s="276"/>
      <c r="I4580" s="276"/>
      <c r="J4580" s="276"/>
    </row>
    <row r="4581" spans="1:10">
      <c r="A4581" s="103" t="s">
        <v>6939</v>
      </c>
      <c r="B4581" s="124" t="s">
        <v>6940</v>
      </c>
      <c r="C4581" s="110">
        <v>1158</v>
      </c>
      <c r="D4581" s="109" t="s">
        <v>120</v>
      </c>
      <c r="E4581" s="109">
        <v>12</v>
      </c>
      <c r="F4581" s="110">
        <v>18532</v>
      </c>
      <c r="G4581" s="109" t="s">
        <v>120</v>
      </c>
      <c r="H4581" s="109">
        <v>1600</v>
      </c>
      <c r="I4581" s="109">
        <v>2309</v>
      </c>
      <c r="J4581" s="110">
        <v>379</v>
      </c>
    </row>
    <row r="4582" spans="1:10" s="119" customFormat="1">
      <c r="A4582" s="123" t="s">
        <v>120</v>
      </c>
      <c r="B4582" s="275" t="s">
        <v>924</v>
      </c>
      <c r="C4582" s="276"/>
      <c r="D4582" s="276"/>
      <c r="E4582" s="276"/>
      <c r="F4582" s="276"/>
      <c r="G4582" s="276"/>
      <c r="H4582" s="276"/>
      <c r="I4582" s="276"/>
      <c r="J4582" s="276"/>
    </row>
    <row r="4583" spans="1:10">
      <c r="A4583" s="103" t="s">
        <v>6941</v>
      </c>
      <c r="B4583" s="124" t="s">
        <v>6942</v>
      </c>
      <c r="C4583" s="110">
        <v>19118</v>
      </c>
      <c r="D4583" s="109" t="s">
        <v>120</v>
      </c>
      <c r="E4583" s="109">
        <v>191</v>
      </c>
      <c r="F4583" s="110">
        <v>5509</v>
      </c>
      <c r="G4583" s="109" t="s">
        <v>120</v>
      </c>
      <c r="H4583" s="109">
        <v>29</v>
      </c>
      <c r="I4583" s="109">
        <v>386</v>
      </c>
      <c r="J4583" s="110">
        <v>1613</v>
      </c>
    </row>
    <row r="4584" spans="1:10">
      <c r="A4584" s="103" t="s">
        <v>6943</v>
      </c>
      <c r="B4584" s="124" t="s">
        <v>6944</v>
      </c>
      <c r="C4584" s="110">
        <v>13245</v>
      </c>
      <c r="D4584" s="109" t="s">
        <v>120</v>
      </c>
      <c r="E4584" s="109">
        <v>132</v>
      </c>
      <c r="F4584" s="110">
        <v>3009</v>
      </c>
      <c r="G4584" s="109" t="s">
        <v>120</v>
      </c>
      <c r="H4584" s="109">
        <v>23</v>
      </c>
      <c r="I4584" s="109">
        <v>877</v>
      </c>
      <c r="J4584" s="110">
        <v>2195</v>
      </c>
    </row>
    <row r="4585" spans="1:10">
      <c r="A4585" s="103" t="s">
        <v>6945</v>
      </c>
      <c r="B4585" s="124" t="s">
        <v>1415</v>
      </c>
      <c r="C4585" s="110">
        <v>16239</v>
      </c>
      <c r="D4585" s="109" t="s">
        <v>120</v>
      </c>
      <c r="E4585" s="109">
        <v>162</v>
      </c>
      <c r="F4585" s="110">
        <v>4905</v>
      </c>
      <c r="G4585" s="109" t="s">
        <v>120</v>
      </c>
      <c r="H4585" s="109">
        <v>30</v>
      </c>
      <c r="I4585" s="109">
        <v>576</v>
      </c>
      <c r="J4585" s="110">
        <v>1763</v>
      </c>
    </row>
    <row r="4586" spans="1:10">
      <c r="A4586" s="103" t="s">
        <v>6946</v>
      </c>
      <c r="B4586" s="124" t="s">
        <v>6940</v>
      </c>
      <c r="C4586" s="110">
        <v>29228</v>
      </c>
      <c r="D4586" s="109" t="s">
        <v>120</v>
      </c>
      <c r="E4586" s="109">
        <v>293</v>
      </c>
      <c r="F4586" s="110">
        <v>9942</v>
      </c>
      <c r="G4586" s="109" t="s">
        <v>120</v>
      </c>
      <c r="H4586" s="109">
        <v>34</v>
      </c>
      <c r="I4586" s="109">
        <v>111</v>
      </c>
      <c r="J4586" s="110">
        <v>880</v>
      </c>
    </row>
    <row r="4587" spans="1:10" s="119" customFormat="1">
      <c r="A4587" s="123" t="s">
        <v>120</v>
      </c>
      <c r="B4587" s="275" t="s">
        <v>947</v>
      </c>
      <c r="C4587" s="276"/>
      <c r="D4587" s="276"/>
      <c r="E4587" s="276"/>
      <c r="F4587" s="276"/>
      <c r="G4587" s="276"/>
      <c r="H4587" s="276"/>
      <c r="I4587" s="276"/>
      <c r="J4587" s="276"/>
    </row>
    <row r="4588" spans="1:10">
      <c r="A4588" s="103" t="s">
        <v>6947</v>
      </c>
      <c r="B4588" s="124" t="s">
        <v>6948</v>
      </c>
      <c r="C4588" s="110">
        <v>35312</v>
      </c>
      <c r="D4588" s="109" t="s">
        <v>120</v>
      </c>
      <c r="E4588" s="109">
        <v>353</v>
      </c>
      <c r="F4588" s="110">
        <v>11500</v>
      </c>
      <c r="G4588" s="109" t="s">
        <v>120</v>
      </c>
      <c r="H4588" s="109">
        <v>33</v>
      </c>
      <c r="I4588" s="109">
        <v>47</v>
      </c>
      <c r="J4588" s="110">
        <v>744</v>
      </c>
    </row>
    <row r="4589" spans="1:10">
      <c r="A4589" s="103" t="s">
        <v>6949</v>
      </c>
      <c r="B4589" s="124" t="s">
        <v>932</v>
      </c>
      <c r="C4589" s="110">
        <v>7230</v>
      </c>
      <c r="D4589" s="109" t="s">
        <v>120</v>
      </c>
      <c r="E4589" s="109">
        <v>72</v>
      </c>
      <c r="F4589" s="110">
        <v>8633</v>
      </c>
      <c r="G4589" s="109" t="s">
        <v>120</v>
      </c>
      <c r="H4589" s="109">
        <v>119</v>
      </c>
      <c r="I4589" s="109" t="s">
        <v>122</v>
      </c>
      <c r="J4589" s="110" t="s">
        <v>122</v>
      </c>
    </row>
    <row r="4590" spans="1:10">
      <c r="A4590" s="103" t="s">
        <v>6950</v>
      </c>
      <c r="B4590" s="124" t="s">
        <v>934</v>
      </c>
      <c r="C4590" s="110">
        <v>28082</v>
      </c>
      <c r="D4590" s="109" t="s">
        <v>120</v>
      </c>
      <c r="E4590" s="109">
        <v>281</v>
      </c>
      <c r="F4590" s="110">
        <v>2867</v>
      </c>
      <c r="G4590" s="109" t="s">
        <v>120</v>
      </c>
      <c r="H4590" s="109">
        <v>10</v>
      </c>
      <c r="I4590" s="109" t="s">
        <v>122</v>
      </c>
      <c r="J4590" s="110" t="s">
        <v>122</v>
      </c>
    </row>
    <row r="4591" spans="1:10">
      <c r="A4591" s="103" t="s">
        <v>6951</v>
      </c>
      <c r="B4591" s="124" t="s">
        <v>6952</v>
      </c>
      <c r="C4591" s="110">
        <v>19118</v>
      </c>
      <c r="D4591" s="109" t="s">
        <v>120</v>
      </c>
      <c r="E4591" s="109">
        <v>191</v>
      </c>
      <c r="F4591" s="110">
        <v>7534</v>
      </c>
      <c r="G4591" s="109" t="s">
        <v>120</v>
      </c>
      <c r="H4591" s="109">
        <v>39</v>
      </c>
      <c r="I4591" s="109">
        <v>386</v>
      </c>
      <c r="J4591" s="110">
        <v>1197</v>
      </c>
    </row>
    <row r="4592" spans="1:10">
      <c r="A4592" s="103" t="s">
        <v>6953</v>
      </c>
      <c r="B4592" s="124" t="s">
        <v>932</v>
      </c>
      <c r="C4592" s="110">
        <v>376</v>
      </c>
      <c r="D4592" s="109" t="s">
        <v>120</v>
      </c>
      <c r="E4592" s="109">
        <v>4</v>
      </c>
      <c r="F4592" s="110">
        <v>3643</v>
      </c>
      <c r="G4592" s="109" t="s">
        <v>120</v>
      </c>
      <c r="H4592" s="109">
        <v>969</v>
      </c>
      <c r="I4592" s="109" t="s">
        <v>122</v>
      </c>
      <c r="J4592" s="110" t="s">
        <v>122</v>
      </c>
    </row>
    <row r="4593" spans="1:10">
      <c r="A4593" s="103" t="s">
        <v>6954</v>
      </c>
      <c r="B4593" s="124" t="s">
        <v>934</v>
      </c>
      <c r="C4593" s="110">
        <v>18742</v>
      </c>
      <c r="D4593" s="109" t="s">
        <v>120</v>
      </c>
      <c r="E4593" s="109">
        <v>187</v>
      </c>
      <c r="F4593" s="110">
        <v>3891</v>
      </c>
      <c r="G4593" s="109" t="s">
        <v>120</v>
      </c>
      <c r="H4593" s="109">
        <v>21</v>
      </c>
      <c r="I4593" s="109" t="s">
        <v>122</v>
      </c>
      <c r="J4593" s="110" t="s">
        <v>122</v>
      </c>
    </row>
    <row r="4594" spans="1:10">
      <c r="A4594" s="103" t="s">
        <v>6955</v>
      </c>
      <c r="B4594" s="124" t="s">
        <v>6956</v>
      </c>
      <c r="C4594" s="110">
        <v>32599</v>
      </c>
      <c r="D4594" s="109" t="s">
        <v>120</v>
      </c>
      <c r="E4594" s="109">
        <v>326</v>
      </c>
      <c r="F4594" s="110">
        <v>8502</v>
      </c>
      <c r="G4594" s="109" t="s">
        <v>120</v>
      </c>
      <c r="H4594" s="109">
        <v>26</v>
      </c>
      <c r="I4594" s="109">
        <v>72</v>
      </c>
      <c r="J4594" s="110">
        <v>1052</v>
      </c>
    </row>
    <row r="4595" spans="1:10">
      <c r="A4595" s="103" t="s">
        <v>6957</v>
      </c>
      <c r="B4595" s="124" t="s">
        <v>932</v>
      </c>
      <c r="C4595" s="110">
        <v>601</v>
      </c>
      <c r="D4595" s="109" t="s">
        <v>120</v>
      </c>
      <c r="E4595" s="109">
        <v>6</v>
      </c>
      <c r="F4595" s="110">
        <v>3873</v>
      </c>
      <c r="G4595" s="109" t="s">
        <v>120</v>
      </c>
      <c r="H4595" s="109">
        <v>644</v>
      </c>
      <c r="I4595" s="109" t="s">
        <v>122</v>
      </c>
      <c r="J4595" s="110" t="s">
        <v>122</v>
      </c>
    </row>
    <row r="4596" spans="1:10">
      <c r="A4596" s="103" t="s">
        <v>6958</v>
      </c>
      <c r="B4596" s="124" t="s">
        <v>934</v>
      </c>
      <c r="C4596" s="110">
        <v>31998</v>
      </c>
      <c r="D4596" s="109" t="s">
        <v>120</v>
      </c>
      <c r="E4596" s="109">
        <v>320</v>
      </c>
      <c r="F4596" s="110">
        <v>4629</v>
      </c>
      <c r="G4596" s="109" t="s">
        <v>120</v>
      </c>
      <c r="H4596" s="109">
        <v>14</v>
      </c>
      <c r="I4596" s="109" t="s">
        <v>122</v>
      </c>
      <c r="J4596" s="110" t="s">
        <v>122</v>
      </c>
    </row>
    <row r="4597" spans="1:10" s="119" customFormat="1">
      <c r="A4597" s="123" t="s">
        <v>120</v>
      </c>
      <c r="B4597" s="273" t="s">
        <v>1757</v>
      </c>
      <c r="C4597" s="274"/>
      <c r="D4597" s="274"/>
      <c r="E4597" s="274"/>
      <c r="F4597" s="274"/>
      <c r="G4597" s="274"/>
      <c r="H4597" s="274"/>
      <c r="I4597" s="274"/>
      <c r="J4597" s="274"/>
    </row>
    <row r="4598" spans="1:10">
      <c r="A4598" s="103" t="s">
        <v>6959</v>
      </c>
      <c r="B4598" s="124" t="s">
        <v>6960</v>
      </c>
      <c r="C4598" s="110">
        <v>6942</v>
      </c>
      <c r="D4598" s="109" t="s">
        <v>120</v>
      </c>
      <c r="E4598" s="109">
        <v>69</v>
      </c>
      <c r="F4598" s="110">
        <v>100246</v>
      </c>
      <c r="G4598" s="109" t="s">
        <v>120</v>
      </c>
      <c r="H4598" s="109">
        <v>1444</v>
      </c>
      <c r="I4598" s="109">
        <v>1855</v>
      </c>
      <c r="J4598" s="110">
        <v>38</v>
      </c>
    </row>
    <row r="4599" spans="1:10">
      <c r="A4599" s="103" t="s">
        <v>6961</v>
      </c>
      <c r="B4599" s="124" t="s">
        <v>6962</v>
      </c>
      <c r="C4599" s="110">
        <v>8231</v>
      </c>
      <c r="D4599" s="109" t="s">
        <v>120</v>
      </c>
      <c r="E4599" s="109">
        <v>82</v>
      </c>
      <c r="F4599" s="110">
        <v>73522</v>
      </c>
      <c r="G4599" s="109" t="s">
        <v>120</v>
      </c>
      <c r="H4599" s="109">
        <v>893</v>
      </c>
      <c r="I4599" s="109">
        <v>1667</v>
      </c>
      <c r="J4599" s="110">
        <v>49</v>
      </c>
    </row>
    <row r="4600" spans="1:10">
      <c r="A4600" s="103" t="s">
        <v>6963</v>
      </c>
      <c r="B4600" s="124" t="s">
        <v>3984</v>
      </c>
      <c r="C4600" s="110">
        <v>3186</v>
      </c>
      <c r="D4600" s="109" t="s">
        <v>120</v>
      </c>
      <c r="E4600" s="109">
        <v>32</v>
      </c>
      <c r="F4600" s="110">
        <v>63505</v>
      </c>
      <c r="G4600" s="109" t="s">
        <v>120</v>
      </c>
      <c r="H4600" s="109">
        <v>1993</v>
      </c>
      <c r="I4600" s="109">
        <v>2156</v>
      </c>
      <c r="J4600" s="110">
        <v>62</v>
      </c>
    </row>
    <row r="4601" spans="1:10">
      <c r="A4601" s="103" t="s">
        <v>6964</v>
      </c>
      <c r="B4601" s="124" t="s">
        <v>6965</v>
      </c>
      <c r="C4601" s="110">
        <v>26191</v>
      </c>
      <c r="D4601" s="109" t="s">
        <v>120</v>
      </c>
      <c r="E4601" s="109">
        <v>262</v>
      </c>
      <c r="F4601" s="110">
        <v>534813</v>
      </c>
      <c r="G4601" s="105" t="s">
        <v>927</v>
      </c>
      <c r="H4601" s="109">
        <v>2042</v>
      </c>
      <c r="I4601" s="109">
        <v>151</v>
      </c>
      <c r="J4601" s="110">
        <v>5</v>
      </c>
    </row>
    <row r="4602" spans="1:10" s="119" customFormat="1">
      <c r="A4602" s="123" t="s">
        <v>120</v>
      </c>
      <c r="B4602" s="273" t="s">
        <v>868</v>
      </c>
      <c r="C4602" s="274"/>
      <c r="D4602" s="274"/>
      <c r="E4602" s="274"/>
      <c r="F4602" s="274"/>
      <c r="G4602" s="274"/>
      <c r="H4602" s="274"/>
      <c r="I4602" s="274"/>
      <c r="J4602" s="274"/>
    </row>
    <row r="4603" spans="1:10" s="119" customFormat="1">
      <c r="A4603" s="123" t="s">
        <v>120</v>
      </c>
      <c r="B4603" s="273" t="s">
        <v>6966</v>
      </c>
      <c r="C4603" s="274"/>
      <c r="D4603" s="274"/>
      <c r="E4603" s="274"/>
      <c r="F4603" s="274"/>
      <c r="G4603" s="274"/>
      <c r="H4603" s="274"/>
      <c r="I4603" s="274"/>
      <c r="J4603" s="274"/>
    </row>
    <row r="4604" spans="1:10" s="119" customFormat="1">
      <c r="A4604" s="123" t="s">
        <v>120</v>
      </c>
      <c r="B4604" s="275" t="s">
        <v>922</v>
      </c>
      <c r="C4604" s="276"/>
      <c r="D4604" s="276"/>
      <c r="E4604" s="276"/>
      <c r="F4604" s="276"/>
      <c r="G4604" s="276"/>
      <c r="H4604" s="276"/>
      <c r="I4604" s="276"/>
      <c r="J4604" s="276"/>
    </row>
    <row r="4605" spans="1:10">
      <c r="A4605" s="103" t="s">
        <v>6967</v>
      </c>
      <c r="B4605" s="124" t="s">
        <v>6968</v>
      </c>
      <c r="C4605" s="110">
        <v>2573</v>
      </c>
      <c r="D4605" s="109" t="s">
        <v>120</v>
      </c>
      <c r="E4605" s="109">
        <v>26</v>
      </c>
      <c r="F4605" s="110">
        <v>24146</v>
      </c>
      <c r="G4605" s="109" t="s">
        <v>120</v>
      </c>
      <c r="H4605" s="109">
        <v>938</v>
      </c>
      <c r="I4605" s="109">
        <v>2193</v>
      </c>
      <c r="J4605" s="110">
        <v>263</v>
      </c>
    </row>
    <row r="4606" spans="1:10" s="119" customFormat="1">
      <c r="A4606" s="123" t="s">
        <v>120</v>
      </c>
      <c r="B4606" s="275" t="s">
        <v>1296</v>
      </c>
      <c r="C4606" s="276"/>
      <c r="D4606" s="276"/>
      <c r="E4606" s="276"/>
      <c r="F4606" s="276"/>
      <c r="G4606" s="276"/>
      <c r="H4606" s="276"/>
      <c r="I4606" s="276"/>
      <c r="J4606" s="276"/>
    </row>
    <row r="4607" spans="1:10">
      <c r="A4607" s="103" t="s">
        <v>6969</v>
      </c>
      <c r="B4607" s="124" t="s">
        <v>6968</v>
      </c>
      <c r="C4607" s="110">
        <v>32825</v>
      </c>
      <c r="D4607" s="109" t="s">
        <v>120</v>
      </c>
      <c r="E4607" s="109">
        <v>328</v>
      </c>
      <c r="F4607" s="110">
        <v>7546</v>
      </c>
      <c r="G4607" s="109" t="s">
        <v>120</v>
      </c>
      <c r="H4607" s="109">
        <v>23</v>
      </c>
      <c r="I4607" s="109">
        <v>68</v>
      </c>
      <c r="J4607" s="110">
        <v>1196</v>
      </c>
    </row>
    <row r="4608" spans="1:10" s="119" customFormat="1">
      <c r="A4608" s="123" t="s">
        <v>120</v>
      </c>
      <c r="B4608" s="275" t="s">
        <v>947</v>
      </c>
      <c r="C4608" s="276"/>
      <c r="D4608" s="276"/>
      <c r="E4608" s="276"/>
      <c r="F4608" s="276"/>
      <c r="G4608" s="276"/>
      <c r="H4608" s="276"/>
      <c r="I4608" s="276"/>
      <c r="J4608" s="276"/>
    </row>
    <row r="4609" spans="1:10">
      <c r="A4609" s="103" t="s">
        <v>6970</v>
      </c>
      <c r="B4609" s="124" t="s">
        <v>6971</v>
      </c>
      <c r="C4609" s="110">
        <v>14103</v>
      </c>
      <c r="D4609" s="109" t="s">
        <v>120</v>
      </c>
      <c r="E4609" s="109">
        <v>141</v>
      </c>
      <c r="F4609" s="110">
        <v>9137</v>
      </c>
      <c r="G4609" s="109" t="s">
        <v>120</v>
      </c>
      <c r="H4609" s="109">
        <v>65</v>
      </c>
      <c r="I4609" s="109">
        <v>771</v>
      </c>
      <c r="J4609" s="110">
        <v>960</v>
      </c>
    </row>
    <row r="4610" spans="1:10">
      <c r="A4610" s="103" t="s">
        <v>6972</v>
      </c>
      <c r="B4610" s="124" t="s">
        <v>932</v>
      </c>
      <c r="C4610" s="110">
        <v>940</v>
      </c>
      <c r="D4610" s="109" t="s">
        <v>120</v>
      </c>
      <c r="E4610" s="109">
        <v>9</v>
      </c>
      <c r="F4610" s="110">
        <v>5918</v>
      </c>
      <c r="G4610" s="109" t="s">
        <v>120</v>
      </c>
      <c r="H4610" s="109">
        <v>630</v>
      </c>
      <c r="I4610" s="109" t="s">
        <v>122</v>
      </c>
      <c r="J4610" s="110" t="s">
        <v>122</v>
      </c>
    </row>
    <row r="4611" spans="1:10">
      <c r="A4611" s="103" t="s">
        <v>6973</v>
      </c>
      <c r="B4611" s="124" t="s">
        <v>934</v>
      </c>
      <c r="C4611" s="110">
        <v>13163</v>
      </c>
      <c r="D4611" s="109" t="s">
        <v>120</v>
      </c>
      <c r="E4611" s="109">
        <v>132</v>
      </c>
      <c r="F4611" s="110">
        <v>3219</v>
      </c>
      <c r="G4611" s="109" t="s">
        <v>120</v>
      </c>
      <c r="H4611" s="109">
        <v>24</v>
      </c>
      <c r="I4611" s="109" t="s">
        <v>122</v>
      </c>
      <c r="J4611" s="110" t="s">
        <v>122</v>
      </c>
    </row>
    <row r="4612" spans="1:10">
      <c r="A4612" s="103" t="s">
        <v>6974</v>
      </c>
      <c r="B4612" s="124" t="s">
        <v>6975</v>
      </c>
      <c r="C4612" s="110">
        <v>35045</v>
      </c>
      <c r="D4612" s="109" t="s">
        <v>120</v>
      </c>
      <c r="E4612" s="109">
        <v>350</v>
      </c>
      <c r="F4612" s="110">
        <v>6731</v>
      </c>
      <c r="G4612" s="109" t="s">
        <v>120</v>
      </c>
      <c r="H4612" s="109">
        <v>19</v>
      </c>
      <c r="I4612" s="109">
        <v>49</v>
      </c>
      <c r="J4612" s="110">
        <v>1358</v>
      </c>
    </row>
    <row r="4613" spans="1:10">
      <c r="A4613" s="103" t="s">
        <v>6976</v>
      </c>
      <c r="B4613" s="124" t="s">
        <v>932</v>
      </c>
      <c r="C4613" s="110">
        <v>396</v>
      </c>
      <c r="D4613" s="109" t="s">
        <v>120</v>
      </c>
      <c r="E4613" s="109">
        <v>4</v>
      </c>
      <c r="F4613" s="110">
        <v>2520</v>
      </c>
      <c r="G4613" s="109" t="s">
        <v>120</v>
      </c>
      <c r="H4613" s="109">
        <v>636</v>
      </c>
      <c r="I4613" s="109" t="s">
        <v>122</v>
      </c>
      <c r="J4613" s="110" t="s">
        <v>122</v>
      </c>
    </row>
    <row r="4614" spans="1:10">
      <c r="A4614" s="103" t="s">
        <v>6977</v>
      </c>
      <c r="B4614" s="124" t="s">
        <v>934</v>
      </c>
      <c r="C4614" s="110">
        <v>34649</v>
      </c>
      <c r="D4614" s="109" t="s">
        <v>120</v>
      </c>
      <c r="E4614" s="109">
        <v>346</v>
      </c>
      <c r="F4614" s="110">
        <v>4211</v>
      </c>
      <c r="G4614" s="109" t="s">
        <v>120</v>
      </c>
      <c r="H4614" s="109">
        <v>12</v>
      </c>
      <c r="I4614" s="109" t="s">
        <v>122</v>
      </c>
      <c r="J4614" s="110" t="s">
        <v>122</v>
      </c>
    </row>
    <row r="4615" spans="1:10" s="119" customFormat="1">
      <c r="A4615" s="123" t="s">
        <v>120</v>
      </c>
      <c r="B4615" s="273" t="s">
        <v>6978</v>
      </c>
      <c r="C4615" s="274"/>
      <c r="D4615" s="274"/>
      <c r="E4615" s="274"/>
      <c r="F4615" s="274"/>
      <c r="G4615" s="274"/>
      <c r="H4615" s="274"/>
      <c r="I4615" s="274"/>
      <c r="J4615" s="274"/>
    </row>
    <row r="4616" spans="1:10" s="119" customFormat="1">
      <c r="A4616" s="123" t="s">
        <v>120</v>
      </c>
      <c r="B4616" s="275" t="s">
        <v>924</v>
      </c>
      <c r="C4616" s="276"/>
      <c r="D4616" s="276"/>
      <c r="E4616" s="276"/>
      <c r="F4616" s="276"/>
      <c r="G4616" s="276"/>
      <c r="H4616" s="276"/>
      <c r="I4616" s="276"/>
      <c r="J4616" s="276"/>
    </row>
    <row r="4617" spans="1:10">
      <c r="A4617" s="103" t="s">
        <v>6979</v>
      </c>
      <c r="B4617" s="124" t="s">
        <v>6980</v>
      </c>
      <c r="C4617" s="110">
        <v>23906</v>
      </c>
      <c r="D4617" s="109" t="s">
        <v>120</v>
      </c>
      <c r="E4617" s="109">
        <v>240</v>
      </c>
      <c r="F4617" s="110">
        <v>4670</v>
      </c>
      <c r="G4617" s="109" t="s">
        <v>120</v>
      </c>
      <c r="H4617" s="109">
        <v>20</v>
      </c>
      <c r="I4617" s="109">
        <v>208</v>
      </c>
      <c r="J4617" s="110">
        <v>1822</v>
      </c>
    </row>
    <row r="4618" spans="1:10">
      <c r="A4618" s="103" t="s">
        <v>6981</v>
      </c>
      <c r="B4618" s="124" t="s">
        <v>6982</v>
      </c>
      <c r="C4618" s="110">
        <v>14026</v>
      </c>
      <c r="D4618" s="109" t="s">
        <v>120</v>
      </c>
      <c r="E4618" s="109">
        <v>140</v>
      </c>
      <c r="F4618" s="110">
        <v>3667</v>
      </c>
      <c r="G4618" s="109" t="s">
        <v>120</v>
      </c>
      <c r="H4618" s="109">
        <v>26</v>
      </c>
      <c r="I4618" s="109">
        <v>781</v>
      </c>
      <c r="J4618" s="110">
        <v>2073</v>
      </c>
    </row>
    <row r="4619" spans="1:10" s="119" customFormat="1">
      <c r="A4619" s="123" t="s">
        <v>120</v>
      </c>
      <c r="B4619" s="275" t="s">
        <v>947</v>
      </c>
      <c r="C4619" s="276"/>
      <c r="D4619" s="276"/>
      <c r="E4619" s="276"/>
      <c r="F4619" s="276"/>
      <c r="G4619" s="276"/>
      <c r="H4619" s="276"/>
      <c r="I4619" s="276"/>
      <c r="J4619" s="276"/>
    </row>
    <row r="4620" spans="1:10">
      <c r="A4620" s="103" t="s">
        <v>6983</v>
      </c>
      <c r="B4620" s="124" t="s">
        <v>6984</v>
      </c>
      <c r="C4620" s="110">
        <v>24631</v>
      </c>
      <c r="D4620" s="109" t="s">
        <v>120</v>
      </c>
      <c r="E4620" s="109">
        <v>246</v>
      </c>
      <c r="F4620" s="110">
        <v>21635</v>
      </c>
      <c r="G4620" s="109" t="s">
        <v>120</v>
      </c>
      <c r="H4620" s="109">
        <v>88</v>
      </c>
      <c r="I4620" s="109">
        <v>190</v>
      </c>
      <c r="J4620" s="110">
        <v>312</v>
      </c>
    </row>
    <row r="4621" spans="1:10">
      <c r="A4621" s="103" t="s">
        <v>6985</v>
      </c>
      <c r="B4621" s="124" t="s">
        <v>932</v>
      </c>
      <c r="C4621" s="110">
        <v>958</v>
      </c>
      <c r="D4621" s="109" t="s">
        <v>120</v>
      </c>
      <c r="E4621" s="109">
        <v>10</v>
      </c>
      <c r="F4621" s="110">
        <v>15109</v>
      </c>
      <c r="G4621" s="109" t="s">
        <v>120</v>
      </c>
      <c r="H4621" s="109">
        <v>1577</v>
      </c>
      <c r="I4621" s="109" t="s">
        <v>122</v>
      </c>
      <c r="J4621" s="110" t="s">
        <v>122</v>
      </c>
    </row>
    <row r="4622" spans="1:10">
      <c r="A4622" s="103" t="s">
        <v>6986</v>
      </c>
      <c r="B4622" s="124" t="s">
        <v>934</v>
      </c>
      <c r="C4622" s="110">
        <v>23673</v>
      </c>
      <c r="D4622" s="109" t="s">
        <v>120</v>
      </c>
      <c r="E4622" s="109">
        <v>236</v>
      </c>
      <c r="F4622" s="110">
        <v>6526</v>
      </c>
      <c r="G4622" s="109" t="s">
        <v>120</v>
      </c>
      <c r="H4622" s="109">
        <v>28</v>
      </c>
      <c r="I4622" s="109" t="s">
        <v>122</v>
      </c>
      <c r="J4622" s="110" t="s">
        <v>122</v>
      </c>
    </row>
    <row r="4623" spans="1:10">
      <c r="A4623" s="103" t="s">
        <v>6987</v>
      </c>
      <c r="B4623" s="124" t="s">
        <v>6988</v>
      </c>
      <c r="C4623" s="110">
        <v>32091</v>
      </c>
      <c r="D4623" s="109" t="s">
        <v>120</v>
      </c>
      <c r="E4623" s="109">
        <v>321</v>
      </c>
      <c r="F4623" s="110">
        <v>5053</v>
      </c>
      <c r="G4623" s="109" t="s">
        <v>120</v>
      </c>
      <c r="H4623" s="109">
        <v>16</v>
      </c>
      <c r="I4623" s="109">
        <v>76</v>
      </c>
      <c r="J4623" s="110">
        <v>1732</v>
      </c>
    </row>
    <row r="4624" spans="1:10">
      <c r="A4624" s="103" t="s">
        <v>6989</v>
      </c>
      <c r="B4624" s="124" t="s">
        <v>932</v>
      </c>
      <c r="C4624" s="110">
        <v>503</v>
      </c>
      <c r="D4624" s="109" t="s">
        <v>120</v>
      </c>
      <c r="E4624" s="109">
        <v>5</v>
      </c>
      <c r="F4624" s="110">
        <v>2274</v>
      </c>
      <c r="G4624" s="109" t="s">
        <v>120</v>
      </c>
      <c r="H4624" s="109">
        <v>452</v>
      </c>
      <c r="I4624" s="109" t="s">
        <v>122</v>
      </c>
      <c r="J4624" s="110" t="s">
        <v>122</v>
      </c>
    </row>
    <row r="4625" spans="1:10">
      <c r="A4625" s="103" t="s">
        <v>6990</v>
      </c>
      <c r="B4625" s="124" t="s">
        <v>934</v>
      </c>
      <c r="C4625" s="110">
        <v>31588</v>
      </c>
      <c r="D4625" s="109" t="s">
        <v>120</v>
      </c>
      <c r="E4625" s="109">
        <v>316</v>
      </c>
      <c r="F4625" s="110">
        <v>2779</v>
      </c>
      <c r="G4625" s="109" t="s">
        <v>120</v>
      </c>
      <c r="H4625" s="109">
        <v>9</v>
      </c>
      <c r="I4625" s="109" t="s">
        <v>122</v>
      </c>
      <c r="J4625" s="110" t="s">
        <v>122</v>
      </c>
    </row>
    <row r="4626" spans="1:10">
      <c r="A4626" s="103" t="s">
        <v>6991</v>
      </c>
      <c r="B4626" s="124" t="s">
        <v>6992</v>
      </c>
      <c r="C4626" s="110">
        <v>20072</v>
      </c>
      <c r="D4626" s="109" t="s">
        <v>120</v>
      </c>
      <c r="E4626" s="109">
        <v>201</v>
      </c>
      <c r="F4626" s="110">
        <v>7764</v>
      </c>
      <c r="G4626" s="109" t="s">
        <v>120</v>
      </c>
      <c r="H4626" s="109">
        <v>39</v>
      </c>
      <c r="I4626" s="109">
        <v>343</v>
      </c>
      <c r="J4626" s="110">
        <v>1159</v>
      </c>
    </row>
    <row r="4627" spans="1:10">
      <c r="A4627" s="103" t="s">
        <v>6993</v>
      </c>
      <c r="B4627" s="124" t="s">
        <v>932</v>
      </c>
      <c r="C4627" s="110">
        <v>1307</v>
      </c>
      <c r="D4627" s="109" t="s">
        <v>120</v>
      </c>
      <c r="E4627" s="109">
        <v>13</v>
      </c>
      <c r="F4627" s="110">
        <v>2589</v>
      </c>
      <c r="G4627" s="109" t="s">
        <v>120</v>
      </c>
      <c r="H4627" s="109">
        <v>198</v>
      </c>
      <c r="I4627" s="109" t="s">
        <v>122</v>
      </c>
      <c r="J4627" s="110" t="s">
        <v>122</v>
      </c>
    </row>
    <row r="4628" spans="1:10">
      <c r="A4628" s="103" t="s">
        <v>6994</v>
      </c>
      <c r="B4628" s="124" t="s">
        <v>934</v>
      </c>
      <c r="C4628" s="110">
        <v>18765</v>
      </c>
      <c r="D4628" s="109" t="s">
        <v>120</v>
      </c>
      <c r="E4628" s="109">
        <v>188</v>
      </c>
      <c r="F4628" s="110">
        <v>5175</v>
      </c>
      <c r="G4628" s="109" t="s">
        <v>120</v>
      </c>
      <c r="H4628" s="109">
        <v>28</v>
      </c>
      <c r="I4628" s="109" t="s">
        <v>122</v>
      </c>
      <c r="J4628" s="110" t="s">
        <v>122</v>
      </c>
    </row>
    <row r="4629" spans="1:10">
      <c r="A4629" s="103" t="s">
        <v>6995</v>
      </c>
      <c r="B4629" s="124" t="s">
        <v>6996</v>
      </c>
      <c r="C4629" s="110">
        <v>18037</v>
      </c>
      <c r="D4629" s="109" t="s">
        <v>120</v>
      </c>
      <c r="E4629" s="109">
        <v>180</v>
      </c>
      <c r="F4629" s="110">
        <v>5454</v>
      </c>
      <c r="G4629" s="109" t="s">
        <v>120</v>
      </c>
      <c r="H4629" s="109">
        <v>30</v>
      </c>
      <c r="I4629" s="109">
        <v>445</v>
      </c>
      <c r="J4629" s="110">
        <v>1624</v>
      </c>
    </row>
    <row r="4630" spans="1:10">
      <c r="A4630" s="103" t="s">
        <v>6997</v>
      </c>
      <c r="B4630" s="124" t="s">
        <v>932</v>
      </c>
      <c r="C4630" s="110">
        <v>1240</v>
      </c>
      <c r="D4630" s="109" t="s">
        <v>120</v>
      </c>
      <c r="E4630" s="109">
        <v>12</v>
      </c>
      <c r="F4630" s="110">
        <v>2883</v>
      </c>
      <c r="G4630" s="109" t="s">
        <v>120</v>
      </c>
      <c r="H4630" s="109">
        <v>233</v>
      </c>
      <c r="I4630" s="109" t="s">
        <v>122</v>
      </c>
      <c r="J4630" s="110" t="s">
        <v>122</v>
      </c>
    </row>
    <row r="4631" spans="1:10">
      <c r="A4631" s="103" t="s">
        <v>6998</v>
      </c>
      <c r="B4631" s="124" t="s">
        <v>934</v>
      </c>
      <c r="C4631" s="110">
        <v>16797</v>
      </c>
      <c r="D4631" s="109" t="s">
        <v>120</v>
      </c>
      <c r="E4631" s="109">
        <v>168</v>
      </c>
      <c r="F4631" s="110">
        <v>2571</v>
      </c>
      <c r="G4631" s="109" t="s">
        <v>120</v>
      </c>
      <c r="H4631" s="109">
        <v>15</v>
      </c>
      <c r="I4631" s="109" t="s">
        <v>122</v>
      </c>
      <c r="J4631" s="110" t="s">
        <v>122</v>
      </c>
    </row>
    <row r="4632" spans="1:10" s="119" customFormat="1">
      <c r="A4632" s="123" t="s">
        <v>120</v>
      </c>
      <c r="B4632" s="273" t="s">
        <v>6999</v>
      </c>
      <c r="C4632" s="274"/>
      <c r="D4632" s="274"/>
      <c r="E4632" s="274"/>
      <c r="F4632" s="274"/>
      <c r="G4632" s="274"/>
      <c r="H4632" s="274"/>
      <c r="I4632" s="274"/>
      <c r="J4632" s="274"/>
    </row>
    <row r="4633" spans="1:10" s="119" customFormat="1">
      <c r="A4633" s="123" t="s">
        <v>120</v>
      </c>
      <c r="B4633" s="275" t="s">
        <v>1296</v>
      </c>
      <c r="C4633" s="276"/>
      <c r="D4633" s="276"/>
      <c r="E4633" s="276"/>
      <c r="F4633" s="276"/>
      <c r="G4633" s="276"/>
      <c r="H4633" s="276"/>
      <c r="I4633" s="276"/>
      <c r="J4633" s="276"/>
    </row>
    <row r="4634" spans="1:10">
      <c r="A4634" s="103" t="s">
        <v>7000</v>
      </c>
      <c r="B4634" s="124" t="s">
        <v>7001</v>
      </c>
      <c r="C4634" s="110">
        <v>22919</v>
      </c>
      <c r="D4634" s="109" t="s">
        <v>120</v>
      </c>
      <c r="E4634" s="109">
        <v>229</v>
      </c>
      <c r="F4634" s="110">
        <v>4243</v>
      </c>
      <c r="G4634" s="109" t="s">
        <v>120</v>
      </c>
      <c r="H4634" s="109">
        <v>19</v>
      </c>
      <c r="I4634" s="109">
        <v>231</v>
      </c>
      <c r="J4634" s="110">
        <v>1940</v>
      </c>
    </row>
    <row r="4635" spans="1:10" s="119" customFormat="1">
      <c r="A4635" s="123" t="s">
        <v>120</v>
      </c>
      <c r="B4635" s="275" t="s">
        <v>1101</v>
      </c>
      <c r="C4635" s="276"/>
      <c r="D4635" s="276"/>
      <c r="E4635" s="276"/>
      <c r="F4635" s="276"/>
      <c r="G4635" s="276"/>
      <c r="H4635" s="276"/>
      <c r="I4635" s="276"/>
      <c r="J4635" s="276"/>
    </row>
    <row r="4636" spans="1:10">
      <c r="A4636" s="103" t="s">
        <v>7002</v>
      </c>
      <c r="B4636" s="124" t="s">
        <v>7003</v>
      </c>
      <c r="C4636" s="110">
        <v>36484</v>
      </c>
      <c r="D4636" s="109" t="s">
        <v>120</v>
      </c>
      <c r="E4636" s="109">
        <v>365</v>
      </c>
      <c r="F4636" s="110">
        <v>11867</v>
      </c>
      <c r="G4636" s="109" t="s">
        <v>120</v>
      </c>
      <c r="H4636" s="109">
        <v>33</v>
      </c>
      <c r="I4636" s="109">
        <v>41</v>
      </c>
      <c r="J4636" s="110">
        <v>708</v>
      </c>
    </row>
    <row r="4637" spans="1:10">
      <c r="A4637" s="103" t="s">
        <v>7004</v>
      </c>
      <c r="B4637" s="124" t="s">
        <v>932</v>
      </c>
      <c r="C4637" s="110">
        <v>1362</v>
      </c>
      <c r="D4637" s="109" t="s">
        <v>120</v>
      </c>
      <c r="E4637" s="109">
        <v>14</v>
      </c>
      <c r="F4637" s="110">
        <v>7119</v>
      </c>
      <c r="G4637" s="109" t="s">
        <v>120</v>
      </c>
      <c r="H4637" s="109">
        <v>523</v>
      </c>
      <c r="I4637" s="109" t="s">
        <v>122</v>
      </c>
      <c r="J4637" s="110" t="s">
        <v>122</v>
      </c>
    </row>
    <row r="4638" spans="1:10">
      <c r="A4638" s="103" t="s">
        <v>7005</v>
      </c>
      <c r="B4638" s="124" t="s">
        <v>934</v>
      </c>
      <c r="C4638" s="110">
        <v>35122</v>
      </c>
      <c r="D4638" s="109" t="s">
        <v>120</v>
      </c>
      <c r="E4638" s="109">
        <v>351</v>
      </c>
      <c r="F4638" s="110">
        <v>4748</v>
      </c>
      <c r="G4638" s="109" t="s">
        <v>120</v>
      </c>
      <c r="H4638" s="109">
        <v>14</v>
      </c>
      <c r="I4638" s="109" t="s">
        <v>122</v>
      </c>
      <c r="J4638" s="110" t="s">
        <v>122</v>
      </c>
    </row>
    <row r="4639" spans="1:10">
      <c r="A4639" s="103" t="s">
        <v>7006</v>
      </c>
      <c r="B4639" s="124" t="s">
        <v>7007</v>
      </c>
      <c r="C4639" s="110">
        <v>40949</v>
      </c>
      <c r="D4639" s="109" t="s">
        <v>120</v>
      </c>
      <c r="E4639" s="109">
        <v>409</v>
      </c>
      <c r="F4639" s="110">
        <v>17174</v>
      </c>
      <c r="G4639" s="109" t="s">
        <v>120</v>
      </c>
      <c r="H4639" s="109">
        <v>42</v>
      </c>
      <c r="I4639" s="109">
        <v>23</v>
      </c>
      <c r="J4639" s="110">
        <v>427</v>
      </c>
    </row>
    <row r="4640" spans="1:10">
      <c r="A4640" s="103" t="s">
        <v>7008</v>
      </c>
      <c r="B4640" s="124" t="s">
        <v>932</v>
      </c>
      <c r="C4640" s="110">
        <v>2233</v>
      </c>
      <c r="D4640" s="109" t="s">
        <v>120</v>
      </c>
      <c r="E4640" s="109">
        <v>22</v>
      </c>
      <c r="F4640" s="110">
        <v>11523</v>
      </c>
      <c r="G4640" s="109" t="s">
        <v>120</v>
      </c>
      <c r="H4640" s="109">
        <v>516</v>
      </c>
      <c r="I4640" s="109" t="s">
        <v>122</v>
      </c>
      <c r="J4640" s="110" t="s">
        <v>122</v>
      </c>
    </row>
    <row r="4641" spans="1:10">
      <c r="A4641" s="103" t="s">
        <v>7009</v>
      </c>
      <c r="B4641" s="124" t="s">
        <v>934</v>
      </c>
      <c r="C4641" s="110">
        <v>38716</v>
      </c>
      <c r="D4641" s="109" t="s">
        <v>120</v>
      </c>
      <c r="E4641" s="109">
        <v>387</v>
      </c>
      <c r="F4641" s="110">
        <v>5651</v>
      </c>
      <c r="G4641" s="109" t="s">
        <v>120</v>
      </c>
      <c r="H4641" s="109">
        <v>15</v>
      </c>
      <c r="I4641" s="109" t="s">
        <v>122</v>
      </c>
      <c r="J4641" s="110" t="s">
        <v>122</v>
      </c>
    </row>
    <row r="4642" spans="1:10">
      <c r="A4642" s="103" t="s">
        <v>7010</v>
      </c>
      <c r="B4642" s="124" t="s">
        <v>7011</v>
      </c>
      <c r="C4642" s="110">
        <v>48087</v>
      </c>
      <c r="D4642" s="109" t="s">
        <v>120</v>
      </c>
      <c r="E4642" s="109">
        <v>481</v>
      </c>
      <c r="F4642" s="110">
        <v>7372</v>
      </c>
      <c r="G4642" s="109" t="s">
        <v>120</v>
      </c>
      <c r="H4642" s="109">
        <v>15</v>
      </c>
      <c r="I4642" s="109">
        <v>6</v>
      </c>
      <c r="J4642" s="110">
        <v>1228</v>
      </c>
    </row>
    <row r="4643" spans="1:10">
      <c r="A4643" s="103" t="s">
        <v>7012</v>
      </c>
      <c r="B4643" s="124" t="s">
        <v>932</v>
      </c>
      <c r="C4643" s="110">
        <v>1196</v>
      </c>
      <c r="D4643" s="109" t="s">
        <v>120</v>
      </c>
      <c r="E4643" s="109">
        <v>12</v>
      </c>
      <c r="F4643" s="110">
        <v>4388</v>
      </c>
      <c r="G4643" s="109" t="s">
        <v>120</v>
      </c>
      <c r="H4643" s="109">
        <v>367</v>
      </c>
      <c r="I4643" s="109" t="s">
        <v>122</v>
      </c>
      <c r="J4643" s="110" t="s">
        <v>122</v>
      </c>
    </row>
    <row r="4644" spans="1:10">
      <c r="A4644" s="103" t="s">
        <v>7013</v>
      </c>
      <c r="B4644" s="124" t="s">
        <v>934</v>
      </c>
      <c r="C4644" s="110">
        <v>46891</v>
      </c>
      <c r="D4644" s="109" t="s">
        <v>120</v>
      </c>
      <c r="E4644" s="109">
        <v>469</v>
      </c>
      <c r="F4644" s="110">
        <v>2984</v>
      </c>
      <c r="G4644" s="109" t="s">
        <v>120</v>
      </c>
      <c r="H4644" s="109">
        <v>6</v>
      </c>
      <c r="I4644" s="109" t="s">
        <v>122</v>
      </c>
      <c r="J4644" s="110" t="s">
        <v>122</v>
      </c>
    </row>
    <row r="4645" spans="1:10">
      <c r="A4645" s="103" t="s">
        <v>7014</v>
      </c>
      <c r="B4645" s="124" t="s">
        <v>7015</v>
      </c>
      <c r="C4645" s="110">
        <v>27985</v>
      </c>
      <c r="D4645" s="109" t="s">
        <v>120</v>
      </c>
      <c r="E4645" s="109">
        <v>280</v>
      </c>
      <c r="F4645" s="110">
        <v>16359</v>
      </c>
      <c r="G4645" s="109" t="s">
        <v>120</v>
      </c>
      <c r="H4645" s="109">
        <v>58</v>
      </c>
      <c r="I4645" s="109">
        <v>128</v>
      </c>
      <c r="J4645" s="110">
        <v>457</v>
      </c>
    </row>
    <row r="4646" spans="1:10">
      <c r="A4646" s="103" t="s">
        <v>7016</v>
      </c>
      <c r="B4646" s="124" t="s">
        <v>932</v>
      </c>
      <c r="C4646" s="110">
        <v>3228</v>
      </c>
      <c r="D4646" s="109" t="s">
        <v>120</v>
      </c>
      <c r="E4646" s="109">
        <v>32</v>
      </c>
      <c r="F4646" s="110">
        <v>12833</v>
      </c>
      <c r="G4646" s="109" t="s">
        <v>120</v>
      </c>
      <c r="H4646" s="109">
        <v>398</v>
      </c>
      <c r="I4646" s="109" t="s">
        <v>122</v>
      </c>
      <c r="J4646" s="110" t="s">
        <v>122</v>
      </c>
    </row>
    <row r="4647" spans="1:10">
      <c r="A4647" s="103" t="s">
        <v>7017</v>
      </c>
      <c r="B4647" s="124" t="s">
        <v>934</v>
      </c>
      <c r="C4647" s="110">
        <v>24757</v>
      </c>
      <c r="D4647" s="109" t="s">
        <v>120</v>
      </c>
      <c r="E4647" s="109">
        <v>248</v>
      </c>
      <c r="F4647" s="110">
        <v>3526</v>
      </c>
      <c r="G4647" s="109" t="s">
        <v>120</v>
      </c>
      <c r="H4647" s="109">
        <v>14</v>
      </c>
      <c r="I4647" s="109" t="s">
        <v>122</v>
      </c>
      <c r="J4647" s="110" t="s">
        <v>122</v>
      </c>
    </row>
    <row r="4648" spans="1:10" s="119" customFormat="1">
      <c r="A4648" s="123" t="s">
        <v>120</v>
      </c>
      <c r="B4648" s="273" t="s">
        <v>7018</v>
      </c>
      <c r="C4648" s="274"/>
      <c r="D4648" s="274"/>
      <c r="E4648" s="274"/>
      <c r="F4648" s="274"/>
      <c r="G4648" s="274"/>
      <c r="H4648" s="274"/>
      <c r="I4648" s="274"/>
      <c r="J4648" s="274"/>
    </row>
    <row r="4649" spans="1:10" s="119" customFormat="1">
      <c r="A4649" s="123" t="s">
        <v>120</v>
      </c>
      <c r="B4649" s="275" t="s">
        <v>943</v>
      </c>
      <c r="C4649" s="276"/>
      <c r="D4649" s="276"/>
      <c r="E4649" s="276"/>
      <c r="F4649" s="276"/>
      <c r="G4649" s="276"/>
      <c r="H4649" s="276"/>
      <c r="I4649" s="276"/>
      <c r="J4649" s="276"/>
    </row>
    <row r="4650" spans="1:10">
      <c r="A4650" s="103" t="s">
        <v>7019</v>
      </c>
      <c r="B4650" s="124" t="s">
        <v>7020</v>
      </c>
      <c r="C4650" s="110">
        <v>10166</v>
      </c>
      <c r="D4650" s="109" t="s">
        <v>120</v>
      </c>
      <c r="E4650" s="109">
        <v>102</v>
      </c>
      <c r="F4650" s="110">
        <v>3034</v>
      </c>
      <c r="G4650" s="109" t="s">
        <v>120</v>
      </c>
      <c r="H4650" s="109">
        <v>30</v>
      </c>
      <c r="I4650" s="109">
        <v>1360</v>
      </c>
      <c r="J4650" s="110">
        <v>2193</v>
      </c>
    </row>
    <row r="4651" spans="1:10">
      <c r="A4651" s="103" t="s">
        <v>7021</v>
      </c>
      <c r="B4651" s="124" t="s">
        <v>7022</v>
      </c>
      <c r="C4651" s="110">
        <v>22887</v>
      </c>
      <c r="D4651" s="109" t="s">
        <v>120</v>
      </c>
      <c r="E4651" s="109">
        <v>229</v>
      </c>
      <c r="F4651" s="110">
        <v>5005</v>
      </c>
      <c r="G4651" s="109" t="s">
        <v>120</v>
      </c>
      <c r="H4651" s="109">
        <v>22</v>
      </c>
      <c r="I4651" s="109">
        <v>233</v>
      </c>
      <c r="J4651" s="110">
        <v>1741</v>
      </c>
    </row>
    <row r="4652" spans="1:10" s="119" customFormat="1">
      <c r="A4652" s="123" t="s">
        <v>120</v>
      </c>
      <c r="B4652" s="275" t="s">
        <v>947</v>
      </c>
      <c r="C4652" s="276"/>
      <c r="D4652" s="276"/>
      <c r="E4652" s="276"/>
      <c r="F4652" s="276"/>
      <c r="G4652" s="276"/>
      <c r="H4652" s="276"/>
      <c r="I4652" s="276"/>
      <c r="J4652" s="276"/>
    </row>
    <row r="4653" spans="1:10">
      <c r="A4653" s="103" t="s">
        <v>7023</v>
      </c>
      <c r="B4653" s="124" t="s">
        <v>7024</v>
      </c>
      <c r="C4653" s="110">
        <v>44280</v>
      </c>
      <c r="D4653" s="109" t="s">
        <v>120</v>
      </c>
      <c r="E4653" s="109">
        <v>443</v>
      </c>
      <c r="F4653" s="110">
        <v>36088</v>
      </c>
      <c r="G4653" s="109" t="s">
        <v>120</v>
      </c>
      <c r="H4653" s="109">
        <v>81</v>
      </c>
      <c r="I4653" s="109">
        <v>11</v>
      </c>
      <c r="J4653" s="110">
        <v>146</v>
      </c>
    </row>
    <row r="4654" spans="1:10">
      <c r="A4654" s="103" t="s">
        <v>7025</v>
      </c>
      <c r="B4654" s="124" t="s">
        <v>932</v>
      </c>
      <c r="C4654" s="110">
        <v>1178</v>
      </c>
      <c r="D4654" s="109" t="s">
        <v>120</v>
      </c>
      <c r="E4654" s="109">
        <v>12</v>
      </c>
      <c r="F4654" s="110">
        <v>22216</v>
      </c>
      <c r="G4654" s="109" t="s">
        <v>120</v>
      </c>
      <c r="H4654" s="109">
        <v>1886</v>
      </c>
      <c r="I4654" s="109" t="s">
        <v>122</v>
      </c>
      <c r="J4654" s="110" t="s">
        <v>122</v>
      </c>
    </row>
    <row r="4655" spans="1:10">
      <c r="A4655" s="103" t="s">
        <v>7026</v>
      </c>
      <c r="B4655" s="124" t="s">
        <v>934</v>
      </c>
      <c r="C4655" s="110">
        <v>43102</v>
      </c>
      <c r="D4655" s="109" t="s">
        <v>120</v>
      </c>
      <c r="E4655" s="109">
        <v>431</v>
      </c>
      <c r="F4655" s="110">
        <v>13872</v>
      </c>
      <c r="G4655" s="109" t="s">
        <v>120</v>
      </c>
      <c r="H4655" s="109">
        <v>32</v>
      </c>
      <c r="I4655" s="109" t="s">
        <v>122</v>
      </c>
      <c r="J4655" s="110" t="s">
        <v>122</v>
      </c>
    </row>
    <row r="4656" spans="1:10">
      <c r="A4656" s="103" t="s">
        <v>7027</v>
      </c>
      <c r="B4656" s="124" t="s">
        <v>2278</v>
      </c>
      <c r="C4656" s="110">
        <v>21035</v>
      </c>
      <c r="D4656" s="109" t="s">
        <v>120</v>
      </c>
      <c r="E4656" s="109">
        <v>210</v>
      </c>
      <c r="F4656" s="110">
        <v>8777</v>
      </c>
      <c r="G4656" s="109" t="s">
        <v>120</v>
      </c>
      <c r="H4656" s="109">
        <v>42</v>
      </c>
      <c r="I4656" s="109">
        <v>289</v>
      </c>
      <c r="J4656" s="110">
        <v>1013</v>
      </c>
    </row>
    <row r="4657" spans="1:10">
      <c r="A4657" s="103" t="s">
        <v>7028</v>
      </c>
      <c r="B4657" s="124" t="s">
        <v>932</v>
      </c>
      <c r="C4657" s="110">
        <v>554</v>
      </c>
      <c r="D4657" s="109" t="s">
        <v>120</v>
      </c>
      <c r="E4657" s="109">
        <v>6</v>
      </c>
      <c r="F4657" s="110">
        <v>3363</v>
      </c>
      <c r="G4657" s="109" t="s">
        <v>120</v>
      </c>
      <c r="H4657" s="109">
        <v>607</v>
      </c>
      <c r="I4657" s="109" t="s">
        <v>122</v>
      </c>
      <c r="J4657" s="110" t="s">
        <v>122</v>
      </c>
    </row>
    <row r="4658" spans="1:10">
      <c r="A4658" s="103" t="s">
        <v>7029</v>
      </c>
      <c r="B4658" s="124" t="s">
        <v>934</v>
      </c>
      <c r="C4658" s="110">
        <v>20481</v>
      </c>
      <c r="D4658" s="109" t="s">
        <v>120</v>
      </c>
      <c r="E4658" s="109">
        <v>204</v>
      </c>
      <c r="F4658" s="110">
        <v>5414</v>
      </c>
      <c r="G4658" s="109" t="s">
        <v>120</v>
      </c>
      <c r="H4658" s="109">
        <v>26</v>
      </c>
      <c r="I4658" s="109" t="s">
        <v>122</v>
      </c>
      <c r="J4658" s="110" t="s">
        <v>122</v>
      </c>
    </row>
    <row r="4659" spans="1:10">
      <c r="A4659" s="103" t="s">
        <v>7030</v>
      </c>
      <c r="B4659" s="124" t="s">
        <v>7031</v>
      </c>
      <c r="C4659" s="110">
        <v>33867</v>
      </c>
      <c r="D4659" s="109" t="s">
        <v>120</v>
      </c>
      <c r="E4659" s="109">
        <v>339</v>
      </c>
      <c r="F4659" s="110">
        <v>24634</v>
      </c>
      <c r="G4659" s="109" t="s">
        <v>120</v>
      </c>
      <c r="H4659" s="109">
        <v>73</v>
      </c>
      <c r="I4659" s="109">
        <v>60</v>
      </c>
      <c r="J4659" s="110">
        <v>253</v>
      </c>
    </row>
    <row r="4660" spans="1:10">
      <c r="A4660" s="103" t="s">
        <v>7032</v>
      </c>
      <c r="B4660" s="124" t="s">
        <v>932</v>
      </c>
      <c r="C4660" s="110">
        <v>1257</v>
      </c>
      <c r="D4660" s="109" t="s">
        <v>120</v>
      </c>
      <c r="E4660" s="109">
        <v>13</v>
      </c>
      <c r="F4660" s="110">
        <v>16585</v>
      </c>
      <c r="G4660" s="109" t="s">
        <v>120</v>
      </c>
      <c r="H4660" s="109">
        <v>1319</v>
      </c>
      <c r="I4660" s="109" t="s">
        <v>122</v>
      </c>
      <c r="J4660" s="110" t="s">
        <v>122</v>
      </c>
    </row>
    <row r="4661" spans="1:10">
      <c r="A4661" s="103" t="s">
        <v>7033</v>
      </c>
      <c r="B4661" s="124" t="s">
        <v>934</v>
      </c>
      <c r="C4661" s="110">
        <v>32610</v>
      </c>
      <c r="D4661" s="109" t="s">
        <v>120</v>
      </c>
      <c r="E4661" s="109">
        <v>326</v>
      </c>
      <c r="F4661" s="110">
        <v>8049</v>
      </c>
      <c r="G4661" s="109" t="s">
        <v>120</v>
      </c>
      <c r="H4661" s="109">
        <v>25</v>
      </c>
      <c r="I4661" s="109" t="s">
        <v>122</v>
      </c>
      <c r="J4661" s="110" t="s">
        <v>122</v>
      </c>
    </row>
    <row r="4662" spans="1:10">
      <c r="A4662" s="103" t="s">
        <v>7034</v>
      </c>
      <c r="B4662" s="124" t="s">
        <v>7035</v>
      </c>
      <c r="C4662" s="110">
        <v>29313</v>
      </c>
      <c r="D4662" s="109" t="s">
        <v>120</v>
      </c>
      <c r="E4662" s="109">
        <v>293</v>
      </c>
      <c r="F4662" s="110">
        <v>4883</v>
      </c>
      <c r="G4662" s="109" t="s">
        <v>120</v>
      </c>
      <c r="H4662" s="109">
        <v>17</v>
      </c>
      <c r="I4662" s="109">
        <v>107</v>
      </c>
      <c r="J4662" s="110">
        <v>1772</v>
      </c>
    </row>
    <row r="4663" spans="1:10">
      <c r="A4663" s="103" t="s">
        <v>7036</v>
      </c>
      <c r="B4663" s="124" t="s">
        <v>932</v>
      </c>
      <c r="C4663" s="110">
        <v>340</v>
      </c>
      <c r="D4663" s="109" t="s">
        <v>120</v>
      </c>
      <c r="E4663" s="109">
        <v>3</v>
      </c>
      <c r="F4663" s="110">
        <v>2472</v>
      </c>
      <c r="G4663" s="109" t="s">
        <v>120</v>
      </c>
      <c r="H4663" s="109">
        <v>727</v>
      </c>
      <c r="I4663" s="109" t="s">
        <v>122</v>
      </c>
      <c r="J4663" s="110" t="s">
        <v>122</v>
      </c>
    </row>
    <row r="4664" spans="1:10">
      <c r="A4664" s="103" t="s">
        <v>7037</v>
      </c>
      <c r="B4664" s="124" t="s">
        <v>934</v>
      </c>
      <c r="C4664" s="110">
        <v>28973</v>
      </c>
      <c r="D4664" s="109" t="s">
        <v>120</v>
      </c>
      <c r="E4664" s="109">
        <v>290</v>
      </c>
      <c r="F4664" s="110">
        <v>2411</v>
      </c>
      <c r="G4664" s="109" t="s">
        <v>120</v>
      </c>
      <c r="H4664" s="109">
        <v>8</v>
      </c>
      <c r="I4664" s="109" t="s">
        <v>122</v>
      </c>
      <c r="J4664" s="110" t="s">
        <v>122</v>
      </c>
    </row>
    <row r="4665" spans="1:10" s="119" customFormat="1">
      <c r="A4665" s="123" t="s">
        <v>120</v>
      </c>
      <c r="B4665" s="273" t="s">
        <v>7038</v>
      </c>
      <c r="C4665" s="274"/>
      <c r="D4665" s="274"/>
      <c r="E4665" s="274"/>
      <c r="F4665" s="274"/>
      <c r="G4665" s="274"/>
      <c r="H4665" s="274"/>
      <c r="I4665" s="274"/>
      <c r="J4665" s="274"/>
    </row>
    <row r="4666" spans="1:10" s="119" customFormat="1">
      <c r="A4666" s="123" t="s">
        <v>120</v>
      </c>
      <c r="B4666" s="275" t="s">
        <v>924</v>
      </c>
      <c r="C4666" s="276"/>
      <c r="D4666" s="276"/>
      <c r="E4666" s="276"/>
      <c r="F4666" s="276"/>
      <c r="G4666" s="276"/>
      <c r="H4666" s="276"/>
      <c r="I4666" s="276"/>
      <c r="J4666" s="276"/>
    </row>
    <row r="4667" spans="1:10">
      <c r="A4667" s="103" t="s">
        <v>7039</v>
      </c>
      <c r="B4667" s="124" t="s">
        <v>7040</v>
      </c>
      <c r="C4667" s="110">
        <v>11797</v>
      </c>
      <c r="D4667" s="109" t="s">
        <v>120</v>
      </c>
      <c r="E4667" s="109">
        <v>118</v>
      </c>
      <c r="F4667" s="110">
        <v>3743</v>
      </c>
      <c r="G4667" s="109" t="s">
        <v>120</v>
      </c>
      <c r="H4667" s="109">
        <v>32</v>
      </c>
      <c r="I4667" s="109">
        <v>1080</v>
      </c>
      <c r="J4667" s="110">
        <v>2059</v>
      </c>
    </row>
    <row r="4668" spans="1:10">
      <c r="A4668" s="103" t="s">
        <v>7041</v>
      </c>
      <c r="B4668" s="124" t="s">
        <v>7042</v>
      </c>
      <c r="C4668" s="110">
        <v>13312</v>
      </c>
      <c r="D4668" s="109" t="s">
        <v>120</v>
      </c>
      <c r="E4668" s="109">
        <v>133</v>
      </c>
      <c r="F4668" s="110">
        <v>3977</v>
      </c>
      <c r="G4668" s="109" t="s">
        <v>120</v>
      </c>
      <c r="H4668" s="109">
        <v>30</v>
      </c>
      <c r="I4668" s="109">
        <v>868</v>
      </c>
      <c r="J4668" s="110">
        <v>1997</v>
      </c>
    </row>
    <row r="4669" spans="1:10">
      <c r="A4669" s="103" t="s">
        <v>7043</v>
      </c>
      <c r="B4669" s="124" t="s">
        <v>7044</v>
      </c>
      <c r="C4669" s="110">
        <v>4270</v>
      </c>
      <c r="D4669" s="109" t="s">
        <v>120</v>
      </c>
      <c r="E4669" s="109">
        <v>43</v>
      </c>
      <c r="F4669" s="110">
        <v>3862</v>
      </c>
      <c r="G4669" s="109" t="s">
        <v>120</v>
      </c>
      <c r="H4669" s="109">
        <v>90</v>
      </c>
      <c r="I4669" s="109">
        <v>2073</v>
      </c>
      <c r="J4669" s="110">
        <v>2027</v>
      </c>
    </row>
    <row r="4670" spans="1:10" s="119" customFormat="1">
      <c r="A4670" s="123" t="s">
        <v>120</v>
      </c>
      <c r="B4670" s="275" t="s">
        <v>947</v>
      </c>
      <c r="C4670" s="276"/>
      <c r="D4670" s="276"/>
      <c r="E4670" s="276"/>
      <c r="F4670" s="276"/>
      <c r="G4670" s="276"/>
      <c r="H4670" s="276"/>
      <c r="I4670" s="276"/>
      <c r="J4670" s="276"/>
    </row>
    <row r="4671" spans="1:10">
      <c r="A4671" s="103" t="s">
        <v>7045</v>
      </c>
      <c r="B4671" s="124" t="s">
        <v>7046</v>
      </c>
      <c r="C4671" s="110">
        <v>26130</v>
      </c>
      <c r="D4671" s="109" t="s">
        <v>120</v>
      </c>
      <c r="E4671" s="109">
        <v>261</v>
      </c>
      <c r="F4671" s="110">
        <v>23757</v>
      </c>
      <c r="G4671" s="109" t="s">
        <v>120</v>
      </c>
      <c r="H4671" s="109">
        <v>91</v>
      </c>
      <c r="I4671" s="109">
        <v>153</v>
      </c>
      <c r="J4671" s="110">
        <v>271</v>
      </c>
    </row>
    <row r="4672" spans="1:10">
      <c r="A4672" s="103" t="s">
        <v>7047</v>
      </c>
      <c r="B4672" s="124" t="s">
        <v>932</v>
      </c>
      <c r="C4672" s="110">
        <v>1240</v>
      </c>
      <c r="D4672" s="109" t="s">
        <v>120</v>
      </c>
      <c r="E4672" s="109">
        <v>12</v>
      </c>
      <c r="F4672" s="110">
        <v>16415</v>
      </c>
      <c r="G4672" s="109" t="s">
        <v>120</v>
      </c>
      <c r="H4672" s="109">
        <v>1324</v>
      </c>
      <c r="I4672" s="109" t="s">
        <v>122</v>
      </c>
      <c r="J4672" s="110" t="s">
        <v>122</v>
      </c>
    </row>
    <row r="4673" spans="1:10">
      <c r="A4673" s="103" t="s">
        <v>7048</v>
      </c>
      <c r="B4673" s="124" t="s">
        <v>934</v>
      </c>
      <c r="C4673" s="110">
        <v>24890</v>
      </c>
      <c r="D4673" s="109" t="s">
        <v>120</v>
      </c>
      <c r="E4673" s="109">
        <v>249</v>
      </c>
      <c r="F4673" s="110">
        <v>7342</v>
      </c>
      <c r="G4673" s="109" t="s">
        <v>120</v>
      </c>
      <c r="H4673" s="109">
        <v>29</v>
      </c>
      <c r="I4673" s="109" t="s">
        <v>122</v>
      </c>
      <c r="J4673" s="110" t="s">
        <v>122</v>
      </c>
    </row>
    <row r="4674" spans="1:10">
      <c r="A4674" s="103" t="s">
        <v>7049</v>
      </c>
      <c r="B4674" s="124" t="s">
        <v>7050</v>
      </c>
      <c r="C4674" s="110">
        <v>23919</v>
      </c>
      <c r="D4674" s="109" t="s">
        <v>120</v>
      </c>
      <c r="E4674" s="109">
        <v>239</v>
      </c>
      <c r="F4674" s="110">
        <v>8801</v>
      </c>
      <c r="G4674" s="109" t="s">
        <v>120</v>
      </c>
      <c r="H4674" s="109">
        <v>37</v>
      </c>
      <c r="I4674" s="109">
        <v>207</v>
      </c>
      <c r="J4674" s="110">
        <v>1010</v>
      </c>
    </row>
    <row r="4675" spans="1:10">
      <c r="A4675" s="103" t="s">
        <v>7051</v>
      </c>
      <c r="B4675" s="124" t="s">
        <v>932</v>
      </c>
      <c r="C4675" s="110">
        <v>412</v>
      </c>
      <c r="D4675" s="109" t="s">
        <v>120</v>
      </c>
      <c r="E4675" s="109">
        <v>4</v>
      </c>
      <c r="F4675" s="110">
        <v>3927</v>
      </c>
      <c r="G4675" s="109" t="s">
        <v>120</v>
      </c>
      <c r="H4675" s="109">
        <v>953</v>
      </c>
      <c r="I4675" s="109" t="s">
        <v>122</v>
      </c>
      <c r="J4675" s="110" t="s">
        <v>122</v>
      </c>
    </row>
    <row r="4676" spans="1:10">
      <c r="A4676" s="103" t="s">
        <v>7052</v>
      </c>
      <c r="B4676" s="124" t="s">
        <v>934</v>
      </c>
      <c r="C4676" s="110">
        <v>23507</v>
      </c>
      <c r="D4676" s="109" t="s">
        <v>120</v>
      </c>
      <c r="E4676" s="109">
        <v>235</v>
      </c>
      <c r="F4676" s="110">
        <v>4874</v>
      </c>
      <c r="G4676" s="109" t="s">
        <v>120</v>
      </c>
      <c r="H4676" s="109">
        <v>21</v>
      </c>
      <c r="I4676" s="109" t="s">
        <v>122</v>
      </c>
      <c r="J4676" s="110" t="s">
        <v>122</v>
      </c>
    </row>
    <row r="4677" spans="1:10">
      <c r="A4677" s="103" t="s">
        <v>7053</v>
      </c>
      <c r="B4677" s="124" t="s">
        <v>7054</v>
      </c>
      <c r="C4677" s="110">
        <v>22677</v>
      </c>
      <c r="D4677" s="109" t="s">
        <v>120</v>
      </c>
      <c r="E4677" s="109">
        <v>227</v>
      </c>
      <c r="F4677" s="110">
        <v>16137</v>
      </c>
      <c r="G4677" s="109" t="s">
        <v>120</v>
      </c>
      <c r="H4677" s="109">
        <v>71</v>
      </c>
      <c r="I4677" s="109">
        <v>241</v>
      </c>
      <c r="J4677" s="110">
        <v>467</v>
      </c>
    </row>
    <row r="4678" spans="1:10">
      <c r="A4678" s="103" t="s">
        <v>7055</v>
      </c>
      <c r="B4678" s="124" t="s">
        <v>932</v>
      </c>
      <c r="C4678" s="110">
        <v>1025</v>
      </c>
      <c r="D4678" s="109" t="s">
        <v>120</v>
      </c>
      <c r="E4678" s="109">
        <v>10</v>
      </c>
      <c r="F4678" s="110">
        <v>9964</v>
      </c>
      <c r="G4678" s="109" t="s">
        <v>120</v>
      </c>
      <c r="H4678" s="109">
        <v>972</v>
      </c>
      <c r="I4678" s="109" t="s">
        <v>122</v>
      </c>
      <c r="J4678" s="110" t="s">
        <v>122</v>
      </c>
    </row>
    <row r="4679" spans="1:10">
      <c r="A4679" s="103" t="s">
        <v>7056</v>
      </c>
      <c r="B4679" s="124" t="s">
        <v>7057</v>
      </c>
      <c r="C4679" s="110">
        <v>21652</v>
      </c>
      <c r="D4679" s="109" t="s">
        <v>120</v>
      </c>
      <c r="E4679" s="109">
        <v>217</v>
      </c>
      <c r="F4679" s="110">
        <v>6173</v>
      </c>
      <c r="G4679" s="109" t="s">
        <v>120</v>
      </c>
      <c r="H4679" s="109">
        <v>29</v>
      </c>
      <c r="I4679" s="109" t="s">
        <v>122</v>
      </c>
      <c r="J4679" s="110" t="s">
        <v>122</v>
      </c>
    </row>
    <row r="4680" spans="1:10" s="119" customFormat="1">
      <c r="A4680" s="123" t="s">
        <v>120</v>
      </c>
      <c r="B4680" s="273" t="s">
        <v>7058</v>
      </c>
      <c r="C4680" s="274"/>
      <c r="D4680" s="274"/>
      <c r="E4680" s="274"/>
      <c r="F4680" s="274"/>
      <c r="G4680" s="274"/>
      <c r="H4680" s="274"/>
      <c r="I4680" s="274"/>
      <c r="J4680" s="274"/>
    </row>
    <row r="4681" spans="1:10" s="119" customFormat="1">
      <c r="A4681" s="123" t="s">
        <v>120</v>
      </c>
      <c r="B4681" s="275" t="s">
        <v>924</v>
      </c>
      <c r="C4681" s="276"/>
      <c r="D4681" s="276"/>
      <c r="E4681" s="276"/>
      <c r="F4681" s="276"/>
      <c r="G4681" s="276"/>
      <c r="H4681" s="276"/>
      <c r="I4681" s="276"/>
      <c r="J4681" s="276"/>
    </row>
    <row r="4682" spans="1:10">
      <c r="A4682" s="103" t="s">
        <v>7059</v>
      </c>
      <c r="B4682" s="124" t="s">
        <v>7060</v>
      </c>
      <c r="C4682" s="110">
        <v>20630</v>
      </c>
      <c r="D4682" s="109" t="s">
        <v>120</v>
      </c>
      <c r="E4682" s="109">
        <v>206</v>
      </c>
      <c r="F4682" s="110">
        <v>6308</v>
      </c>
      <c r="G4682" s="109" t="s">
        <v>120</v>
      </c>
      <c r="H4682" s="109">
        <v>31</v>
      </c>
      <c r="I4682" s="109">
        <v>311</v>
      </c>
      <c r="J4682" s="110">
        <v>1441</v>
      </c>
    </row>
    <row r="4683" spans="1:10">
      <c r="A4683" s="103" t="s">
        <v>7061</v>
      </c>
      <c r="B4683" s="124" t="s">
        <v>7062</v>
      </c>
      <c r="C4683" s="110">
        <v>15288</v>
      </c>
      <c r="D4683" s="109" t="s">
        <v>120</v>
      </c>
      <c r="E4683" s="109">
        <v>153</v>
      </c>
      <c r="F4683" s="110">
        <v>3828</v>
      </c>
      <c r="G4683" s="109" t="s">
        <v>120</v>
      </c>
      <c r="H4683" s="109">
        <v>25</v>
      </c>
      <c r="I4683" s="109">
        <v>649</v>
      </c>
      <c r="J4683" s="110">
        <v>2037</v>
      </c>
    </row>
    <row r="4684" spans="1:10">
      <c r="A4684" s="103" t="s">
        <v>7063</v>
      </c>
      <c r="B4684" s="124" t="s">
        <v>7064</v>
      </c>
      <c r="C4684" s="110">
        <v>20945</v>
      </c>
      <c r="D4684" s="109" t="s">
        <v>120</v>
      </c>
      <c r="E4684" s="109">
        <v>210</v>
      </c>
      <c r="F4684" s="110">
        <v>5407</v>
      </c>
      <c r="G4684" s="109" t="s">
        <v>120</v>
      </c>
      <c r="H4684" s="109">
        <v>26</v>
      </c>
      <c r="I4684" s="109">
        <v>291</v>
      </c>
      <c r="J4684" s="110">
        <v>1632</v>
      </c>
    </row>
    <row r="4685" spans="1:10" s="119" customFormat="1">
      <c r="A4685" s="123" t="s">
        <v>120</v>
      </c>
      <c r="B4685" s="275" t="s">
        <v>947</v>
      </c>
      <c r="C4685" s="276"/>
      <c r="D4685" s="276"/>
      <c r="E4685" s="276"/>
      <c r="F4685" s="276"/>
      <c r="G4685" s="276"/>
      <c r="H4685" s="276"/>
      <c r="I4685" s="276"/>
      <c r="J4685" s="276"/>
    </row>
    <row r="4686" spans="1:10">
      <c r="A4686" s="103" t="s">
        <v>7065</v>
      </c>
      <c r="B4686" s="124" t="s">
        <v>7066</v>
      </c>
      <c r="C4686" s="110">
        <v>18061</v>
      </c>
      <c r="D4686" s="109" t="s">
        <v>120</v>
      </c>
      <c r="E4686" s="109">
        <v>181</v>
      </c>
      <c r="F4686" s="110">
        <v>4221</v>
      </c>
      <c r="G4686" s="109" t="s">
        <v>120</v>
      </c>
      <c r="H4686" s="109">
        <v>23</v>
      </c>
      <c r="I4686" s="109">
        <v>443</v>
      </c>
      <c r="J4686" s="110">
        <v>1949</v>
      </c>
    </row>
    <row r="4687" spans="1:10">
      <c r="A4687" s="103" t="s">
        <v>7067</v>
      </c>
      <c r="B4687" s="124" t="s">
        <v>932</v>
      </c>
      <c r="C4687" s="110">
        <v>167</v>
      </c>
      <c r="D4687" s="109" t="s">
        <v>120</v>
      </c>
      <c r="E4687" s="109">
        <v>2</v>
      </c>
      <c r="F4687" s="110">
        <v>1520</v>
      </c>
      <c r="G4687" s="109" t="s">
        <v>120</v>
      </c>
      <c r="H4687" s="109">
        <v>910</v>
      </c>
      <c r="I4687" s="109" t="s">
        <v>122</v>
      </c>
      <c r="J4687" s="110" t="s">
        <v>122</v>
      </c>
    </row>
    <row r="4688" spans="1:10">
      <c r="A4688" s="103" t="s">
        <v>7068</v>
      </c>
      <c r="B4688" s="124" t="s">
        <v>934</v>
      </c>
      <c r="C4688" s="110">
        <v>17894</v>
      </c>
      <c r="D4688" s="109" t="s">
        <v>120</v>
      </c>
      <c r="E4688" s="109">
        <v>179</v>
      </c>
      <c r="F4688" s="110">
        <v>2701</v>
      </c>
      <c r="G4688" s="109" t="s">
        <v>120</v>
      </c>
      <c r="H4688" s="109">
        <v>15</v>
      </c>
      <c r="I4688" s="109" t="s">
        <v>122</v>
      </c>
      <c r="J4688" s="110" t="s">
        <v>122</v>
      </c>
    </row>
    <row r="4689" spans="1:10">
      <c r="A4689" s="103" t="s">
        <v>7069</v>
      </c>
      <c r="B4689" s="124" t="s">
        <v>7070</v>
      </c>
      <c r="C4689" s="110">
        <v>33230</v>
      </c>
      <c r="D4689" s="109" t="s">
        <v>120</v>
      </c>
      <c r="E4689" s="109">
        <v>332</v>
      </c>
      <c r="F4689" s="110">
        <v>13706</v>
      </c>
      <c r="G4689" s="109" t="s">
        <v>120</v>
      </c>
      <c r="H4689" s="109">
        <v>41</v>
      </c>
      <c r="I4689" s="109">
        <v>63</v>
      </c>
      <c r="J4689" s="110">
        <v>580</v>
      </c>
    </row>
    <row r="4690" spans="1:10">
      <c r="A4690" s="103" t="s">
        <v>7071</v>
      </c>
      <c r="B4690" s="124" t="s">
        <v>932</v>
      </c>
      <c r="C4690" s="110">
        <v>1258</v>
      </c>
      <c r="D4690" s="109" t="s">
        <v>120</v>
      </c>
      <c r="E4690" s="109">
        <v>12</v>
      </c>
      <c r="F4690" s="110">
        <v>7408</v>
      </c>
      <c r="G4690" s="109" t="s">
        <v>120</v>
      </c>
      <c r="H4690" s="109">
        <v>589</v>
      </c>
      <c r="I4690" s="109" t="s">
        <v>122</v>
      </c>
      <c r="J4690" s="110" t="s">
        <v>122</v>
      </c>
    </row>
    <row r="4691" spans="1:10">
      <c r="A4691" s="103" t="s">
        <v>7072</v>
      </c>
      <c r="B4691" s="124" t="s">
        <v>934</v>
      </c>
      <c r="C4691" s="110">
        <v>31972</v>
      </c>
      <c r="D4691" s="109" t="s">
        <v>120</v>
      </c>
      <c r="E4691" s="109">
        <v>320</v>
      </c>
      <c r="F4691" s="110">
        <v>6298</v>
      </c>
      <c r="G4691" s="109" t="s">
        <v>120</v>
      </c>
      <c r="H4691" s="109">
        <v>20</v>
      </c>
      <c r="I4691" s="109" t="s">
        <v>122</v>
      </c>
      <c r="J4691" s="110" t="s">
        <v>122</v>
      </c>
    </row>
    <row r="4692" spans="1:10">
      <c r="A4692" s="103" t="s">
        <v>7073</v>
      </c>
      <c r="B4692" s="124" t="s">
        <v>7074</v>
      </c>
      <c r="C4692" s="110">
        <v>25390</v>
      </c>
      <c r="D4692" s="109" t="s">
        <v>120</v>
      </c>
      <c r="E4692" s="109">
        <v>254</v>
      </c>
      <c r="F4692" s="110">
        <v>31827</v>
      </c>
      <c r="G4692" s="109" t="s">
        <v>120</v>
      </c>
      <c r="H4692" s="109">
        <v>125</v>
      </c>
      <c r="I4692" s="109">
        <v>175</v>
      </c>
      <c r="J4692" s="110">
        <v>174</v>
      </c>
    </row>
    <row r="4693" spans="1:10">
      <c r="A4693" s="103" t="s">
        <v>7075</v>
      </c>
      <c r="B4693" s="124" t="s">
        <v>932</v>
      </c>
      <c r="C4693" s="110">
        <v>1181</v>
      </c>
      <c r="D4693" s="109" t="s">
        <v>120</v>
      </c>
      <c r="E4693" s="109">
        <v>12</v>
      </c>
      <c r="F4693" s="110">
        <v>21167</v>
      </c>
      <c r="G4693" s="109" t="s">
        <v>120</v>
      </c>
      <c r="H4693" s="109">
        <v>1792</v>
      </c>
      <c r="I4693" s="109" t="s">
        <v>122</v>
      </c>
      <c r="J4693" s="110" t="s">
        <v>122</v>
      </c>
    </row>
    <row r="4694" spans="1:10">
      <c r="A4694" s="103" t="s">
        <v>7076</v>
      </c>
      <c r="B4694" s="124" t="s">
        <v>934</v>
      </c>
      <c r="C4694" s="110">
        <v>24209</v>
      </c>
      <c r="D4694" s="109" t="s">
        <v>120</v>
      </c>
      <c r="E4694" s="109">
        <v>242</v>
      </c>
      <c r="F4694" s="110">
        <v>10660</v>
      </c>
      <c r="G4694" s="109" t="s">
        <v>120</v>
      </c>
      <c r="H4694" s="109">
        <v>44</v>
      </c>
      <c r="I4694" s="109" t="s">
        <v>122</v>
      </c>
      <c r="J4694" s="110" t="s">
        <v>122</v>
      </c>
    </row>
    <row r="4695" spans="1:10">
      <c r="A4695" s="103" t="s">
        <v>7077</v>
      </c>
      <c r="B4695" s="124" t="s">
        <v>7078</v>
      </c>
      <c r="C4695" s="110">
        <v>23865</v>
      </c>
      <c r="D4695" s="109" t="s">
        <v>120</v>
      </c>
      <c r="E4695" s="109">
        <v>239</v>
      </c>
      <c r="F4695" s="110">
        <v>7047</v>
      </c>
      <c r="G4695" s="109" t="s">
        <v>120</v>
      </c>
      <c r="H4695" s="109">
        <v>30</v>
      </c>
      <c r="I4695" s="109">
        <v>209</v>
      </c>
      <c r="J4695" s="110">
        <v>1286</v>
      </c>
    </row>
    <row r="4696" spans="1:10">
      <c r="A4696" s="103" t="s">
        <v>7079</v>
      </c>
      <c r="B4696" s="124" t="s">
        <v>932</v>
      </c>
      <c r="C4696" s="110">
        <v>525</v>
      </c>
      <c r="D4696" s="109" t="s">
        <v>120</v>
      </c>
      <c r="E4696" s="109">
        <v>5</v>
      </c>
      <c r="F4696" s="110">
        <v>3612</v>
      </c>
      <c r="G4696" s="109" t="s">
        <v>120</v>
      </c>
      <c r="H4696" s="109">
        <v>688</v>
      </c>
      <c r="I4696" s="109" t="s">
        <v>122</v>
      </c>
      <c r="J4696" s="110" t="s">
        <v>122</v>
      </c>
    </row>
    <row r="4697" spans="1:10">
      <c r="A4697" s="103" t="s">
        <v>7080</v>
      </c>
      <c r="B4697" s="124" t="s">
        <v>934</v>
      </c>
      <c r="C4697" s="110">
        <v>23340</v>
      </c>
      <c r="D4697" s="109" t="s">
        <v>120</v>
      </c>
      <c r="E4697" s="109">
        <v>234</v>
      </c>
      <c r="F4697" s="110">
        <v>3435</v>
      </c>
      <c r="G4697" s="109" t="s">
        <v>120</v>
      </c>
      <c r="H4697" s="109">
        <v>15</v>
      </c>
      <c r="I4697" s="109" t="s">
        <v>122</v>
      </c>
      <c r="J4697" s="110" t="s">
        <v>122</v>
      </c>
    </row>
    <row r="4698" spans="1:10">
      <c r="A4698" s="103" t="s">
        <v>7081</v>
      </c>
      <c r="B4698" s="124" t="s">
        <v>7082</v>
      </c>
      <c r="C4698" s="110">
        <v>12457</v>
      </c>
      <c r="D4698" s="109" t="s">
        <v>120</v>
      </c>
      <c r="E4698" s="109">
        <v>125</v>
      </c>
      <c r="F4698" s="110">
        <v>4267</v>
      </c>
      <c r="G4698" s="109" t="s">
        <v>120</v>
      </c>
      <c r="H4698" s="109">
        <v>34</v>
      </c>
      <c r="I4698" s="109">
        <v>986</v>
      </c>
      <c r="J4698" s="110">
        <v>1937</v>
      </c>
    </row>
    <row r="4699" spans="1:10">
      <c r="A4699" s="103" t="s">
        <v>7083</v>
      </c>
      <c r="B4699" s="124" t="s">
        <v>932</v>
      </c>
      <c r="C4699" s="110">
        <v>554</v>
      </c>
      <c r="D4699" s="109" t="s">
        <v>120</v>
      </c>
      <c r="E4699" s="109">
        <v>6</v>
      </c>
      <c r="F4699" s="110">
        <v>1629</v>
      </c>
      <c r="G4699" s="109" t="s">
        <v>120</v>
      </c>
      <c r="H4699" s="109">
        <v>294</v>
      </c>
      <c r="I4699" s="109" t="s">
        <v>122</v>
      </c>
      <c r="J4699" s="110" t="s">
        <v>122</v>
      </c>
    </row>
    <row r="4700" spans="1:10">
      <c r="A4700" s="103" t="s">
        <v>7084</v>
      </c>
      <c r="B4700" s="124" t="s">
        <v>934</v>
      </c>
      <c r="C4700" s="110">
        <v>11903</v>
      </c>
      <c r="D4700" s="109" t="s">
        <v>120</v>
      </c>
      <c r="E4700" s="109">
        <v>119</v>
      </c>
      <c r="F4700" s="110">
        <v>2638</v>
      </c>
      <c r="G4700" s="109" t="s">
        <v>120</v>
      </c>
      <c r="H4700" s="109">
        <v>22</v>
      </c>
      <c r="I4700" s="109" t="s">
        <v>122</v>
      </c>
      <c r="J4700" s="110" t="s">
        <v>122</v>
      </c>
    </row>
    <row r="4701" spans="1:10">
      <c r="A4701" s="103" t="s">
        <v>7085</v>
      </c>
      <c r="B4701" s="124" t="s">
        <v>7086</v>
      </c>
      <c r="C4701" s="110">
        <v>17045</v>
      </c>
      <c r="D4701" s="109" t="s">
        <v>120</v>
      </c>
      <c r="E4701" s="109">
        <v>170</v>
      </c>
      <c r="F4701" s="110">
        <v>5271</v>
      </c>
      <c r="G4701" s="109" t="s">
        <v>120</v>
      </c>
      <c r="H4701" s="109">
        <v>31</v>
      </c>
      <c r="I4701" s="109">
        <v>514</v>
      </c>
      <c r="J4701" s="110">
        <v>1674</v>
      </c>
    </row>
    <row r="4702" spans="1:10">
      <c r="A4702" s="103" t="s">
        <v>7087</v>
      </c>
      <c r="B4702" s="124" t="s">
        <v>932</v>
      </c>
      <c r="C4702" s="110">
        <v>233</v>
      </c>
      <c r="D4702" s="109" t="s">
        <v>120</v>
      </c>
      <c r="E4702" s="109">
        <v>2</v>
      </c>
      <c r="F4702" s="110">
        <v>2248</v>
      </c>
      <c r="G4702" s="109" t="s">
        <v>120</v>
      </c>
      <c r="H4702" s="109">
        <v>965</v>
      </c>
      <c r="I4702" s="109" t="s">
        <v>122</v>
      </c>
      <c r="J4702" s="110" t="s">
        <v>122</v>
      </c>
    </row>
    <row r="4703" spans="1:10">
      <c r="A4703" s="103" t="s">
        <v>7088</v>
      </c>
      <c r="B4703" s="124" t="s">
        <v>934</v>
      </c>
      <c r="C4703" s="110">
        <v>16812</v>
      </c>
      <c r="D4703" s="109" t="s">
        <v>120</v>
      </c>
      <c r="E4703" s="109">
        <v>168</v>
      </c>
      <c r="F4703" s="110">
        <v>3023</v>
      </c>
      <c r="G4703" s="109" t="s">
        <v>120</v>
      </c>
      <c r="H4703" s="109">
        <v>18</v>
      </c>
      <c r="I4703" s="109" t="s">
        <v>122</v>
      </c>
      <c r="J4703" s="110" t="s">
        <v>122</v>
      </c>
    </row>
    <row r="4704" spans="1:10" s="119" customFormat="1">
      <c r="A4704" s="123" t="s">
        <v>120</v>
      </c>
      <c r="B4704" s="273" t="s">
        <v>7089</v>
      </c>
      <c r="C4704" s="274"/>
      <c r="D4704" s="274"/>
      <c r="E4704" s="274"/>
      <c r="F4704" s="274"/>
      <c r="G4704" s="274"/>
      <c r="H4704" s="274"/>
      <c r="I4704" s="274"/>
      <c r="J4704" s="274"/>
    </row>
    <row r="4705" spans="1:10" s="119" customFormat="1">
      <c r="A4705" s="123" t="s">
        <v>120</v>
      </c>
      <c r="B4705" s="275" t="s">
        <v>1568</v>
      </c>
      <c r="C4705" s="276"/>
      <c r="D4705" s="276"/>
      <c r="E4705" s="276"/>
      <c r="F4705" s="276"/>
      <c r="G4705" s="276"/>
      <c r="H4705" s="276"/>
      <c r="I4705" s="276"/>
      <c r="J4705" s="276"/>
    </row>
    <row r="4706" spans="1:10">
      <c r="A4706" s="103" t="s">
        <v>7090</v>
      </c>
      <c r="B4706" s="124" t="s">
        <v>7091</v>
      </c>
      <c r="C4706" s="110">
        <v>14013</v>
      </c>
      <c r="D4706" s="109" t="s">
        <v>120</v>
      </c>
      <c r="E4706" s="109">
        <v>140</v>
      </c>
      <c r="F4706" s="110">
        <v>4227</v>
      </c>
      <c r="G4706" s="109" t="s">
        <v>120</v>
      </c>
      <c r="H4706" s="109">
        <v>30</v>
      </c>
      <c r="I4706" s="109">
        <v>782</v>
      </c>
      <c r="J4706" s="110">
        <v>1946</v>
      </c>
    </row>
    <row r="4707" spans="1:10" s="119" customFormat="1">
      <c r="A4707" s="123" t="s">
        <v>120</v>
      </c>
      <c r="B4707" s="275" t="s">
        <v>947</v>
      </c>
      <c r="C4707" s="276"/>
      <c r="D4707" s="276"/>
      <c r="E4707" s="276"/>
      <c r="F4707" s="276"/>
      <c r="G4707" s="276"/>
      <c r="H4707" s="276"/>
      <c r="I4707" s="276"/>
      <c r="J4707" s="276"/>
    </row>
    <row r="4708" spans="1:10">
      <c r="A4708" s="103" t="s">
        <v>7092</v>
      </c>
      <c r="B4708" s="124" t="s">
        <v>7093</v>
      </c>
      <c r="C4708" s="110">
        <v>3949</v>
      </c>
      <c r="D4708" s="109" t="s">
        <v>120</v>
      </c>
      <c r="E4708" s="109">
        <v>40</v>
      </c>
      <c r="F4708" s="110">
        <v>3957</v>
      </c>
      <c r="G4708" s="109" t="s">
        <v>120</v>
      </c>
      <c r="H4708" s="109">
        <v>100</v>
      </c>
      <c r="I4708" s="109">
        <v>2096</v>
      </c>
      <c r="J4708" s="110">
        <v>2002</v>
      </c>
    </row>
    <row r="4709" spans="1:10">
      <c r="A4709" s="103" t="s">
        <v>7094</v>
      </c>
      <c r="B4709" s="124" t="s">
        <v>5231</v>
      </c>
      <c r="C4709" s="110">
        <v>652</v>
      </c>
      <c r="D4709" s="109" t="s">
        <v>120</v>
      </c>
      <c r="E4709" s="109">
        <v>7</v>
      </c>
      <c r="F4709" s="110">
        <v>2660</v>
      </c>
      <c r="G4709" s="109" t="s">
        <v>120</v>
      </c>
      <c r="H4709" s="109">
        <v>408</v>
      </c>
      <c r="I4709" s="109" t="s">
        <v>122</v>
      </c>
      <c r="J4709" s="110" t="s">
        <v>122</v>
      </c>
    </row>
    <row r="4710" spans="1:10">
      <c r="A4710" s="103" t="s">
        <v>7095</v>
      </c>
      <c r="B4710" s="124" t="s">
        <v>934</v>
      </c>
      <c r="C4710" s="110">
        <v>3297</v>
      </c>
      <c r="D4710" s="109" t="s">
        <v>120</v>
      </c>
      <c r="E4710" s="109">
        <v>33</v>
      </c>
      <c r="F4710" s="110">
        <v>1297</v>
      </c>
      <c r="G4710" s="109" t="s">
        <v>120</v>
      </c>
      <c r="H4710" s="109">
        <v>39</v>
      </c>
      <c r="I4710" s="109" t="s">
        <v>122</v>
      </c>
      <c r="J4710" s="110" t="s">
        <v>122</v>
      </c>
    </row>
    <row r="4711" spans="1:10">
      <c r="A4711" s="103" t="s">
        <v>7096</v>
      </c>
      <c r="B4711" s="124" t="s">
        <v>7097</v>
      </c>
      <c r="C4711" s="110">
        <v>17531</v>
      </c>
      <c r="D4711" s="109" t="s">
        <v>120</v>
      </c>
      <c r="E4711" s="109">
        <v>175</v>
      </c>
      <c r="F4711" s="110">
        <v>5871</v>
      </c>
      <c r="G4711" s="109" t="s">
        <v>120</v>
      </c>
      <c r="H4711" s="109">
        <v>33</v>
      </c>
      <c r="I4711" s="109">
        <v>483</v>
      </c>
      <c r="J4711" s="110">
        <v>1539</v>
      </c>
    </row>
    <row r="4712" spans="1:10">
      <c r="A4712" s="103" t="s">
        <v>7098</v>
      </c>
      <c r="B4712" s="124" t="s">
        <v>932</v>
      </c>
      <c r="C4712" s="110">
        <v>742</v>
      </c>
      <c r="D4712" s="109" t="s">
        <v>120</v>
      </c>
      <c r="E4712" s="109">
        <v>7</v>
      </c>
      <c r="F4712" s="110">
        <v>2660</v>
      </c>
      <c r="G4712" s="109" t="s">
        <v>120</v>
      </c>
      <c r="H4712" s="109">
        <v>358</v>
      </c>
      <c r="I4712" s="109" t="s">
        <v>122</v>
      </c>
      <c r="J4712" s="110" t="s">
        <v>122</v>
      </c>
    </row>
    <row r="4713" spans="1:10">
      <c r="A4713" s="103" t="s">
        <v>7099</v>
      </c>
      <c r="B4713" s="124" t="s">
        <v>934</v>
      </c>
      <c r="C4713" s="110">
        <v>16789</v>
      </c>
      <c r="D4713" s="109" t="s">
        <v>120</v>
      </c>
      <c r="E4713" s="109">
        <v>168</v>
      </c>
      <c r="F4713" s="110">
        <v>3211</v>
      </c>
      <c r="G4713" s="109" t="s">
        <v>120</v>
      </c>
      <c r="H4713" s="109">
        <v>19</v>
      </c>
      <c r="I4713" s="109" t="s">
        <v>122</v>
      </c>
      <c r="J4713" s="110" t="s">
        <v>122</v>
      </c>
    </row>
    <row r="4714" spans="1:10">
      <c r="A4714" s="103" t="s">
        <v>7100</v>
      </c>
      <c r="B4714" s="124" t="s">
        <v>7101</v>
      </c>
      <c r="C4714" s="110">
        <v>20854</v>
      </c>
      <c r="D4714" s="109" t="s">
        <v>120</v>
      </c>
      <c r="E4714" s="109">
        <v>209</v>
      </c>
      <c r="F4714" s="110">
        <v>14377</v>
      </c>
      <c r="G4714" s="109" t="s">
        <v>120</v>
      </c>
      <c r="H4714" s="109">
        <v>69</v>
      </c>
      <c r="I4714" s="109">
        <v>295</v>
      </c>
      <c r="J4714" s="110">
        <v>550</v>
      </c>
    </row>
    <row r="4715" spans="1:10">
      <c r="A4715" s="103" t="s">
        <v>7102</v>
      </c>
      <c r="B4715" s="124" t="s">
        <v>932</v>
      </c>
      <c r="C4715" s="110">
        <v>1074</v>
      </c>
      <c r="D4715" s="109" t="s">
        <v>120</v>
      </c>
      <c r="E4715" s="109">
        <v>11</v>
      </c>
      <c r="F4715" s="110">
        <v>8808</v>
      </c>
      <c r="G4715" s="109" t="s">
        <v>120</v>
      </c>
      <c r="H4715" s="109">
        <v>820</v>
      </c>
      <c r="I4715" s="109" t="s">
        <v>122</v>
      </c>
      <c r="J4715" s="110" t="s">
        <v>122</v>
      </c>
    </row>
    <row r="4716" spans="1:10">
      <c r="A4716" s="103" t="s">
        <v>7103</v>
      </c>
      <c r="B4716" s="124" t="s">
        <v>934</v>
      </c>
      <c r="C4716" s="110">
        <v>19780</v>
      </c>
      <c r="D4716" s="109" t="s">
        <v>120</v>
      </c>
      <c r="E4716" s="109">
        <v>198</v>
      </c>
      <c r="F4716" s="110">
        <v>5569</v>
      </c>
      <c r="G4716" s="109" t="s">
        <v>120</v>
      </c>
      <c r="H4716" s="109">
        <v>28</v>
      </c>
      <c r="I4716" s="109" t="s">
        <v>122</v>
      </c>
      <c r="J4716" s="110" t="s">
        <v>122</v>
      </c>
    </row>
    <row r="4717" spans="1:10">
      <c r="A4717" s="103" t="s">
        <v>7104</v>
      </c>
      <c r="B4717" s="124" t="s">
        <v>7105</v>
      </c>
      <c r="C4717" s="110">
        <v>11607</v>
      </c>
      <c r="D4717" s="109" t="s">
        <v>120</v>
      </c>
      <c r="E4717" s="109">
        <v>116</v>
      </c>
      <c r="F4717" s="110">
        <v>6452</v>
      </c>
      <c r="G4717" s="109" t="s">
        <v>120</v>
      </c>
      <c r="H4717" s="109">
        <v>56</v>
      </c>
      <c r="I4717" s="109">
        <v>1112</v>
      </c>
      <c r="J4717" s="110">
        <v>1411</v>
      </c>
    </row>
    <row r="4718" spans="1:10">
      <c r="A4718" s="103" t="s">
        <v>7106</v>
      </c>
      <c r="B4718" s="124" t="s">
        <v>932</v>
      </c>
      <c r="C4718" s="110">
        <v>516</v>
      </c>
      <c r="D4718" s="109" t="s">
        <v>120</v>
      </c>
      <c r="E4718" s="109">
        <v>5</v>
      </c>
      <c r="F4718" s="110">
        <v>5343</v>
      </c>
      <c r="G4718" s="109" t="s">
        <v>120</v>
      </c>
      <c r="H4718" s="109">
        <v>1035</v>
      </c>
      <c r="I4718" s="109" t="s">
        <v>122</v>
      </c>
      <c r="J4718" s="110" t="s">
        <v>122</v>
      </c>
    </row>
    <row r="4719" spans="1:10">
      <c r="A4719" s="103" t="s">
        <v>7107</v>
      </c>
      <c r="B4719" s="124" t="s">
        <v>934</v>
      </c>
      <c r="C4719" s="110">
        <v>11091</v>
      </c>
      <c r="D4719" s="109" t="s">
        <v>120</v>
      </c>
      <c r="E4719" s="109">
        <v>111</v>
      </c>
      <c r="F4719" s="110">
        <v>1109</v>
      </c>
      <c r="G4719" s="109" t="s">
        <v>120</v>
      </c>
      <c r="H4719" s="109">
        <v>10</v>
      </c>
      <c r="I4719" s="109" t="s">
        <v>122</v>
      </c>
      <c r="J4719" s="110" t="s">
        <v>122</v>
      </c>
    </row>
    <row r="4720" spans="1:10">
      <c r="A4720" s="103" t="s">
        <v>7108</v>
      </c>
      <c r="B4720" s="124" t="s">
        <v>7109</v>
      </c>
      <c r="C4720" s="110">
        <v>32762</v>
      </c>
      <c r="D4720" s="109" t="s">
        <v>120</v>
      </c>
      <c r="E4720" s="109">
        <v>327</v>
      </c>
      <c r="F4720" s="110">
        <v>12115</v>
      </c>
      <c r="G4720" s="109" t="s">
        <v>120</v>
      </c>
      <c r="H4720" s="109">
        <v>37</v>
      </c>
      <c r="I4720" s="109">
        <v>69</v>
      </c>
      <c r="J4720" s="110">
        <v>690</v>
      </c>
    </row>
    <row r="4721" spans="1:10">
      <c r="A4721" s="103" t="s">
        <v>7110</v>
      </c>
      <c r="B4721" s="124" t="s">
        <v>932</v>
      </c>
      <c r="C4721" s="110">
        <v>1447</v>
      </c>
      <c r="D4721" s="109" t="s">
        <v>120</v>
      </c>
      <c r="E4721" s="109">
        <v>14</v>
      </c>
      <c r="F4721" s="110">
        <v>4770</v>
      </c>
      <c r="G4721" s="109" t="s">
        <v>120</v>
      </c>
      <c r="H4721" s="109">
        <v>330</v>
      </c>
      <c r="I4721" s="109" t="s">
        <v>122</v>
      </c>
      <c r="J4721" s="110" t="s">
        <v>122</v>
      </c>
    </row>
    <row r="4722" spans="1:10">
      <c r="A4722" s="103" t="s">
        <v>7111</v>
      </c>
      <c r="B4722" s="124" t="s">
        <v>934</v>
      </c>
      <c r="C4722" s="110">
        <v>31315</v>
      </c>
      <c r="D4722" s="109" t="s">
        <v>120</v>
      </c>
      <c r="E4722" s="109">
        <v>313</v>
      </c>
      <c r="F4722" s="110">
        <v>7345</v>
      </c>
      <c r="G4722" s="109" t="s">
        <v>120</v>
      </c>
      <c r="H4722" s="109">
        <v>23</v>
      </c>
      <c r="I4722" s="109" t="s">
        <v>122</v>
      </c>
      <c r="J4722" s="110" t="s">
        <v>122</v>
      </c>
    </row>
    <row r="4723" spans="1:10" s="119" customFormat="1">
      <c r="A4723" s="123" t="s">
        <v>120</v>
      </c>
      <c r="B4723" s="273" t="s">
        <v>7112</v>
      </c>
      <c r="C4723" s="274"/>
      <c r="D4723" s="274"/>
      <c r="E4723" s="274"/>
      <c r="F4723" s="274"/>
      <c r="G4723" s="274"/>
      <c r="H4723" s="274"/>
      <c r="I4723" s="274"/>
      <c r="J4723" s="274"/>
    </row>
    <row r="4724" spans="1:10" s="119" customFormat="1">
      <c r="A4724" s="123" t="s">
        <v>120</v>
      </c>
      <c r="B4724" s="275" t="s">
        <v>1019</v>
      </c>
      <c r="C4724" s="276"/>
      <c r="D4724" s="276"/>
      <c r="E4724" s="276"/>
      <c r="F4724" s="276"/>
      <c r="G4724" s="276"/>
      <c r="H4724" s="276"/>
      <c r="I4724" s="276"/>
      <c r="J4724" s="276"/>
    </row>
    <row r="4725" spans="1:10">
      <c r="A4725" s="103" t="s">
        <v>7113</v>
      </c>
      <c r="B4725" s="124" t="s">
        <v>7114</v>
      </c>
      <c r="C4725" s="110">
        <v>2567</v>
      </c>
      <c r="D4725" s="109" t="s">
        <v>120</v>
      </c>
      <c r="E4725" s="109">
        <v>26</v>
      </c>
      <c r="F4725" s="110">
        <v>46259</v>
      </c>
      <c r="G4725" s="109" t="s">
        <v>120</v>
      </c>
      <c r="H4725" s="109">
        <v>1802</v>
      </c>
      <c r="I4725" s="109">
        <v>2194</v>
      </c>
      <c r="J4725" s="110">
        <v>105</v>
      </c>
    </row>
    <row r="4726" spans="1:10" s="119" customFormat="1">
      <c r="A4726" s="123" t="s">
        <v>120</v>
      </c>
      <c r="B4726" s="275" t="s">
        <v>943</v>
      </c>
      <c r="C4726" s="276"/>
      <c r="D4726" s="276"/>
      <c r="E4726" s="276"/>
      <c r="F4726" s="276"/>
      <c r="G4726" s="276"/>
      <c r="H4726" s="276"/>
      <c r="I4726" s="276"/>
      <c r="J4726" s="276"/>
    </row>
    <row r="4727" spans="1:10">
      <c r="A4727" s="103" t="s">
        <v>7115</v>
      </c>
      <c r="B4727" s="124" t="s">
        <v>7116</v>
      </c>
      <c r="C4727" s="110">
        <v>12852</v>
      </c>
      <c r="D4727" s="109" t="s">
        <v>120</v>
      </c>
      <c r="E4727" s="109">
        <v>129</v>
      </c>
      <c r="F4727" s="110">
        <v>5592</v>
      </c>
      <c r="G4727" s="109" t="s">
        <v>120</v>
      </c>
      <c r="H4727" s="109">
        <v>44</v>
      </c>
      <c r="I4727" s="109">
        <v>935</v>
      </c>
      <c r="J4727" s="110">
        <v>1596</v>
      </c>
    </row>
    <row r="4728" spans="1:10">
      <c r="A4728" s="103" t="s">
        <v>7117</v>
      </c>
      <c r="B4728" s="124" t="s">
        <v>7118</v>
      </c>
      <c r="C4728" s="110">
        <v>14403</v>
      </c>
      <c r="D4728" s="109" t="s">
        <v>120</v>
      </c>
      <c r="E4728" s="109">
        <v>144</v>
      </c>
      <c r="F4728" s="110">
        <v>10982</v>
      </c>
      <c r="G4728" s="109" t="s">
        <v>120</v>
      </c>
      <c r="H4728" s="109">
        <v>76</v>
      </c>
      <c r="I4728" s="109">
        <v>742</v>
      </c>
      <c r="J4728" s="110">
        <v>782</v>
      </c>
    </row>
    <row r="4729" spans="1:10">
      <c r="A4729" s="103" t="s">
        <v>7119</v>
      </c>
      <c r="B4729" s="124" t="s">
        <v>7120</v>
      </c>
      <c r="C4729" s="110">
        <v>14615</v>
      </c>
      <c r="D4729" s="109" t="s">
        <v>120</v>
      </c>
      <c r="E4729" s="109">
        <v>146</v>
      </c>
      <c r="F4729" s="110">
        <v>3929</v>
      </c>
      <c r="G4729" s="109" t="s">
        <v>120</v>
      </c>
      <c r="H4729" s="109">
        <v>27</v>
      </c>
      <c r="I4729" s="109">
        <v>717</v>
      </c>
      <c r="J4729" s="110">
        <v>2006</v>
      </c>
    </row>
    <row r="4730" spans="1:10">
      <c r="A4730" s="103" t="s">
        <v>7121</v>
      </c>
      <c r="B4730" s="124" t="s">
        <v>7122</v>
      </c>
      <c r="C4730" s="110">
        <v>10731</v>
      </c>
      <c r="D4730" s="109" t="s">
        <v>120</v>
      </c>
      <c r="E4730" s="109">
        <v>107</v>
      </c>
      <c r="F4730" s="110">
        <v>3853</v>
      </c>
      <c r="G4730" s="109" t="s">
        <v>120</v>
      </c>
      <c r="H4730" s="109">
        <v>36</v>
      </c>
      <c r="I4730" s="109">
        <v>1268</v>
      </c>
      <c r="J4730" s="110">
        <v>2030</v>
      </c>
    </row>
    <row r="4731" spans="1:10">
      <c r="A4731" s="103" t="s">
        <v>7123</v>
      </c>
      <c r="B4731" s="124" t="s">
        <v>7124</v>
      </c>
      <c r="C4731" s="110">
        <v>5698</v>
      </c>
      <c r="D4731" s="109" t="s">
        <v>120</v>
      </c>
      <c r="E4731" s="109">
        <v>57</v>
      </c>
      <c r="F4731" s="110">
        <v>3685</v>
      </c>
      <c r="G4731" s="109" t="s">
        <v>120</v>
      </c>
      <c r="H4731" s="109">
        <v>65</v>
      </c>
      <c r="I4731" s="109">
        <v>1973</v>
      </c>
      <c r="J4731" s="110">
        <v>2070</v>
      </c>
    </row>
    <row r="4732" spans="1:10" s="119" customFormat="1">
      <c r="A4732" s="123" t="s">
        <v>120</v>
      </c>
      <c r="B4732" s="275" t="s">
        <v>1026</v>
      </c>
      <c r="C4732" s="276"/>
      <c r="D4732" s="276"/>
      <c r="E4732" s="276"/>
      <c r="F4732" s="276"/>
      <c r="G4732" s="276"/>
      <c r="H4732" s="276"/>
      <c r="I4732" s="276"/>
      <c r="J4732" s="276"/>
    </row>
    <row r="4733" spans="1:10">
      <c r="A4733" s="103" t="s">
        <v>7125</v>
      </c>
      <c r="B4733" s="124" t="s">
        <v>7126</v>
      </c>
      <c r="C4733" s="110">
        <v>11600</v>
      </c>
      <c r="D4733" s="109" t="s">
        <v>120</v>
      </c>
      <c r="E4733" s="109">
        <v>116</v>
      </c>
      <c r="F4733" s="110">
        <v>5138</v>
      </c>
      <c r="G4733" s="109" t="s">
        <v>120</v>
      </c>
      <c r="H4733" s="109">
        <v>44</v>
      </c>
      <c r="I4733" s="109">
        <v>1115</v>
      </c>
      <c r="J4733" s="110">
        <v>1709</v>
      </c>
    </row>
    <row r="4734" spans="1:10">
      <c r="A4734" s="103" t="s">
        <v>7127</v>
      </c>
      <c r="B4734" s="124" t="s">
        <v>932</v>
      </c>
      <c r="C4734" s="110">
        <v>570</v>
      </c>
      <c r="D4734" s="109" t="s">
        <v>120</v>
      </c>
      <c r="E4734" s="109">
        <v>6</v>
      </c>
      <c r="F4734" s="110">
        <v>2418</v>
      </c>
      <c r="G4734" s="109" t="s">
        <v>120</v>
      </c>
      <c r="H4734" s="109">
        <v>424</v>
      </c>
      <c r="I4734" s="109" t="s">
        <v>122</v>
      </c>
      <c r="J4734" s="110" t="s">
        <v>122</v>
      </c>
    </row>
    <row r="4735" spans="1:10">
      <c r="A4735" s="103" t="s">
        <v>7128</v>
      </c>
      <c r="B4735" s="124" t="s">
        <v>934</v>
      </c>
      <c r="C4735" s="110">
        <v>11030</v>
      </c>
      <c r="D4735" s="109" t="s">
        <v>120</v>
      </c>
      <c r="E4735" s="109">
        <v>110</v>
      </c>
      <c r="F4735" s="110">
        <v>2720</v>
      </c>
      <c r="G4735" s="109" t="s">
        <v>120</v>
      </c>
      <c r="H4735" s="109">
        <v>25</v>
      </c>
      <c r="I4735" s="109" t="s">
        <v>122</v>
      </c>
      <c r="J4735" s="110" t="s">
        <v>122</v>
      </c>
    </row>
    <row r="4736" spans="1:10" s="119" customFormat="1">
      <c r="A4736" s="123" t="s">
        <v>120</v>
      </c>
      <c r="B4736" s="273" t="s">
        <v>7129</v>
      </c>
      <c r="C4736" s="274"/>
      <c r="D4736" s="274"/>
      <c r="E4736" s="274"/>
      <c r="F4736" s="274"/>
      <c r="G4736" s="274"/>
      <c r="H4736" s="274"/>
      <c r="I4736" s="274"/>
      <c r="J4736" s="274"/>
    </row>
    <row r="4737" spans="1:10" s="119" customFormat="1">
      <c r="A4737" s="123" t="s">
        <v>120</v>
      </c>
      <c r="B4737" s="275" t="s">
        <v>924</v>
      </c>
      <c r="C4737" s="276"/>
      <c r="D4737" s="276"/>
      <c r="E4737" s="276"/>
      <c r="F4737" s="276"/>
      <c r="G4737" s="276"/>
      <c r="H4737" s="276"/>
      <c r="I4737" s="276"/>
      <c r="J4737" s="276"/>
    </row>
    <row r="4738" spans="1:10">
      <c r="A4738" s="103" t="s">
        <v>7130</v>
      </c>
      <c r="B4738" s="124" t="s">
        <v>7131</v>
      </c>
      <c r="C4738" s="110">
        <v>16619</v>
      </c>
      <c r="D4738" s="109" t="s">
        <v>120</v>
      </c>
      <c r="E4738" s="109">
        <v>166</v>
      </c>
      <c r="F4738" s="110">
        <v>8659</v>
      </c>
      <c r="G4738" s="109" t="s">
        <v>120</v>
      </c>
      <c r="H4738" s="109">
        <v>52</v>
      </c>
      <c r="I4738" s="109">
        <v>549</v>
      </c>
      <c r="J4738" s="110">
        <v>1029</v>
      </c>
    </row>
    <row r="4739" spans="1:10">
      <c r="A4739" s="103" t="s">
        <v>7132</v>
      </c>
      <c r="B4739" s="124" t="s">
        <v>7133</v>
      </c>
      <c r="C4739" s="110">
        <v>11660</v>
      </c>
      <c r="D4739" s="109" t="s">
        <v>120</v>
      </c>
      <c r="E4739" s="109">
        <v>116</v>
      </c>
      <c r="F4739" s="110">
        <v>7154</v>
      </c>
      <c r="G4739" s="109" t="s">
        <v>120</v>
      </c>
      <c r="H4739" s="109">
        <v>61</v>
      </c>
      <c r="I4739" s="109">
        <v>1103</v>
      </c>
      <c r="J4739" s="110">
        <v>1267</v>
      </c>
    </row>
    <row r="4740" spans="1:10">
      <c r="A4740" s="103" t="s">
        <v>7134</v>
      </c>
      <c r="B4740" s="124" t="s">
        <v>7135</v>
      </c>
      <c r="C4740" s="110">
        <v>18831</v>
      </c>
      <c r="D4740" s="109" t="s">
        <v>120</v>
      </c>
      <c r="E4740" s="109">
        <v>188</v>
      </c>
      <c r="F4740" s="110">
        <v>6948</v>
      </c>
      <c r="G4740" s="109" t="s">
        <v>120</v>
      </c>
      <c r="H4740" s="109">
        <v>37</v>
      </c>
      <c r="I4740" s="109">
        <v>402</v>
      </c>
      <c r="J4740" s="110">
        <v>1306</v>
      </c>
    </row>
    <row r="4741" spans="1:10">
      <c r="A4741" s="103" t="s">
        <v>7136</v>
      </c>
      <c r="B4741" s="124" t="s">
        <v>7137</v>
      </c>
      <c r="C4741" s="110">
        <v>13256</v>
      </c>
      <c r="D4741" s="109" t="s">
        <v>120</v>
      </c>
      <c r="E4741" s="109">
        <v>133</v>
      </c>
      <c r="F4741" s="110">
        <v>7470</v>
      </c>
      <c r="G4741" s="109" t="s">
        <v>120</v>
      </c>
      <c r="H4741" s="109">
        <v>56</v>
      </c>
      <c r="I4741" s="109">
        <v>876</v>
      </c>
      <c r="J4741" s="110">
        <v>1207</v>
      </c>
    </row>
    <row r="4742" spans="1:10" s="119" customFormat="1">
      <c r="A4742" s="123" t="s">
        <v>120</v>
      </c>
      <c r="B4742" s="275" t="s">
        <v>1101</v>
      </c>
      <c r="C4742" s="276"/>
      <c r="D4742" s="276"/>
      <c r="E4742" s="276"/>
      <c r="F4742" s="276"/>
      <c r="G4742" s="276"/>
      <c r="H4742" s="276"/>
      <c r="I4742" s="276"/>
      <c r="J4742" s="276"/>
    </row>
    <row r="4743" spans="1:10">
      <c r="A4743" s="103" t="s">
        <v>7138</v>
      </c>
      <c r="B4743" s="124" t="s">
        <v>7139</v>
      </c>
      <c r="C4743" s="110">
        <v>36756</v>
      </c>
      <c r="D4743" s="109" t="s">
        <v>120</v>
      </c>
      <c r="E4743" s="109">
        <v>368</v>
      </c>
      <c r="F4743" s="110">
        <v>8898</v>
      </c>
      <c r="G4743" s="109" t="s">
        <v>120</v>
      </c>
      <c r="H4743" s="109">
        <v>24</v>
      </c>
      <c r="I4743" s="109">
        <v>40</v>
      </c>
      <c r="J4743" s="110">
        <v>997</v>
      </c>
    </row>
    <row r="4744" spans="1:10">
      <c r="A4744" s="103" t="s">
        <v>7140</v>
      </c>
      <c r="B4744" s="124" t="s">
        <v>932</v>
      </c>
      <c r="C4744" s="110">
        <v>477</v>
      </c>
      <c r="D4744" s="109" t="s">
        <v>120</v>
      </c>
      <c r="E4744" s="109">
        <v>5</v>
      </c>
      <c r="F4744" s="110">
        <v>3961</v>
      </c>
      <c r="G4744" s="109" t="s">
        <v>120</v>
      </c>
      <c r="H4744" s="109">
        <v>830</v>
      </c>
      <c r="I4744" s="109" t="s">
        <v>122</v>
      </c>
      <c r="J4744" s="110" t="s">
        <v>122</v>
      </c>
    </row>
    <row r="4745" spans="1:10">
      <c r="A4745" s="103" t="s">
        <v>7141</v>
      </c>
      <c r="B4745" s="124" t="s">
        <v>934</v>
      </c>
      <c r="C4745" s="110">
        <v>36279</v>
      </c>
      <c r="D4745" s="109" t="s">
        <v>120</v>
      </c>
      <c r="E4745" s="109">
        <v>363</v>
      </c>
      <c r="F4745" s="110">
        <v>4937</v>
      </c>
      <c r="G4745" s="109" t="s">
        <v>120</v>
      </c>
      <c r="H4745" s="109">
        <v>14</v>
      </c>
      <c r="I4745" s="109" t="s">
        <v>122</v>
      </c>
      <c r="J4745" s="110" t="s">
        <v>122</v>
      </c>
    </row>
    <row r="4746" spans="1:10">
      <c r="A4746" s="103" t="s">
        <v>7142</v>
      </c>
      <c r="B4746" s="124" t="s">
        <v>7143</v>
      </c>
      <c r="C4746" s="110">
        <v>6213</v>
      </c>
      <c r="D4746" s="109" t="s">
        <v>120</v>
      </c>
      <c r="E4746" s="109">
        <v>62</v>
      </c>
      <c r="F4746" s="110">
        <v>4888</v>
      </c>
      <c r="G4746" s="109" t="s">
        <v>120</v>
      </c>
      <c r="H4746" s="109">
        <v>79</v>
      </c>
      <c r="I4746" s="109">
        <v>1934</v>
      </c>
      <c r="J4746" s="110">
        <v>1771</v>
      </c>
    </row>
    <row r="4747" spans="1:10">
      <c r="A4747" s="103" t="s">
        <v>7144</v>
      </c>
      <c r="B4747" s="124" t="s">
        <v>932</v>
      </c>
      <c r="C4747" s="110">
        <v>3345</v>
      </c>
      <c r="D4747" s="109" t="s">
        <v>120</v>
      </c>
      <c r="E4747" s="109">
        <v>33</v>
      </c>
      <c r="F4747" s="110">
        <v>2914</v>
      </c>
      <c r="G4747" s="109" t="s">
        <v>120</v>
      </c>
      <c r="H4747" s="109">
        <v>87</v>
      </c>
      <c r="I4747" s="109" t="s">
        <v>122</v>
      </c>
      <c r="J4747" s="110" t="s">
        <v>122</v>
      </c>
    </row>
    <row r="4748" spans="1:10">
      <c r="A4748" s="103" t="s">
        <v>7145</v>
      </c>
      <c r="B4748" s="124" t="s">
        <v>934</v>
      </c>
      <c r="C4748" s="110">
        <v>2868</v>
      </c>
      <c r="D4748" s="109" t="s">
        <v>120</v>
      </c>
      <c r="E4748" s="109">
        <v>29</v>
      </c>
      <c r="F4748" s="110">
        <v>1974</v>
      </c>
      <c r="G4748" s="109" t="s">
        <v>120</v>
      </c>
      <c r="H4748" s="109">
        <v>69</v>
      </c>
      <c r="I4748" s="109" t="s">
        <v>122</v>
      </c>
      <c r="J4748" s="110" t="s">
        <v>122</v>
      </c>
    </row>
    <row r="4749" spans="1:10">
      <c r="A4749" s="103" t="s">
        <v>7146</v>
      </c>
      <c r="B4749" s="124" t="s">
        <v>7147</v>
      </c>
      <c r="C4749" s="110">
        <v>39335</v>
      </c>
      <c r="D4749" s="109" t="s">
        <v>120</v>
      </c>
      <c r="E4749" s="109">
        <v>393</v>
      </c>
      <c r="F4749" s="110">
        <v>8610</v>
      </c>
      <c r="G4749" s="109" t="s">
        <v>120</v>
      </c>
      <c r="H4749" s="109">
        <v>22</v>
      </c>
      <c r="I4749" s="109">
        <v>27</v>
      </c>
      <c r="J4749" s="110">
        <v>1034</v>
      </c>
    </row>
    <row r="4750" spans="1:10">
      <c r="A4750" s="103" t="s">
        <v>7148</v>
      </c>
      <c r="B4750" s="124" t="s">
        <v>932</v>
      </c>
      <c r="C4750" s="110">
        <v>737</v>
      </c>
      <c r="D4750" s="109" t="s">
        <v>120</v>
      </c>
      <c r="E4750" s="109">
        <v>7</v>
      </c>
      <c r="F4750" s="110">
        <v>2889</v>
      </c>
      <c r="G4750" s="109" t="s">
        <v>120</v>
      </c>
      <c r="H4750" s="109">
        <v>392</v>
      </c>
      <c r="I4750" s="109" t="s">
        <v>122</v>
      </c>
      <c r="J4750" s="110" t="s">
        <v>122</v>
      </c>
    </row>
    <row r="4751" spans="1:10">
      <c r="A4751" s="103" t="s">
        <v>7149</v>
      </c>
      <c r="B4751" s="124" t="s">
        <v>934</v>
      </c>
      <c r="C4751" s="110">
        <v>38598</v>
      </c>
      <c r="D4751" s="109" t="s">
        <v>120</v>
      </c>
      <c r="E4751" s="109">
        <v>386</v>
      </c>
      <c r="F4751" s="110">
        <v>5721</v>
      </c>
      <c r="G4751" s="109" t="s">
        <v>120</v>
      </c>
      <c r="H4751" s="109">
        <v>15</v>
      </c>
      <c r="I4751" s="109" t="s">
        <v>122</v>
      </c>
      <c r="J4751" s="110" t="s">
        <v>122</v>
      </c>
    </row>
    <row r="4752" spans="1:10">
      <c r="A4752" s="103" t="s">
        <v>7150</v>
      </c>
      <c r="B4752" s="124" t="s">
        <v>7151</v>
      </c>
      <c r="C4752" s="110">
        <v>22676</v>
      </c>
      <c r="D4752" s="109" t="s">
        <v>120</v>
      </c>
      <c r="E4752" s="109">
        <v>227</v>
      </c>
      <c r="F4752" s="110">
        <v>13853</v>
      </c>
      <c r="G4752" s="109" t="s">
        <v>120</v>
      </c>
      <c r="H4752" s="109">
        <v>61</v>
      </c>
      <c r="I4752" s="109">
        <v>242</v>
      </c>
      <c r="J4752" s="110">
        <v>574</v>
      </c>
    </row>
    <row r="4753" spans="1:10">
      <c r="A4753" s="103" t="s">
        <v>7152</v>
      </c>
      <c r="B4753" s="124" t="s">
        <v>932</v>
      </c>
      <c r="C4753" s="110">
        <v>1588</v>
      </c>
      <c r="D4753" s="109" t="s">
        <v>120</v>
      </c>
      <c r="E4753" s="109">
        <v>16</v>
      </c>
      <c r="F4753" s="110">
        <v>6621</v>
      </c>
      <c r="G4753" s="109" t="s">
        <v>120</v>
      </c>
      <c r="H4753" s="109">
        <v>417</v>
      </c>
      <c r="I4753" s="109" t="s">
        <v>122</v>
      </c>
      <c r="J4753" s="110" t="s">
        <v>122</v>
      </c>
    </row>
    <row r="4754" spans="1:10">
      <c r="A4754" s="103" t="s">
        <v>7153</v>
      </c>
      <c r="B4754" s="124" t="s">
        <v>934</v>
      </c>
      <c r="C4754" s="110">
        <v>21088</v>
      </c>
      <c r="D4754" s="109" t="s">
        <v>120</v>
      </c>
      <c r="E4754" s="109">
        <v>211</v>
      </c>
      <c r="F4754" s="110">
        <v>7232</v>
      </c>
      <c r="G4754" s="109" t="s">
        <v>120</v>
      </c>
      <c r="H4754" s="109">
        <v>34</v>
      </c>
      <c r="I4754" s="109" t="s">
        <v>122</v>
      </c>
      <c r="J4754" s="110" t="s">
        <v>122</v>
      </c>
    </row>
    <row r="4755" spans="1:10" s="119" customFormat="1">
      <c r="A4755" s="123" t="s">
        <v>120</v>
      </c>
      <c r="B4755" s="273" t="s">
        <v>7154</v>
      </c>
      <c r="C4755" s="274"/>
      <c r="D4755" s="274"/>
      <c r="E4755" s="274"/>
      <c r="F4755" s="274"/>
      <c r="G4755" s="274"/>
      <c r="H4755" s="274"/>
      <c r="I4755" s="274"/>
      <c r="J4755" s="274"/>
    </row>
    <row r="4756" spans="1:10" s="119" customFormat="1">
      <c r="A4756" s="123" t="s">
        <v>120</v>
      </c>
      <c r="B4756" s="275" t="s">
        <v>1568</v>
      </c>
      <c r="C4756" s="276"/>
      <c r="D4756" s="276"/>
      <c r="E4756" s="276"/>
      <c r="F4756" s="276"/>
      <c r="G4756" s="276"/>
      <c r="H4756" s="276"/>
      <c r="I4756" s="276"/>
      <c r="J4756" s="276"/>
    </row>
    <row r="4757" spans="1:10">
      <c r="A4757" s="103" t="s">
        <v>7155</v>
      </c>
      <c r="B4757" s="124" t="s">
        <v>7156</v>
      </c>
      <c r="C4757" s="110">
        <v>18046</v>
      </c>
      <c r="D4757" s="109" t="s">
        <v>120</v>
      </c>
      <c r="E4757" s="109">
        <v>181</v>
      </c>
      <c r="F4757" s="110">
        <v>3592</v>
      </c>
      <c r="G4757" s="109" t="s">
        <v>120</v>
      </c>
      <c r="H4757" s="109">
        <v>20</v>
      </c>
      <c r="I4757" s="109">
        <v>444</v>
      </c>
      <c r="J4757" s="110">
        <v>2093</v>
      </c>
    </row>
    <row r="4758" spans="1:10" s="119" customFormat="1">
      <c r="A4758" s="123" t="s">
        <v>120</v>
      </c>
      <c r="B4758" s="275" t="s">
        <v>947</v>
      </c>
      <c r="C4758" s="276"/>
      <c r="D4758" s="276"/>
      <c r="E4758" s="276"/>
      <c r="F4758" s="276"/>
      <c r="G4758" s="276"/>
      <c r="H4758" s="276"/>
      <c r="I4758" s="276"/>
      <c r="J4758" s="276"/>
    </row>
    <row r="4759" spans="1:10">
      <c r="A4759" s="103" t="s">
        <v>7157</v>
      </c>
      <c r="B4759" s="124" t="s">
        <v>3056</v>
      </c>
      <c r="C4759" s="110">
        <v>11590</v>
      </c>
      <c r="D4759" s="109" t="s">
        <v>120</v>
      </c>
      <c r="E4759" s="109">
        <v>116</v>
      </c>
      <c r="F4759" s="110">
        <v>4363</v>
      </c>
      <c r="G4759" s="109" t="s">
        <v>120</v>
      </c>
      <c r="H4759" s="109">
        <v>38</v>
      </c>
      <c r="I4759" s="109">
        <v>1119</v>
      </c>
      <c r="J4759" s="110">
        <v>1902</v>
      </c>
    </row>
    <row r="4760" spans="1:10">
      <c r="A4760" s="103" t="s">
        <v>7158</v>
      </c>
      <c r="B4760" s="124" t="s">
        <v>932</v>
      </c>
      <c r="C4760" s="110">
        <v>237</v>
      </c>
      <c r="D4760" s="109" t="s">
        <v>120</v>
      </c>
      <c r="E4760" s="109">
        <v>2</v>
      </c>
      <c r="F4760" s="110">
        <v>2290</v>
      </c>
      <c r="G4760" s="109" t="s">
        <v>120</v>
      </c>
      <c r="H4760" s="109">
        <v>966</v>
      </c>
      <c r="I4760" s="109" t="s">
        <v>122</v>
      </c>
      <c r="J4760" s="110" t="s">
        <v>122</v>
      </c>
    </row>
    <row r="4761" spans="1:10">
      <c r="A4761" s="103" t="s">
        <v>7159</v>
      </c>
      <c r="B4761" s="124" t="s">
        <v>934</v>
      </c>
      <c r="C4761" s="110">
        <v>11353</v>
      </c>
      <c r="D4761" s="109" t="s">
        <v>120</v>
      </c>
      <c r="E4761" s="109">
        <v>114</v>
      </c>
      <c r="F4761" s="110">
        <v>2073</v>
      </c>
      <c r="G4761" s="109" t="s">
        <v>120</v>
      </c>
      <c r="H4761" s="109">
        <v>18</v>
      </c>
      <c r="I4761" s="109" t="s">
        <v>122</v>
      </c>
      <c r="J4761" s="110" t="s">
        <v>122</v>
      </c>
    </row>
    <row r="4762" spans="1:10">
      <c r="A4762" s="103" t="s">
        <v>7160</v>
      </c>
      <c r="B4762" s="124" t="s">
        <v>7161</v>
      </c>
      <c r="C4762" s="110">
        <v>22739</v>
      </c>
      <c r="D4762" s="109" t="s">
        <v>120</v>
      </c>
      <c r="E4762" s="109">
        <v>227</v>
      </c>
      <c r="F4762" s="110">
        <v>13863</v>
      </c>
      <c r="G4762" s="109" t="s">
        <v>120</v>
      </c>
      <c r="H4762" s="109">
        <v>61</v>
      </c>
      <c r="I4762" s="109">
        <v>238</v>
      </c>
      <c r="J4762" s="110">
        <v>572</v>
      </c>
    </row>
    <row r="4763" spans="1:10">
      <c r="A4763" s="103" t="s">
        <v>7162</v>
      </c>
      <c r="B4763" s="124" t="s">
        <v>932</v>
      </c>
      <c r="C4763" s="110">
        <v>1284</v>
      </c>
      <c r="D4763" s="109" t="s">
        <v>120</v>
      </c>
      <c r="E4763" s="109">
        <v>13</v>
      </c>
      <c r="F4763" s="110">
        <v>10066</v>
      </c>
      <c r="G4763" s="109" t="s">
        <v>120</v>
      </c>
      <c r="H4763" s="109">
        <v>784</v>
      </c>
      <c r="I4763" s="109" t="s">
        <v>122</v>
      </c>
      <c r="J4763" s="110" t="s">
        <v>122</v>
      </c>
    </row>
    <row r="4764" spans="1:10">
      <c r="A4764" s="103" t="s">
        <v>7163</v>
      </c>
      <c r="B4764" s="124" t="s">
        <v>934</v>
      </c>
      <c r="C4764" s="110">
        <v>21455</v>
      </c>
      <c r="D4764" s="109" t="s">
        <v>120</v>
      </c>
      <c r="E4764" s="109">
        <v>214</v>
      </c>
      <c r="F4764" s="110">
        <v>3797</v>
      </c>
      <c r="G4764" s="109" t="s">
        <v>120</v>
      </c>
      <c r="H4764" s="109">
        <v>18</v>
      </c>
      <c r="I4764" s="109" t="s">
        <v>122</v>
      </c>
      <c r="J4764" s="110" t="s">
        <v>122</v>
      </c>
    </row>
    <row r="4765" spans="1:10">
      <c r="A4765" s="103" t="s">
        <v>7164</v>
      </c>
      <c r="B4765" s="124" t="s">
        <v>7165</v>
      </c>
      <c r="C4765" s="110">
        <v>28520</v>
      </c>
      <c r="D4765" s="109" t="s">
        <v>120</v>
      </c>
      <c r="E4765" s="109">
        <v>285</v>
      </c>
      <c r="F4765" s="110">
        <v>7988</v>
      </c>
      <c r="G4765" s="109" t="s">
        <v>120</v>
      </c>
      <c r="H4765" s="109">
        <v>28</v>
      </c>
      <c r="I4765" s="109">
        <v>121</v>
      </c>
      <c r="J4765" s="110">
        <v>1125</v>
      </c>
    </row>
    <row r="4766" spans="1:10">
      <c r="A4766" s="103" t="s">
        <v>7166</v>
      </c>
      <c r="B4766" s="124" t="s">
        <v>932</v>
      </c>
      <c r="C4766" s="110">
        <v>449</v>
      </c>
      <c r="D4766" s="109" t="s">
        <v>120</v>
      </c>
      <c r="E4766" s="109">
        <v>4</v>
      </c>
      <c r="F4766" s="110">
        <v>4205</v>
      </c>
      <c r="G4766" s="109" t="s">
        <v>120</v>
      </c>
      <c r="H4766" s="109">
        <v>937</v>
      </c>
      <c r="I4766" s="109" t="s">
        <v>122</v>
      </c>
      <c r="J4766" s="110" t="s">
        <v>122</v>
      </c>
    </row>
    <row r="4767" spans="1:10">
      <c r="A4767" s="103" t="s">
        <v>7167</v>
      </c>
      <c r="B4767" s="124" t="s">
        <v>934</v>
      </c>
      <c r="C4767" s="110">
        <v>28071</v>
      </c>
      <c r="D4767" s="109" t="s">
        <v>120</v>
      </c>
      <c r="E4767" s="109">
        <v>281</v>
      </c>
      <c r="F4767" s="110">
        <v>3783</v>
      </c>
      <c r="G4767" s="109" t="s">
        <v>120</v>
      </c>
      <c r="H4767" s="109">
        <v>13</v>
      </c>
      <c r="I4767" s="109" t="s">
        <v>122</v>
      </c>
      <c r="J4767" s="110" t="s">
        <v>122</v>
      </c>
    </row>
    <row r="4768" spans="1:10">
      <c r="A4768" s="103" t="s">
        <v>7168</v>
      </c>
      <c r="B4768" s="124" t="s">
        <v>7169</v>
      </c>
      <c r="C4768" s="110">
        <v>25618</v>
      </c>
      <c r="D4768" s="109" t="s">
        <v>120</v>
      </c>
      <c r="E4768" s="109">
        <v>256</v>
      </c>
      <c r="F4768" s="110">
        <v>6890</v>
      </c>
      <c r="G4768" s="109" t="s">
        <v>120</v>
      </c>
      <c r="H4768" s="109">
        <v>27</v>
      </c>
      <c r="I4768" s="109">
        <v>165</v>
      </c>
      <c r="J4768" s="110">
        <v>1318</v>
      </c>
    </row>
    <row r="4769" spans="1:10">
      <c r="A4769" s="103" t="s">
        <v>7170</v>
      </c>
      <c r="B4769" s="124" t="s">
        <v>932</v>
      </c>
      <c r="C4769" s="110">
        <v>685</v>
      </c>
      <c r="D4769" s="109" t="s">
        <v>120</v>
      </c>
      <c r="E4769" s="109">
        <v>7</v>
      </c>
      <c r="F4769" s="110">
        <v>2779</v>
      </c>
      <c r="G4769" s="109" t="s">
        <v>120</v>
      </c>
      <c r="H4769" s="109">
        <v>406</v>
      </c>
      <c r="I4769" s="109" t="s">
        <v>122</v>
      </c>
      <c r="J4769" s="110" t="s">
        <v>122</v>
      </c>
    </row>
    <row r="4770" spans="1:10">
      <c r="A4770" s="103" t="s">
        <v>7171</v>
      </c>
      <c r="B4770" s="124" t="s">
        <v>934</v>
      </c>
      <c r="C4770" s="110">
        <v>24933</v>
      </c>
      <c r="D4770" s="109" t="s">
        <v>120</v>
      </c>
      <c r="E4770" s="109">
        <v>249</v>
      </c>
      <c r="F4770" s="110">
        <v>4111</v>
      </c>
      <c r="G4770" s="109" t="s">
        <v>120</v>
      </c>
      <c r="H4770" s="109">
        <v>16</v>
      </c>
      <c r="I4770" s="109" t="s">
        <v>122</v>
      </c>
      <c r="J4770" s="110" t="s">
        <v>122</v>
      </c>
    </row>
    <row r="4771" spans="1:10" s="119" customFormat="1">
      <c r="A4771" s="123" t="s">
        <v>120</v>
      </c>
      <c r="B4771" s="273" t="s">
        <v>7172</v>
      </c>
      <c r="C4771" s="274"/>
      <c r="D4771" s="274"/>
      <c r="E4771" s="274"/>
      <c r="F4771" s="274"/>
      <c r="G4771" s="274"/>
      <c r="H4771" s="274"/>
      <c r="I4771" s="274"/>
      <c r="J4771" s="274"/>
    </row>
    <row r="4772" spans="1:10" s="119" customFormat="1">
      <c r="A4772" s="123" t="s">
        <v>120</v>
      </c>
      <c r="B4772" s="275" t="s">
        <v>924</v>
      </c>
      <c r="C4772" s="276"/>
      <c r="D4772" s="276"/>
      <c r="E4772" s="276"/>
      <c r="F4772" s="276"/>
      <c r="G4772" s="276"/>
      <c r="H4772" s="276"/>
      <c r="I4772" s="276"/>
      <c r="J4772" s="276"/>
    </row>
    <row r="4773" spans="1:10">
      <c r="A4773" s="103" t="s">
        <v>7173</v>
      </c>
      <c r="B4773" s="124" t="s">
        <v>7174</v>
      </c>
      <c r="C4773" s="110">
        <v>13049</v>
      </c>
      <c r="D4773" s="109" t="s">
        <v>120</v>
      </c>
      <c r="E4773" s="109">
        <v>130</v>
      </c>
      <c r="F4773" s="110">
        <v>2849</v>
      </c>
      <c r="G4773" s="109" t="s">
        <v>120</v>
      </c>
      <c r="H4773" s="109">
        <v>22</v>
      </c>
      <c r="I4773" s="109">
        <v>903</v>
      </c>
      <c r="J4773" s="110">
        <v>2217</v>
      </c>
    </row>
    <row r="4774" spans="1:10">
      <c r="A4774" s="103" t="s">
        <v>7175</v>
      </c>
      <c r="B4774" s="124" t="s">
        <v>7176</v>
      </c>
      <c r="C4774" s="110">
        <v>14590</v>
      </c>
      <c r="D4774" s="109" t="s">
        <v>120</v>
      </c>
      <c r="E4774" s="109">
        <v>146</v>
      </c>
      <c r="F4774" s="110">
        <v>3357</v>
      </c>
      <c r="G4774" s="109" t="s">
        <v>120</v>
      </c>
      <c r="H4774" s="109">
        <v>23</v>
      </c>
      <c r="I4774" s="109">
        <v>722</v>
      </c>
      <c r="J4774" s="110">
        <v>2135</v>
      </c>
    </row>
    <row r="4775" spans="1:10" s="119" customFormat="1">
      <c r="A4775" s="123" t="s">
        <v>120</v>
      </c>
      <c r="B4775" s="275" t="s">
        <v>947</v>
      </c>
      <c r="C4775" s="276"/>
      <c r="D4775" s="276"/>
      <c r="E4775" s="276"/>
      <c r="F4775" s="276"/>
      <c r="G4775" s="276"/>
      <c r="H4775" s="276"/>
      <c r="I4775" s="276"/>
      <c r="J4775" s="276"/>
    </row>
    <row r="4776" spans="1:10">
      <c r="A4776" s="103" t="s">
        <v>7177</v>
      </c>
      <c r="B4776" s="124" t="s">
        <v>7178</v>
      </c>
      <c r="C4776" s="110">
        <v>25872</v>
      </c>
      <c r="D4776" s="109" t="s">
        <v>120</v>
      </c>
      <c r="E4776" s="109">
        <v>259</v>
      </c>
      <c r="F4776" s="110">
        <v>19244</v>
      </c>
      <c r="G4776" s="109" t="s">
        <v>120</v>
      </c>
      <c r="H4776" s="109">
        <v>74</v>
      </c>
      <c r="I4776" s="109">
        <v>160</v>
      </c>
      <c r="J4776" s="110">
        <v>363</v>
      </c>
    </row>
    <row r="4777" spans="1:10">
      <c r="A4777" s="103" t="s">
        <v>7179</v>
      </c>
      <c r="B4777" s="124" t="s">
        <v>932</v>
      </c>
      <c r="C4777" s="110">
        <v>1755</v>
      </c>
      <c r="D4777" s="109" t="s">
        <v>120</v>
      </c>
      <c r="E4777" s="109">
        <v>18</v>
      </c>
      <c r="F4777" s="110">
        <v>13663</v>
      </c>
      <c r="G4777" s="109" t="s">
        <v>120</v>
      </c>
      <c r="H4777" s="109">
        <v>779</v>
      </c>
      <c r="I4777" s="109" t="s">
        <v>122</v>
      </c>
      <c r="J4777" s="110" t="s">
        <v>122</v>
      </c>
    </row>
    <row r="4778" spans="1:10">
      <c r="A4778" s="103" t="s">
        <v>7180</v>
      </c>
      <c r="B4778" s="124" t="s">
        <v>934</v>
      </c>
      <c r="C4778" s="110">
        <v>24117</v>
      </c>
      <c r="D4778" s="109" t="s">
        <v>120</v>
      </c>
      <c r="E4778" s="109">
        <v>241</v>
      </c>
      <c r="F4778" s="110">
        <v>5581</v>
      </c>
      <c r="G4778" s="109" t="s">
        <v>120</v>
      </c>
      <c r="H4778" s="109">
        <v>23</v>
      </c>
      <c r="I4778" s="109" t="s">
        <v>122</v>
      </c>
      <c r="J4778" s="110" t="s">
        <v>122</v>
      </c>
    </row>
    <row r="4779" spans="1:10">
      <c r="A4779" s="103" t="s">
        <v>7181</v>
      </c>
      <c r="B4779" s="124" t="s">
        <v>2930</v>
      </c>
      <c r="C4779" s="110">
        <v>31843</v>
      </c>
      <c r="D4779" s="109" t="s">
        <v>120</v>
      </c>
      <c r="E4779" s="109">
        <v>318</v>
      </c>
      <c r="F4779" s="110">
        <v>20486</v>
      </c>
      <c r="G4779" s="109" t="s">
        <v>120</v>
      </c>
      <c r="H4779" s="109">
        <v>64</v>
      </c>
      <c r="I4779" s="109">
        <v>81</v>
      </c>
      <c r="J4779" s="110">
        <v>331</v>
      </c>
    </row>
    <row r="4780" spans="1:10">
      <c r="A4780" s="103" t="s">
        <v>7182</v>
      </c>
      <c r="B4780" s="124" t="s">
        <v>932</v>
      </c>
      <c r="C4780" s="110">
        <v>1951</v>
      </c>
      <c r="D4780" s="109" t="s">
        <v>120</v>
      </c>
      <c r="E4780" s="109">
        <v>20</v>
      </c>
      <c r="F4780" s="110">
        <v>13696</v>
      </c>
      <c r="G4780" s="109" t="s">
        <v>120</v>
      </c>
      <c r="H4780" s="109">
        <v>702</v>
      </c>
      <c r="I4780" s="109" t="s">
        <v>122</v>
      </c>
      <c r="J4780" s="110" t="s">
        <v>122</v>
      </c>
    </row>
    <row r="4781" spans="1:10">
      <c r="A4781" s="103" t="s">
        <v>7183</v>
      </c>
      <c r="B4781" s="124" t="s">
        <v>934</v>
      </c>
      <c r="C4781" s="110">
        <v>29892</v>
      </c>
      <c r="D4781" s="109" t="s">
        <v>120</v>
      </c>
      <c r="E4781" s="109">
        <v>298</v>
      </c>
      <c r="F4781" s="110">
        <v>6790</v>
      </c>
      <c r="G4781" s="109" t="s">
        <v>120</v>
      </c>
      <c r="H4781" s="109">
        <v>23</v>
      </c>
      <c r="I4781" s="109" t="s">
        <v>122</v>
      </c>
      <c r="J4781" s="110" t="s">
        <v>122</v>
      </c>
    </row>
    <row r="4782" spans="1:10">
      <c r="A4782" s="103" t="s">
        <v>7184</v>
      </c>
      <c r="B4782" s="124" t="s">
        <v>7185</v>
      </c>
      <c r="C4782" s="110">
        <v>32886</v>
      </c>
      <c r="D4782" s="109" t="s">
        <v>120</v>
      </c>
      <c r="E4782" s="109">
        <v>329</v>
      </c>
      <c r="F4782" s="110">
        <v>19702</v>
      </c>
      <c r="G4782" s="109" t="s">
        <v>120</v>
      </c>
      <c r="H4782" s="109">
        <v>60</v>
      </c>
      <c r="I4782" s="109">
        <v>67</v>
      </c>
      <c r="J4782" s="110">
        <v>351</v>
      </c>
    </row>
    <row r="4783" spans="1:10">
      <c r="A4783" s="103" t="s">
        <v>7186</v>
      </c>
      <c r="B4783" s="124" t="s">
        <v>932</v>
      </c>
      <c r="C4783" s="110">
        <v>1504</v>
      </c>
      <c r="D4783" s="109" t="s">
        <v>120</v>
      </c>
      <c r="E4783" s="109">
        <v>15</v>
      </c>
      <c r="F4783" s="110">
        <v>11109</v>
      </c>
      <c r="G4783" s="109" t="s">
        <v>120</v>
      </c>
      <c r="H4783" s="109">
        <v>739</v>
      </c>
      <c r="I4783" s="109" t="s">
        <v>122</v>
      </c>
      <c r="J4783" s="110" t="s">
        <v>122</v>
      </c>
    </row>
    <row r="4784" spans="1:10">
      <c r="A4784" s="103" t="s">
        <v>7187</v>
      </c>
      <c r="B4784" s="124" t="s">
        <v>934</v>
      </c>
      <c r="C4784" s="110">
        <v>31382</v>
      </c>
      <c r="D4784" s="109" t="s">
        <v>120</v>
      </c>
      <c r="E4784" s="109">
        <v>314</v>
      </c>
      <c r="F4784" s="110">
        <v>8593</v>
      </c>
      <c r="G4784" s="109" t="s">
        <v>120</v>
      </c>
      <c r="H4784" s="109">
        <v>27</v>
      </c>
      <c r="I4784" s="109" t="s">
        <v>122</v>
      </c>
      <c r="J4784" s="110" t="s">
        <v>122</v>
      </c>
    </row>
    <row r="4785" spans="1:10" s="119" customFormat="1">
      <c r="A4785" s="123" t="s">
        <v>120</v>
      </c>
      <c r="B4785" s="273" t="s">
        <v>7188</v>
      </c>
      <c r="C4785" s="274"/>
      <c r="D4785" s="274"/>
      <c r="E4785" s="274"/>
      <c r="F4785" s="274"/>
      <c r="G4785" s="274"/>
      <c r="H4785" s="274"/>
      <c r="I4785" s="274"/>
      <c r="J4785" s="274"/>
    </row>
    <row r="4786" spans="1:10" s="119" customFormat="1">
      <c r="A4786" s="123" t="s">
        <v>120</v>
      </c>
      <c r="B4786" s="275" t="s">
        <v>924</v>
      </c>
      <c r="C4786" s="276"/>
      <c r="D4786" s="276"/>
      <c r="E4786" s="276"/>
      <c r="F4786" s="276"/>
      <c r="G4786" s="276"/>
      <c r="H4786" s="276"/>
      <c r="I4786" s="276"/>
      <c r="J4786" s="276"/>
    </row>
    <row r="4787" spans="1:10">
      <c r="A4787" s="103" t="s">
        <v>7189</v>
      </c>
      <c r="B4787" s="124" t="s">
        <v>7190</v>
      </c>
      <c r="C4787" s="110">
        <v>11028</v>
      </c>
      <c r="D4787" s="109" t="s">
        <v>120</v>
      </c>
      <c r="E4787" s="109">
        <v>110</v>
      </c>
      <c r="F4787" s="110">
        <v>24292</v>
      </c>
      <c r="G4787" s="109" t="s">
        <v>120</v>
      </c>
      <c r="H4787" s="109">
        <v>220</v>
      </c>
      <c r="I4787" s="109">
        <v>1220</v>
      </c>
      <c r="J4787" s="110">
        <v>260</v>
      </c>
    </row>
    <row r="4788" spans="1:10">
      <c r="A4788" s="103" t="s">
        <v>7191</v>
      </c>
      <c r="B4788" s="124" t="s">
        <v>7192</v>
      </c>
      <c r="C4788" s="110">
        <v>10546</v>
      </c>
      <c r="D4788" s="109" t="s">
        <v>120</v>
      </c>
      <c r="E4788" s="109">
        <v>105</v>
      </c>
      <c r="F4788" s="110">
        <v>13436</v>
      </c>
      <c r="G4788" s="109" t="s">
        <v>120</v>
      </c>
      <c r="H4788" s="109">
        <v>127</v>
      </c>
      <c r="I4788" s="109">
        <v>1295</v>
      </c>
      <c r="J4788" s="110">
        <v>596</v>
      </c>
    </row>
    <row r="4789" spans="1:10" s="119" customFormat="1">
      <c r="A4789" s="123" t="s">
        <v>120</v>
      </c>
      <c r="B4789" s="275" t="s">
        <v>947</v>
      </c>
      <c r="C4789" s="276"/>
      <c r="D4789" s="276"/>
      <c r="E4789" s="276"/>
      <c r="F4789" s="276"/>
      <c r="G4789" s="276"/>
      <c r="H4789" s="276"/>
      <c r="I4789" s="276"/>
      <c r="J4789" s="276"/>
    </row>
    <row r="4790" spans="1:10">
      <c r="A4790" s="103" t="s">
        <v>7193</v>
      </c>
      <c r="B4790" s="124" t="s">
        <v>7194</v>
      </c>
      <c r="C4790" s="110">
        <v>19788</v>
      </c>
      <c r="D4790" s="109" t="s">
        <v>120</v>
      </c>
      <c r="E4790" s="109">
        <v>198</v>
      </c>
      <c r="F4790" s="110">
        <v>1636</v>
      </c>
      <c r="G4790" s="105" t="s">
        <v>1075</v>
      </c>
      <c r="H4790" s="109">
        <v>8</v>
      </c>
      <c r="I4790" s="109">
        <v>356</v>
      </c>
      <c r="J4790" s="110">
        <v>2305</v>
      </c>
    </row>
    <row r="4791" spans="1:10">
      <c r="A4791" s="103" t="s">
        <v>7195</v>
      </c>
      <c r="B4791" s="124" t="s">
        <v>5231</v>
      </c>
      <c r="C4791" s="110">
        <v>2451</v>
      </c>
      <c r="D4791" s="109" t="s">
        <v>120</v>
      </c>
      <c r="E4791" s="109">
        <v>25</v>
      </c>
      <c r="F4791" s="110">
        <v>1181</v>
      </c>
      <c r="G4791" s="109" t="s">
        <v>120</v>
      </c>
      <c r="H4791" s="109">
        <v>48</v>
      </c>
      <c r="I4791" s="109" t="s">
        <v>122</v>
      </c>
      <c r="J4791" s="110" t="s">
        <v>122</v>
      </c>
    </row>
    <row r="4792" spans="1:10">
      <c r="A4792" s="103" t="s">
        <v>7196</v>
      </c>
      <c r="B4792" s="124" t="s">
        <v>934</v>
      </c>
      <c r="C4792" s="110">
        <v>17337</v>
      </c>
      <c r="D4792" s="109" t="s">
        <v>120</v>
      </c>
      <c r="E4792" s="109">
        <v>173</v>
      </c>
      <c r="F4792" s="110">
        <v>455</v>
      </c>
      <c r="G4792" s="109" t="s">
        <v>120</v>
      </c>
      <c r="H4792" s="109">
        <v>3</v>
      </c>
      <c r="I4792" s="109" t="s">
        <v>122</v>
      </c>
      <c r="J4792" s="110" t="s">
        <v>122</v>
      </c>
    </row>
    <row r="4793" spans="1:10">
      <c r="A4793" s="103" t="s">
        <v>7197</v>
      </c>
      <c r="B4793" s="124" t="s">
        <v>7198</v>
      </c>
      <c r="C4793" s="110">
        <v>25171</v>
      </c>
      <c r="D4793" s="109" t="s">
        <v>120</v>
      </c>
      <c r="E4793" s="109">
        <v>252</v>
      </c>
      <c r="F4793" s="110">
        <v>41288</v>
      </c>
      <c r="G4793" s="109" t="s">
        <v>120</v>
      </c>
      <c r="H4793" s="109">
        <v>164</v>
      </c>
      <c r="I4793" s="109">
        <v>178</v>
      </c>
      <c r="J4793" s="110">
        <v>121</v>
      </c>
    </row>
    <row r="4794" spans="1:10">
      <c r="A4794" s="103" t="s">
        <v>7199</v>
      </c>
      <c r="B4794" s="124" t="s">
        <v>932</v>
      </c>
      <c r="C4794" s="110">
        <v>3731</v>
      </c>
      <c r="D4794" s="109" t="s">
        <v>120</v>
      </c>
      <c r="E4794" s="109">
        <v>37</v>
      </c>
      <c r="F4794" s="110">
        <v>32490</v>
      </c>
      <c r="G4794" s="109" t="s">
        <v>120</v>
      </c>
      <c r="H4794" s="109">
        <v>871</v>
      </c>
      <c r="I4794" s="109" t="s">
        <v>122</v>
      </c>
      <c r="J4794" s="110" t="s">
        <v>122</v>
      </c>
    </row>
    <row r="4795" spans="1:10">
      <c r="A4795" s="103" t="s">
        <v>7200</v>
      </c>
      <c r="B4795" s="124" t="s">
        <v>7057</v>
      </c>
      <c r="C4795" s="110">
        <v>21440</v>
      </c>
      <c r="D4795" s="109" t="s">
        <v>120</v>
      </c>
      <c r="E4795" s="109">
        <v>215</v>
      </c>
      <c r="F4795" s="110">
        <v>8798</v>
      </c>
      <c r="G4795" s="109" t="s">
        <v>120</v>
      </c>
      <c r="H4795" s="109">
        <v>41</v>
      </c>
      <c r="I4795" s="109" t="s">
        <v>122</v>
      </c>
      <c r="J4795" s="110" t="s">
        <v>122</v>
      </c>
    </row>
    <row r="4796" spans="1:10" s="119" customFormat="1">
      <c r="A4796" s="123" t="s">
        <v>120</v>
      </c>
      <c r="B4796" s="273" t="s">
        <v>7201</v>
      </c>
      <c r="C4796" s="274"/>
      <c r="D4796" s="274"/>
      <c r="E4796" s="274"/>
      <c r="F4796" s="274"/>
      <c r="G4796" s="274"/>
      <c r="H4796" s="274"/>
      <c r="I4796" s="274"/>
      <c r="J4796" s="274"/>
    </row>
    <row r="4797" spans="1:10" s="119" customFormat="1">
      <c r="A4797" s="123" t="s">
        <v>120</v>
      </c>
      <c r="B4797" s="275" t="s">
        <v>924</v>
      </c>
      <c r="C4797" s="276"/>
      <c r="D4797" s="276"/>
      <c r="E4797" s="276"/>
      <c r="F4797" s="276"/>
      <c r="G4797" s="276"/>
      <c r="H4797" s="276"/>
      <c r="I4797" s="276"/>
      <c r="J4797" s="276"/>
    </row>
    <row r="4798" spans="1:10">
      <c r="A4798" s="103" t="s">
        <v>7202</v>
      </c>
      <c r="B4798" s="124" t="s">
        <v>7203</v>
      </c>
      <c r="C4798" s="110">
        <v>8419</v>
      </c>
      <c r="D4798" s="109" t="s">
        <v>120</v>
      </c>
      <c r="E4798" s="109">
        <v>84</v>
      </c>
      <c r="F4798" s="110">
        <v>3122</v>
      </c>
      <c r="G4798" s="109" t="s">
        <v>120</v>
      </c>
      <c r="H4798" s="109">
        <v>37</v>
      </c>
      <c r="I4798" s="109">
        <v>1635</v>
      </c>
      <c r="J4798" s="110">
        <v>2181</v>
      </c>
    </row>
    <row r="4799" spans="1:10">
      <c r="A4799" s="103" t="s">
        <v>7204</v>
      </c>
      <c r="B4799" s="124" t="s">
        <v>7205</v>
      </c>
      <c r="C4799" s="110">
        <v>9453</v>
      </c>
      <c r="D4799" s="109" t="s">
        <v>120</v>
      </c>
      <c r="E4799" s="109">
        <v>95</v>
      </c>
      <c r="F4799" s="110">
        <v>2477</v>
      </c>
      <c r="G4799" s="109" t="s">
        <v>120</v>
      </c>
      <c r="H4799" s="109">
        <v>26</v>
      </c>
      <c r="I4799" s="109">
        <v>1478</v>
      </c>
      <c r="J4799" s="110">
        <v>2264</v>
      </c>
    </row>
    <row r="4800" spans="1:10">
      <c r="A4800" s="103" t="s">
        <v>7206</v>
      </c>
      <c r="B4800" s="124" t="s">
        <v>7207</v>
      </c>
      <c r="C4800" s="110">
        <v>16201</v>
      </c>
      <c r="D4800" s="109" t="s">
        <v>120</v>
      </c>
      <c r="E4800" s="109">
        <v>162</v>
      </c>
      <c r="F4800" s="110">
        <v>5129</v>
      </c>
      <c r="G4800" s="109" t="s">
        <v>120</v>
      </c>
      <c r="H4800" s="109">
        <v>32</v>
      </c>
      <c r="I4800" s="109">
        <v>581</v>
      </c>
      <c r="J4800" s="110">
        <v>1710</v>
      </c>
    </row>
    <row r="4801" spans="1:10">
      <c r="A4801" s="103" t="s">
        <v>7208</v>
      </c>
      <c r="B4801" s="124" t="s">
        <v>7209</v>
      </c>
      <c r="C4801" s="110">
        <v>8614</v>
      </c>
      <c r="D4801" s="109" t="s">
        <v>120</v>
      </c>
      <c r="E4801" s="109">
        <v>86</v>
      </c>
      <c r="F4801" s="110">
        <v>3463</v>
      </c>
      <c r="G4801" s="109" t="s">
        <v>120</v>
      </c>
      <c r="H4801" s="109">
        <v>40</v>
      </c>
      <c r="I4801" s="109">
        <v>1591</v>
      </c>
      <c r="J4801" s="110">
        <v>2112</v>
      </c>
    </row>
    <row r="4802" spans="1:10" s="119" customFormat="1">
      <c r="A4802" s="123" t="s">
        <v>120</v>
      </c>
      <c r="B4802" s="275" t="s">
        <v>1101</v>
      </c>
      <c r="C4802" s="276"/>
      <c r="D4802" s="276"/>
      <c r="E4802" s="276"/>
      <c r="F4802" s="276"/>
      <c r="G4802" s="276"/>
      <c r="H4802" s="276"/>
      <c r="I4802" s="276"/>
      <c r="J4802" s="276"/>
    </row>
    <row r="4803" spans="1:10">
      <c r="A4803" s="103" t="s">
        <v>7210</v>
      </c>
      <c r="B4803" s="124" t="s">
        <v>7211</v>
      </c>
      <c r="C4803" s="110">
        <v>9491</v>
      </c>
      <c r="D4803" s="109" t="s">
        <v>120</v>
      </c>
      <c r="E4803" s="109">
        <v>95</v>
      </c>
      <c r="F4803" s="110">
        <v>5832</v>
      </c>
      <c r="G4803" s="109" t="s">
        <v>120</v>
      </c>
      <c r="H4803" s="109">
        <v>61</v>
      </c>
      <c r="I4803" s="109">
        <v>1470</v>
      </c>
      <c r="J4803" s="110">
        <v>1547</v>
      </c>
    </row>
    <row r="4804" spans="1:10">
      <c r="A4804" s="103" t="s">
        <v>7212</v>
      </c>
      <c r="B4804" s="124" t="s">
        <v>932</v>
      </c>
      <c r="C4804" s="110">
        <v>554</v>
      </c>
      <c r="D4804" s="109" t="s">
        <v>120</v>
      </c>
      <c r="E4804" s="109">
        <v>6</v>
      </c>
      <c r="F4804" s="110">
        <v>3908</v>
      </c>
      <c r="G4804" s="109" t="s">
        <v>120</v>
      </c>
      <c r="H4804" s="109">
        <v>705</v>
      </c>
      <c r="I4804" s="109" t="s">
        <v>122</v>
      </c>
      <c r="J4804" s="110" t="s">
        <v>122</v>
      </c>
    </row>
    <row r="4805" spans="1:10">
      <c r="A4805" s="103" t="s">
        <v>7213</v>
      </c>
      <c r="B4805" s="124" t="s">
        <v>934</v>
      </c>
      <c r="C4805" s="110">
        <v>8937</v>
      </c>
      <c r="D4805" s="109" t="s">
        <v>120</v>
      </c>
      <c r="E4805" s="109">
        <v>89</v>
      </c>
      <c r="F4805" s="110">
        <v>1924</v>
      </c>
      <c r="G4805" s="109" t="s">
        <v>120</v>
      </c>
      <c r="H4805" s="109">
        <v>22</v>
      </c>
      <c r="I4805" s="109" t="s">
        <v>122</v>
      </c>
      <c r="J4805" s="110" t="s">
        <v>122</v>
      </c>
    </row>
    <row r="4806" spans="1:10">
      <c r="A4806" s="103" t="s">
        <v>7214</v>
      </c>
      <c r="B4806" s="124" t="s">
        <v>7215</v>
      </c>
      <c r="C4806" s="110">
        <v>20422</v>
      </c>
      <c r="D4806" s="109" t="s">
        <v>120</v>
      </c>
      <c r="E4806" s="109">
        <v>204</v>
      </c>
      <c r="F4806" s="110">
        <v>19313</v>
      </c>
      <c r="G4806" s="109" t="s">
        <v>120</v>
      </c>
      <c r="H4806" s="109">
        <v>95</v>
      </c>
      <c r="I4806" s="109">
        <v>321</v>
      </c>
      <c r="J4806" s="110">
        <v>359</v>
      </c>
    </row>
    <row r="4807" spans="1:10">
      <c r="A4807" s="103" t="s">
        <v>7216</v>
      </c>
      <c r="B4807" s="124" t="s">
        <v>932</v>
      </c>
      <c r="C4807" s="110">
        <v>3879</v>
      </c>
      <c r="D4807" s="109" t="s">
        <v>120</v>
      </c>
      <c r="E4807" s="109">
        <v>39</v>
      </c>
      <c r="F4807" s="110">
        <v>12578</v>
      </c>
      <c r="G4807" s="109" t="s">
        <v>120</v>
      </c>
      <c r="H4807" s="109">
        <v>324</v>
      </c>
      <c r="I4807" s="109" t="s">
        <v>122</v>
      </c>
      <c r="J4807" s="110" t="s">
        <v>122</v>
      </c>
    </row>
    <row r="4808" spans="1:10">
      <c r="A4808" s="103" t="s">
        <v>7217</v>
      </c>
      <c r="B4808" s="124" t="s">
        <v>934</v>
      </c>
      <c r="C4808" s="110">
        <v>16543</v>
      </c>
      <c r="D4808" s="109" t="s">
        <v>120</v>
      </c>
      <c r="E4808" s="109">
        <v>165</v>
      </c>
      <c r="F4808" s="110">
        <v>6735</v>
      </c>
      <c r="G4808" s="109" t="s">
        <v>120</v>
      </c>
      <c r="H4808" s="109">
        <v>41</v>
      </c>
      <c r="I4808" s="109" t="s">
        <v>122</v>
      </c>
      <c r="J4808" s="110" t="s">
        <v>122</v>
      </c>
    </row>
    <row r="4809" spans="1:10" s="119" customFormat="1">
      <c r="A4809" s="123" t="s">
        <v>120</v>
      </c>
      <c r="B4809" s="273" t="s">
        <v>7218</v>
      </c>
      <c r="C4809" s="274"/>
      <c r="D4809" s="274"/>
      <c r="E4809" s="274"/>
      <c r="F4809" s="274"/>
      <c r="G4809" s="274"/>
      <c r="H4809" s="274"/>
      <c r="I4809" s="274"/>
      <c r="J4809" s="274"/>
    </row>
    <row r="4810" spans="1:10" s="119" customFormat="1">
      <c r="A4810" s="123" t="s">
        <v>120</v>
      </c>
      <c r="B4810" s="275" t="s">
        <v>936</v>
      </c>
      <c r="C4810" s="276"/>
      <c r="D4810" s="276"/>
      <c r="E4810" s="276"/>
      <c r="F4810" s="276"/>
      <c r="G4810" s="276"/>
      <c r="H4810" s="276"/>
      <c r="I4810" s="276"/>
      <c r="J4810" s="276"/>
    </row>
    <row r="4811" spans="1:10">
      <c r="A4811" s="103" t="s">
        <v>7219</v>
      </c>
      <c r="B4811" s="124" t="s">
        <v>7220</v>
      </c>
      <c r="C4811" s="110">
        <v>2021</v>
      </c>
      <c r="D4811" s="109" t="s">
        <v>120</v>
      </c>
      <c r="E4811" s="109">
        <v>20</v>
      </c>
      <c r="F4811" s="110">
        <v>13695</v>
      </c>
      <c r="G4811" s="109" t="s">
        <v>120</v>
      </c>
      <c r="H4811" s="109">
        <v>678</v>
      </c>
      <c r="I4811" s="109">
        <v>2235</v>
      </c>
      <c r="J4811" s="110">
        <v>582</v>
      </c>
    </row>
    <row r="4812" spans="1:10">
      <c r="A4812" s="103" t="s">
        <v>7221</v>
      </c>
      <c r="B4812" s="124" t="s">
        <v>2626</v>
      </c>
      <c r="C4812" s="110">
        <v>1583</v>
      </c>
      <c r="D4812" s="105" t="s">
        <v>1075</v>
      </c>
      <c r="E4812" s="109">
        <v>16</v>
      </c>
      <c r="F4812" s="110">
        <v>12468</v>
      </c>
      <c r="G4812" s="109" t="s">
        <v>120</v>
      </c>
      <c r="H4812" s="109">
        <v>788</v>
      </c>
      <c r="I4812" s="109">
        <v>2274</v>
      </c>
      <c r="J4812" s="110">
        <v>667</v>
      </c>
    </row>
    <row r="4813" spans="1:10" s="119" customFormat="1">
      <c r="A4813" s="123" t="s">
        <v>120</v>
      </c>
      <c r="B4813" s="275" t="s">
        <v>943</v>
      </c>
      <c r="C4813" s="276"/>
      <c r="D4813" s="276"/>
      <c r="E4813" s="276"/>
      <c r="F4813" s="276"/>
      <c r="G4813" s="276"/>
      <c r="H4813" s="276"/>
      <c r="I4813" s="276"/>
      <c r="J4813" s="276"/>
    </row>
    <row r="4814" spans="1:10">
      <c r="A4814" s="103" t="s">
        <v>7222</v>
      </c>
      <c r="B4814" s="124" t="s">
        <v>7223</v>
      </c>
      <c r="C4814" s="110">
        <v>26945</v>
      </c>
      <c r="D4814" s="109" t="s">
        <v>120</v>
      </c>
      <c r="E4814" s="109">
        <v>269</v>
      </c>
      <c r="F4814" s="110">
        <v>7949</v>
      </c>
      <c r="G4814" s="109" t="s">
        <v>120</v>
      </c>
      <c r="H4814" s="109">
        <v>30</v>
      </c>
      <c r="I4814" s="109">
        <v>138</v>
      </c>
      <c r="J4814" s="110">
        <v>1134</v>
      </c>
    </row>
    <row r="4815" spans="1:10">
      <c r="A4815" s="103" t="s">
        <v>7224</v>
      </c>
      <c r="B4815" s="124" t="s">
        <v>7225</v>
      </c>
      <c r="C4815" s="110">
        <v>22646</v>
      </c>
      <c r="D4815" s="109" t="s">
        <v>120</v>
      </c>
      <c r="E4815" s="109">
        <v>227</v>
      </c>
      <c r="F4815" s="110">
        <v>6264</v>
      </c>
      <c r="G4815" s="109" t="s">
        <v>120</v>
      </c>
      <c r="H4815" s="109">
        <v>28</v>
      </c>
      <c r="I4815" s="109">
        <v>244</v>
      </c>
      <c r="J4815" s="110">
        <v>1446</v>
      </c>
    </row>
    <row r="4816" spans="1:10">
      <c r="A4816" s="103" t="s">
        <v>7226</v>
      </c>
      <c r="B4816" s="124" t="s">
        <v>7227</v>
      </c>
      <c r="C4816" s="110">
        <v>22686</v>
      </c>
      <c r="D4816" s="109" t="s">
        <v>120</v>
      </c>
      <c r="E4816" s="109">
        <v>227</v>
      </c>
      <c r="F4816" s="110">
        <v>6891</v>
      </c>
      <c r="G4816" s="109" t="s">
        <v>120</v>
      </c>
      <c r="H4816" s="109">
        <v>30</v>
      </c>
      <c r="I4816" s="109">
        <v>239</v>
      </c>
      <c r="J4816" s="110">
        <v>1317</v>
      </c>
    </row>
    <row r="4817" spans="1:10">
      <c r="A4817" s="103" t="s">
        <v>7228</v>
      </c>
      <c r="B4817" s="124" t="s">
        <v>2626</v>
      </c>
      <c r="C4817" s="110">
        <v>28439</v>
      </c>
      <c r="D4817" s="109" t="s">
        <v>120</v>
      </c>
      <c r="E4817" s="109">
        <v>284</v>
      </c>
      <c r="F4817" s="110">
        <v>8867</v>
      </c>
      <c r="G4817" s="109" t="s">
        <v>120</v>
      </c>
      <c r="H4817" s="109">
        <v>31</v>
      </c>
      <c r="I4817" s="109">
        <v>124</v>
      </c>
      <c r="J4817" s="110">
        <v>1004</v>
      </c>
    </row>
    <row r="4818" spans="1:10" s="119" customFormat="1">
      <c r="A4818" s="123" t="s">
        <v>120</v>
      </c>
      <c r="B4818" s="273" t="s">
        <v>7229</v>
      </c>
      <c r="C4818" s="274"/>
      <c r="D4818" s="274"/>
      <c r="E4818" s="274"/>
      <c r="F4818" s="274"/>
      <c r="G4818" s="274"/>
      <c r="H4818" s="274"/>
      <c r="I4818" s="274"/>
      <c r="J4818" s="274"/>
    </row>
    <row r="4819" spans="1:10" s="119" customFormat="1">
      <c r="A4819" s="123" t="s">
        <v>120</v>
      </c>
      <c r="B4819" s="275" t="s">
        <v>922</v>
      </c>
      <c r="C4819" s="276"/>
      <c r="D4819" s="276"/>
      <c r="E4819" s="276"/>
      <c r="F4819" s="276"/>
      <c r="G4819" s="276"/>
      <c r="H4819" s="276"/>
      <c r="I4819" s="276"/>
      <c r="J4819" s="276"/>
    </row>
    <row r="4820" spans="1:10">
      <c r="A4820" s="103" t="s">
        <v>7230</v>
      </c>
      <c r="B4820" s="124" t="s">
        <v>7231</v>
      </c>
      <c r="C4820" s="110">
        <v>4808</v>
      </c>
      <c r="D4820" s="109" t="s">
        <v>120</v>
      </c>
      <c r="E4820" s="109">
        <v>48</v>
      </c>
      <c r="F4820" s="110">
        <v>67837</v>
      </c>
      <c r="G4820" s="109" t="s">
        <v>120</v>
      </c>
      <c r="H4820" s="109">
        <v>1411</v>
      </c>
      <c r="I4820" s="109">
        <v>2036</v>
      </c>
      <c r="J4820" s="110">
        <v>58</v>
      </c>
    </row>
    <row r="4821" spans="1:10" s="119" customFormat="1">
      <c r="A4821" s="123" t="s">
        <v>120</v>
      </c>
      <c r="B4821" s="275" t="s">
        <v>943</v>
      </c>
      <c r="C4821" s="276"/>
      <c r="D4821" s="276"/>
      <c r="E4821" s="276"/>
      <c r="F4821" s="276"/>
      <c r="G4821" s="276"/>
      <c r="H4821" s="276"/>
      <c r="I4821" s="276"/>
      <c r="J4821" s="276"/>
    </row>
    <row r="4822" spans="1:10">
      <c r="A4822" s="103" t="s">
        <v>7232</v>
      </c>
      <c r="B4822" s="124" t="s">
        <v>7233</v>
      </c>
      <c r="C4822" s="110">
        <v>23717</v>
      </c>
      <c r="D4822" s="109" t="s">
        <v>120</v>
      </c>
      <c r="E4822" s="109">
        <v>237</v>
      </c>
      <c r="F4822" s="110">
        <v>7802</v>
      </c>
      <c r="G4822" s="109" t="s">
        <v>120</v>
      </c>
      <c r="H4822" s="109">
        <v>33</v>
      </c>
      <c r="I4822" s="109">
        <v>211</v>
      </c>
      <c r="J4822" s="110">
        <v>1155</v>
      </c>
    </row>
    <row r="4823" spans="1:10">
      <c r="A4823" s="103" t="s">
        <v>7234</v>
      </c>
      <c r="B4823" s="124" t="s">
        <v>7235</v>
      </c>
      <c r="C4823" s="110">
        <v>12168</v>
      </c>
      <c r="D4823" s="109" t="s">
        <v>120</v>
      </c>
      <c r="E4823" s="109">
        <v>122</v>
      </c>
      <c r="F4823" s="110">
        <v>5714</v>
      </c>
      <c r="G4823" s="109" t="s">
        <v>120</v>
      </c>
      <c r="H4823" s="109">
        <v>47</v>
      </c>
      <c r="I4823" s="109">
        <v>1028</v>
      </c>
      <c r="J4823" s="110">
        <v>1574</v>
      </c>
    </row>
    <row r="4824" spans="1:10">
      <c r="A4824" s="103" t="s">
        <v>7236</v>
      </c>
      <c r="B4824" s="124" t="s">
        <v>7237</v>
      </c>
      <c r="C4824" s="110">
        <v>10194</v>
      </c>
      <c r="D4824" s="109" t="s">
        <v>120</v>
      </c>
      <c r="E4824" s="109">
        <v>102</v>
      </c>
      <c r="F4824" s="110">
        <v>3113</v>
      </c>
      <c r="G4824" s="109" t="s">
        <v>120</v>
      </c>
      <c r="H4824" s="109">
        <v>31</v>
      </c>
      <c r="I4824" s="109">
        <v>1355</v>
      </c>
      <c r="J4824" s="110">
        <v>2183</v>
      </c>
    </row>
    <row r="4825" spans="1:10">
      <c r="A4825" s="103" t="s">
        <v>7238</v>
      </c>
      <c r="B4825" s="124" t="s">
        <v>7239</v>
      </c>
      <c r="C4825" s="110">
        <v>11259</v>
      </c>
      <c r="D4825" s="109" t="s">
        <v>120</v>
      </c>
      <c r="E4825" s="109">
        <v>113</v>
      </c>
      <c r="F4825" s="110">
        <v>3720</v>
      </c>
      <c r="G4825" s="109" t="s">
        <v>120</v>
      </c>
      <c r="H4825" s="109">
        <v>33</v>
      </c>
      <c r="I4825" s="109">
        <v>1167</v>
      </c>
      <c r="J4825" s="110">
        <v>2063</v>
      </c>
    </row>
    <row r="4826" spans="1:10">
      <c r="A4826" s="103" t="s">
        <v>7240</v>
      </c>
      <c r="B4826" s="124" t="s">
        <v>7231</v>
      </c>
      <c r="C4826" s="110">
        <v>31888</v>
      </c>
      <c r="D4826" s="109" t="s">
        <v>120</v>
      </c>
      <c r="E4826" s="109">
        <v>318</v>
      </c>
      <c r="F4826" s="110">
        <v>13752</v>
      </c>
      <c r="G4826" s="109" t="s">
        <v>120</v>
      </c>
      <c r="H4826" s="109">
        <v>43</v>
      </c>
      <c r="I4826" s="109">
        <v>80</v>
      </c>
      <c r="J4826" s="110">
        <v>579</v>
      </c>
    </row>
    <row r="4827" spans="1:10" s="119" customFormat="1">
      <c r="A4827" s="123" t="s">
        <v>120</v>
      </c>
      <c r="B4827" s="275" t="s">
        <v>1101</v>
      </c>
      <c r="C4827" s="276"/>
      <c r="D4827" s="276"/>
      <c r="E4827" s="276"/>
      <c r="F4827" s="276"/>
      <c r="G4827" s="276"/>
      <c r="H4827" s="276"/>
      <c r="I4827" s="276"/>
      <c r="J4827" s="276"/>
    </row>
    <row r="4828" spans="1:10">
      <c r="A4828" s="103" t="s">
        <v>7241</v>
      </c>
      <c r="B4828" s="124" t="s">
        <v>7242</v>
      </c>
      <c r="C4828" s="110">
        <v>16082</v>
      </c>
      <c r="D4828" s="109" t="s">
        <v>120</v>
      </c>
      <c r="E4828" s="109">
        <v>161</v>
      </c>
      <c r="F4828" s="110">
        <v>5804</v>
      </c>
      <c r="G4828" s="109" t="s">
        <v>120</v>
      </c>
      <c r="H4828" s="109">
        <v>36</v>
      </c>
      <c r="I4828" s="109">
        <v>590</v>
      </c>
      <c r="J4828" s="110">
        <v>1555</v>
      </c>
    </row>
    <row r="4829" spans="1:10">
      <c r="A4829" s="103" t="s">
        <v>7243</v>
      </c>
      <c r="B4829" s="124" t="s">
        <v>932</v>
      </c>
      <c r="C4829" s="110">
        <v>367</v>
      </c>
      <c r="D4829" s="109" t="s">
        <v>120</v>
      </c>
      <c r="E4829" s="109">
        <v>4</v>
      </c>
      <c r="F4829" s="110">
        <v>3150</v>
      </c>
      <c r="G4829" s="109" t="s">
        <v>120</v>
      </c>
      <c r="H4829" s="109">
        <v>858</v>
      </c>
      <c r="I4829" s="109" t="s">
        <v>122</v>
      </c>
      <c r="J4829" s="110" t="s">
        <v>122</v>
      </c>
    </row>
    <row r="4830" spans="1:10">
      <c r="A4830" s="103" t="s">
        <v>7244</v>
      </c>
      <c r="B4830" s="124" t="s">
        <v>934</v>
      </c>
      <c r="C4830" s="110">
        <v>15715</v>
      </c>
      <c r="D4830" s="109" t="s">
        <v>120</v>
      </c>
      <c r="E4830" s="109">
        <v>157</v>
      </c>
      <c r="F4830" s="110">
        <v>2654</v>
      </c>
      <c r="G4830" s="109" t="s">
        <v>120</v>
      </c>
      <c r="H4830" s="109">
        <v>17</v>
      </c>
      <c r="I4830" s="109" t="s">
        <v>122</v>
      </c>
      <c r="J4830" s="110" t="s">
        <v>122</v>
      </c>
    </row>
    <row r="4831" spans="1:10">
      <c r="A4831" s="103" t="s">
        <v>7245</v>
      </c>
      <c r="B4831" s="124" t="s">
        <v>7246</v>
      </c>
      <c r="C4831" s="110">
        <v>13472</v>
      </c>
      <c r="D4831" s="109" t="s">
        <v>120</v>
      </c>
      <c r="E4831" s="109">
        <v>135</v>
      </c>
      <c r="F4831" s="110">
        <v>4800</v>
      </c>
      <c r="G4831" s="109" t="s">
        <v>120</v>
      </c>
      <c r="H4831" s="109">
        <v>36</v>
      </c>
      <c r="I4831" s="109">
        <v>843</v>
      </c>
      <c r="J4831" s="110">
        <v>1794</v>
      </c>
    </row>
    <row r="4832" spans="1:10">
      <c r="A4832" s="103" t="s">
        <v>7247</v>
      </c>
      <c r="B4832" s="124" t="s">
        <v>932</v>
      </c>
      <c r="C4832" s="110">
        <v>534</v>
      </c>
      <c r="D4832" s="109" t="s">
        <v>120</v>
      </c>
      <c r="E4832" s="109">
        <v>5</v>
      </c>
      <c r="F4832" s="110">
        <v>2247</v>
      </c>
      <c r="G4832" s="109" t="s">
        <v>120</v>
      </c>
      <c r="H4832" s="109">
        <v>421</v>
      </c>
      <c r="I4832" s="109" t="s">
        <v>122</v>
      </c>
      <c r="J4832" s="110" t="s">
        <v>122</v>
      </c>
    </row>
    <row r="4833" spans="1:10">
      <c r="A4833" s="103" t="s">
        <v>7248</v>
      </c>
      <c r="B4833" s="124" t="s">
        <v>934</v>
      </c>
      <c r="C4833" s="110">
        <v>12938</v>
      </c>
      <c r="D4833" s="109" t="s">
        <v>120</v>
      </c>
      <c r="E4833" s="109">
        <v>130</v>
      </c>
      <c r="F4833" s="110">
        <v>2553</v>
      </c>
      <c r="G4833" s="109" t="s">
        <v>120</v>
      </c>
      <c r="H4833" s="109">
        <v>20</v>
      </c>
      <c r="I4833" s="109" t="s">
        <v>122</v>
      </c>
      <c r="J4833" s="110" t="s">
        <v>122</v>
      </c>
    </row>
    <row r="4834" spans="1:10">
      <c r="A4834" s="103" t="s">
        <v>7249</v>
      </c>
      <c r="B4834" s="124" t="s">
        <v>7250</v>
      </c>
      <c r="C4834" s="110">
        <v>15101</v>
      </c>
      <c r="D4834" s="109" t="s">
        <v>120</v>
      </c>
      <c r="E4834" s="109">
        <v>151</v>
      </c>
      <c r="F4834" s="110">
        <v>3346</v>
      </c>
      <c r="G4834" s="109" t="s">
        <v>120</v>
      </c>
      <c r="H4834" s="109">
        <v>22</v>
      </c>
      <c r="I4834" s="109">
        <v>666</v>
      </c>
      <c r="J4834" s="110">
        <v>2138</v>
      </c>
    </row>
    <row r="4835" spans="1:10">
      <c r="A4835" s="103" t="s">
        <v>7251</v>
      </c>
      <c r="B4835" s="124" t="s">
        <v>932</v>
      </c>
      <c r="C4835" s="110">
        <v>748</v>
      </c>
      <c r="D4835" s="109" t="s">
        <v>120</v>
      </c>
      <c r="E4835" s="109">
        <v>7</v>
      </c>
      <c r="F4835" s="110">
        <v>1918</v>
      </c>
      <c r="G4835" s="109" t="s">
        <v>120</v>
      </c>
      <c r="H4835" s="109">
        <v>256</v>
      </c>
      <c r="I4835" s="109" t="s">
        <v>122</v>
      </c>
      <c r="J4835" s="110" t="s">
        <v>122</v>
      </c>
    </row>
    <row r="4836" spans="1:10">
      <c r="A4836" s="103" t="s">
        <v>7252</v>
      </c>
      <c r="B4836" s="124" t="s">
        <v>934</v>
      </c>
      <c r="C4836" s="110">
        <v>14353</v>
      </c>
      <c r="D4836" s="109" t="s">
        <v>120</v>
      </c>
      <c r="E4836" s="109">
        <v>144</v>
      </c>
      <c r="F4836" s="110">
        <v>1428</v>
      </c>
      <c r="G4836" s="109" t="s">
        <v>120</v>
      </c>
      <c r="H4836" s="109">
        <v>10</v>
      </c>
      <c r="I4836" s="109" t="s">
        <v>122</v>
      </c>
      <c r="J4836" s="110" t="s">
        <v>122</v>
      </c>
    </row>
    <row r="4837" spans="1:10">
      <c r="A4837" s="103" t="s">
        <v>7253</v>
      </c>
      <c r="B4837" s="124" t="s">
        <v>7254</v>
      </c>
      <c r="C4837" s="110">
        <v>13305</v>
      </c>
      <c r="D4837" s="109" t="s">
        <v>120</v>
      </c>
      <c r="E4837" s="109">
        <v>133</v>
      </c>
      <c r="F4837" s="110">
        <v>4298</v>
      </c>
      <c r="G4837" s="109" t="s">
        <v>120</v>
      </c>
      <c r="H4837" s="109">
        <v>32</v>
      </c>
      <c r="I4837" s="109">
        <v>870</v>
      </c>
      <c r="J4837" s="110">
        <v>1924</v>
      </c>
    </row>
    <row r="4838" spans="1:10">
      <c r="A4838" s="103" t="s">
        <v>7255</v>
      </c>
      <c r="B4838" s="124" t="s">
        <v>932</v>
      </c>
      <c r="C4838" s="110">
        <v>357</v>
      </c>
      <c r="D4838" s="109" t="s">
        <v>120</v>
      </c>
      <c r="E4838" s="109">
        <v>4</v>
      </c>
      <c r="F4838" s="110">
        <v>1462</v>
      </c>
      <c r="G4838" s="109" t="s">
        <v>120</v>
      </c>
      <c r="H4838" s="109">
        <v>410</v>
      </c>
      <c r="I4838" s="109" t="s">
        <v>122</v>
      </c>
      <c r="J4838" s="110" t="s">
        <v>122</v>
      </c>
    </row>
    <row r="4839" spans="1:10">
      <c r="A4839" s="103" t="s">
        <v>7256</v>
      </c>
      <c r="B4839" s="124" t="s">
        <v>934</v>
      </c>
      <c r="C4839" s="110">
        <v>12948</v>
      </c>
      <c r="D4839" s="109" t="s">
        <v>120</v>
      </c>
      <c r="E4839" s="109">
        <v>129</v>
      </c>
      <c r="F4839" s="110">
        <v>2836</v>
      </c>
      <c r="G4839" s="109" t="s">
        <v>120</v>
      </c>
      <c r="H4839" s="109">
        <v>22</v>
      </c>
      <c r="I4839" s="109" t="s">
        <v>122</v>
      </c>
      <c r="J4839" s="110" t="s">
        <v>122</v>
      </c>
    </row>
    <row r="4840" spans="1:10" s="119" customFormat="1">
      <c r="A4840" s="123" t="s">
        <v>120</v>
      </c>
      <c r="B4840" s="273" t="s">
        <v>7257</v>
      </c>
      <c r="C4840" s="274"/>
      <c r="D4840" s="274"/>
      <c r="E4840" s="274"/>
      <c r="F4840" s="274"/>
      <c r="G4840" s="274"/>
      <c r="H4840" s="274"/>
      <c r="I4840" s="274"/>
      <c r="J4840" s="274"/>
    </row>
    <row r="4841" spans="1:10" s="119" customFormat="1">
      <c r="A4841" s="123" t="s">
        <v>120</v>
      </c>
      <c r="B4841" s="275" t="s">
        <v>922</v>
      </c>
      <c r="C4841" s="276"/>
      <c r="D4841" s="276"/>
      <c r="E4841" s="276"/>
      <c r="F4841" s="276"/>
      <c r="G4841" s="276"/>
      <c r="H4841" s="276"/>
      <c r="I4841" s="276"/>
      <c r="J4841" s="276"/>
    </row>
    <row r="4842" spans="1:10">
      <c r="A4842" s="103" t="s">
        <v>7258</v>
      </c>
      <c r="B4842" s="124" t="s">
        <v>7259</v>
      </c>
      <c r="C4842" s="110">
        <v>4848</v>
      </c>
      <c r="D4842" s="109" t="s">
        <v>120</v>
      </c>
      <c r="E4842" s="109">
        <v>48</v>
      </c>
      <c r="F4842" s="110">
        <v>40043</v>
      </c>
      <c r="G4842" s="109" t="s">
        <v>120</v>
      </c>
      <c r="H4842" s="109">
        <v>826</v>
      </c>
      <c r="I4842" s="109">
        <v>2032</v>
      </c>
      <c r="J4842" s="110">
        <v>127</v>
      </c>
    </row>
    <row r="4843" spans="1:10" s="119" customFormat="1">
      <c r="A4843" s="123" t="s">
        <v>120</v>
      </c>
      <c r="B4843" s="275" t="s">
        <v>924</v>
      </c>
      <c r="C4843" s="276"/>
      <c r="D4843" s="276"/>
      <c r="E4843" s="276"/>
      <c r="F4843" s="276"/>
      <c r="G4843" s="276"/>
      <c r="H4843" s="276"/>
      <c r="I4843" s="276"/>
      <c r="J4843" s="276"/>
    </row>
    <row r="4844" spans="1:10">
      <c r="A4844" s="103" t="s">
        <v>7260</v>
      </c>
      <c r="B4844" s="124" t="s">
        <v>7261</v>
      </c>
      <c r="C4844" s="110">
        <v>20512</v>
      </c>
      <c r="D4844" s="109" t="s">
        <v>120</v>
      </c>
      <c r="E4844" s="109">
        <v>205</v>
      </c>
      <c r="F4844" s="110">
        <v>4665</v>
      </c>
      <c r="G4844" s="109" t="s">
        <v>120</v>
      </c>
      <c r="H4844" s="109">
        <v>23</v>
      </c>
      <c r="I4844" s="109">
        <v>317</v>
      </c>
      <c r="J4844" s="110">
        <v>1823</v>
      </c>
    </row>
    <row r="4845" spans="1:10">
      <c r="A4845" s="103" t="s">
        <v>7262</v>
      </c>
      <c r="B4845" s="124" t="s">
        <v>7259</v>
      </c>
      <c r="C4845" s="110">
        <v>49887</v>
      </c>
      <c r="D4845" s="109" t="s">
        <v>120</v>
      </c>
      <c r="E4845" s="109">
        <v>500</v>
      </c>
      <c r="F4845" s="110">
        <v>9215</v>
      </c>
      <c r="G4845" s="109" t="s">
        <v>120</v>
      </c>
      <c r="H4845" s="109">
        <v>18</v>
      </c>
      <c r="I4845" s="109">
        <v>4</v>
      </c>
      <c r="J4845" s="110">
        <v>952</v>
      </c>
    </row>
    <row r="4846" spans="1:10" s="119" customFormat="1">
      <c r="A4846" s="123" t="s">
        <v>120</v>
      </c>
      <c r="B4846" s="275" t="s">
        <v>947</v>
      </c>
      <c r="C4846" s="276"/>
      <c r="D4846" s="276"/>
      <c r="E4846" s="276"/>
      <c r="F4846" s="276"/>
      <c r="G4846" s="276"/>
      <c r="H4846" s="276"/>
      <c r="I4846" s="276"/>
      <c r="J4846" s="276"/>
    </row>
    <row r="4847" spans="1:10">
      <c r="A4847" s="103" t="s">
        <v>7263</v>
      </c>
      <c r="B4847" s="124" t="s">
        <v>7264</v>
      </c>
      <c r="C4847" s="110">
        <v>25852</v>
      </c>
      <c r="D4847" s="109" t="s">
        <v>120</v>
      </c>
      <c r="E4847" s="109">
        <v>259</v>
      </c>
      <c r="F4847" s="110">
        <v>8478</v>
      </c>
      <c r="G4847" s="109" t="s">
        <v>120</v>
      </c>
      <c r="H4847" s="109">
        <v>33</v>
      </c>
      <c r="I4847" s="109">
        <v>162</v>
      </c>
      <c r="J4847" s="110">
        <v>1058</v>
      </c>
    </row>
    <row r="4848" spans="1:10">
      <c r="A4848" s="103" t="s">
        <v>7265</v>
      </c>
      <c r="B4848" s="124" t="s">
        <v>932</v>
      </c>
      <c r="C4848" s="110">
        <v>752</v>
      </c>
      <c r="D4848" s="109" t="s">
        <v>120</v>
      </c>
      <c r="E4848" s="109">
        <v>8</v>
      </c>
      <c r="F4848" s="110">
        <v>3686</v>
      </c>
      <c r="G4848" s="109" t="s">
        <v>120</v>
      </c>
      <c r="H4848" s="109">
        <v>490</v>
      </c>
      <c r="I4848" s="109" t="s">
        <v>122</v>
      </c>
      <c r="J4848" s="110" t="s">
        <v>122</v>
      </c>
    </row>
    <row r="4849" spans="1:10">
      <c r="A4849" s="103" t="s">
        <v>7266</v>
      </c>
      <c r="B4849" s="124" t="s">
        <v>934</v>
      </c>
      <c r="C4849" s="110">
        <v>25100</v>
      </c>
      <c r="D4849" s="109" t="s">
        <v>120</v>
      </c>
      <c r="E4849" s="109">
        <v>251</v>
      </c>
      <c r="F4849" s="110">
        <v>4792</v>
      </c>
      <c r="G4849" s="109" t="s">
        <v>120</v>
      </c>
      <c r="H4849" s="109">
        <v>19</v>
      </c>
      <c r="I4849" s="109" t="s">
        <v>122</v>
      </c>
      <c r="J4849" s="110" t="s">
        <v>122</v>
      </c>
    </row>
    <row r="4850" spans="1:10">
      <c r="A4850" s="103" t="s">
        <v>7267</v>
      </c>
      <c r="B4850" s="124" t="s">
        <v>7268</v>
      </c>
      <c r="C4850" s="110">
        <v>26993</v>
      </c>
      <c r="D4850" s="109" t="s">
        <v>120</v>
      </c>
      <c r="E4850" s="109">
        <v>270</v>
      </c>
      <c r="F4850" s="110">
        <v>5294</v>
      </c>
      <c r="G4850" s="109" t="s">
        <v>120</v>
      </c>
      <c r="H4850" s="109">
        <v>20</v>
      </c>
      <c r="I4850" s="109">
        <v>137</v>
      </c>
      <c r="J4850" s="110">
        <v>1664</v>
      </c>
    </row>
    <row r="4851" spans="1:10">
      <c r="A4851" s="103" t="s">
        <v>7269</v>
      </c>
      <c r="B4851" s="124" t="s">
        <v>932</v>
      </c>
      <c r="C4851" s="110">
        <v>1282</v>
      </c>
      <c r="D4851" s="109" t="s">
        <v>120</v>
      </c>
      <c r="E4851" s="109">
        <v>13</v>
      </c>
      <c r="F4851" s="110">
        <v>2210</v>
      </c>
      <c r="G4851" s="109" t="s">
        <v>120</v>
      </c>
      <c r="H4851" s="109">
        <v>172</v>
      </c>
      <c r="I4851" s="109" t="s">
        <v>122</v>
      </c>
      <c r="J4851" s="110" t="s">
        <v>122</v>
      </c>
    </row>
    <row r="4852" spans="1:10">
      <c r="A4852" s="103" t="s">
        <v>7270</v>
      </c>
      <c r="B4852" s="124" t="s">
        <v>934</v>
      </c>
      <c r="C4852" s="110">
        <v>25711</v>
      </c>
      <c r="D4852" s="109" t="s">
        <v>120</v>
      </c>
      <c r="E4852" s="109">
        <v>257</v>
      </c>
      <c r="F4852" s="110">
        <v>3084</v>
      </c>
      <c r="G4852" s="109" t="s">
        <v>120</v>
      </c>
      <c r="H4852" s="109">
        <v>12</v>
      </c>
      <c r="I4852" s="109" t="s">
        <v>122</v>
      </c>
      <c r="J4852" s="110" t="s">
        <v>122</v>
      </c>
    </row>
    <row r="4853" spans="1:10">
      <c r="A4853" s="103" t="s">
        <v>7271</v>
      </c>
      <c r="B4853" s="124" t="s">
        <v>7272</v>
      </c>
      <c r="C4853" s="110">
        <v>48450</v>
      </c>
      <c r="D4853" s="109" t="s">
        <v>120</v>
      </c>
      <c r="E4853" s="109">
        <v>484</v>
      </c>
      <c r="F4853" s="110">
        <v>9935</v>
      </c>
      <c r="G4853" s="109" t="s">
        <v>120</v>
      </c>
      <c r="H4853" s="109">
        <v>21</v>
      </c>
      <c r="I4853" s="109">
        <v>5</v>
      </c>
      <c r="J4853" s="110">
        <v>882</v>
      </c>
    </row>
    <row r="4854" spans="1:10">
      <c r="A4854" s="103" t="s">
        <v>7273</v>
      </c>
      <c r="B4854" s="124" t="s">
        <v>932</v>
      </c>
      <c r="C4854" s="110">
        <v>1815</v>
      </c>
      <c r="D4854" s="109" t="s">
        <v>120</v>
      </c>
      <c r="E4854" s="109">
        <v>18</v>
      </c>
      <c r="F4854" s="110">
        <v>5099</v>
      </c>
      <c r="G4854" s="109" t="s">
        <v>120</v>
      </c>
      <c r="H4854" s="109">
        <v>281</v>
      </c>
      <c r="I4854" s="109" t="s">
        <v>122</v>
      </c>
      <c r="J4854" s="110" t="s">
        <v>122</v>
      </c>
    </row>
    <row r="4855" spans="1:10">
      <c r="A4855" s="103" t="s">
        <v>7274</v>
      </c>
      <c r="B4855" s="124" t="s">
        <v>934</v>
      </c>
      <c r="C4855" s="110">
        <v>46635</v>
      </c>
      <c r="D4855" s="109" t="s">
        <v>120</v>
      </c>
      <c r="E4855" s="109">
        <v>466</v>
      </c>
      <c r="F4855" s="110">
        <v>4836</v>
      </c>
      <c r="G4855" s="109" t="s">
        <v>120</v>
      </c>
      <c r="H4855" s="109">
        <v>10</v>
      </c>
      <c r="I4855" s="109" t="s">
        <v>122</v>
      </c>
      <c r="J4855" s="110" t="s">
        <v>122</v>
      </c>
    </row>
    <row r="4856" spans="1:10" s="119" customFormat="1">
      <c r="A4856" s="123" t="s">
        <v>120</v>
      </c>
      <c r="B4856" s="273" t="s">
        <v>7275</v>
      </c>
      <c r="C4856" s="274"/>
      <c r="D4856" s="274"/>
      <c r="E4856" s="274"/>
      <c r="F4856" s="274"/>
      <c r="G4856" s="274"/>
      <c r="H4856" s="274"/>
      <c r="I4856" s="274"/>
      <c r="J4856" s="274"/>
    </row>
    <row r="4857" spans="1:10" s="119" customFormat="1">
      <c r="A4857" s="123" t="s">
        <v>120</v>
      </c>
      <c r="B4857" s="275" t="s">
        <v>1019</v>
      </c>
      <c r="C4857" s="276"/>
      <c r="D4857" s="276"/>
      <c r="E4857" s="276"/>
      <c r="F4857" s="276"/>
      <c r="G4857" s="276"/>
      <c r="H4857" s="276"/>
      <c r="I4857" s="276"/>
      <c r="J4857" s="276"/>
    </row>
    <row r="4858" spans="1:10">
      <c r="A4858" s="103" t="s">
        <v>7276</v>
      </c>
      <c r="B4858" s="124" t="s">
        <v>7277</v>
      </c>
      <c r="C4858" s="110">
        <v>2238</v>
      </c>
      <c r="D4858" s="109" t="s">
        <v>120</v>
      </c>
      <c r="E4858" s="109">
        <v>22</v>
      </c>
      <c r="F4858" s="110">
        <v>15468</v>
      </c>
      <c r="G4858" s="109" t="s">
        <v>120</v>
      </c>
      <c r="H4858" s="109">
        <v>691</v>
      </c>
      <c r="I4858" s="109">
        <v>2212</v>
      </c>
      <c r="J4858" s="110">
        <v>497</v>
      </c>
    </row>
    <row r="4859" spans="1:10" s="119" customFormat="1">
      <c r="A4859" s="123" t="s">
        <v>120</v>
      </c>
      <c r="B4859" s="275" t="s">
        <v>943</v>
      </c>
      <c r="C4859" s="276"/>
      <c r="D4859" s="276"/>
      <c r="E4859" s="276"/>
      <c r="F4859" s="276"/>
      <c r="G4859" s="276"/>
      <c r="H4859" s="276"/>
      <c r="I4859" s="276"/>
      <c r="J4859" s="276"/>
    </row>
    <row r="4860" spans="1:10">
      <c r="A4860" s="103" t="s">
        <v>7278</v>
      </c>
      <c r="B4860" s="124" t="s">
        <v>7279</v>
      </c>
      <c r="C4860" s="110">
        <v>11081</v>
      </c>
      <c r="D4860" s="109" t="s">
        <v>120</v>
      </c>
      <c r="E4860" s="109">
        <v>111</v>
      </c>
      <c r="F4860" s="110">
        <v>2766</v>
      </c>
      <c r="G4860" s="109" t="s">
        <v>120</v>
      </c>
      <c r="H4860" s="109">
        <v>25</v>
      </c>
      <c r="I4860" s="109">
        <v>1205</v>
      </c>
      <c r="J4860" s="110">
        <v>2228</v>
      </c>
    </row>
    <row r="4861" spans="1:10">
      <c r="A4861" s="103" t="s">
        <v>7280</v>
      </c>
      <c r="B4861" s="124" t="s">
        <v>7281</v>
      </c>
      <c r="C4861" s="110">
        <v>17968</v>
      </c>
      <c r="D4861" s="109" t="s">
        <v>120</v>
      </c>
      <c r="E4861" s="109">
        <v>180</v>
      </c>
      <c r="F4861" s="110">
        <v>3560</v>
      </c>
      <c r="G4861" s="109" t="s">
        <v>120</v>
      </c>
      <c r="H4861" s="109">
        <v>20</v>
      </c>
      <c r="I4861" s="109">
        <v>452</v>
      </c>
      <c r="J4861" s="110">
        <v>2100</v>
      </c>
    </row>
    <row r="4862" spans="1:10">
      <c r="A4862" s="103" t="s">
        <v>7282</v>
      </c>
      <c r="B4862" s="124" t="s">
        <v>7283</v>
      </c>
      <c r="C4862" s="110">
        <v>18866</v>
      </c>
      <c r="D4862" s="109" t="s">
        <v>120</v>
      </c>
      <c r="E4862" s="109">
        <v>189</v>
      </c>
      <c r="F4862" s="110">
        <v>3994</v>
      </c>
      <c r="G4862" s="109" t="s">
        <v>120</v>
      </c>
      <c r="H4862" s="109">
        <v>21</v>
      </c>
      <c r="I4862" s="109">
        <v>399</v>
      </c>
      <c r="J4862" s="110">
        <v>1994</v>
      </c>
    </row>
    <row r="4863" spans="1:10">
      <c r="A4863" s="103" t="s">
        <v>7284</v>
      </c>
      <c r="B4863" s="124" t="s">
        <v>7277</v>
      </c>
      <c r="C4863" s="110">
        <v>24725</v>
      </c>
      <c r="D4863" s="109" t="s">
        <v>120</v>
      </c>
      <c r="E4863" s="109">
        <v>247</v>
      </c>
      <c r="F4863" s="110">
        <v>5818</v>
      </c>
      <c r="G4863" s="109" t="s">
        <v>120</v>
      </c>
      <c r="H4863" s="109">
        <v>24</v>
      </c>
      <c r="I4863" s="109">
        <v>187</v>
      </c>
      <c r="J4863" s="110">
        <v>1552</v>
      </c>
    </row>
    <row r="4864" spans="1:10" s="119" customFormat="1">
      <c r="A4864" s="123" t="s">
        <v>120</v>
      </c>
      <c r="B4864" s="275" t="s">
        <v>1026</v>
      </c>
      <c r="C4864" s="276"/>
      <c r="D4864" s="276"/>
      <c r="E4864" s="276"/>
      <c r="F4864" s="276"/>
      <c r="G4864" s="276"/>
      <c r="H4864" s="276"/>
      <c r="I4864" s="276"/>
      <c r="J4864" s="276"/>
    </row>
    <row r="4865" spans="1:10">
      <c r="A4865" s="103" t="s">
        <v>7285</v>
      </c>
      <c r="B4865" s="124" t="s">
        <v>7286</v>
      </c>
      <c r="C4865" s="110">
        <v>34428</v>
      </c>
      <c r="D4865" s="109" t="s">
        <v>120</v>
      </c>
      <c r="E4865" s="109">
        <v>344</v>
      </c>
      <c r="F4865" s="110">
        <v>15118</v>
      </c>
      <c r="G4865" s="109" t="s">
        <v>120</v>
      </c>
      <c r="H4865" s="109">
        <v>44</v>
      </c>
      <c r="I4865" s="109">
        <v>55</v>
      </c>
      <c r="J4865" s="110">
        <v>513</v>
      </c>
    </row>
    <row r="4866" spans="1:10">
      <c r="A4866" s="103" t="s">
        <v>7287</v>
      </c>
      <c r="B4866" s="124" t="s">
        <v>932</v>
      </c>
      <c r="C4866" s="110">
        <v>721</v>
      </c>
      <c r="D4866" s="109" t="s">
        <v>120</v>
      </c>
      <c r="E4866" s="109">
        <v>8</v>
      </c>
      <c r="F4866" s="110">
        <v>8020</v>
      </c>
      <c r="G4866" s="109" t="s">
        <v>120</v>
      </c>
      <c r="H4866" s="109">
        <v>1112</v>
      </c>
      <c r="I4866" s="109" t="s">
        <v>122</v>
      </c>
      <c r="J4866" s="110" t="s">
        <v>122</v>
      </c>
    </row>
    <row r="4867" spans="1:10">
      <c r="A4867" s="103" t="s">
        <v>7288</v>
      </c>
      <c r="B4867" s="124" t="s">
        <v>934</v>
      </c>
      <c r="C4867" s="110">
        <v>33707</v>
      </c>
      <c r="D4867" s="109" t="s">
        <v>120</v>
      </c>
      <c r="E4867" s="109">
        <v>336</v>
      </c>
      <c r="F4867" s="110">
        <v>7098</v>
      </c>
      <c r="G4867" s="109" t="s">
        <v>120</v>
      </c>
      <c r="H4867" s="109">
        <v>21</v>
      </c>
      <c r="I4867" s="109" t="s">
        <v>122</v>
      </c>
      <c r="J4867" s="110" t="s">
        <v>122</v>
      </c>
    </row>
    <row r="4868" spans="1:10" s="119" customFormat="1">
      <c r="A4868" s="123" t="s">
        <v>120</v>
      </c>
      <c r="B4868" s="273" t="s">
        <v>7289</v>
      </c>
      <c r="C4868" s="274"/>
      <c r="D4868" s="274"/>
      <c r="E4868" s="274"/>
      <c r="F4868" s="274"/>
      <c r="G4868" s="274"/>
      <c r="H4868" s="274"/>
      <c r="I4868" s="274"/>
      <c r="J4868" s="274"/>
    </row>
    <row r="4869" spans="1:10" s="119" customFormat="1">
      <c r="A4869" s="123" t="s">
        <v>120</v>
      </c>
      <c r="B4869" s="275" t="s">
        <v>922</v>
      </c>
      <c r="C4869" s="276"/>
      <c r="D4869" s="276"/>
      <c r="E4869" s="276"/>
      <c r="F4869" s="276"/>
      <c r="G4869" s="276"/>
      <c r="H4869" s="276"/>
      <c r="I4869" s="276"/>
      <c r="J4869" s="276"/>
    </row>
    <row r="4870" spans="1:10">
      <c r="A4870" s="103" t="s">
        <v>7290</v>
      </c>
      <c r="B4870" s="124" t="s">
        <v>7291</v>
      </c>
      <c r="C4870" s="110">
        <v>3817</v>
      </c>
      <c r="D4870" s="109" t="s">
        <v>120</v>
      </c>
      <c r="E4870" s="109">
        <v>38</v>
      </c>
      <c r="F4870" s="110">
        <v>25179</v>
      </c>
      <c r="G4870" s="109" t="s">
        <v>120</v>
      </c>
      <c r="H4870" s="109">
        <v>660</v>
      </c>
      <c r="I4870" s="109">
        <v>2104</v>
      </c>
      <c r="J4870" s="110">
        <v>247</v>
      </c>
    </row>
    <row r="4871" spans="1:10" s="119" customFormat="1">
      <c r="A4871" s="123" t="s">
        <v>120</v>
      </c>
      <c r="B4871" s="275" t="s">
        <v>1568</v>
      </c>
      <c r="C4871" s="276"/>
      <c r="D4871" s="276"/>
      <c r="E4871" s="276"/>
      <c r="F4871" s="276"/>
      <c r="G4871" s="276"/>
      <c r="H4871" s="276"/>
      <c r="I4871" s="276"/>
      <c r="J4871" s="276"/>
    </row>
    <row r="4872" spans="1:10">
      <c r="A4872" s="103" t="s">
        <v>7292</v>
      </c>
      <c r="B4872" s="124" t="s">
        <v>7291</v>
      </c>
      <c r="C4872" s="110">
        <v>57491</v>
      </c>
      <c r="D4872" s="105" t="s">
        <v>927</v>
      </c>
      <c r="E4872" s="109">
        <v>575</v>
      </c>
      <c r="F4872" s="110">
        <v>12677</v>
      </c>
      <c r="G4872" s="109" t="s">
        <v>120</v>
      </c>
      <c r="H4872" s="109">
        <v>22</v>
      </c>
      <c r="I4872" s="109">
        <v>2</v>
      </c>
      <c r="J4872" s="110">
        <v>653</v>
      </c>
    </row>
    <row r="4873" spans="1:10" s="119" customFormat="1">
      <c r="A4873" s="123" t="s">
        <v>120</v>
      </c>
      <c r="B4873" s="275" t="s">
        <v>947</v>
      </c>
      <c r="C4873" s="276"/>
      <c r="D4873" s="276"/>
      <c r="E4873" s="276"/>
      <c r="F4873" s="276"/>
      <c r="G4873" s="276"/>
      <c r="H4873" s="276"/>
      <c r="I4873" s="276"/>
      <c r="J4873" s="276"/>
    </row>
    <row r="4874" spans="1:10">
      <c r="A4874" s="103" t="s">
        <v>7293</v>
      </c>
      <c r="B4874" s="124" t="s">
        <v>7294</v>
      </c>
      <c r="C4874" s="110">
        <v>34905</v>
      </c>
      <c r="D4874" s="109" t="s">
        <v>120</v>
      </c>
      <c r="E4874" s="109">
        <v>349</v>
      </c>
      <c r="F4874" s="110">
        <v>4891</v>
      </c>
      <c r="G4874" s="109" t="s">
        <v>120</v>
      </c>
      <c r="H4874" s="109">
        <v>14</v>
      </c>
      <c r="I4874" s="109">
        <v>50</v>
      </c>
      <c r="J4874" s="110">
        <v>1769</v>
      </c>
    </row>
    <row r="4875" spans="1:10">
      <c r="A4875" s="103" t="s">
        <v>7295</v>
      </c>
      <c r="B4875" s="124" t="s">
        <v>932</v>
      </c>
      <c r="C4875" s="110">
        <v>627</v>
      </c>
      <c r="D4875" s="109" t="s">
        <v>120</v>
      </c>
      <c r="E4875" s="109">
        <v>6</v>
      </c>
      <c r="F4875" s="110">
        <v>2306</v>
      </c>
      <c r="G4875" s="109" t="s">
        <v>120</v>
      </c>
      <c r="H4875" s="109">
        <v>368</v>
      </c>
      <c r="I4875" s="109" t="s">
        <v>122</v>
      </c>
      <c r="J4875" s="110" t="s">
        <v>122</v>
      </c>
    </row>
    <row r="4876" spans="1:10">
      <c r="A4876" s="103" t="s">
        <v>7296</v>
      </c>
      <c r="B4876" s="124" t="s">
        <v>934</v>
      </c>
      <c r="C4876" s="110">
        <v>34278</v>
      </c>
      <c r="D4876" s="109" t="s">
        <v>120</v>
      </c>
      <c r="E4876" s="109">
        <v>343</v>
      </c>
      <c r="F4876" s="110">
        <v>2585</v>
      </c>
      <c r="G4876" s="109" t="s">
        <v>120</v>
      </c>
      <c r="H4876" s="109">
        <v>8</v>
      </c>
      <c r="I4876" s="109" t="s">
        <v>122</v>
      </c>
      <c r="J4876" s="110" t="s">
        <v>122</v>
      </c>
    </row>
    <row r="4877" spans="1:10">
      <c r="A4877" s="103" t="s">
        <v>7297</v>
      </c>
      <c r="B4877" s="124" t="s">
        <v>7298</v>
      </c>
      <c r="C4877" s="110">
        <v>20335</v>
      </c>
      <c r="D4877" s="109" t="s">
        <v>120</v>
      </c>
      <c r="E4877" s="109">
        <v>203</v>
      </c>
      <c r="F4877" s="110">
        <v>5402</v>
      </c>
      <c r="G4877" s="109" t="s">
        <v>120</v>
      </c>
      <c r="H4877" s="109">
        <v>27</v>
      </c>
      <c r="I4877" s="109">
        <v>325</v>
      </c>
      <c r="J4877" s="110">
        <v>1636</v>
      </c>
    </row>
    <row r="4878" spans="1:10">
      <c r="A4878" s="103" t="s">
        <v>7299</v>
      </c>
      <c r="B4878" s="124" t="s">
        <v>932</v>
      </c>
      <c r="C4878" s="110">
        <v>241</v>
      </c>
      <c r="D4878" s="109" t="s">
        <v>120</v>
      </c>
      <c r="E4878" s="109">
        <v>2</v>
      </c>
      <c r="F4878" s="110">
        <v>3066</v>
      </c>
      <c r="G4878" s="109" t="s">
        <v>120</v>
      </c>
      <c r="H4878" s="109">
        <v>1272</v>
      </c>
      <c r="I4878" s="109" t="s">
        <v>122</v>
      </c>
      <c r="J4878" s="110" t="s">
        <v>122</v>
      </c>
    </row>
    <row r="4879" spans="1:10">
      <c r="A4879" s="103" t="s">
        <v>7300</v>
      </c>
      <c r="B4879" s="124" t="s">
        <v>934</v>
      </c>
      <c r="C4879" s="110">
        <v>20094</v>
      </c>
      <c r="D4879" s="109" t="s">
        <v>120</v>
      </c>
      <c r="E4879" s="109">
        <v>201</v>
      </c>
      <c r="F4879" s="110">
        <v>2336</v>
      </c>
      <c r="G4879" s="109" t="s">
        <v>120</v>
      </c>
      <c r="H4879" s="109">
        <v>12</v>
      </c>
      <c r="I4879" s="109" t="s">
        <v>122</v>
      </c>
      <c r="J4879" s="110" t="s">
        <v>122</v>
      </c>
    </row>
    <row r="4880" spans="1:10">
      <c r="A4880" s="103" t="s">
        <v>7301</v>
      </c>
      <c r="B4880" s="124" t="s">
        <v>7302</v>
      </c>
      <c r="C4880" s="110">
        <v>24950</v>
      </c>
      <c r="D4880" s="109" t="s">
        <v>120</v>
      </c>
      <c r="E4880" s="109">
        <v>250</v>
      </c>
      <c r="F4880" s="110">
        <v>4890</v>
      </c>
      <c r="G4880" s="109" t="s">
        <v>120</v>
      </c>
      <c r="H4880" s="109">
        <v>20</v>
      </c>
      <c r="I4880" s="109">
        <v>184</v>
      </c>
      <c r="J4880" s="110">
        <v>1770</v>
      </c>
    </row>
    <row r="4881" spans="1:10">
      <c r="A4881" s="103" t="s">
        <v>7303</v>
      </c>
      <c r="B4881" s="124" t="s">
        <v>932</v>
      </c>
      <c r="C4881" s="110">
        <v>921</v>
      </c>
      <c r="D4881" s="109" t="s">
        <v>120</v>
      </c>
      <c r="E4881" s="109">
        <v>9</v>
      </c>
      <c r="F4881" s="110">
        <v>1913</v>
      </c>
      <c r="G4881" s="109" t="s">
        <v>120</v>
      </c>
      <c r="H4881" s="109">
        <v>208</v>
      </c>
      <c r="I4881" s="109" t="s">
        <v>122</v>
      </c>
      <c r="J4881" s="110" t="s">
        <v>122</v>
      </c>
    </row>
    <row r="4882" spans="1:10">
      <c r="A4882" s="103" t="s">
        <v>7304</v>
      </c>
      <c r="B4882" s="124" t="s">
        <v>934</v>
      </c>
      <c r="C4882" s="110">
        <v>24029</v>
      </c>
      <c r="D4882" s="109" t="s">
        <v>120</v>
      </c>
      <c r="E4882" s="109">
        <v>241</v>
      </c>
      <c r="F4882" s="110">
        <v>2977</v>
      </c>
      <c r="G4882" s="109" t="s">
        <v>120</v>
      </c>
      <c r="H4882" s="109">
        <v>12</v>
      </c>
      <c r="I4882" s="109" t="s">
        <v>122</v>
      </c>
      <c r="J4882" s="110" t="s">
        <v>122</v>
      </c>
    </row>
    <row r="4883" spans="1:10" s="119" customFormat="1">
      <c r="A4883" s="123" t="s">
        <v>120</v>
      </c>
      <c r="B4883" s="273" t="s">
        <v>2900</v>
      </c>
      <c r="C4883" s="274"/>
      <c r="D4883" s="274"/>
      <c r="E4883" s="274"/>
      <c r="F4883" s="274"/>
      <c r="G4883" s="274"/>
      <c r="H4883" s="274"/>
      <c r="I4883" s="274"/>
      <c r="J4883" s="274"/>
    </row>
    <row r="4884" spans="1:10">
      <c r="A4884" s="103" t="s">
        <v>7305</v>
      </c>
      <c r="B4884" s="124" t="s">
        <v>7306</v>
      </c>
      <c r="C4884" s="110">
        <v>9834</v>
      </c>
      <c r="D4884" s="109" t="s">
        <v>120</v>
      </c>
      <c r="E4884" s="109">
        <v>98</v>
      </c>
      <c r="F4884" s="110">
        <v>107048</v>
      </c>
      <c r="G4884" s="109" t="s">
        <v>120</v>
      </c>
      <c r="H4884" s="109">
        <v>1089</v>
      </c>
      <c r="I4884" s="109">
        <v>1416</v>
      </c>
      <c r="J4884" s="110">
        <v>37</v>
      </c>
    </row>
    <row r="4885" spans="1:10">
      <c r="A4885" s="103" t="s">
        <v>7307</v>
      </c>
      <c r="B4885" s="124" t="s">
        <v>7308</v>
      </c>
      <c r="C4885" s="110">
        <v>30060</v>
      </c>
      <c r="D4885" s="109" t="s">
        <v>120</v>
      </c>
      <c r="E4885" s="109">
        <v>301</v>
      </c>
      <c r="F4885" s="110">
        <v>401907</v>
      </c>
      <c r="G4885" s="105" t="s">
        <v>927</v>
      </c>
      <c r="H4885" s="109">
        <v>1337</v>
      </c>
      <c r="I4885" s="109">
        <v>96</v>
      </c>
      <c r="J4885" s="110">
        <v>7</v>
      </c>
    </row>
    <row r="4886" spans="1:10">
      <c r="A4886" s="103" t="s">
        <v>7309</v>
      </c>
      <c r="B4886" s="124" t="s">
        <v>7310</v>
      </c>
      <c r="C4886" s="110">
        <v>20207</v>
      </c>
      <c r="D4886" s="109" t="s">
        <v>120</v>
      </c>
      <c r="E4886" s="109">
        <v>202</v>
      </c>
      <c r="F4886" s="110">
        <v>40888</v>
      </c>
      <c r="G4886" s="109" t="s">
        <v>120</v>
      </c>
      <c r="H4886" s="109">
        <v>202</v>
      </c>
      <c r="I4886" s="109">
        <v>336</v>
      </c>
      <c r="J4886" s="110">
        <v>124</v>
      </c>
    </row>
    <row r="4887" spans="1:10" ht="0" hidden="1" customHeight="1">
      <c r="B4887" s="96"/>
    </row>
  </sheetData>
  <mergeCells count="1109">
    <mergeCell ref="B5:J5"/>
    <mergeCell ref="B6:J6"/>
    <mergeCell ref="B7:J7"/>
    <mergeCell ref="B9:J9"/>
    <mergeCell ref="B14:J14"/>
    <mergeCell ref="B18:J18"/>
    <mergeCell ref="A1:J1"/>
    <mergeCell ref="A3:A4"/>
    <mergeCell ref="B3:B4"/>
    <mergeCell ref="C3:E3"/>
    <mergeCell ref="F3:H3"/>
    <mergeCell ref="I3:J3"/>
    <mergeCell ref="B61:J61"/>
    <mergeCell ref="B65:J65"/>
    <mergeCell ref="B66:J66"/>
    <mergeCell ref="B71:J71"/>
    <mergeCell ref="B77:J77"/>
    <mergeCell ref="B78:J78"/>
    <mergeCell ref="B42:J42"/>
    <mergeCell ref="B43:J43"/>
    <mergeCell ref="B46:J46"/>
    <mergeCell ref="B53:J53"/>
    <mergeCell ref="B54:J54"/>
    <mergeCell ref="B56:J56"/>
    <mergeCell ref="B19:J19"/>
    <mergeCell ref="B23:J23"/>
    <mergeCell ref="B26:J26"/>
    <mergeCell ref="B33:J33"/>
    <mergeCell ref="B34:J34"/>
    <mergeCell ref="B36:J36"/>
    <mergeCell ref="B135:J135"/>
    <mergeCell ref="B139:J139"/>
    <mergeCell ref="B146:J146"/>
    <mergeCell ref="B147:J147"/>
    <mergeCell ref="B149:J149"/>
    <mergeCell ref="B152:J152"/>
    <mergeCell ref="B117:J117"/>
    <mergeCell ref="B118:J118"/>
    <mergeCell ref="B120:J120"/>
    <mergeCell ref="B127:J127"/>
    <mergeCell ref="B131:J131"/>
    <mergeCell ref="B132:J132"/>
    <mergeCell ref="B80:J80"/>
    <mergeCell ref="B83:J83"/>
    <mergeCell ref="B87:J87"/>
    <mergeCell ref="B88:J88"/>
    <mergeCell ref="B94:J94"/>
    <mergeCell ref="B98:J98"/>
    <mergeCell ref="B207:J207"/>
    <mergeCell ref="B211:J211"/>
    <mergeCell ref="B212:J212"/>
    <mergeCell ref="B216:J216"/>
    <mergeCell ref="B226:J226"/>
    <mergeCell ref="B227:J227"/>
    <mergeCell ref="B182:J182"/>
    <mergeCell ref="B184:J184"/>
    <mergeCell ref="B188:J188"/>
    <mergeCell ref="B201:J201"/>
    <mergeCell ref="B202:J202"/>
    <mergeCell ref="B204:J204"/>
    <mergeCell ref="B156:J156"/>
    <mergeCell ref="B157:J157"/>
    <mergeCell ref="B173:J173"/>
    <mergeCell ref="B174:J174"/>
    <mergeCell ref="B177:J177"/>
    <mergeCell ref="B181:J181"/>
    <mergeCell ref="B284:J284"/>
    <mergeCell ref="B288:J288"/>
    <mergeCell ref="B292:J292"/>
    <mergeCell ref="B299:J299"/>
    <mergeCell ref="B300:J300"/>
    <mergeCell ref="B302:J302"/>
    <mergeCell ref="B252:J252"/>
    <mergeCell ref="B256:J256"/>
    <mergeCell ref="B266:J266"/>
    <mergeCell ref="B267:J267"/>
    <mergeCell ref="B270:J270"/>
    <mergeCell ref="B283:J283"/>
    <mergeCell ref="B231:J231"/>
    <mergeCell ref="B238:J238"/>
    <mergeCell ref="B239:J239"/>
    <mergeCell ref="B244:J244"/>
    <mergeCell ref="B248:J248"/>
    <mergeCell ref="B249:J249"/>
    <mergeCell ref="B366:J366"/>
    <mergeCell ref="B370:J370"/>
    <mergeCell ref="B374:J374"/>
    <mergeCell ref="B379:J379"/>
    <mergeCell ref="B380:J380"/>
    <mergeCell ref="B381:J381"/>
    <mergeCell ref="B345:J345"/>
    <mergeCell ref="B346:J346"/>
    <mergeCell ref="B349:J349"/>
    <mergeCell ref="B352:J352"/>
    <mergeCell ref="B362:J362"/>
    <mergeCell ref="B363:J363"/>
    <mergeCell ref="B309:J309"/>
    <mergeCell ref="B310:J310"/>
    <mergeCell ref="B317:J317"/>
    <mergeCell ref="B327:J327"/>
    <mergeCell ref="B328:J328"/>
    <mergeCell ref="B332:J332"/>
    <mergeCell ref="B436:J436"/>
    <mergeCell ref="B438:J438"/>
    <mergeCell ref="B443:J443"/>
    <mergeCell ref="B447:J447"/>
    <mergeCell ref="B448:J448"/>
    <mergeCell ref="B453:J453"/>
    <mergeCell ref="B411:J411"/>
    <mergeCell ref="B418:J418"/>
    <mergeCell ref="B425:J425"/>
    <mergeCell ref="B426:J426"/>
    <mergeCell ref="B428:J428"/>
    <mergeCell ref="B435:J435"/>
    <mergeCell ref="B385:J385"/>
    <mergeCell ref="B392:J392"/>
    <mergeCell ref="B393:J393"/>
    <mergeCell ref="B395:J395"/>
    <mergeCell ref="B403:J403"/>
    <mergeCell ref="B410:J410"/>
    <mergeCell ref="B510:J510"/>
    <mergeCell ref="B512:J512"/>
    <mergeCell ref="B525:J525"/>
    <mergeCell ref="B526:J526"/>
    <mergeCell ref="B528:J528"/>
    <mergeCell ref="B534:J534"/>
    <mergeCell ref="B484:J484"/>
    <mergeCell ref="B491:J491"/>
    <mergeCell ref="B498:J498"/>
    <mergeCell ref="B499:J499"/>
    <mergeCell ref="B502:J502"/>
    <mergeCell ref="B509:J509"/>
    <mergeCell ref="B460:J460"/>
    <mergeCell ref="B461:J461"/>
    <mergeCell ref="B463:J463"/>
    <mergeCell ref="B468:J468"/>
    <mergeCell ref="B481:J481"/>
    <mergeCell ref="B482:J482"/>
    <mergeCell ref="B590:J590"/>
    <mergeCell ref="B591:J591"/>
    <mergeCell ref="B597:J597"/>
    <mergeCell ref="B601:J601"/>
    <mergeCell ref="B602:J602"/>
    <mergeCell ref="B604:J604"/>
    <mergeCell ref="B560:J560"/>
    <mergeCell ref="B561:J561"/>
    <mergeCell ref="B571:J571"/>
    <mergeCell ref="B578:J578"/>
    <mergeCell ref="B579:J579"/>
    <mergeCell ref="B581:J581"/>
    <mergeCell ref="B538:J538"/>
    <mergeCell ref="B539:J539"/>
    <mergeCell ref="B541:J541"/>
    <mergeCell ref="B547:J547"/>
    <mergeCell ref="B548:J548"/>
    <mergeCell ref="B550:J550"/>
    <mergeCell ref="B681:J681"/>
    <mergeCell ref="B682:J682"/>
    <mergeCell ref="B684:J684"/>
    <mergeCell ref="B695:J695"/>
    <mergeCell ref="B705:J705"/>
    <mergeCell ref="B706:J706"/>
    <mergeCell ref="B640:J640"/>
    <mergeCell ref="B653:J653"/>
    <mergeCell ref="B658:J658"/>
    <mergeCell ref="B659:J659"/>
    <mergeCell ref="B660:J660"/>
    <mergeCell ref="B663:J663"/>
    <mergeCell ref="B609:J609"/>
    <mergeCell ref="B610:J610"/>
    <mergeCell ref="B612:J612"/>
    <mergeCell ref="B620:J620"/>
    <mergeCell ref="B636:J636"/>
    <mergeCell ref="B637:J637"/>
    <mergeCell ref="B767:J767"/>
    <mergeCell ref="B769:J769"/>
    <mergeCell ref="B777:J777"/>
    <mergeCell ref="B784:J784"/>
    <mergeCell ref="B785:J785"/>
    <mergeCell ref="B787:J787"/>
    <mergeCell ref="B740:J740"/>
    <mergeCell ref="B746:J746"/>
    <mergeCell ref="B753:J753"/>
    <mergeCell ref="B754:J754"/>
    <mergeCell ref="B756:J756"/>
    <mergeCell ref="B766:J766"/>
    <mergeCell ref="B708:J708"/>
    <mergeCell ref="B721:J721"/>
    <mergeCell ref="B728:J728"/>
    <mergeCell ref="B729:J729"/>
    <mergeCell ref="B731:J731"/>
    <mergeCell ref="B739:J739"/>
    <mergeCell ref="B859:J859"/>
    <mergeCell ref="B869:J869"/>
    <mergeCell ref="B870:J870"/>
    <mergeCell ref="B877:J877"/>
    <mergeCell ref="B881:J881"/>
    <mergeCell ref="B882:J882"/>
    <mergeCell ref="B835:J835"/>
    <mergeCell ref="B839:J839"/>
    <mergeCell ref="B840:J840"/>
    <mergeCell ref="B843:J843"/>
    <mergeCell ref="B853:J853"/>
    <mergeCell ref="B854:J854"/>
    <mergeCell ref="B798:J798"/>
    <mergeCell ref="B805:J805"/>
    <mergeCell ref="B806:J806"/>
    <mergeCell ref="B821:J821"/>
    <mergeCell ref="B828:J828"/>
    <mergeCell ref="B829:J829"/>
    <mergeCell ref="B930:J930"/>
    <mergeCell ref="B934:J934"/>
    <mergeCell ref="B935:J935"/>
    <mergeCell ref="B937:J937"/>
    <mergeCell ref="B947:J947"/>
    <mergeCell ref="B957:J957"/>
    <mergeCell ref="B912:J912"/>
    <mergeCell ref="B914:J914"/>
    <mergeCell ref="B919:J919"/>
    <mergeCell ref="B923:J923"/>
    <mergeCell ref="B924:J924"/>
    <mergeCell ref="B926:J926"/>
    <mergeCell ref="B884:J884"/>
    <mergeCell ref="B893:J893"/>
    <mergeCell ref="B900:J900"/>
    <mergeCell ref="B901:J901"/>
    <mergeCell ref="B903:J903"/>
    <mergeCell ref="B911:J911"/>
    <mergeCell ref="B1012:J1012"/>
    <mergeCell ref="B1014:J1014"/>
    <mergeCell ref="B1020:J1020"/>
    <mergeCell ref="B1024:J1024"/>
    <mergeCell ref="B1025:J1025"/>
    <mergeCell ref="B1029:J1029"/>
    <mergeCell ref="B997:J997"/>
    <mergeCell ref="B998:J998"/>
    <mergeCell ref="B999:J999"/>
    <mergeCell ref="B1001:J1001"/>
    <mergeCell ref="B1007:J1007"/>
    <mergeCell ref="B1011:J1011"/>
    <mergeCell ref="B958:J958"/>
    <mergeCell ref="B960:J960"/>
    <mergeCell ref="B968:J968"/>
    <mergeCell ref="B969:J969"/>
    <mergeCell ref="B982:J982"/>
    <mergeCell ref="B992:J992"/>
    <mergeCell ref="B1093:J1093"/>
    <mergeCell ref="B1103:J1103"/>
    <mergeCell ref="B1104:J1104"/>
    <mergeCell ref="B1109:J1109"/>
    <mergeCell ref="B1116:J1116"/>
    <mergeCell ref="B1117:J1117"/>
    <mergeCell ref="B1062:J1062"/>
    <mergeCell ref="B1075:J1075"/>
    <mergeCell ref="B1076:J1076"/>
    <mergeCell ref="B1079:J1079"/>
    <mergeCell ref="B1089:J1089"/>
    <mergeCell ref="B1090:J1090"/>
    <mergeCell ref="B1039:J1039"/>
    <mergeCell ref="B1040:J1040"/>
    <mergeCell ref="B1042:J1042"/>
    <mergeCell ref="B1046:J1046"/>
    <mergeCell ref="B1059:J1059"/>
    <mergeCell ref="B1060:J1060"/>
    <mergeCell ref="B1189:J1189"/>
    <mergeCell ref="B1190:J1190"/>
    <mergeCell ref="B1191:J1191"/>
    <mergeCell ref="B1193:J1193"/>
    <mergeCell ref="B1200:J1200"/>
    <mergeCell ref="B1204:J1204"/>
    <mergeCell ref="B1158:J1158"/>
    <mergeCell ref="B1168:J1168"/>
    <mergeCell ref="B1169:J1169"/>
    <mergeCell ref="B1172:J1172"/>
    <mergeCell ref="B1179:J1179"/>
    <mergeCell ref="B1186:J1186"/>
    <mergeCell ref="B1127:J1127"/>
    <mergeCell ref="B1128:J1128"/>
    <mergeCell ref="B1133:J1133"/>
    <mergeCell ref="B1149:J1149"/>
    <mergeCell ref="B1150:J1150"/>
    <mergeCell ref="B1153:J1153"/>
    <mergeCell ref="B1251:J1251"/>
    <mergeCell ref="B1255:J1255"/>
    <mergeCell ref="B1256:J1256"/>
    <mergeCell ref="B1258:J1258"/>
    <mergeCell ref="B1268:J1268"/>
    <mergeCell ref="B1269:J1269"/>
    <mergeCell ref="B1231:J1231"/>
    <mergeCell ref="B1232:J1232"/>
    <mergeCell ref="B1237:J1237"/>
    <mergeCell ref="B1241:J1241"/>
    <mergeCell ref="B1242:J1242"/>
    <mergeCell ref="B1244:J1244"/>
    <mergeCell ref="B1205:J1205"/>
    <mergeCell ref="B1207:J1207"/>
    <mergeCell ref="B1212:J1212"/>
    <mergeCell ref="B1213:J1213"/>
    <mergeCell ref="B1215:J1215"/>
    <mergeCell ref="B1224:J1224"/>
    <mergeCell ref="B1334:J1334"/>
    <mergeCell ref="B1341:J1341"/>
    <mergeCell ref="B1342:J1342"/>
    <mergeCell ref="B1347:J1347"/>
    <mergeCell ref="B1354:J1354"/>
    <mergeCell ref="B1355:J1355"/>
    <mergeCell ref="B1302:J1302"/>
    <mergeCell ref="B1308:J1308"/>
    <mergeCell ref="B1309:J1309"/>
    <mergeCell ref="B1316:J1316"/>
    <mergeCell ref="B1323:J1323"/>
    <mergeCell ref="B1324:J1324"/>
    <mergeCell ref="B1273:J1273"/>
    <mergeCell ref="B1283:J1283"/>
    <mergeCell ref="B1284:J1284"/>
    <mergeCell ref="B1291:J1291"/>
    <mergeCell ref="B1298:J1298"/>
    <mergeCell ref="B1299:J1299"/>
    <mergeCell ref="B1420:J1420"/>
    <mergeCell ref="B1421:J1421"/>
    <mergeCell ref="B1423:J1423"/>
    <mergeCell ref="B1434:J1434"/>
    <mergeCell ref="B1435:J1435"/>
    <mergeCell ref="B1445:J1445"/>
    <mergeCell ref="B1388:J1388"/>
    <mergeCell ref="B1389:J1389"/>
    <mergeCell ref="B1391:J1391"/>
    <mergeCell ref="B1399:J1399"/>
    <mergeCell ref="B1409:J1409"/>
    <mergeCell ref="B1410:J1410"/>
    <mergeCell ref="B1357:J1357"/>
    <mergeCell ref="B1369:J1369"/>
    <mergeCell ref="B1376:J1376"/>
    <mergeCell ref="B1377:J1377"/>
    <mergeCell ref="B1379:J1379"/>
    <mergeCell ref="B1384:J1384"/>
    <mergeCell ref="B1494:J1494"/>
    <mergeCell ref="B1495:J1495"/>
    <mergeCell ref="B1496:J1496"/>
    <mergeCell ref="B1498:J1498"/>
    <mergeCell ref="B1506:J1506"/>
    <mergeCell ref="B1510:J1510"/>
    <mergeCell ref="B1469:J1469"/>
    <mergeCell ref="B1473:J1473"/>
    <mergeCell ref="B1474:J1474"/>
    <mergeCell ref="B1478:J1478"/>
    <mergeCell ref="B1483:J1483"/>
    <mergeCell ref="B1490:J1490"/>
    <mergeCell ref="B1449:J1449"/>
    <mergeCell ref="B1450:J1450"/>
    <mergeCell ref="B1456:J1456"/>
    <mergeCell ref="B1463:J1463"/>
    <mergeCell ref="B1464:J1464"/>
    <mergeCell ref="B1466:J1466"/>
    <mergeCell ref="B1572:J1572"/>
    <mergeCell ref="B1573:J1573"/>
    <mergeCell ref="B1586:J1586"/>
    <mergeCell ref="B1602:J1602"/>
    <mergeCell ref="B1603:J1603"/>
    <mergeCell ref="B1606:J1606"/>
    <mergeCell ref="B1541:J1541"/>
    <mergeCell ref="B1547:J1547"/>
    <mergeCell ref="B1554:J1554"/>
    <mergeCell ref="B1555:J1555"/>
    <mergeCell ref="B1557:J1557"/>
    <mergeCell ref="B1565:J1565"/>
    <mergeCell ref="B1511:J1511"/>
    <mergeCell ref="B1517:J1517"/>
    <mergeCell ref="B1524:J1524"/>
    <mergeCell ref="B1525:J1525"/>
    <mergeCell ref="B1527:J1527"/>
    <mergeCell ref="B1540:J1540"/>
    <mergeCell ref="B1678:J1678"/>
    <mergeCell ref="B1690:J1690"/>
    <mergeCell ref="B1697:J1697"/>
    <mergeCell ref="B1698:J1698"/>
    <mergeCell ref="B1700:J1700"/>
    <mergeCell ref="B1704:J1704"/>
    <mergeCell ref="B1647:J1647"/>
    <mergeCell ref="B1648:J1648"/>
    <mergeCell ref="B1650:J1650"/>
    <mergeCell ref="B1662:J1662"/>
    <mergeCell ref="B1675:J1675"/>
    <mergeCell ref="B1676:J1676"/>
    <mergeCell ref="B1617:J1617"/>
    <mergeCell ref="B1618:J1618"/>
    <mergeCell ref="B1625:J1625"/>
    <mergeCell ref="B1629:J1629"/>
    <mergeCell ref="B1630:J1630"/>
    <mergeCell ref="B1637:J1637"/>
    <mergeCell ref="B1763:J1763"/>
    <mergeCell ref="B1773:J1773"/>
    <mergeCell ref="B1795:J1795"/>
    <mergeCell ref="B1796:J1796"/>
    <mergeCell ref="B1798:J1798"/>
    <mergeCell ref="B1803:J1803"/>
    <mergeCell ref="B1737:J1737"/>
    <mergeCell ref="B1747:J1747"/>
    <mergeCell ref="B1748:J1748"/>
    <mergeCell ref="B1751:J1751"/>
    <mergeCell ref="B1758:J1758"/>
    <mergeCell ref="B1762:J1762"/>
    <mergeCell ref="B1711:J1711"/>
    <mergeCell ref="B1712:J1712"/>
    <mergeCell ref="B1714:J1714"/>
    <mergeCell ref="B1719:J1719"/>
    <mergeCell ref="B1732:J1732"/>
    <mergeCell ref="B1733:J1733"/>
    <mergeCell ref="B1855:J1855"/>
    <mergeCell ref="B1863:J1863"/>
    <mergeCell ref="B1867:J1867"/>
    <mergeCell ref="B1868:J1868"/>
    <mergeCell ref="B1871:J1871"/>
    <mergeCell ref="B1882:J1882"/>
    <mergeCell ref="B1838:J1838"/>
    <mergeCell ref="B1839:J1839"/>
    <mergeCell ref="B1840:J1840"/>
    <mergeCell ref="B1845:J1845"/>
    <mergeCell ref="B1852:J1852"/>
    <mergeCell ref="B1853:J1853"/>
    <mergeCell ref="B1804:J1804"/>
    <mergeCell ref="B1812:J1812"/>
    <mergeCell ref="B1822:J1822"/>
    <mergeCell ref="B1823:J1823"/>
    <mergeCell ref="B1827:J1827"/>
    <mergeCell ref="B1834:J1834"/>
    <mergeCell ref="B1934:J1934"/>
    <mergeCell ref="B1941:J1941"/>
    <mergeCell ref="B1945:J1945"/>
    <mergeCell ref="B1946:J1946"/>
    <mergeCell ref="B1948:J1948"/>
    <mergeCell ref="B1952:J1952"/>
    <mergeCell ref="B1904:J1904"/>
    <mergeCell ref="B1908:J1908"/>
    <mergeCell ref="B1912:J1912"/>
    <mergeCell ref="B1913:J1913"/>
    <mergeCell ref="B1920:J1920"/>
    <mergeCell ref="B1933:J1933"/>
    <mergeCell ref="B1889:J1889"/>
    <mergeCell ref="B1890:J1890"/>
    <mergeCell ref="B1892:J1892"/>
    <mergeCell ref="B1896:J1896"/>
    <mergeCell ref="B1900:J1900"/>
    <mergeCell ref="B1901:J1901"/>
    <mergeCell ref="B1998:J1998"/>
    <mergeCell ref="B2007:J2007"/>
    <mergeCell ref="B2017:J2017"/>
    <mergeCell ref="B2018:J2018"/>
    <mergeCell ref="B2020:J2020"/>
    <mergeCell ref="B2030:J2030"/>
    <mergeCell ref="B1978:J1978"/>
    <mergeCell ref="B1979:J1979"/>
    <mergeCell ref="B1981:J1981"/>
    <mergeCell ref="B1990:J1990"/>
    <mergeCell ref="B1994:J1994"/>
    <mergeCell ref="B1995:J1995"/>
    <mergeCell ref="B1956:J1956"/>
    <mergeCell ref="B1957:J1957"/>
    <mergeCell ref="B1963:J1963"/>
    <mergeCell ref="B1967:J1967"/>
    <mergeCell ref="B1968:J1968"/>
    <mergeCell ref="B1974:J1974"/>
    <mergeCell ref="B2081:J2081"/>
    <mergeCell ref="B2087:J2087"/>
    <mergeCell ref="B2091:J2091"/>
    <mergeCell ref="B2092:J2092"/>
    <mergeCell ref="B2095:J2095"/>
    <mergeCell ref="B2108:J2108"/>
    <mergeCell ref="B2060:J2060"/>
    <mergeCell ref="B2061:J2061"/>
    <mergeCell ref="B2063:J2063"/>
    <mergeCell ref="B2073:J2073"/>
    <mergeCell ref="B2077:J2077"/>
    <mergeCell ref="B2078:J2078"/>
    <mergeCell ref="B2031:J2031"/>
    <mergeCell ref="B2033:J2033"/>
    <mergeCell ref="B2037:J2037"/>
    <mergeCell ref="B2044:J2044"/>
    <mergeCell ref="B2045:J2045"/>
    <mergeCell ref="B2056:J2056"/>
    <mergeCell ref="B2165:J2165"/>
    <mergeCell ref="B2171:J2171"/>
    <mergeCell ref="B2175:J2175"/>
    <mergeCell ref="B2176:J2176"/>
    <mergeCell ref="B2184:J2184"/>
    <mergeCell ref="B2188:J2188"/>
    <mergeCell ref="B2150:J2150"/>
    <mergeCell ref="B2151:J2151"/>
    <mergeCell ref="B2154:J2154"/>
    <mergeCell ref="B2158:J2158"/>
    <mergeCell ref="B2162:J2162"/>
    <mergeCell ref="B2163:J2163"/>
    <mergeCell ref="B2109:J2109"/>
    <mergeCell ref="B2122:J2122"/>
    <mergeCell ref="B2132:J2132"/>
    <mergeCell ref="B2133:J2133"/>
    <mergeCell ref="B2136:J2136"/>
    <mergeCell ref="B2146:J2146"/>
    <mergeCell ref="B2249:J2249"/>
    <mergeCell ref="B2250:J2250"/>
    <mergeCell ref="B2252:J2252"/>
    <mergeCell ref="B2260:J2260"/>
    <mergeCell ref="B2261:J2261"/>
    <mergeCell ref="B2263:J2263"/>
    <mergeCell ref="B2221:J2221"/>
    <mergeCell ref="B2222:J2222"/>
    <mergeCell ref="B2235:J2235"/>
    <mergeCell ref="B2239:J2239"/>
    <mergeCell ref="B2240:J2240"/>
    <mergeCell ref="B2242:J2242"/>
    <mergeCell ref="B2189:J2189"/>
    <mergeCell ref="B2196:J2196"/>
    <mergeCell ref="B2200:J2200"/>
    <mergeCell ref="B2201:J2201"/>
    <mergeCell ref="B2203:J2203"/>
    <mergeCell ref="B2214:J2214"/>
    <mergeCell ref="B2317:J2317"/>
    <mergeCell ref="B2322:J2322"/>
    <mergeCell ref="B2328:J2328"/>
    <mergeCell ref="B2338:J2338"/>
    <mergeCell ref="B2339:J2339"/>
    <mergeCell ref="B2345:J2345"/>
    <mergeCell ref="B2291:J2291"/>
    <mergeCell ref="B2301:J2301"/>
    <mergeCell ref="B2302:J2302"/>
    <mergeCell ref="B2304:J2304"/>
    <mergeCell ref="B2312:J2312"/>
    <mergeCell ref="B2316:J2316"/>
    <mergeCell ref="B2271:J2271"/>
    <mergeCell ref="B2275:J2275"/>
    <mergeCell ref="B2276:J2276"/>
    <mergeCell ref="B2281:J2281"/>
    <mergeCell ref="B2285:J2285"/>
    <mergeCell ref="B2286:J2286"/>
    <mergeCell ref="B2410:J2410"/>
    <mergeCell ref="B2411:J2411"/>
    <mergeCell ref="B2412:J2412"/>
    <mergeCell ref="B2414:J2414"/>
    <mergeCell ref="B2418:J2418"/>
    <mergeCell ref="B2425:J2425"/>
    <mergeCell ref="B2374:J2374"/>
    <mergeCell ref="B2375:J2375"/>
    <mergeCell ref="B2377:J2377"/>
    <mergeCell ref="B2381:J2381"/>
    <mergeCell ref="B2385:J2385"/>
    <mergeCell ref="B2391:J2391"/>
    <mergeCell ref="B2349:J2349"/>
    <mergeCell ref="B2350:J2350"/>
    <mergeCell ref="B2355:J2355"/>
    <mergeCell ref="B2359:J2359"/>
    <mergeCell ref="B2360:J2360"/>
    <mergeCell ref="B2364:J2364"/>
    <mergeCell ref="B2475:J2475"/>
    <mergeCell ref="B2480:J2480"/>
    <mergeCell ref="B2484:J2484"/>
    <mergeCell ref="B2485:J2485"/>
    <mergeCell ref="B2490:J2490"/>
    <mergeCell ref="B2506:J2506"/>
    <mergeCell ref="B2448:J2448"/>
    <mergeCell ref="B2450:J2450"/>
    <mergeCell ref="B2460:J2460"/>
    <mergeCell ref="B2461:J2461"/>
    <mergeCell ref="B2464:J2464"/>
    <mergeCell ref="B2474:J2474"/>
    <mergeCell ref="B2426:J2426"/>
    <mergeCell ref="B2428:J2428"/>
    <mergeCell ref="B2438:J2438"/>
    <mergeCell ref="B2439:J2439"/>
    <mergeCell ref="B2441:J2441"/>
    <mergeCell ref="B2447:J2447"/>
    <mergeCell ref="B2583:J2583"/>
    <mergeCell ref="B2584:J2584"/>
    <mergeCell ref="B2585:J2585"/>
    <mergeCell ref="B2588:J2588"/>
    <mergeCell ref="B2592:J2592"/>
    <mergeCell ref="B2593:J2593"/>
    <mergeCell ref="B2549:J2549"/>
    <mergeCell ref="B2551:J2551"/>
    <mergeCell ref="B2561:J2561"/>
    <mergeCell ref="B2562:J2562"/>
    <mergeCell ref="B2565:J2565"/>
    <mergeCell ref="B2581:J2581"/>
    <mergeCell ref="B2507:J2507"/>
    <mergeCell ref="B2511:J2511"/>
    <mergeCell ref="B2524:J2524"/>
    <mergeCell ref="B2525:J2525"/>
    <mergeCell ref="B2535:J2535"/>
    <mergeCell ref="B2548:J2548"/>
    <mergeCell ref="B2647:J2647"/>
    <mergeCell ref="B2651:J2651"/>
    <mergeCell ref="B2652:J2652"/>
    <mergeCell ref="B2658:J2658"/>
    <mergeCell ref="B2662:J2662"/>
    <mergeCell ref="B2663:J2663"/>
    <mergeCell ref="B2619:J2619"/>
    <mergeCell ref="B2622:J2622"/>
    <mergeCell ref="B2631:J2631"/>
    <mergeCell ref="B2635:J2635"/>
    <mergeCell ref="B2636:J2636"/>
    <mergeCell ref="B2638:J2638"/>
    <mergeCell ref="B2599:J2599"/>
    <mergeCell ref="B2603:J2603"/>
    <mergeCell ref="B2604:J2604"/>
    <mergeCell ref="B2606:J2606"/>
    <mergeCell ref="B2611:J2611"/>
    <mergeCell ref="B2618:J2618"/>
    <mergeCell ref="B2722:J2722"/>
    <mergeCell ref="B2723:J2723"/>
    <mergeCell ref="B2725:J2725"/>
    <mergeCell ref="B2732:J2732"/>
    <mergeCell ref="B2733:J2733"/>
    <mergeCell ref="B2735:J2735"/>
    <mergeCell ref="B2696:J2696"/>
    <mergeCell ref="B2700:J2700"/>
    <mergeCell ref="B2704:J2704"/>
    <mergeCell ref="B2705:J2705"/>
    <mergeCell ref="B2707:J2707"/>
    <mergeCell ref="B2712:J2712"/>
    <mergeCell ref="B2670:J2670"/>
    <mergeCell ref="B2683:J2683"/>
    <mergeCell ref="B2684:J2684"/>
    <mergeCell ref="B2689:J2689"/>
    <mergeCell ref="B2693:J2693"/>
    <mergeCell ref="B2694:J2694"/>
    <mergeCell ref="B2800:J2800"/>
    <mergeCell ref="B2807:J2807"/>
    <mergeCell ref="B2808:J2808"/>
    <mergeCell ref="B2810:J2810"/>
    <mergeCell ref="B2819:J2819"/>
    <mergeCell ref="B2835:J2835"/>
    <mergeCell ref="B2778:J2778"/>
    <mergeCell ref="B2779:J2779"/>
    <mergeCell ref="B2781:J2781"/>
    <mergeCell ref="B2788:J2788"/>
    <mergeCell ref="B2795:J2795"/>
    <mergeCell ref="B2796:J2796"/>
    <mergeCell ref="B2743:J2743"/>
    <mergeCell ref="B2750:J2750"/>
    <mergeCell ref="B2751:J2751"/>
    <mergeCell ref="B2756:J2756"/>
    <mergeCell ref="B2766:J2766"/>
    <mergeCell ref="B2767:J2767"/>
    <mergeCell ref="B2875:J2875"/>
    <mergeCell ref="B2882:J2882"/>
    <mergeCell ref="B2887:J2887"/>
    <mergeCell ref="B2888:J2888"/>
    <mergeCell ref="B2889:J2889"/>
    <mergeCell ref="B2891:J2891"/>
    <mergeCell ref="B2857:J2857"/>
    <mergeCell ref="B2861:J2861"/>
    <mergeCell ref="B2862:J2862"/>
    <mergeCell ref="B2867:J2867"/>
    <mergeCell ref="B2871:J2871"/>
    <mergeCell ref="B2872:J2872"/>
    <mergeCell ref="B2836:J2836"/>
    <mergeCell ref="B2838:J2838"/>
    <mergeCell ref="B2845:J2845"/>
    <mergeCell ref="B2849:J2849"/>
    <mergeCell ref="B2850:J2850"/>
    <mergeCell ref="B2852:J2852"/>
    <mergeCell ref="B2963:J2963"/>
    <mergeCell ref="B2965:J2965"/>
    <mergeCell ref="B2973:J2973"/>
    <mergeCell ref="B2977:J2977"/>
    <mergeCell ref="B2978:J2978"/>
    <mergeCell ref="B2980:J2980"/>
    <mergeCell ref="B2941:J2941"/>
    <mergeCell ref="B2948:J2948"/>
    <mergeCell ref="B2949:J2949"/>
    <mergeCell ref="B2951:J2951"/>
    <mergeCell ref="B2955:J2955"/>
    <mergeCell ref="B2962:J2962"/>
    <mergeCell ref="B2897:J2897"/>
    <mergeCell ref="B2901:J2901"/>
    <mergeCell ref="B2902:J2902"/>
    <mergeCell ref="B2909:J2909"/>
    <mergeCell ref="B2937:J2937"/>
    <mergeCell ref="B2938:J2938"/>
    <mergeCell ref="B3032:J3032"/>
    <mergeCell ref="B3040:J3040"/>
    <mergeCell ref="B3044:J3044"/>
    <mergeCell ref="B3045:J3045"/>
    <mergeCell ref="B3052:J3052"/>
    <mergeCell ref="B3065:J3065"/>
    <mergeCell ref="B3011:J3011"/>
    <mergeCell ref="B3021:J3021"/>
    <mergeCell ref="B3022:J3022"/>
    <mergeCell ref="B3024:J3024"/>
    <mergeCell ref="B3029:J3029"/>
    <mergeCell ref="B3030:J3030"/>
    <mergeCell ref="B2985:J2985"/>
    <mergeCell ref="B2989:J2989"/>
    <mergeCell ref="B2990:J2990"/>
    <mergeCell ref="B2998:J2998"/>
    <mergeCell ref="B3005:J3005"/>
    <mergeCell ref="B3006:J3006"/>
    <mergeCell ref="B3119:J3119"/>
    <mergeCell ref="B3126:J3126"/>
    <mergeCell ref="B3127:J3127"/>
    <mergeCell ref="B3129:J3129"/>
    <mergeCell ref="B3132:J3132"/>
    <mergeCell ref="B3139:J3139"/>
    <mergeCell ref="B3097:J3097"/>
    <mergeCell ref="B3099:J3099"/>
    <mergeCell ref="B3104:J3104"/>
    <mergeCell ref="B3108:J3108"/>
    <mergeCell ref="B3109:J3109"/>
    <mergeCell ref="B3110:J3110"/>
    <mergeCell ref="B3066:J3066"/>
    <mergeCell ref="B3076:J3076"/>
    <mergeCell ref="B3077:J3077"/>
    <mergeCell ref="B3079:J3079"/>
    <mergeCell ref="B3086:J3086"/>
    <mergeCell ref="B3096:J3096"/>
    <mergeCell ref="B3191:J3191"/>
    <mergeCell ref="B3192:J3192"/>
    <mergeCell ref="B3194:J3194"/>
    <mergeCell ref="B3199:J3199"/>
    <mergeCell ref="B3203:J3203"/>
    <mergeCell ref="B3204:J3204"/>
    <mergeCell ref="B3165:J3165"/>
    <mergeCell ref="B3166:J3166"/>
    <mergeCell ref="B3173:J3173"/>
    <mergeCell ref="B3180:J3180"/>
    <mergeCell ref="B3181:J3181"/>
    <mergeCell ref="B3183:J3183"/>
    <mergeCell ref="B3140:J3140"/>
    <mergeCell ref="B3142:J3142"/>
    <mergeCell ref="B3147:J3147"/>
    <mergeCell ref="B3154:J3154"/>
    <mergeCell ref="B3155:J3155"/>
    <mergeCell ref="B3157:J3157"/>
    <mergeCell ref="B3242:J3242"/>
    <mergeCell ref="B3249:J3249"/>
    <mergeCell ref="B3250:J3250"/>
    <mergeCell ref="B3252:J3252"/>
    <mergeCell ref="B3261:J3261"/>
    <mergeCell ref="B3265:J3265"/>
    <mergeCell ref="B3224:J3224"/>
    <mergeCell ref="B3226:J3226"/>
    <mergeCell ref="B3230:J3230"/>
    <mergeCell ref="B3234:J3234"/>
    <mergeCell ref="B3235:J3235"/>
    <mergeCell ref="B3238:J3238"/>
    <mergeCell ref="B3207:J3207"/>
    <mergeCell ref="B3211:J3211"/>
    <mergeCell ref="B3212:J3212"/>
    <mergeCell ref="B3214:J3214"/>
    <mergeCell ref="B3219:J3219"/>
    <mergeCell ref="B3223:J3223"/>
    <mergeCell ref="B3317:J3317"/>
    <mergeCell ref="B3325:J3325"/>
    <mergeCell ref="B3330:J3330"/>
    <mergeCell ref="B3331:J3331"/>
    <mergeCell ref="B3332:J3332"/>
    <mergeCell ref="B3337:J3337"/>
    <mergeCell ref="B3298:J3298"/>
    <mergeCell ref="B3299:J3299"/>
    <mergeCell ref="B3301:J3301"/>
    <mergeCell ref="B3305:J3305"/>
    <mergeCell ref="B3312:J3312"/>
    <mergeCell ref="B3313:J3313"/>
    <mergeCell ref="B3266:J3266"/>
    <mergeCell ref="B3269:J3269"/>
    <mergeCell ref="B3279:J3279"/>
    <mergeCell ref="B3286:J3286"/>
    <mergeCell ref="B3287:J3287"/>
    <mergeCell ref="B3291:J3291"/>
    <mergeCell ref="B3391:J3391"/>
    <mergeCell ref="B3392:J3392"/>
    <mergeCell ref="B3407:J3407"/>
    <mergeCell ref="B3414:J3414"/>
    <mergeCell ref="B3415:J3415"/>
    <mergeCell ref="B3418:J3418"/>
    <mergeCell ref="B3364:J3364"/>
    <mergeCell ref="B3368:J3368"/>
    <mergeCell ref="B3371:J3371"/>
    <mergeCell ref="B3372:J3372"/>
    <mergeCell ref="B3376:J3376"/>
    <mergeCell ref="B3384:J3384"/>
    <mergeCell ref="B3341:J3341"/>
    <mergeCell ref="B3345:J3345"/>
    <mergeCell ref="B3346:J3346"/>
    <mergeCell ref="B3348:J3348"/>
    <mergeCell ref="B3356:J3356"/>
    <mergeCell ref="B3363:J3363"/>
    <mergeCell ref="B3469:J3469"/>
    <mergeCell ref="B3471:J3471"/>
    <mergeCell ref="B3474:J3474"/>
    <mergeCell ref="B3481:J3481"/>
    <mergeCell ref="B3482:J3482"/>
    <mergeCell ref="B3488:J3488"/>
    <mergeCell ref="B3449:J3449"/>
    <mergeCell ref="B3456:J3456"/>
    <mergeCell ref="B3460:J3460"/>
    <mergeCell ref="B3461:J3461"/>
    <mergeCell ref="B3465:J3465"/>
    <mergeCell ref="B3468:J3468"/>
    <mergeCell ref="B3423:J3423"/>
    <mergeCell ref="B3430:J3430"/>
    <mergeCell ref="B3431:J3431"/>
    <mergeCell ref="B3439:J3439"/>
    <mergeCell ref="B3446:J3446"/>
    <mergeCell ref="B3447:J3447"/>
    <mergeCell ref="B3536:J3536"/>
    <mergeCell ref="B3542:J3542"/>
    <mergeCell ref="B3543:J3543"/>
    <mergeCell ref="B3546:J3546"/>
    <mergeCell ref="B3551:J3551"/>
    <mergeCell ref="B3564:J3564"/>
    <mergeCell ref="B3514:J3514"/>
    <mergeCell ref="B3518:J3518"/>
    <mergeCell ref="B3519:J3519"/>
    <mergeCell ref="B3524:J3524"/>
    <mergeCell ref="B3530:J3530"/>
    <mergeCell ref="B3531:J3531"/>
    <mergeCell ref="B3492:J3492"/>
    <mergeCell ref="B3493:J3493"/>
    <mergeCell ref="B3495:J3495"/>
    <mergeCell ref="B3501:J3501"/>
    <mergeCell ref="B3508:J3508"/>
    <mergeCell ref="B3509:J3509"/>
    <mergeCell ref="B3646:J3646"/>
    <mergeCell ref="B3656:J3656"/>
    <mergeCell ref="B3657:J3657"/>
    <mergeCell ref="B3669:J3669"/>
    <mergeCell ref="B3694:J3694"/>
    <mergeCell ref="B3695:J3695"/>
    <mergeCell ref="B3608:J3608"/>
    <mergeCell ref="B3624:J3624"/>
    <mergeCell ref="B3625:J3625"/>
    <mergeCell ref="B3632:J3632"/>
    <mergeCell ref="B3642:J3642"/>
    <mergeCell ref="B3643:J3643"/>
    <mergeCell ref="B3565:J3565"/>
    <mergeCell ref="B3567:J3567"/>
    <mergeCell ref="B3582:J3582"/>
    <mergeCell ref="B3602:J3602"/>
    <mergeCell ref="B3603:J3603"/>
    <mergeCell ref="B3604:J3604"/>
    <mergeCell ref="B3753:J3753"/>
    <mergeCell ref="B3755:J3755"/>
    <mergeCell ref="B3761:J3761"/>
    <mergeCell ref="B3771:J3771"/>
    <mergeCell ref="B3772:J3772"/>
    <mergeCell ref="B3774:J3774"/>
    <mergeCell ref="B3729:J3729"/>
    <mergeCell ref="B3733:J3733"/>
    <mergeCell ref="B3740:J3740"/>
    <mergeCell ref="B3741:J3741"/>
    <mergeCell ref="B3745:J3745"/>
    <mergeCell ref="B3752:J3752"/>
    <mergeCell ref="B3701:J3701"/>
    <mergeCell ref="B3711:J3711"/>
    <mergeCell ref="B3712:J3712"/>
    <mergeCell ref="B3719:J3719"/>
    <mergeCell ref="B3726:J3726"/>
    <mergeCell ref="B3727:J3727"/>
    <mergeCell ref="B3827:J3827"/>
    <mergeCell ref="B3828:J3828"/>
    <mergeCell ref="B3829:J3829"/>
    <mergeCell ref="B3832:J3832"/>
    <mergeCell ref="B3835:J3835"/>
    <mergeCell ref="B3842:J3842"/>
    <mergeCell ref="B3794:J3794"/>
    <mergeCell ref="B3798:J3798"/>
    <mergeCell ref="B3814:J3814"/>
    <mergeCell ref="B3815:J3815"/>
    <mergeCell ref="B3821:J3821"/>
    <mergeCell ref="B3825:J3825"/>
    <mergeCell ref="B3778:J3778"/>
    <mergeCell ref="B3782:J3782"/>
    <mergeCell ref="B3783:J3783"/>
    <mergeCell ref="B3785:J3785"/>
    <mergeCell ref="B3789:J3789"/>
    <mergeCell ref="B3793:J3793"/>
    <mergeCell ref="B3890:J3890"/>
    <mergeCell ref="B3895:J3895"/>
    <mergeCell ref="B3896:J3896"/>
    <mergeCell ref="B3898:J3898"/>
    <mergeCell ref="B3903:J3903"/>
    <mergeCell ref="B3907:J3907"/>
    <mergeCell ref="B3865:J3865"/>
    <mergeCell ref="B3869:J3869"/>
    <mergeCell ref="B3870:J3870"/>
    <mergeCell ref="B3877:J3877"/>
    <mergeCell ref="B3887:J3887"/>
    <mergeCell ref="B3888:J3888"/>
    <mergeCell ref="B3843:J3843"/>
    <mergeCell ref="B3845:J3845"/>
    <mergeCell ref="B3850:J3850"/>
    <mergeCell ref="B3857:J3857"/>
    <mergeCell ref="B3858:J3858"/>
    <mergeCell ref="B3860:J3860"/>
    <mergeCell ref="B3949:J3949"/>
    <mergeCell ref="B3953:J3953"/>
    <mergeCell ref="B3957:J3957"/>
    <mergeCell ref="B3958:J3958"/>
    <mergeCell ref="B3960:J3960"/>
    <mergeCell ref="B3964:J3964"/>
    <mergeCell ref="B3932:J3932"/>
    <mergeCell ref="B3933:J3933"/>
    <mergeCell ref="B3935:J3935"/>
    <mergeCell ref="B3939:J3939"/>
    <mergeCell ref="B3946:J3946"/>
    <mergeCell ref="B3947:J3947"/>
    <mergeCell ref="B3908:J3908"/>
    <mergeCell ref="B3911:J3911"/>
    <mergeCell ref="B3915:J3915"/>
    <mergeCell ref="B3916:J3916"/>
    <mergeCell ref="B3919:J3919"/>
    <mergeCell ref="B3922:J3922"/>
    <mergeCell ref="B4019:J4019"/>
    <mergeCell ref="B4020:J4020"/>
    <mergeCell ref="B4022:J4022"/>
    <mergeCell ref="B4028:J4028"/>
    <mergeCell ref="B4038:J4038"/>
    <mergeCell ref="B4039:J4039"/>
    <mergeCell ref="B3985:J3985"/>
    <mergeCell ref="B3986:J3986"/>
    <mergeCell ref="B3990:J3990"/>
    <mergeCell ref="B3994:J3994"/>
    <mergeCell ref="B3995:J3995"/>
    <mergeCell ref="B4003:J4003"/>
    <mergeCell ref="B3968:J3968"/>
    <mergeCell ref="B3969:J3969"/>
    <mergeCell ref="B3973:J3973"/>
    <mergeCell ref="B3977:J3977"/>
    <mergeCell ref="B3978:J3978"/>
    <mergeCell ref="B3980:J3980"/>
    <mergeCell ref="B4086:J4086"/>
    <mergeCell ref="B4093:J4093"/>
    <mergeCell ref="B4094:J4094"/>
    <mergeCell ref="B4096:J4096"/>
    <mergeCell ref="B4101:J4101"/>
    <mergeCell ref="B4111:J4111"/>
    <mergeCell ref="B4072:J4072"/>
    <mergeCell ref="B4076:J4076"/>
    <mergeCell ref="B4079:J4079"/>
    <mergeCell ref="B4080:J4080"/>
    <mergeCell ref="B4081:J4081"/>
    <mergeCell ref="B4083:J4083"/>
    <mergeCell ref="B4052:J4052"/>
    <mergeCell ref="B4053:J4053"/>
    <mergeCell ref="B4055:J4055"/>
    <mergeCell ref="B4061:J4061"/>
    <mergeCell ref="B4068:J4068"/>
    <mergeCell ref="B4069:J4069"/>
    <mergeCell ref="B4180:J4180"/>
    <mergeCell ref="B4181:J4181"/>
    <mergeCell ref="B4191:J4191"/>
    <mergeCell ref="B4198:J4198"/>
    <mergeCell ref="B4199:J4199"/>
    <mergeCell ref="B4206:J4206"/>
    <mergeCell ref="B4153:J4153"/>
    <mergeCell ref="B4154:J4154"/>
    <mergeCell ref="B4157:J4157"/>
    <mergeCell ref="B4167:J4167"/>
    <mergeCell ref="B4168:J4168"/>
    <mergeCell ref="B4170:J4170"/>
    <mergeCell ref="B4112:J4112"/>
    <mergeCell ref="B4114:J4114"/>
    <mergeCell ref="B4120:J4120"/>
    <mergeCell ref="B4133:J4133"/>
    <mergeCell ref="B4134:J4134"/>
    <mergeCell ref="B4137:J4137"/>
    <mergeCell ref="B4274:J4274"/>
    <mergeCell ref="B4276:J4276"/>
    <mergeCell ref="B4278:J4278"/>
    <mergeCell ref="B4291:J4291"/>
    <mergeCell ref="B4292:J4292"/>
    <mergeCell ref="B4298:J4298"/>
    <mergeCell ref="B4242:J4242"/>
    <mergeCell ref="B4258:J4258"/>
    <mergeCell ref="B4259:J4259"/>
    <mergeCell ref="B4261:J4261"/>
    <mergeCell ref="B4263:J4263"/>
    <mergeCell ref="B4273:J4273"/>
    <mergeCell ref="B4210:J4210"/>
    <mergeCell ref="B4211:J4211"/>
    <mergeCell ref="B4213:J4213"/>
    <mergeCell ref="B4221:J4221"/>
    <mergeCell ref="B4231:J4231"/>
    <mergeCell ref="B4232:J4232"/>
    <mergeCell ref="B4351:J4351"/>
    <mergeCell ref="B4361:J4361"/>
    <mergeCell ref="B4362:J4362"/>
    <mergeCell ref="B4367:J4367"/>
    <mergeCell ref="B4377:J4377"/>
    <mergeCell ref="B4378:J4378"/>
    <mergeCell ref="B4333:J4333"/>
    <mergeCell ref="B4334:J4334"/>
    <mergeCell ref="B4336:J4336"/>
    <mergeCell ref="B4343:J4343"/>
    <mergeCell ref="B4344:J4344"/>
    <mergeCell ref="B4346:J4346"/>
    <mergeCell ref="B4305:J4305"/>
    <mergeCell ref="B4306:J4306"/>
    <mergeCell ref="B4309:J4309"/>
    <mergeCell ref="B4316:J4316"/>
    <mergeCell ref="B4317:J4317"/>
    <mergeCell ref="B4320:J4320"/>
    <mergeCell ref="B4466:J4466"/>
    <mergeCell ref="B4467:J4467"/>
    <mergeCell ref="B4469:J4469"/>
    <mergeCell ref="B4476:J4476"/>
    <mergeCell ref="B4480:J4480"/>
    <mergeCell ref="B4481:J4481"/>
    <mergeCell ref="B4414:J4414"/>
    <mergeCell ref="B4417:J4417"/>
    <mergeCell ref="B4425:J4425"/>
    <mergeCell ref="B4450:J4450"/>
    <mergeCell ref="B4451:J4451"/>
    <mergeCell ref="B4453:J4453"/>
    <mergeCell ref="B4380:J4380"/>
    <mergeCell ref="B4385:J4385"/>
    <mergeCell ref="B4398:J4398"/>
    <mergeCell ref="B4399:J4399"/>
    <mergeCell ref="B4403:J4403"/>
    <mergeCell ref="B4413:J4413"/>
    <mergeCell ref="B4540:J4540"/>
    <mergeCell ref="B4541:J4541"/>
    <mergeCell ref="B4543:J4543"/>
    <mergeCell ref="B4548:J4548"/>
    <mergeCell ref="B4555:J4555"/>
    <mergeCell ref="B4556:J4556"/>
    <mergeCell ref="B4511:J4511"/>
    <mergeCell ref="B4513:J4513"/>
    <mergeCell ref="B4523:J4523"/>
    <mergeCell ref="B4524:J4524"/>
    <mergeCell ref="B4526:J4526"/>
    <mergeCell ref="B4533:J4533"/>
    <mergeCell ref="B4483:J4483"/>
    <mergeCell ref="B4487:J4487"/>
    <mergeCell ref="B4500:J4500"/>
    <mergeCell ref="B4501:J4501"/>
    <mergeCell ref="B4506:J4506"/>
    <mergeCell ref="B4510:J4510"/>
    <mergeCell ref="B4606:J4606"/>
    <mergeCell ref="B4608:J4608"/>
    <mergeCell ref="B4615:J4615"/>
    <mergeCell ref="B4616:J4616"/>
    <mergeCell ref="B4619:J4619"/>
    <mergeCell ref="B4632:J4632"/>
    <mergeCell ref="B4582:J4582"/>
    <mergeCell ref="B4587:J4587"/>
    <mergeCell ref="B4597:J4597"/>
    <mergeCell ref="B4602:J4602"/>
    <mergeCell ref="B4603:J4603"/>
    <mergeCell ref="B4604:J4604"/>
    <mergeCell ref="B4559:J4559"/>
    <mergeCell ref="B4563:J4563"/>
    <mergeCell ref="B4564:J4564"/>
    <mergeCell ref="B4566:J4566"/>
    <mergeCell ref="B4579:J4579"/>
    <mergeCell ref="B4580:J4580"/>
    <mergeCell ref="B4705:J4705"/>
    <mergeCell ref="B4707:J4707"/>
    <mergeCell ref="B4723:J4723"/>
    <mergeCell ref="B4724:J4724"/>
    <mergeCell ref="B4726:J4726"/>
    <mergeCell ref="B4732:J4732"/>
    <mergeCell ref="B4666:J4666"/>
    <mergeCell ref="B4670:J4670"/>
    <mergeCell ref="B4680:J4680"/>
    <mergeCell ref="B4681:J4681"/>
    <mergeCell ref="B4685:J4685"/>
    <mergeCell ref="B4704:J4704"/>
    <mergeCell ref="B4633:J4633"/>
    <mergeCell ref="B4635:J4635"/>
    <mergeCell ref="B4648:J4648"/>
    <mergeCell ref="B4649:J4649"/>
    <mergeCell ref="B4652:J4652"/>
    <mergeCell ref="B4665:J4665"/>
    <mergeCell ref="B4796:J4796"/>
    <mergeCell ref="B4797:J4797"/>
    <mergeCell ref="B4802:J4802"/>
    <mergeCell ref="B4809:J4809"/>
    <mergeCell ref="B4810:J4810"/>
    <mergeCell ref="B4813:J4813"/>
    <mergeCell ref="B4771:J4771"/>
    <mergeCell ref="B4772:J4772"/>
    <mergeCell ref="B4775:J4775"/>
    <mergeCell ref="B4785:J4785"/>
    <mergeCell ref="B4786:J4786"/>
    <mergeCell ref="B4789:J4789"/>
    <mergeCell ref="B4736:J4736"/>
    <mergeCell ref="B4737:J4737"/>
    <mergeCell ref="B4742:J4742"/>
    <mergeCell ref="B4755:J4755"/>
    <mergeCell ref="B4756:J4756"/>
    <mergeCell ref="B4758:J4758"/>
    <mergeCell ref="B4868:J4868"/>
    <mergeCell ref="B4869:J4869"/>
    <mergeCell ref="B4871:J4871"/>
    <mergeCell ref="B4873:J4873"/>
    <mergeCell ref="B4883:J4883"/>
    <mergeCell ref="B4843:J4843"/>
    <mergeCell ref="B4846:J4846"/>
    <mergeCell ref="B4856:J4856"/>
    <mergeCell ref="B4857:J4857"/>
    <mergeCell ref="B4859:J4859"/>
    <mergeCell ref="B4864:J4864"/>
    <mergeCell ref="B4818:J4818"/>
    <mergeCell ref="B4819:J4819"/>
    <mergeCell ref="B4821:J4821"/>
    <mergeCell ref="B4827:J4827"/>
    <mergeCell ref="B4840:J4840"/>
    <mergeCell ref="B4841:J484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dochod gaz</vt:lpstr>
      <vt:lpstr>mediana dochodu</vt:lpstr>
      <vt:lpstr>demografia gminy</vt:lpstr>
      <vt:lpstr>'demografia gminy'!Obszar_wydruku</vt:lpstr>
      <vt:lpstr>'dochod gaz'!Obszar_wydruku</vt:lpstr>
      <vt:lpstr>'mediana dochodu'!Obszar_wydruku</vt:lpstr>
    </vt:vector>
  </TitlesOfParts>
  <Company>POLINVEST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Taćkiewicz</dc:creator>
  <cp:lastModifiedBy>Tułowiecki Robert</cp:lastModifiedBy>
  <cp:lastPrinted>2015-02-18T12:52:56Z</cp:lastPrinted>
  <dcterms:created xsi:type="dcterms:W3CDTF">2009-06-17T07:47:25Z</dcterms:created>
  <dcterms:modified xsi:type="dcterms:W3CDTF">2024-01-30T13:17:30Z</dcterms:modified>
</cp:coreProperties>
</file>